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chartsheets/sheet1.xml" ContentType="application/vnd.openxmlformats-officedocument.spreadsheetml.chartsheet+xml"/>
  <Override PartName="/xl/worksheets/sheet33.xml" ContentType="application/vnd.openxmlformats-officedocument.spreadsheetml.worksheet+xml"/>
  <Override PartName="/xl/chartsheets/sheet2.xml" ContentType="application/vnd.openxmlformats-officedocument.spreadsheetml.chartsheet+xml"/>
  <Override PartName="/xl/worksheets/sheet34.xml" ContentType="application/vnd.openxmlformats-officedocument.spreadsheetml.worksheet+xml"/>
  <Override PartName="/xl/chartsheets/sheet3.xml" ContentType="application/vnd.openxmlformats-officedocument.spreadsheetml.chartsheet+xml"/>
  <Override PartName="/xl/worksheets/sheet35.xml" ContentType="application/vnd.openxmlformats-officedocument.spreadsheetml.worksheet+xml"/>
  <Override PartName="/xl/chartsheets/sheet4.xml" ContentType="application/vnd.openxmlformats-officedocument.spreadsheetml.chart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ml.chartshapes+xml"/>
  <Override PartName="/xl/comments7.xml" ContentType="application/vnd.openxmlformats-officedocument.spreadsheetml.comments+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875" windowWidth="10650" windowHeight="3780" tabRatio="923" firstSheet="3" activeTab="4"/>
  </bookViews>
  <sheets>
    <sheet name="Resultat" sheetId="19" r:id="rId1"/>
    <sheet name="Bilan" sheetId="20" r:id="rId2"/>
    <sheet name="Flux" sheetId="21" r:id="rId3"/>
    <sheet name="Exploitation" sheetId="1" r:id="rId4"/>
    <sheet name="Synthèse " sheetId="48" r:id="rId5"/>
    <sheet name="Exploitation année pleine" sheetId="42" r:id="rId6"/>
    <sheet name="Para de décalage" sheetId="43" r:id="rId7"/>
    <sheet name="Emprunt 2015" sheetId="37" r:id="rId8"/>
    <sheet name="Emprunt 2016" sheetId="25" r:id="rId9"/>
    <sheet name="Emprunt 2017" sheetId="28" r:id="rId10"/>
    <sheet name="Emprunt 2018" sheetId="33" r:id="rId11"/>
    <sheet name="Emprunt 2019" sheetId="35" r:id="rId12"/>
    <sheet name="Emprunt 2020" sheetId="46" r:id="rId13"/>
    <sheet name="Données Investissement" sheetId="6" r:id="rId14"/>
    <sheet name="détails investissements" sheetId="44" r:id="rId15"/>
    <sheet name="détails investissements (2)" sheetId="45" r:id="rId16"/>
    <sheet name="Equipe projet" sheetId="36" r:id="rId17"/>
    <sheet name="plannig des personnes Equipe pr" sheetId="47" r:id="rId18"/>
    <sheet name="Subventions" sheetId="26" r:id="rId19"/>
    <sheet name="Détails subventions" sheetId="27" r:id="rId20"/>
    <sheet name="investisseurs" sheetId="32" r:id="rId21"/>
    <sheet name="Données gestion" sheetId="5" r:id="rId22"/>
    <sheet name="Données PAMCHR" sheetId="2" r:id="rId23"/>
    <sheet name="Données VAR" sheetId="3" r:id="rId24"/>
    <sheet name="Scénario" sheetId="23" r:id="rId25"/>
    <sheet name="Données Matières" sheetId="7" r:id="rId26"/>
    <sheet name="Données Economie Circulaire" sheetId="9" r:id="rId27"/>
    <sheet name="Données Flux et BFR" sheetId="8" r:id="rId28"/>
    <sheet name="Calcul Rentabilité 20 ans" sheetId="29" state="hidden" r:id="rId29"/>
    <sheet name="Données Rentabilité" sheetId="10" state="hidden" r:id="rId30"/>
    <sheet name="Project Data" sheetId="12" state="hidden" r:id="rId31"/>
    <sheet name="Feuil1" sheetId="16" r:id="rId32"/>
    <sheet name="Graph2" sheetId="18" r:id="rId33"/>
    <sheet name="Calcul Rentabilité ERAMET 20ans" sheetId="34" r:id="rId34"/>
    <sheet name="Graphe Cash Flow" sheetId="11" r:id="rId35"/>
    <sheet name="Opportunités et Risques" sheetId="13" state="hidden" r:id="rId36"/>
    <sheet name="Graphe Opportunités" sheetId="14" state="hidden" r:id="rId37"/>
    <sheet name="Rentabilité Location 10 ans" sheetId="39" r:id="rId38"/>
    <sheet name="Exemple Graphe Cash Flow" sheetId="40" r:id="rId39"/>
    <sheet name="Rentabilité bâtiment 20 ans" sheetId="41" r:id="rId40"/>
    <sheet name="Analyse Location" sheetId="38" r:id="rId41"/>
  </sheets>
  <externalReferences>
    <externalReference r:id="rId42"/>
    <externalReference r:id="rId43"/>
    <externalReference r:id="rId44"/>
    <externalReference r:id="rId45"/>
    <externalReference r:id="rId46"/>
    <externalReference r:id="rId47"/>
  </externalReferences>
  <definedNames>
    <definedName name="convchutes">[1]Paramétrage!$A$17:$C$19</definedName>
    <definedName name="ETXAcces" localSheetId="1">"ETAT.ACC"</definedName>
    <definedName name="ETXAcces" localSheetId="2">"ETAT.ACC"</definedName>
    <definedName name="ETXAcces" localSheetId="0">"ETAT.ACC"</definedName>
    <definedName name="Euro">6.55957</definedName>
    <definedName name="h">OFFSET('Opportunités et Risques'!$I$8, 0, 0, or_nr_items,1)</definedName>
    <definedName name="or_nr_items" localSheetId="1">'[2]Project Data'!$H$33</definedName>
    <definedName name="or_nr_items" localSheetId="2">'[2]Project Data'!$H$33</definedName>
    <definedName name="or_nr_items" localSheetId="0">'[2]Project Data'!$H$33</definedName>
    <definedName name="or_nr_items">'Project Data'!$H$33</definedName>
    <definedName name="or_series1" localSheetId="1">OFFSET('[2]Opportunités et Risques'!$E$8, 0, 0, Bilan!or_nr_items,1)</definedName>
    <definedName name="or_series1" localSheetId="9">OFFSET('Opportunités et Risques'!$E$8, 0, 0, or_nr_items,1)</definedName>
    <definedName name="or_series1" localSheetId="10">OFFSET('Opportunités et Risques'!$E$8, 0, 0, or_nr_items,1)</definedName>
    <definedName name="or_series1" localSheetId="11">OFFSET('Opportunités et Risques'!$E$8, 0, 0, [0]!or_nr_items,1)</definedName>
    <definedName name="or_series1" localSheetId="12">OFFSET('Opportunités et Risques'!$E$8, 0, 0, [0]!or_nr_items,1)</definedName>
    <definedName name="or_series1" localSheetId="2">OFFSET('[2]Opportunités et Risques'!$E$8, 0, 0, Flux!or_nr_items,1)</definedName>
    <definedName name="or_series1" localSheetId="20">OFFSET('Opportunités et Risques'!$E$8, 0, 0, or_nr_items,1)</definedName>
    <definedName name="or_series1" localSheetId="0">OFFSET('[2]Opportunités et Risques'!$E$8, 0, 0, Resultat!or_nr_items,1)</definedName>
    <definedName name="or_series1">OFFSET('Opportunités et Risques'!$E$8, 0, 0, or_nr_items,1)</definedName>
    <definedName name="or_series2" localSheetId="1">OFFSET('[2]Opportunités et Risques'!$F$8, 0, 0, Bilan!or_nr_items,1)</definedName>
    <definedName name="or_series2" localSheetId="9">OFFSET('Opportunités et Risques'!$F$8, 0, 0, or_nr_items,1)</definedName>
    <definedName name="or_series2" localSheetId="10">OFFSET('Opportunités et Risques'!$F$8, 0, 0, or_nr_items,1)</definedName>
    <definedName name="or_series2" localSheetId="11">OFFSET('Opportunités et Risques'!$F$8, 0, 0, [0]!or_nr_items,1)</definedName>
    <definedName name="or_series2" localSheetId="12">OFFSET('Opportunités et Risques'!$F$8, 0, 0, [0]!or_nr_items,1)</definedName>
    <definedName name="or_series2" localSheetId="2">OFFSET('[2]Opportunités et Risques'!$F$8, 0, 0, Flux!or_nr_items,1)</definedName>
    <definedName name="or_series2" localSheetId="20">OFFSET('Opportunités et Risques'!$F$8, 0, 0, or_nr_items,1)</definedName>
    <definedName name="or_series2" localSheetId="0">OFFSET('[2]Opportunités et Risques'!$F$8, 0, 0, Resultat!or_nr_items,1)</definedName>
    <definedName name="or_series2">OFFSET('Opportunités et Risques'!$F$8, 0, 0, or_nr_items,1)</definedName>
    <definedName name="or_series3" localSheetId="1">OFFSET('[2]Opportunités et Risques'!$G$8, 0, 0, Bilan!or_nr_items,1)</definedName>
    <definedName name="or_series3" localSheetId="9">OFFSET('Opportunités et Risques'!$G$8, 0, 0, or_nr_items,1)</definedName>
    <definedName name="or_series3" localSheetId="10">OFFSET('Opportunités et Risques'!$G$8, 0, 0, or_nr_items,1)</definedName>
    <definedName name="or_series3" localSheetId="11">OFFSET('Opportunités et Risques'!$G$8, 0, 0, [0]!or_nr_items,1)</definedName>
    <definedName name="or_series3" localSheetId="12">OFFSET('Opportunités et Risques'!$G$8, 0, 0, [0]!or_nr_items,1)</definedName>
    <definedName name="or_series3" localSheetId="2">OFFSET('[2]Opportunités et Risques'!$G$8, 0, 0, Flux!or_nr_items,1)</definedName>
    <definedName name="or_series3" localSheetId="20">OFFSET('Opportunités et Risques'!$G$8, 0, 0, or_nr_items,1)</definedName>
    <definedName name="or_series3" localSheetId="0">OFFSET('[2]Opportunités et Risques'!$G$8, 0, 0, Resultat!or_nr_items,1)</definedName>
    <definedName name="or_series3">OFFSET('Opportunités et Risques'!$G$8, 0, 0, or_nr_items,1)</definedName>
    <definedName name="or_series4" localSheetId="1">OFFSET('[2]Opportunités et Risques'!$H$8, 0, 0, Bilan!or_nr_items,1)</definedName>
    <definedName name="or_series4" localSheetId="9">OFFSET('Opportunités et Risques'!$H$8, 0, 0, or_nr_items,1)</definedName>
    <definedName name="or_series4" localSheetId="10">OFFSET('Opportunités et Risques'!$H$8, 0, 0, or_nr_items,1)</definedName>
    <definedName name="or_series4" localSheetId="11">OFFSET('Opportunités et Risques'!$H$8, 0, 0, [0]!or_nr_items,1)</definedName>
    <definedName name="or_series4" localSheetId="12">OFFSET('Opportunités et Risques'!$H$8, 0, 0, [0]!or_nr_items,1)</definedName>
    <definedName name="or_series4" localSheetId="2">OFFSET('[2]Opportunités et Risques'!$H$8, 0, 0, Flux!or_nr_items,1)</definedName>
    <definedName name="or_series4" localSheetId="20">OFFSET('Opportunités et Risques'!$H$8, 0, 0, or_nr_items,1)</definedName>
    <definedName name="or_series4" localSheetId="0">OFFSET('[2]Opportunités et Risques'!$H$8, 0, 0, Resultat!or_nr_items,1)</definedName>
    <definedName name="or_series4">OFFSET('Opportunités et Risques'!$H$8, 0, 0, or_nr_items,1)</definedName>
    <definedName name="or_series5" localSheetId="1">OFFSET('[2]Opportunités et Risques'!$I$8, 0, 0, Bilan!or_nr_items,1)</definedName>
    <definedName name="or_series5" localSheetId="9">OFFSET('Opportunités et Risques'!$I$8, 0, 0, or_nr_items,1)</definedName>
    <definedName name="or_series5" localSheetId="10">OFFSET('Opportunités et Risques'!$I$8, 0, 0, or_nr_items,1)</definedName>
    <definedName name="or_series5" localSheetId="11">OFFSET('Opportunités et Risques'!$I$8, 0, 0, [0]!or_nr_items,1)</definedName>
    <definedName name="or_series5" localSheetId="12">OFFSET('Opportunités et Risques'!$I$8, 0, 0, [0]!or_nr_items,1)</definedName>
    <definedName name="or_series5" localSheetId="2">OFFSET('[2]Opportunités et Risques'!$I$8, 0, 0, Flux!or_nr_items,1)</definedName>
    <definedName name="or_series5" localSheetId="20">OFFSET('Opportunités et Risques'!$I$8, 0, 0, or_nr_items,1)</definedName>
    <definedName name="or_series5" localSheetId="0">OFFSET('[2]Opportunités et Risques'!$I$8, 0, 0, Resultat!or_nr_items,1)</definedName>
    <definedName name="or_series5">OFFSET('Opportunités et Risques'!$I$8, 0, 0, or_nr_items,1)</definedName>
    <definedName name="or_series6" localSheetId="1">OFFSET('[2]Opportunités et Risques'!$J$8, 0, 0, Bilan!or_nr_items,1)</definedName>
    <definedName name="or_series6" localSheetId="9">OFFSET('Opportunités et Risques'!$J$8, 0, 0, or_nr_items,1)</definedName>
    <definedName name="or_series6" localSheetId="10">OFFSET('Opportunités et Risques'!$J$8, 0, 0, or_nr_items,1)</definedName>
    <definedName name="or_series6" localSheetId="11">OFFSET('Opportunités et Risques'!$J$8, 0, 0, [0]!or_nr_items,1)</definedName>
    <definedName name="or_series6" localSheetId="12">OFFSET('Opportunités et Risques'!$J$8, 0, 0, [0]!or_nr_items,1)</definedName>
    <definedName name="or_series6" localSheetId="2">OFFSET('[2]Opportunités et Risques'!$J$8, 0, 0, Flux!or_nr_items,1)</definedName>
    <definedName name="or_series6" localSheetId="20">OFFSET('Opportunités et Risques'!$J$8, 0, 0, or_nr_items,1)</definedName>
    <definedName name="or_series6" localSheetId="0">OFFSET('[2]Opportunités et Risques'!$J$8, 0, 0, Resultat!or_nr_items,1)</definedName>
    <definedName name="or_series6">OFFSET('Opportunités et Risques'!$J$8, 0, 0, or_nr_items,1)</definedName>
    <definedName name="or_titles" localSheetId="1">OFFSET('[2]Opportunités et Risques'!$A$8, 0, 0, Bilan!or_nr_items,1)</definedName>
    <definedName name="or_titles" localSheetId="9">OFFSET('Opportunités et Risques'!$A$8, 0, 0, or_nr_items,1)</definedName>
    <definedName name="or_titles" localSheetId="10">OFFSET('Opportunités et Risques'!$A$8, 0, 0, or_nr_items,1)</definedName>
    <definedName name="or_titles" localSheetId="11">OFFSET('Opportunités et Risques'!$A$8, 0, 0, [0]!or_nr_items,1)</definedName>
    <definedName name="or_titles" localSheetId="12">OFFSET('Opportunités et Risques'!$A$8, 0, 0, [0]!or_nr_items,1)</definedName>
    <definedName name="or_titles" localSheetId="2">OFFSET('[2]Opportunités et Risques'!$A$8, 0, 0, Flux!or_nr_items,1)</definedName>
    <definedName name="or_titles" localSheetId="20">OFFSET('Opportunités et Risques'!$A$8, 0, 0, or_nr_items,1)</definedName>
    <definedName name="or_titles" localSheetId="0">OFFSET('[2]Opportunités et Risques'!$A$8, 0, 0, Resultat!or_nr_items,1)</definedName>
    <definedName name="or_titles">OFFSET('Opportunités et Risques'!$A$8, 0, 0, or_nr_items,1)</definedName>
    <definedName name="prof_cash_flow" localSheetId="1">OFFSET('[2]Données Rentabilité'!$E$33,0,0,1,Bilan!prof_nr_years)</definedName>
    <definedName name="prof_cash_flow" localSheetId="9">OFFSET('Données Rentabilité'!$E$33,0,0,1,prof_nr_years)</definedName>
    <definedName name="prof_cash_flow" localSheetId="10">OFFSET('Données Rentabilité'!$E$33,0,0,1,prof_nr_years)</definedName>
    <definedName name="prof_cash_flow" localSheetId="11">OFFSET('Données Rentabilité'!$E$33,0,0,1,[0]!prof_nr_years)</definedName>
    <definedName name="prof_cash_flow" localSheetId="12">OFFSET('Données Rentabilité'!$E$33,0,0,1,[0]!prof_nr_years)</definedName>
    <definedName name="prof_cash_flow" localSheetId="2">OFFSET('[2]Données Rentabilité'!$E$33,0,0,1,Flux!prof_nr_years)</definedName>
    <definedName name="prof_cash_flow" localSheetId="20">OFFSET('Données Rentabilité'!$E$33,0,0,1,prof_nr_years)</definedName>
    <definedName name="prof_cash_flow" localSheetId="0">OFFSET('[2]Données Rentabilité'!$E$33,0,0,1,Resultat!prof_nr_years)</definedName>
    <definedName name="prof_cash_flow">OFFSET('Données Rentabilité'!$E$33,0,0,1,prof_nr_years)</definedName>
    <definedName name="prof_nr_years" localSheetId="1">'[2]Project Data'!$H$13</definedName>
    <definedName name="prof_nr_years" localSheetId="2">'[2]Project Data'!$H$13</definedName>
    <definedName name="prof_nr_years" localSheetId="0">'[2]Project Data'!$H$13</definedName>
    <definedName name="prof_nr_years">'Project Data'!$H$13</definedName>
    <definedName name="prof_nr_years_max">'Project Data'!$H$14</definedName>
    <definedName name="prof_years" localSheetId="1">OFFSET('[2]Données Rentabilité'!$E$9, 0, 0, 1, Bilan!prof_nr_years)</definedName>
    <definedName name="prof_years" localSheetId="9">OFFSET('Données Rentabilité'!$E$9, 0, 0, 1, prof_nr_years)</definedName>
    <definedName name="prof_years" localSheetId="10">OFFSET('Données Rentabilité'!$E$9, 0, 0, 1, prof_nr_years)</definedName>
    <definedName name="prof_years" localSheetId="11">OFFSET('Données Rentabilité'!$E$9, 0, 0, 1, [0]!prof_nr_years)</definedName>
    <definedName name="prof_years" localSheetId="12">OFFSET('Données Rentabilité'!$E$9, 0, 0, 1, [0]!prof_nr_years)</definedName>
    <definedName name="prof_years" localSheetId="2">OFFSET('[2]Données Rentabilité'!$E$9, 0, 0, 1, Flux!prof_nr_years)</definedName>
    <definedName name="prof_years" localSheetId="20">OFFSET('Données Rentabilité'!$E$9, 0, 0, 1, prof_nr_years)</definedName>
    <definedName name="prof_years" localSheetId="0">OFFSET('[2]Données Rentabilité'!$E$9, 0, 0, 1, Resultat!prof_nr_years)</definedName>
    <definedName name="prof_years">OFFSET('Données Rentabilité'!$E$9, 0, 0, 1, prof_nr_years)</definedName>
    <definedName name="pxcopeau">'[1]Prix Lingots et Chutes'!$A$25:$N$31</definedName>
    <definedName name="pxmassif">'[1]Prix Lingots et Chutes'!$A$16:$N$22</definedName>
    <definedName name="_xlnm.Print_Area" localSheetId="1">Bilan!$A$1:$P$62</definedName>
    <definedName name="_xlnm.Print_Area" localSheetId="28">'Calcul Rentabilité 20 ans'!$A$1:$P$39</definedName>
    <definedName name="_xlnm.Print_Area" localSheetId="33">'Calcul Rentabilité ERAMET 20ans'!$A$1:$P$39</definedName>
    <definedName name="_xlnm.Print_Area" localSheetId="13">'Données Investissement'!$A$1:$H$24</definedName>
    <definedName name="_xlnm.Print_Area" localSheetId="29">'Données Rentabilité'!$A$1:$Q$42</definedName>
    <definedName name="_xlnm.Print_Area" localSheetId="16">'Equipe projet'!$A$38:$I$44</definedName>
    <definedName name="_xlnm.Print_Area" localSheetId="3">Exploitation!$A$1:$L$50</definedName>
    <definedName name="_xlnm.Print_Area" localSheetId="5">'Exploitation année pleine'!$A$1:$L$50</definedName>
    <definedName name="_xlnm.Print_Area" localSheetId="2">Flux!$A$1:$N$40</definedName>
    <definedName name="_xlnm.Print_Area" localSheetId="39">'Rentabilité bâtiment 20 ans'!$A$1:$P$39</definedName>
    <definedName name="_xlnm.Print_Area" localSheetId="37">'Rentabilité Location 10 ans'!$A$1:$P$39</definedName>
    <definedName name="_xlnm.Print_Area" localSheetId="0">Resultat!$A$1:$M$65</definedName>
    <definedName name="_xlnm.Print_Area" localSheetId="24">Scénario!$A$1:$J$28</definedName>
  </definedNames>
  <calcPr calcId="145621"/>
</workbook>
</file>

<file path=xl/calcChain.xml><?xml version="1.0" encoding="utf-8"?>
<calcChain xmlns="http://schemas.openxmlformats.org/spreadsheetml/2006/main">
  <c r="O10" i="48" l="1"/>
  <c r="N10" i="48"/>
  <c r="M10" i="48"/>
  <c r="L10" i="48"/>
  <c r="K10" i="48"/>
  <c r="J10" i="48"/>
  <c r="B16" i="48" l="1"/>
  <c r="B14" i="48"/>
  <c r="B12" i="48"/>
  <c r="J8" i="48" l="1"/>
  <c r="K8" i="48"/>
  <c r="L8" i="48"/>
  <c r="M8" i="48"/>
  <c r="N8" i="48"/>
  <c r="O8" i="48"/>
  <c r="I10" i="48" l="1"/>
  <c r="H10" i="48"/>
  <c r="G10" i="48"/>
  <c r="F10" i="48"/>
  <c r="E10" i="48"/>
  <c r="D10" i="48"/>
  <c r="G8" i="48"/>
  <c r="H8" i="48"/>
  <c r="I8" i="48"/>
  <c r="E8" i="48"/>
  <c r="F8" i="48"/>
  <c r="D8" i="48"/>
  <c r="C5" i="48"/>
  <c r="B5" i="48"/>
  <c r="C7" i="48" l="1"/>
  <c r="C9" i="48"/>
  <c r="B10" i="48"/>
  <c r="B8" i="48"/>
  <c r="C6" i="48"/>
  <c r="C3" i="48"/>
  <c r="G32" i="42"/>
  <c r="F2" i="21"/>
  <c r="E67" i="19"/>
  <c r="D93" i="5"/>
  <c r="E14" i="42"/>
  <c r="E14" i="1"/>
  <c r="E22" i="1"/>
  <c r="H14" i="42"/>
  <c r="I93" i="5"/>
  <c r="I97" i="5"/>
  <c r="I15" i="42"/>
  <c r="L14" i="42"/>
  <c r="L19" i="42"/>
  <c r="L19" i="1"/>
  <c r="N14" i="19"/>
  <c r="M14" i="42"/>
  <c r="Q14" i="42"/>
  <c r="T14" i="42"/>
  <c r="U14" i="42"/>
  <c r="C25" i="42"/>
  <c r="D25" i="42"/>
  <c r="E25" i="42"/>
  <c r="E29" i="42"/>
  <c r="G25" i="42"/>
  <c r="H25" i="42"/>
  <c r="L25" i="42"/>
  <c r="B25" i="42"/>
  <c r="B29" i="42"/>
  <c r="F25" i="42"/>
  <c r="O25" i="42"/>
  <c r="R25" i="42"/>
  <c r="S25" i="42"/>
  <c r="V25" i="42"/>
  <c r="B213" i="2"/>
  <c r="D213" i="2"/>
  <c r="F213" i="2"/>
  <c r="G213" i="2"/>
  <c r="H213" i="2"/>
  <c r="I213" i="2"/>
  <c r="J213" i="2"/>
  <c r="K213" i="2"/>
  <c r="L213" i="2"/>
  <c r="M213" i="2"/>
  <c r="N213" i="2"/>
  <c r="O213" i="2"/>
  <c r="P213" i="2"/>
  <c r="Q213" i="2"/>
  <c r="R213" i="2"/>
  <c r="S213" i="2"/>
  <c r="T213" i="2"/>
  <c r="U213" i="2"/>
  <c r="V213" i="2"/>
  <c r="C200" i="2"/>
  <c r="J25" i="42"/>
  <c r="J25" i="1"/>
  <c r="J30" i="1"/>
  <c r="K25" i="42"/>
  <c r="K67" i="42"/>
  <c r="N25" i="42"/>
  <c r="P25" i="42"/>
  <c r="P25" i="1"/>
  <c r="P30" i="1"/>
  <c r="T25" i="42"/>
  <c r="T67" i="42"/>
  <c r="I25" i="42"/>
  <c r="I29" i="42"/>
  <c r="U25" i="42"/>
  <c r="U25" i="1"/>
  <c r="U30" i="1"/>
  <c r="F38" i="26"/>
  <c r="E38" i="26"/>
  <c r="D38" i="26"/>
  <c r="F36" i="26"/>
  <c r="E36" i="26"/>
  <c r="D36" i="26"/>
  <c r="D2" i="21"/>
  <c r="F71" i="20"/>
  <c r="G71" i="20"/>
  <c r="H71" i="20"/>
  <c r="I71" i="20"/>
  <c r="J71" i="20"/>
  <c r="F72" i="20"/>
  <c r="G72" i="20"/>
  <c r="H72" i="20"/>
  <c r="I72" i="20"/>
  <c r="J72" i="20"/>
  <c r="R25" i="20"/>
  <c r="S25" i="20"/>
  <c r="Q17" i="21"/>
  <c r="T25" i="20"/>
  <c r="U25" i="20"/>
  <c r="V25" i="20"/>
  <c r="T17" i="21"/>
  <c r="U17" i="21"/>
  <c r="W25" i="20"/>
  <c r="X25" i="20"/>
  <c r="Y25" i="20"/>
  <c r="X17" i="21"/>
  <c r="W17" i="21"/>
  <c r="Z25" i="20"/>
  <c r="AA25" i="20"/>
  <c r="E56" i="20"/>
  <c r="F56" i="20"/>
  <c r="G56" i="20"/>
  <c r="H56" i="20"/>
  <c r="I56" i="20"/>
  <c r="J56" i="20"/>
  <c r="K56" i="20"/>
  <c r="L56" i="20"/>
  <c r="M56" i="20"/>
  <c r="N56" i="20"/>
  <c r="O56" i="20"/>
  <c r="P56" i="20"/>
  <c r="Q56" i="20"/>
  <c r="R56" i="20"/>
  <c r="S56" i="20"/>
  <c r="T56" i="20"/>
  <c r="U56" i="20"/>
  <c r="V56" i="20"/>
  <c r="W56" i="20"/>
  <c r="X56" i="20"/>
  <c r="Y56" i="20"/>
  <c r="Z56" i="20"/>
  <c r="AA56" i="20"/>
  <c r="E31" i="21"/>
  <c r="F31" i="21"/>
  <c r="G31" i="21"/>
  <c r="H31" i="21"/>
  <c r="I31" i="21"/>
  <c r="J31" i="21"/>
  <c r="K31" i="21"/>
  <c r="L31" i="21"/>
  <c r="M31" i="21"/>
  <c r="N31" i="21"/>
  <c r="O31" i="21"/>
  <c r="P31" i="21"/>
  <c r="Q31" i="21"/>
  <c r="R31" i="21"/>
  <c r="S31" i="21"/>
  <c r="T31" i="21"/>
  <c r="U31" i="21"/>
  <c r="V31" i="21"/>
  <c r="W31" i="21"/>
  <c r="X31" i="21"/>
  <c r="Y31" i="21"/>
  <c r="F26" i="19"/>
  <c r="G26" i="19"/>
  <c r="H26" i="19"/>
  <c r="I26" i="19"/>
  <c r="J26" i="19"/>
  <c r="K26" i="19"/>
  <c r="L26" i="19"/>
  <c r="M26" i="19"/>
  <c r="N26" i="19"/>
  <c r="O26" i="19"/>
  <c r="P26" i="19"/>
  <c r="Q26" i="19"/>
  <c r="R26" i="19"/>
  <c r="S26" i="19"/>
  <c r="T26" i="19"/>
  <c r="U26" i="19"/>
  <c r="V26" i="19"/>
  <c r="W26" i="19"/>
  <c r="X26" i="19"/>
  <c r="H41" i="36"/>
  <c r="G41" i="36"/>
  <c r="F41" i="36"/>
  <c r="E41" i="36"/>
  <c r="B29" i="36"/>
  <c r="I29" i="36"/>
  <c r="D41" i="36"/>
  <c r="D42" i="36"/>
  <c r="Q35" i="36"/>
  <c r="Q37" i="36"/>
  <c r="M23" i="36"/>
  <c r="Q34" i="36"/>
  <c r="O31" i="36"/>
  <c r="Q30" i="36"/>
  <c r="O30" i="36"/>
  <c r="O28" i="36"/>
  <c r="N27" i="36"/>
  <c r="O26" i="36"/>
  <c r="O25" i="36"/>
  <c r="O24" i="36"/>
  <c r="N23" i="36"/>
  <c r="N32" i="36"/>
  <c r="M32" i="36"/>
  <c r="O23" i="36"/>
  <c r="O32" i="36"/>
  <c r="F60" i="5"/>
  <c r="G60" i="5"/>
  <c r="H60" i="5"/>
  <c r="I60" i="5"/>
  <c r="J60" i="5"/>
  <c r="K60" i="5"/>
  <c r="L60" i="5"/>
  <c r="M60" i="5"/>
  <c r="N60" i="5"/>
  <c r="O60" i="5"/>
  <c r="P60" i="5"/>
  <c r="Q60" i="5"/>
  <c r="R60" i="5"/>
  <c r="S60" i="5"/>
  <c r="T60" i="5"/>
  <c r="U60" i="5"/>
  <c r="V60" i="5"/>
  <c r="W60" i="5"/>
  <c r="X60" i="5"/>
  <c r="E60" i="5"/>
  <c r="D59" i="5"/>
  <c r="D28" i="42"/>
  <c r="D29" i="1"/>
  <c r="E28" i="42"/>
  <c r="E29" i="1"/>
  <c r="F28" i="42"/>
  <c r="F29" i="1"/>
  <c r="G28" i="42"/>
  <c r="G29" i="1"/>
  <c r="H28" i="42"/>
  <c r="H29" i="1"/>
  <c r="I28" i="42"/>
  <c r="I29" i="1"/>
  <c r="J28" i="42"/>
  <c r="J29" i="1"/>
  <c r="K28" i="42"/>
  <c r="K29" i="1"/>
  <c r="L28" i="42"/>
  <c r="L29" i="1"/>
  <c r="M28" i="42"/>
  <c r="M29" i="1"/>
  <c r="N28" i="42"/>
  <c r="N29" i="1"/>
  <c r="O28" i="42"/>
  <c r="O29" i="1"/>
  <c r="P28" i="42"/>
  <c r="Q28" i="42"/>
  <c r="Q29" i="1"/>
  <c r="R28" i="42"/>
  <c r="R29" i="1"/>
  <c r="S28" i="42"/>
  <c r="S29" i="1"/>
  <c r="T28" i="42"/>
  <c r="T29" i="1"/>
  <c r="U28" i="42"/>
  <c r="U29" i="1"/>
  <c r="V28" i="42"/>
  <c r="V29" i="1"/>
  <c r="P29" i="1"/>
  <c r="C27" i="1"/>
  <c r="D27" i="1"/>
  <c r="E27" i="1"/>
  <c r="F27" i="1"/>
  <c r="B27" i="1"/>
  <c r="D216" i="2"/>
  <c r="E216" i="2"/>
  <c r="F216" i="2"/>
  <c r="G216" i="2"/>
  <c r="H216" i="2"/>
  <c r="I216" i="2"/>
  <c r="J216" i="2"/>
  <c r="K216" i="2"/>
  <c r="L216" i="2"/>
  <c r="M216" i="2"/>
  <c r="N216" i="2"/>
  <c r="O216" i="2"/>
  <c r="P216" i="2"/>
  <c r="Q216" i="2"/>
  <c r="R216" i="2"/>
  <c r="S216" i="2"/>
  <c r="T216" i="2"/>
  <c r="U216" i="2"/>
  <c r="V216" i="2"/>
  <c r="C216" i="2"/>
  <c r="C215" i="2"/>
  <c r="K87" i="5"/>
  <c r="Y86" i="5"/>
  <c r="G86" i="5"/>
  <c r="H86" i="5"/>
  <c r="F86" i="5"/>
  <c r="G57" i="5"/>
  <c r="B107" i="44"/>
  <c r="G97" i="44"/>
  <c r="G101" i="44"/>
  <c r="G102" i="44"/>
  <c r="G105" i="44"/>
  <c r="G106" i="44"/>
  <c r="G107" i="44"/>
  <c r="G94" i="44"/>
  <c r="J8" i="44"/>
  <c r="J9" i="44"/>
  <c r="J10" i="44"/>
  <c r="J11" i="44"/>
  <c r="J12" i="44"/>
  <c r="J13" i="44"/>
  <c r="J14" i="44"/>
  <c r="J15" i="44"/>
  <c r="J16" i="44"/>
  <c r="J17" i="44"/>
  <c r="J18" i="44"/>
  <c r="J19" i="44"/>
  <c r="J20" i="44"/>
  <c r="J21" i="44"/>
  <c r="J7" i="44"/>
  <c r="D95" i="44"/>
  <c r="D96" i="44"/>
  <c r="D97" i="44"/>
  <c r="D98" i="44"/>
  <c r="D99" i="44"/>
  <c r="D100" i="44"/>
  <c r="D101" i="44"/>
  <c r="D102" i="44"/>
  <c r="D103" i="44"/>
  <c r="D104" i="44"/>
  <c r="D105" i="44"/>
  <c r="D106" i="44"/>
  <c r="D107" i="44"/>
  <c r="D108" i="44"/>
  <c r="D94" i="44"/>
  <c r="HL27" i="44"/>
  <c r="HL28" i="44"/>
  <c r="HL29" i="44"/>
  <c r="HL30" i="44"/>
  <c r="HL31" i="44"/>
  <c r="HL32" i="44"/>
  <c r="HL33" i="44"/>
  <c r="HL34" i="44"/>
  <c r="HL35" i="44"/>
  <c r="HL36" i="44"/>
  <c r="HL37" i="44"/>
  <c r="HL38" i="44"/>
  <c r="HL39" i="44"/>
  <c r="HL40" i="44"/>
  <c r="HL26" i="44"/>
  <c r="DQ26" i="44"/>
  <c r="DR26" i="44"/>
  <c r="DS26" i="44"/>
  <c r="DT26" i="44"/>
  <c r="DU26" i="44"/>
  <c r="DV26" i="44"/>
  <c r="DW26" i="44"/>
  <c r="DX26" i="44"/>
  <c r="DY26" i="44"/>
  <c r="DZ26" i="44"/>
  <c r="EA26" i="44"/>
  <c r="EB26" i="44"/>
  <c r="EC26" i="44"/>
  <c r="ED26" i="44"/>
  <c r="EE26" i="44"/>
  <c r="EF26" i="44"/>
  <c r="EG26" i="44"/>
  <c r="EH26" i="44"/>
  <c r="EI26" i="44"/>
  <c r="EJ26" i="44"/>
  <c r="EK26" i="44"/>
  <c r="EL26" i="44"/>
  <c r="EM26" i="44"/>
  <c r="EN26" i="44"/>
  <c r="EO26" i="44"/>
  <c r="EP26" i="44"/>
  <c r="EQ26" i="44"/>
  <c r="ER26" i="44"/>
  <c r="ES26" i="44"/>
  <c r="ET26" i="44"/>
  <c r="EU26" i="44"/>
  <c r="EV26" i="44"/>
  <c r="EW26" i="44"/>
  <c r="EX26" i="44"/>
  <c r="EY26" i="44"/>
  <c r="EZ26" i="44"/>
  <c r="FA26" i="44"/>
  <c r="FB26" i="44"/>
  <c r="FC26" i="44"/>
  <c r="FD26" i="44"/>
  <c r="FE26" i="44"/>
  <c r="FF26" i="44"/>
  <c r="FG26" i="44"/>
  <c r="FH26" i="44"/>
  <c r="FI26" i="44"/>
  <c r="FJ26" i="44"/>
  <c r="FK26" i="44"/>
  <c r="FL26" i="44"/>
  <c r="FM26" i="44"/>
  <c r="FN26" i="44"/>
  <c r="FO26" i="44"/>
  <c r="FP26" i="44"/>
  <c r="FQ26" i="44"/>
  <c r="FR26" i="44"/>
  <c r="FS26" i="44"/>
  <c r="FT26" i="44"/>
  <c r="FU26" i="44"/>
  <c r="FV26" i="44"/>
  <c r="FW26" i="44"/>
  <c r="FX26" i="44"/>
  <c r="FY26" i="44"/>
  <c r="FZ26" i="44"/>
  <c r="GA26" i="44"/>
  <c r="GB26" i="44"/>
  <c r="GC26" i="44"/>
  <c r="GD26" i="44"/>
  <c r="GE26" i="44"/>
  <c r="GF26" i="44"/>
  <c r="GG26" i="44"/>
  <c r="GH26" i="44"/>
  <c r="GI26" i="44"/>
  <c r="GJ26" i="44"/>
  <c r="GK26" i="44"/>
  <c r="GL26" i="44"/>
  <c r="GM26" i="44"/>
  <c r="GN26" i="44"/>
  <c r="GO26" i="44"/>
  <c r="GP26" i="44"/>
  <c r="GQ26" i="44"/>
  <c r="GR26" i="44"/>
  <c r="GS26" i="44"/>
  <c r="GT26" i="44"/>
  <c r="GU26" i="44"/>
  <c r="GV26" i="44"/>
  <c r="GW26" i="44"/>
  <c r="GX26" i="44"/>
  <c r="GY26" i="44"/>
  <c r="GZ26" i="44"/>
  <c r="HA26" i="44"/>
  <c r="HB26" i="44"/>
  <c r="HC26" i="44"/>
  <c r="HD26" i="44"/>
  <c r="HE26" i="44"/>
  <c r="HF26" i="44"/>
  <c r="HG26" i="44"/>
  <c r="HH26" i="44"/>
  <c r="HI26" i="44"/>
  <c r="HJ26" i="44"/>
  <c r="HK26" i="44"/>
  <c r="DQ27" i="44"/>
  <c r="DR27" i="44"/>
  <c r="DS27" i="44"/>
  <c r="DT27" i="44"/>
  <c r="DU27" i="44"/>
  <c r="DV27" i="44"/>
  <c r="DW27" i="44"/>
  <c r="DX27" i="44"/>
  <c r="DY27" i="44"/>
  <c r="DZ27" i="44"/>
  <c r="EA27" i="44"/>
  <c r="EB27" i="44"/>
  <c r="EC27" i="44"/>
  <c r="ED27" i="44"/>
  <c r="EE27" i="44"/>
  <c r="EF27" i="44"/>
  <c r="EG27" i="44"/>
  <c r="EH27" i="44"/>
  <c r="EI27" i="44"/>
  <c r="EJ27" i="44"/>
  <c r="EK27" i="44"/>
  <c r="EL27" i="44"/>
  <c r="EM27" i="44"/>
  <c r="EN27" i="44"/>
  <c r="EO27" i="44"/>
  <c r="EP27" i="44"/>
  <c r="EQ27" i="44"/>
  <c r="ER27" i="44"/>
  <c r="ES27" i="44"/>
  <c r="ET27" i="44"/>
  <c r="EU27" i="44"/>
  <c r="EV27" i="44"/>
  <c r="EW27" i="44"/>
  <c r="EX27" i="44"/>
  <c r="EY27" i="44"/>
  <c r="EZ27" i="44"/>
  <c r="FA27" i="44"/>
  <c r="FB27" i="44"/>
  <c r="FC27" i="44"/>
  <c r="FD27" i="44"/>
  <c r="FE27" i="44"/>
  <c r="FF27" i="44"/>
  <c r="FG27" i="44"/>
  <c r="FH27" i="44"/>
  <c r="FI27" i="44"/>
  <c r="FJ27" i="44"/>
  <c r="FK27" i="44"/>
  <c r="FL27" i="44"/>
  <c r="FM27" i="44"/>
  <c r="FN27" i="44"/>
  <c r="FO27" i="44"/>
  <c r="FP27" i="44"/>
  <c r="FQ27" i="44"/>
  <c r="FR27" i="44"/>
  <c r="FS27" i="44"/>
  <c r="FT27" i="44"/>
  <c r="FU27" i="44"/>
  <c r="FV27" i="44"/>
  <c r="FW27" i="44"/>
  <c r="FX27" i="44"/>
  <c r="FY27" i="44"/>
  <c r="FZ27" i="44"/>
  <c r="GA27" i="44"/>
  <c r="GB27" i="44"/>
  <c r="GC27" i="44"/>
  <c r="GD27" i="44"/>
  <c r="GE27" i="44"/>
  <c r="GF27" i="44"/>
  <c r="GG27" i="44"/>
  <c r="GH27" i="44"/>
  <c r="GI27" i="44"/>
  <c r="GJ27" i="44"/>
  <c r="GK27" i="44"/>
  <c r="GL27" i="44"/>
  <c r="GM27" i="44"/>
  <c r="GN27" i="44"/>
  <c r="GO27" i="44"/>
  <c r="GP27" i="44"/>
  <c r="GQ27" i="44"/>
  <c r="GR27" i="44"/>
  <c r="GS27" i="44"/>
  <c r="GT27" i="44"/>
  <c r="GU27" i="44"/>
  <c r="GV27" i="44"/>
  <c r="GW27" i="44"/>
  <c r="GX27" i="44"/>
  <c r="GY27" i="44"/>
  <c r="GZ27" i="44"/>
  <c r="HA27" i="44"/>
  <c r="HB27" i="44"/>
  <c r="HC27" i="44"/>
  <c r="HD27" i="44"/>
  <c r="HE27" i="44"/>
  <c r="HF27" i="44"/>
  <c r="HG27" i="44"/>
  <c r="HH27" i="44"/>
  <c r="HI27" i="44"/>
  <c r="HJ27" i="44"/>
  <c r="HK27" i="44"/>
  <c r="DQ28" i="44"/>
  <c r="DR28" i="44"/>
  <c r="DS28" i="44"/>
  <c r="DT28" i="44"/>
  <c r="DU28" i="44"/>
  <c r="DV28" i="44"/>
  <c r="DW28" i="44"/>
  <c r="DX28" i="44"/>
  <c r="DY28" i="44"/>
  <c r="DZ28" i="44"/>
  <c r="EA28" i="44"/>
  <c r="EB28" i="44"/>
  <c r="EC28" i="44"/>
  <c r="ED28" i="44"/>
  <c r="EE28" i="44"/>
  <c r="EF28" i="44"/>
  <c r="EG28" i="44"/>
  <c r="EH28" i="44"/>
  <c r="EI28" i="44"/>
  <c r="EJ28" i="44"/>
  <c r="EK28" i="44"/>
  <c r="EL28" i="44"/>
  <c r="EM28" i="44"/>
  <c r="EN28" i="44"/>
  <c r="EO28" i="44"/>
  <c r="EP28" i="44"/>
  <c r="EQ28" i="44"/>
  <c r="ER28" i="44"/>
  <c r="ES28" i="44"/>
  <c r="ET28" i="44"/>
  <c r="EU28" i="44"/>
  <c r="EV28" i="44"/>
  <c r="EW28" i="44"/>
  <c r="EX28" i="44"/>
  <c r="EY28" i="44"/>
  <c r="EZ28" i="44"/>
  <c r="FA28" i="44"/>
  <c r="FB28" i="44"/>
  <c r="FC28" i="44"/>
  <c r="FD28" i="44"/>
  <c r="FE28" i="44"/>
  <c r="FF28" i="44"/>
  <c r="FG28" i="44"/>
  <c r="FH28" i="44"/>
  <c r="FI28" i="44"/>
  <c r="FJ28" i="44"/>
  <c r="FK28" i="44"/>
  <c r="FL28" i="44"/>
  <c r="FM28" i="44"/>
  <c r="FN28" i="44"/>
  <c r="FO28" i="44"/>
  <c r="FP28" i="44"/>
  <c r="FQ28" i="44"/>
  <c r="FR28" i="44"/>
  <c r="FS28" i="44"/>
  <c r="FT28" i="44"/>
  <c r="FU28" i="44"/>
  <c r="FV28" i="44"/>
  <c r="FW28" i="44"/>
  <c r="FX28" i="44"/>
  <c r="FY28" i="44"/>
  <c r="FZ28" i="44"/>
  <c r="GA28" i="44"/>
  <c r="GB28" i="44"/>
  <c r="GC28" i="44"/>
  <c r="GD28" i="44"/>
  <c r="GE28" i="44"/>
  <c r="GF28" i="44"/>
  <c r="GG28" i="44"/>
  <c r="GH28" i="44"/>
  <c r="GI28" i="44"/>
  <c r="GJ28" i="44"/>
  <c r="GK28" i="44"/>
  <c r="GL28" i="44"/>
  <c r="GM28" i="44"/>
  <c r="GN28" i="44"/>
  <c r="GO28" i="44"/>
  <c r="GP28" i="44"/>
  <c r="GQ28" i="44"/>
  <c r="GR28" i="44"/>
  <c r="GS28" i="44"/>
  <c r="GT28" i="44"/>
  <c r="GU28" i="44"/>
  <c r="GV28" i="44"/>
  <c r="GW28" i="44"/>
  <c r="GX28" i="44"/>
  <c r="GY28" i="44"/>
  <c r="GZ28" i="44"/>
  <c r="HA28" i="44"/>
  <c r="HB28" i="44"/>
  <c r="HC28" i="44"/>
  <c r="HD28" i="44"/>
  <c r="HE28" i="44"/>
  <c r="HF28" i="44"/>
  <c r="HG28" i="44"/>
  <c r="HH28" i="44"/>
  <c r="HI28" i="44"/>
  <c r="HJ28" i="44"/>
  <c r="HK28" i="44"/>
  <c r="DQ29" i="44"/>
  <c r="DR29" i="44"/>
  <c r="DS29" i="44"/>
  <c r="DT29" i="44"/>
  <c r="DU29" i="44"/>
  <c r="DV29" i="44"/>
  <c r="DW29" i="44"/>
  <c r="DX29" i="44"/>
  <c r="DY29" i="44"/>
  <c r="DZ29" i="44"/>
  <c r="EA29" i="44"/>
  <c r="EB29" i="44"/>
  <c r="EC29" i="44"/>
  <c r="ED29" i="44"/>
  <c r="EE29" i="44"/>
  <c r="EF29" i="44"/>
  <c r="EG29" i="44"/>
  <c r="EH29" i="44"/>
  <c r="EI29" i="44"/>
  <c r="EJ29" i="44"/>
  <c r="EK29" i="44"/>
  <c r="EL29" i="44"/>
  <c r="EM29" i="44"/>
  <c r="EN29" i="44"/>
  <c r="EO29" i="44"/>
  <c r="EP29" i="44"/>
  <c r="EQ29" i="44"/>
  <c r="ER29" i="44"/>
  <c r="ES29" i="44"/>
  <c r="ET29" i="44"/>
  <c r="EU29" i="44"/>
  <c r="EV29" i="44"/>
  <c r="EW29" i="44"/>
  <c r="EX29" i="44"/>
  <c r="EY29" i="44"/>
  <c r="EZ29" i="44"/>
  <c r="FA29" i="44"/>
  <c r="FB29" i="44"/>
  <c r="FC29" i="44"/>
  <c r="FD29" i="44"/>
  <c r="FE29" i="44"/>
  <c r="FF29" i="44"/>
  <c r="FG29" i="44"/>
  <c r="FH29" i="44"/>
  <c r="FI29" i="44"/>
  <c r="FJ29" i="44"/>
  <c r="FK29" i="44"/>
  <c r="FL29" i="44"/>
  <c r="FM29" i="44"/>
  <c r="FN29" i="44"/>
  <c r="FO29" i="44"/>
  <c r="FP29" i="44"/>
  <c r="FQ29" i="44"/>
  <c r="FR29" i="44"/>
  <c r="FS29" i="44"/>
  <c r="FT29" i="44"/>
  <c r="FU29" i="44"/>
  <c r="FV29" i="44"/>
  <c r="FW29" i="44"/>
  <c r="FX29" i="44"/>
  <c r="FY29" i="44"/>
  <c r="FZ29" i="44"/>
  <c r="GA29" i="44"/>
  <c r="GB29" i="44"/>
  <c r="GC29" i="44"/>
  <c r="GD29" i="44"/>
  <c r="GE29" i="44"/>
  <c r="GF29" i="44"/>
  <c r="GG29" i="44"/>
  <c r="GH29" i="44"/>
  <c r="GI29" i="44"/>
  <c r="GJ29" i="44"/>
  <c r="GK29" i="44"/>
  <c r="GL29" i="44"/>
  <c r="GM29" i="44"/>
  <c r="GN29" i="44"/>
  <c r="GO29" i="44"/>
  <c r="GP29" i="44"/>
  <c r="GQ29" i="44"/>
  <c r="GR29" i="44"/>
  <c r="GS29" i="44"/>
  <c r="GT29" i="44"/>
  <c r="GU29" i="44"/>
  <c r="GV29" i="44"/>
  <c r="GW29" i="44"/>
  <c r="GX29" i="44"/>
  <c r="GY29" i="44"/>
  <c r="GZ29" i="44"/>
  <c r="HA29" i="44"/>
  <c r="HB29" i="44"/>
  <c r="HC29" i="44"/>
  <c r="HD29" i="44"/>
  <c r="HE29" i="44"/>
  <c r="HF29" i="44"/>
  <c r="HG29" i="44"/>
  <c r="HH29" i="44"/>
  <c r="HI29" i="44"/>
  <c r="HJ29" i="44"/>
  <c r="HK29" i="44"/>
  <c r="DQ30" i="44"/>
  <c r="DR30" i="44"/>
  <c r="DS30" i="44"/>
  <c r="DT30" i="44"/>
  <c r="DU30" i="44"/>
  <c r="DV30" i="44"/>
  <c r="DW30" i="44"/>
  <c r="DX30" i="44"/>
  <c r="DY30" i="44"/>
  <c r="DZ30" i="44"/>
  <c r="EA30" i="44"/>
  <c r="EB30" i="44"/>
  <c r="EC30" i="44"/>
  <c r="ED30" i="44"/>
  <c r="EE30" i="44"/>
  <c r="EF30" i="44"/>
  <c r="EG30" i="44"/>
  <c r="EH30" i="44"/>
  <c r="EI30" i="44"/>
  <c r="EJ30" i="44"/>
  <c r="EK30" i="44"/>
  <c r="EL30" i="44"/>
  <c r="EM30" i="44"/>
  <c r="EN30" i="44"/>
  <c r="EO30" i="44"/>
  <c r="EP30" i="44"/>
  <c r="EQ30" i="44"/>
  <c r="ER30" i="44"/>
  <c r="ES30" i="44"/>
  <c r="ET30" i="44"/>
  <c r="EU30" i="44"/>
  <c r="EV30" i="44"/>
  <c r="EW30" i="44"/>
  <c r="EX30" i="44"/>
  <c r="EY30" i="44"/>
  <c r="EZ30" i="44"/>
  <c r="FA30" i="44"/>
  <c r="FB30" i="44"/>
  <c r="FC30" i="44"/>
  <c r="FD30" i="44"/>
  <c r="FE30" i="44"/>
  <c r="FF30" i="44"/>
  <c r="FG30" i="44"/>
  <c r="FH30" i="44"/>
  <c r="FI30" i="44"/>
  <c r="FJ30" i="44"/>
  <c r="FK30" i="44"/>
  <c r="FL30" i="44"/>
  <c r="FM30" i="44"/>
  <c r="FN30" i="44"/>
  <c r="FO30" i="44"/>
  <c r="FP30" i="44"/>
  <c r="FQ30" i="44"/>
  <c r="FR30" i="44"/>
  <c r="FS30" i="44"/>
  <c r="FT30" i="44"/>
  <c r="FU30" i="44"/>
  <c r="FV30" i="44"/>
  <c r="FW30" i="44"/>
  <c r="FX30" i="44"/>
  <c r="FY30" i="44"/>
  <c r="FZ30" i="44"/>
  <c r="GA30" i="44"/>
  <c r="GB30" i="44"/>
  <c r="GC30" i="44"/>
  <c r="GD30" i="44"/>
  <c r="GE30" i="44"/>
  <c r="GF30" i="44"/>
  <c r="GG30" i="44"/>
  <c r="GH30" i="44"/>
  <c r="GI30" i="44"/>
  <c r="GJ30" i="44"/>
  <c r="GK30" i="44"/>
  <c r="GL30" i="44"/>
  <c r="GM30" i="44"/>
  <c r="GN30" i="44"/>
  <c r="GO30" i="44"/>
  <c r="GP30" i="44"/>
  <c r="GQ30" i="44"/>
  <c r="GR30" i="44"/>
  <c r="GS30" i="44"/>
  <c r="GT30" i="44"/>
  <c r="GU30" i="44"/>
  <c r="GV30" i="44"/>
  <c r="GW30" i="44"/>
  <c r="GX30" i="44"/>
  <c r="GY30" i="44"/>
  <c r="GZ30" i="44"/>
  <c r="HA30" i="44"/>
  <c r="HB30" i="44"/>
  <c r="HC30" i="44"/>
  <c r="HD30" i="44"/>
  <c r="HE30" i="44"/>
  <c r="HF30" i="44"/>
  <c r="HG30" i="44"/>
  <c r="HH30" i="44"/>
  <c r="HI30" i="44"/>
  <c r="HJ30" i="44"/>
  <c r="HK30" i="44"/>
  <c r="DQ31" i="44"/>
  <c r="DR31" i="44"/>
  <c r="DS31" i="44"/>
  <c r="DT31" i="44"/>
  <c r="DU31" i="44"/>
  <c r="DV31" i="44"/>
  <c r="DW31" i="44"/>
  <c r="DX31" i="44"/>
  <c r="DY31" i="44"/>
  <c r="DZ31" i="44"/>
  <c r="EA31" i="44"/>
  <c r="EB31" i="44"/>
  <c r="EC31" i="44"/>
  <c r="ED31" i="44"/>
  <c r="EE31" i="44"/>
  <c r="EF31" i="44"/>
  <c r="EG31" i="44"/>
  <c r="EH31" i="44"/>
  <c r="EI31" i="44"/>
  <c r="EJ31" i="44"/>
  <c r="EK31" i="44"/>
  <c r="EL31" i="44"/>
  <c r="EM31" i="44"/>
  <c r="EN31" i="44"/>
  <c r="EO31" i="44"/>
  <c r="EP31" i="44"/>
  <c r="EQ31" i="44"/>
  <c r="ER31" i="44"/>
  <c r="ES31" i="44"/>
  <c r="ET31" i="44"/>
  <c r="EU31" i="44"/>
  <c r="EV31" i="44"/>
  <c r="EW31" i="44"/>
  <c r="EX31" i="44"/>
  <c r="EY31" i="44"/>
  <c r="EZ31" i="44"/>
  <c r="FA31" i="44"/>
  <c r="FB31" i="44"/>
  <c r="FC31" i="44"/>
  <c r="FD31" i="44"/>
  <c r="FE31" i="44"/>
  <c r="FF31" i="44"/>
  <c r="FG31" i="44"/>
  <c r="FH31" i="44"/>
  <c r="FI31" i="44"/>
  <c r="FJ31" i="44"/>
  <c r="FK31" i="44"/>
  <c r="FL31" i="44"/>
  <c r="FM31" i="44"/>
  <c r="FN31" i="44"/>
  <c r="FO31" i="44"/>
  <c r="FP31" i="44"/>
  <c r="FQ31" i="44"/>
  <c r="FR31" i="44"/>
  <c r="FS31" i="44"/>
  <c r="FT31" i="44"/>
  <c r="FU31" i="44"/>
  <c r="FV31" i="44"/>
  <c r="FW31" i="44"/>
  <c r="FX31" i="44"/>
  <c r="FY31" i="44"/>
  <c r="FZ31" i="44"/>
  <c r="GA31" i="44"/>
  <c r="GB31" i="44"/>
  <c r="GC31" i="44"/>
  <c r="GD31" i="44"/>
  <c r="GE31" i="44"/>
  <c r="GF31" i="44"/>
  <c r="GG31" i="44"/>
  <c r="GH31" i="44"/>
  <c r="GI31" i="44"/>
  <c r="GJ31" i="44"/>
  <c r="GK31" i="44"/>
  <c r="GL31" i="44"/>
  <c r="GM31" i="44"/>
  <c r="GN31" i="44"/>
  <c r="GO31" i="44"/>
  <c r="GP31" i="44"/>
  <c r="GQ31" i="44"/>
  <c r="GR31" i="44"/>
  <c r="GS31" i="44"/>
  <c r="GT31" i="44"/>
  <c r="GU31" i="44"/>
  <c r="GV31" i="44"/>
  <c r="GW31" i="44"/>
  <c r="GX31" i="44"/>
  <c r="GY31" i="44"/>
  <c r="GZ31" i="44"/>
  <c r="HA31" i="44"/>
  <c r="HB31" i="44"/>
  <c r="HC31" i="44"/>
  <c r="HD31" i="44"/>
  <c r="HE31" i="44"/>
  <c r="HF31" i="44"/>
  <c r="HG31" i="44"/>
  <c r="HH31" i="44"/>
  <c r="HI31" i="44"/>
  <c r="HJ31" i="44"/>
  <c r="HK31" i="44"/>
  <c r="DQ32" i="44"/>
  <c r="DR32" i="44"/>
  <c r="DS32" i="44"/>
  <c r="DT32" i="44"/>
  <c r="DU32" i="44"/>
  <c r="DV32" i="44"/>
  <c r="DW32" i="44"/>
  <c r="DX32" i="44"/>
  <c r="DY32" i="44"/>
  <c r="DZ32" i="44"/>
  <c r="EA32" i="44"/>
  <c r="EB32" i="44"/>
  <c r="EC32" i="44"/>
  <c r="ED32" i="44"/>
  <c r="EE32" i="44"/>
  <c r="EF32" i="44"/>
  <c r="EG32" i="44"/>
  <c r="EH32" i="44"/>
  <c r="EI32" i="44"/>
  <c r="EJ32" i="44"/>
  <c r="EK32" i="44"/>
  <c r="EL32" i="44"/>
  <c r="EM32" i="44"/>
  <c r="EN32" i="44"/>
  <c r="EO32" i="44"/>
  <c r="EP32" i="44"/>
  <c r="EQ32" i="44"/>
  <c r="ER32" i="44"/>
  <c r="ES32" i="44"/>
  <c r="ET32" i="44"/>
  <c r="EU32" i="44"/>
  <c r="EV32" i="44"/>
  <c r="EW32" i="44"/>
  <c r="EX32" i="44"/>
  <c r="EY32" i="44"/>
  <c r="EZ32" i="44"/>
  <c r="FA32" i="44"/>
  <c r="FB32" i="44"/>
  <c r="FC32" i="44"/>
  <c r="FD32" i="44"/>
  <c r="FE32" i="44"/>
  <c r="FF32" i="44"/>
  <c r="FG32" i="44"/>
  <c r="FH32" i="44"/>
  <c r="FI32" i="44"/>
  <c r="FJ32" i="44"/>
  <c r="FK32" i="44"/>
  <c r="FL32" i="44"/>
  <c r="FM32" i="44"/>
  <c r="FN32" i="44"/>
  <c r="FO32" i="44"/>
  <c r="FP32" i="44"/>
  <c r="FQ32" i="44"/>
  <c r="FR32" i="44"/>
  <c r="FS32" i="44"/>
  <c r="FT32" i="44"/>
  <c r="FU32" i="44"/>
  <c r="FV32" i="44"/>
  <c r="FW32" i="44"/>
  <c r="FX32" i="44"/>
  <c r="FY32" i="44"/>
  <c r="FZ32" i="44"/>
  <c r="GA32" i="44"/>
  <c r="GB32" i="44"/>
  <c r="GC32" i="44"/>
  <c r="GD32" i="44"/>
  <c r="GE32" i="44"/>
  <c r="GF32" i="44"/>
  <c r="GG32" i="44"/>
  <c r="GH32" i="44"/>
  <c r="GI32" i="44"/>
  <c r="GJ32" i="44"/>
  <c r="GK32" i="44"/>
  <c r="GL32" i="44"/>
  <c r="GM32" i="44"/>
  <c r="GN32" i="44"/>
  <c r="GO32" i="44"/>
  <c r="GP32" i="44"/>
  <c r="GQ32" i="44"/>
  <c r="GR32" i="44"/>
  <c r="GS32" i="44"/>
  <c r="GT32" i="44"/>
  <c r="GU32" i="44"/>
  <c r="GV32" i="44"/>
  <c r="GW32" i="44"/>
  <c r="GX32" i="44"/>
  <c r="GY32" i="44"/>
  <c r="GZ32" i="44"/>
  <c r="HA32" i="44"/>
  <c r="HB32" i="44"/>
  <c r="HC32" i="44"/>
  <c r="HD32" i="44"/>
  <c r="HE32" i="44"/>
  <c r="HF32" i="44"/>
  <c r="HG32" i="44"/>
  <c r="HH32" i="44"/>
  <c r="HI32" i="44"/>
  <c r="HJ32" i="44"/>
  <c r="HK32" i="44"/>
  <c r="DQ33" i="44"/>
  <c r="DR33" i="44"/>
  <c r="DS33" i="44"/>
  <c r="DT33" i="44"/>
  <c r="DU33" i="44"/>
  <c r="DV33" i="44"/>
  <c r="DW33" i="44"/>
  <c r="DX33" i="44"/>
  <c r="DY33" i="44"/>
  <c r="DZ33" i="44"/>
  <c r="EA33" i="44"/>
  <c r="EB33" i="44"/>
  <c r="EC33" i="44"/>
  <c r="ED33" i="44"/>
  <c r="EE33" i="44"/>
  <c r="EF33" i="44"/>
  <c r="EG33" i="44"/>
  <c r="EH33" i="44"/>
  <c r="EI33" i="44"/>
  <c r="EJ33" i="44"/>
  <c r="EK33" i="44"/>
  <c r="EL33" i="44"/>
  <c r="EM33" i="44"/>
  <c r="EN33" i="44"/>
  <c r="EO33" i="44"/>
  <c r="EP33" i="44"/>
  <c r="EQ33" i="44"/>
  <c r="ER33" i="44"/>
  <c r="ES33" i="44"/>
  <c r="ET33" i="44"/>
  <c r="EU33" i="44"/>
  <c r="EV33" i="44"/>
  <c r="EW33" i="44"/>
  <c r="EX33" i="44"/>
  <c r="EY33" i="44"/>
  <c r="EZ33" i="44"/>
  <c r="FA33" i="44"/>
  <c r="FB33" i="44"/>
  <c r="FC33" i="44"/>
  <c r="FD33" i="44"/>
  <c r="FE33" i="44"/>
  <c r="FF33" i="44"/>
  <c r="FG33" i="44"/>
  <c r="FH33" i="44"/>
  <c r="FI33" i="44"/>
  <c r="FJ33" i="44"/>
  <c r="FK33" i="44"/>
  <c r="FL33" i="44"/>
  <c r="FM33" i="44"/>
  <c r="FN33" i="44"/>
  <c r="FO33" i="44"/>
  <c r="FP33" i="44"/>
  <c r="FQ33" i="44"/>
  <c r="FR33" i="44"/>
  <c r="FS33" i="44"/>
  <c r="FT33" i="44"/>
  <c r="FU33" i="44"/>
  <c r="FV33" i="44"/>
  <c r="FW33" i="44"/>
  <c r="FX33" i="44"/>
  <c r="FY33" i="44"/>
  <c r="FZ33" i="44"/>
  <c r="GA33" i="44"/>
  <c r="GB33" i="44"/>
  <c r="GC33" i="44"/>
  <c r="GD33" i="44"/>
  <c r="GE33" i="44"/>
  <c r="GF33" i="44"/>
  <c r="GG33" i="44"/>
  <c r="GH33" i="44"/>
  <c r="GI33" i="44"/>
  <c r="GJ33" i="44"/>
  <c r="GK33" i="44"/>
  <c r="GL33" i="44"/>
  <c r="GM33" i="44"/>
  <c r="GN33" i="44"/>
  <c r="GO33" i="44"/>
  <c r="GP33" i="44"/>
  <c r="GQ33" i="44"/>
  <c r="GR33" i="44"/>
  <c r="GS33" i="44"/>
  <c r="GT33" i="44"/>
  <c r="GU33" i="44"/>
  <c r="GV33" i="44"/>
  <c r="GW33" i="44"/>
  <c r="GX33" i="44"/>
  <c r="GY33" i="44"/>
  <c r="GZ33" i="44"/>
  <c r="HA33" i="44"/>
  <c r="HB33" i="44"/>
  <c r="HC33" i="44"/>
  <c r="HD33" i="44"/>
  <c r="HE33" i="44"/>
  <c r="HF33" i="44"/>
  <c r="HG33" i="44"/>
  <c r="HH33" i="44"/>
  <c r="HI33" i="44"/>
  <c r="HJ33" i="44"/>
  <c r="HK33" i="44"/>
  <c r="DQ34" i="44"/>
  <c r="DR34" i="44"/>
  <c r="DS34" i="44"/>
  <c r="DT34" i="44"/>
  <c r="DU34" i="44"/>
  <c r="DV34" i="44"/>
  <c r="DW34" i="44"/>
  <c r="DX34" i="44"/>
  <c r="DY34" i="44"/>
  <c r="DZ34" i="44"/>
  <c r="EA34" i="44"/>
  <c r="EB34" i="44"/>
  <c r="EC34" i="44"/>
  <c r="ED34" i="44"/>
  <c r="EE34" i="44"/>
  <c r="EF34" i="44"/>
  <c r="EG34" i="44"/>
  <c r="EH34" i="44"/>
  <c r="EI34" i="44"/>
  <c r="EJ34" i="44"/>
  <c r="EK34" i="44"/>
  <c r="EL34" i="44"/>
  <c r="EM34" i="44"/>
  <c r="EN34" i="44"/>
  <c r="EO34" i="44"/>
  <c r="EP34" i="44"/>
  <c r="EQ34" i="44"/>
  <c r="ER34" i="44"/>
  <c r="ES34" i="44"/>
  <c r="ET34" i="44"/>
  <c r="EU34" i="44"/>
  <c r="EV34" i="44"/>
  <c r="EW34" i="44"/>
  <c r="EX34" i="44"/>
  <c r="EY34" i="44"/>
  <c r="EZ34" i="44"/>
  <c r="FA34" i="44"/>
  <c r="FB34" i="44"/>
  <c r="FC34" i="44"/>
  <c r="FD34" i="44"/>
  <c r="FE34" i="44"/>
  <c r="FF34" i="44"/>
  <c r="FG34" i="44"/>
  <c r="FH34" i="44"/>
  <c r="FI34" i="44"/>
  <c r="FJ34" i="44"/>
  <c r="FK34" i="44"/>
  <c r="FL34" i="44"/>
  <c r="FM34" i="44"/>
  <c r="FN34" i="44"/>
  <c r="FO34" i="44"/>
  <c r="FP34" i="44"/>
  <c r="FQ34" i="44"/>
  <c r="FR34" i="44"/>
  <c r="FS34" i="44"/>
  <c r="FT34" i="44"/>
  <c r="FU34" i="44"/>
  <c r="FV34" i="44"/>
  <c r="FW34" i="44"/>
  <c r="FX34" i="44"/>
  <c r="FY34" i="44"/>
  <c r="FZ34" i="44"/>
  <c r="GA34" i="44"/>
  <c r="GB34" i="44"/>
  <c r="GC34" i="44"/>
  <c r="GD34" i="44"/>
  <c r="GE34" i="44"/>
  <c r="GF34" i="44"/>
  <c r="GG34" i="44"/>
  <c r="GH34" i="44"/>
  <c r="GI34" i="44"/>
  <c r="GJ34" i="44"/>
  <c r="GK34" i="44"/>
  <c r="GL34" i="44"/>
  <c r="GM34" i="44"/>
  <c r="GN34" i="44"/>
  <c r="GO34" i="44"/>
  <c r="GP34" i="44"/>
  <c r="GQ34" i="44"/>
  <c r="GR34" i="44"/>
  <c r="GS34" i="44"/>
  <c r="GT34" i="44"/>
  <c r="GU34" i="44"/>
  <c r="GV34" i="44"/>
  <c r="GW34" i="44"/>
  <c r="GX34" i="44"/>
  <c r="GY34" i="44"/>
  <c r="GZ34" i="44"/>
  <c r="HA34" i="44"/>
  <c r="HB34" i="44"/>
  <c r="HC34" i="44"/>
  <c r="HD34" i="44"/>
  <c r="HE34" i="44"/>
  <c r="HF34" i="44"/>
  <c r="HG34" i="44"/>
  <c r="HH34" i="44"/>
  <c r="HI34" i="44"/>
  <c r="HJ34" i="44"/>
  <c r="HK34" i="44"/>
  <c r="DQ35" i="44"/>
  <c r="DR35" i="44"/>
  <c r="DS35" i="44"/>
  <c r="DT35" i="44"/>
  <c r="DU35" i="44"/>
  <c r="DV35" i="44"/>
  <c r="DW35" i="44"/>
  <c r="DX35" i="44"/>
  <c r="DY35" i="44"/>
  <c r="DZ35" i="44"/>
  <c r="EA35" i="44"/>
  <c r="EB35" i="44"/>
  <c r="EC35" i="44"/>
  <c r="ED35" i="44"/>
  <c r="EE35" i="44"/>
  <c r="EF35" i="44"/>
  <c r="EG35" i="44"/>
  <c r="EH35" i="44"/>
  <c r="EI35" i="44"/>
  <c r="EJ35" i="44"/>
  <c r="EK35" i="44"/>
  <c r="EL35" i="44"/>
  <c r="EM35" i="44"/>
  <c r="EN35" i="44"/>
  <c r="EO35" i="44"/>
  <c r="EP35" i="44"/>
  <c r="EQ35" i="44"/>
  <c r="ER35" i="44"/>
  <c r="ES35" i="44"/>
  <c r="ET35" i="44"/>
  <c r="EU35" i="44"/>
  <c r="EV35" i="44"/>
  <c r="EW35" i="44"/>
  <c r="EX35" i="44"/>
  <c r="EY35" i="44"/>
  <c r="EZ35" i="44"/>
  <c r="FA35" i="44"/>
  <c r="FB35" i="44"/>
  <c r="FC35" i="44"/>
  <c r="FD35" i="44"/>
  <c r="FE35" i="44"/>
  <c r="FF35" i="44"/>
  <c r="FG35" i="44"/>
  <c r="FH35" i="44"/>
  <c r="FI35" i="44"/>
  <c r="FJ35" i="44"/>
  <c r="FK35" i="44"/>
  <c r="FL35" i="44"/>
  <c r="FM35" i="44"/>
  <c r="FN35" i="44"/>
  <c r="FO35" i="44"/>
  <c r="FP35" i="44"/>
  <c r="FQ35" i="44"/>
  <c r="FR35" i="44"/>
  <c r="FS35" i="44"/>
  <c r="FT35" i="44"/>
  <c r="FU35" i="44"/>
  <c r="FV35" i="44"/>
  <c r="FW35" i="44"/>
  <c r="FX35" i="44"/>
  <c r="FY35" i="44"/>
  <c r="FZ35" i="44"/>
  <c r="GA35" i="44"/>
  <c r="GB35" i="44"/>
  <c r="GC35" i="44"/>
  <c r="GD35" i="44"/>
  <c r="GE35" i="44"/>
  <c r="GF35" i="44"/>
  <c r="GG35" i="44"/>
  <c r="GH35" i="44"/>
  <c r="GI35" i="44"/>
  <c r="GJ35" i="44"/>
  <c r="GK35" i="44"/>
  <c r="GL35" i="44"/>
  <c r="GM35" i="44"/>
  <c r="GN35" i="44"/>
  <c r="GO35" i="44"/>
  <c r="GP35" i="44"/>
  <c r="GQ35" i="44"/>
  <c r="GR35" i="44"/>
  <c r="GS35" i="44"/>
  <c r="GT35" i="44"/>
  <c r="GU35" i="44"/>
  <c r="GV35" i="44"/>
  <c r="GW35" i="44"/>
  <c r="GX35" i="44"/>
  <c r="GY35" i="44"/>
  <c r="GZ35" i="44"/>
  <c r="HA35" i="44"/>
  <c r="HB35" i="44"/>
  <c r="HC35" i="44"/>
  <c r="HD35" i="44"/>
  <c r="HE35" i="44"/>
  <c r="HF35" i="44"/>
  <c r="HG35" i="44"/>
  <c r="HH35" i="44"/>
  <c r="HI35" i="44"/>
  <c r="HJ35" i="44"/>
  <c r="HK35" i="44"/>
  <c r="DQ36" i="44"/>
  <c r="DR36" i="44"/>
  <c r="DS36" i="44"/>
  <c r="DT36" i="44"/>
  <c r="DU36" i="44"/>
  <c r="DV36" i="44"/>
  <c r="DW36" i="44"/>
  <c r="DX36" i="44"/>
  <c r="DY36" i="44"/>
  <c r="DZ36" i="44"/>
  <c r="EA36" i="44"/>
  <c r="EB36" i="44"/>
  <c r="EC36" i="44"/>
  <c r="ED36" i="44"/>
  <c r="EE36" i="44"/>
  <c r="EF36" i="44"/>
  <c r="EG36" i="44"/>
  <c r="EH36" i="44"/>
  <c r="EI36" i="44"/>
  <c r="EJ36" i="44"/>
  <c r="EK36" i="44"/>
  <c r="EL36" i="44"/>
  <c r="EM36" i="44"/>
  <c r="EN36" i="44"/>
  <c r="EO36" i="44"/>
  <c r="EP36" i="44"/>
  <c r="EQ36" i="44"/>
  <c r="ER36" i="44"/>
  <c r="ES36" i="44"/>
  <c r="ET36" i="44"/>
  <c r="EU36" i="44"/>
  <c r="EV36" i="44"/>
  <c r="EW36" i="44"/>
  <c r="EX36" i="44"/>
  <c r="EY36" i="44"/>
  <c r="EZ36" i="44"/>
  <c r="FA36" i="44"/>
  <c r="FB36" i="44"/>
  <c r="FC36" i="44"/>
  <c r="FD36" i="44"/>
  <c r="FE36" i="44"/>
  <c r="FF36" i="44"/>
  <c r="FG36" i="44"/>
  <c r="FH36" i="44"/>
  <c r="FI36" i="44"/>
  <c r="FJ36" i="44"/>
  <c r="FK36" i="44"/>
  <c r="FL36" i="44"/>
  <c r="FM36" i="44"/>
  <c r="FN36" i="44"/>
  <c r="FO36" i="44"/>
  <c r="FP36" i="44"/>
  <c r="FQ36" i="44"/>
  <c r="FR36" i="44"/>
  <c r="FS36" i="44"/>
  <c r="FT36" i="44"/>
  <c r="FU36" i="44"/>
  <c r="FV36" i="44"/>
  <c r="FW36" i="44"/>
  <c r="FX36" i="44"/>
  <c r="FY36" i="44"/>
  <c r="FZ36" i="44"/>
  <c r="GA36" i="44"/>
  <c r="GB36" i="44"/>
  <c r="GC36" i="44"/>
  <c r="GD36" i="44"/>
  <c r="GE36" i="44"/>
  <c r="GF36" i="44"/>
  <c r="GG36" i="44"/>
  <c r="GH36" i="44"/>
  <c r="GI36" i="44"/>
  <c r="GJ36" i="44"/>
  <c r="GK36" i="44"/>
  <c r="GL36" i="44"/>
  <c r="GM36" i="44"/>
  <c r="GN36" i="44"/>
  <c r="GO36" i="44"/>
  <c r="GP36" i="44"/>
  <c r="GQ36" i="44"/>
  <c r="GR36" i="44"/>
  <c r="GS36" i="44"/>
  <c r="GT36" i="44"/>
  <c r="GU36" i="44"/>
  <c r="GV36" i="44"/>
  <c r="GW36" i="44"/>
  <c r="GX36" i="44"/>
  <c r="GY36" i="44"/>
  <c r="GZ36" i="44"/>
  <c r="HA36" i="44"/>
  <c r="HB36" i="44"/>
  <c r="HC36" i="44"/>
  <c r="HD36" i="44"/>
  <c r="HE36" i="44"/>
  <c r="HF36" i="44"/>
  <c r="HG36" i="44"/>
  <c r="HH36" i="44"/>
  <c r="HI36" i="44"/>
  <c r="HJ36" i="44"/>
  <c r="HK36" i="44"/>
  <c r="DQ37" i="44"/>
  <c r="DR37" i="44"/>
  <c r="DS37" i="44"/>
  <c r="DT37" i="44"/>
  <c r="DU37" i="44"/>
  <c r="DV37" i="44"/>
  <c r="DW37" i="44"/>
  <c r="DX37" i="44"/>
  <c r="DY37" i="44"/>
  <c r="DZ37" i="44"/>
  <c r="EA37" i="44"/>
  <c r="EB37" i="44"/>
  <c r="EC37" i="44"/>
  <c r="ED37" i="44"/>
  <c r="EE37" i="44"/>
  <c r="EF37" i="44"/>
  <c r="EG37" i="44"/>
  <c r="EH37" i="44"/>
  <c r="EI37" i="44"/>
  <c r="EJ37" i="44"/>
  <c r="EK37" i="44"/>
  <c r="EL37" i="44"/>
  <c r="EM37" i="44"/>
  <c r="EN37" i="44"/>
  <c r="EO37" i="44"/>
  <c r="EP37" i="44"/>
  <c r="EQ37" i="44"/>
  <c r="ER37" i="44"/>
  <c r="ES37" i="44"/>
  <c r="ET37" i="44"/>
  <c r="EU37" i="44"/>
  <c r="EV37" i="44"/>
  <c r="EW37" i="44"/>
  <c r="EX37" i="44"/>
  <c r="EY37" i="44"/>
  <c r="EZ37" i="44"/>
  <c r="FA37" i="44"/>
  <c r="FB37" i="44"/>
  <c r="FC37" i="44"/>
  <c r="FD37" i="44"/>
  <c r="FE37" i="44"/>
  <c r="FF37" i="44"/>
  <c r="FG37" i="44"/>
  <c r="FH37" i="44"/>
  <c r="FI37" i="44"/>
  <c r="FJ37" i="44"/>
  <c r="FK37" i="44"/>
  <c r="FL37" i="44"/>
  <c r="FM37" i="44"/>
  <c r="FN37" i="44"/>
  <c r="FO37" i="44"/>
  <c r="FP37" i="44"/>
  <c r="FQ37" i="44"/>
  <c r="FR37" i="44"/>
  <c r="FS37" i="44"/>
  <c r="FT37" i="44"/>
  <c r="FU37" i="44"/>
  <c r="FV37" i="44"/>
  <c r="FW37" i="44"/>
  <c r="FX37" i="44"/>
  <c r="FY37" i="44"/>
  <c r="FZ37" i="44"/>
  <c r="GA37" i="44"/>
  <c r="GB37" i="44"/>
  <c r="GC37" i="44"/>
  <c r="GD37" i="44"/>
  <c r="GE37" i="44"/>
  <c r="GF37" i="44"/>
  <c r="GG37" i="44"/>
  <c r="GH37" i="44"/>
  <c r="GI37" i="44"/>
  <c r="GJ37" i="44"/>
  <c r="GK37" i="44"/>
  <c r="GL37" i="44"/>
  <c r="GM37" i="44"/>
  <c r="GN37" i="44"/>
  <c r="GO37" i="44"/>
  <c r="GP37" i="44"/>
  <c r="GQ37" i="44"/>
  <c r="GR37" i="44"/>
  <c r="GS37" i="44"/>
  <c r="GT37" i="44"/>
  <c r="GU37" i="44"/>
  <c r="GV37" i="44"/>
  <c r="GW37" i="44"/>
  <c r="GX37" i="44"/>
  <c r="GY37" i="44"/>
  <c r="GZ37" i="44"/>
  <c r="HA37" i="44"/>
  <c r="HB37" i="44"/>
  <c r="HC37" i="44"/>
  <c r="HD37" i="44"/>
  <c r="HE37" i="44"/>
  <c r="HF37" i="44"/>
  <c r="HG37" i="44"/>
  <c r="HH37" i="44"/>
  <c r="HI37" i="44"/>
  <c r="HJ37" i="44"/>
  <c r="HK37" i="44"/>
  <c r="DQ38" i="44"/>
  <c r="DR38" i="44"/>
  <c r="DS38" i="44"/>
  <c r="DT38" i="44"/>
  <c r="DU38" i="44"/>
  <c r="DV38" i="44"/>
  <c r="DW38" i="44"/>
  <c r="DX38" i="44"/>
  <c r="DY38" i="44"/>
  <c r="DZ38" i="44"/>
  <c r="EA38" i="44"/>
  <c r="EB38" i="44"/>
  <c r="EC38" i="44"/>
  <c r="ED38" i="44"/>
  <c r="EE38" i="44"/>
  <c r="EF38" i="44"/>
  <c r="EG38" i="44"/>
  <c r="EH38" i="44"/>
  <c r="EI38" i="44"/>
  <c r="EJ38" i="44"/>
  <c r="EK38" i="44"/>
  <c r="EL38" i="44"/>
  <c r="EM38" i="44"/>
  <c r="EN38" i="44"/>
  <c r="EO38" i="44"/>
  <c r="EP38" i="44"/>
  <c r="EQ38" i="44"/>
  <c r="ER38" i="44"/>
  <c r="ES38" i="44"/>
  <c r="ET38" i="44"/>
  <c r="EU38" i="44"/>
  <c r="EV38" i="44"/>
  <c r="EW38" i="44"/>
  <c r="EX38" i="44"/>
  <c r="EY38" i="44"/>
  <c r="EZ38" i="44"/>
  <c r="FA38" i="44"/>
  <c r="FB38" i="44"/>
  <c r="FC38" i="44"/>
  <c r="FD38" i="44"/>
  <c r="FE38" i="44"/>
  <c r="FF38" i="44"/>
  <c r="FG38" i="44"/>
  <c r="FH38" i="44"/>
  <c r="FI38" i="44"/>
  <c r="FJ38" i="44"/>
  <c r="FK38" i="44"/>
  <c r="FL38" i="44"/>
  <c r="FM38" i="44"/>
  <c r="FN38" i="44"/>
  <c r="FO38" i="44"/>
  <c r="FP38" i="44"/>
  <c r="FQ38" i="44"/>
  <c r="FR38" i="44"/>
  <c r="FS38" i="44"/>
  <c r="FT38" i="44"/>
  <c r="FU38" i="44"/>
  <c r="FV38" i="44"/>
  <c r="FW38" i="44"/>
  <c r="FX38" i="44"/>
  <c r="FY38" i="44"/>
  <c r="FZ38" i="44"/>
  <c r="GA38" i="44"/>
  <c r="GB38" i="44"/>
  <c r="GC38" i="44"/>
  <c r="GD38" i="44"/>
  <c r="GE38" i="44"/>
  <c r="GF38" i="44"/>
  <c r="GG38" i="44"/>
  <c r="GH38" i="44"/>
  <c r="GI38" i="44"/>
  <c r="GJ38" i="44"/>
  <c r="GK38" i="44"/>
  <c r="GL38" i="44"/>
  <c r="GM38" i="44"/>
  <c r="GN38" i="44"/>
  <c r="GO38" i="44"/>
  <c r="GP38" i="44"/>
  <c r="GQ38" i="44"/>
  <c r="GR38" i="44"/>
  <c r="GS38" i="44"/>
  <c r="GT38" i="44"/>
  <c r="GU38" i="44"/>
  <c r="GV38" i="44"/>
  <c r="GW38" i="44"/>
  <c r="GX38" i="44"/>
  <c r="GY38" i="44"/>
  <c r="GZ38" i="44"/>
  <c r="HA38" i="44"/>
  <c r="HB38" i="44"/>
  <c r="HC38" i="44"/>
  <c r="HD38" i="44"/>
  <c r="HE38" i="44"/>
  <c r="HF38" i="44"/>
  <c r="HG38" i="44"/>
  <c r="HH38" i="44"/>
  <c r="HI38" i="44"/>
  <c r="HJ38" i="44"/>
  <c r="HK38" i="44"/>
  <c r="DQ39" i="44"/>
  <c r="DR39" i="44"/>
  <c r="DS39" i="44"/>
  <c r="DT39" i="44"/>
  <c r="DU39" i="44"/>
  <c r="DV39" i="44"/>
  <c r="DW39" i="44"/>
  <c r="DX39" i="44"/>
  <c r="DY39" i="44"/>
  <c r="DZ39" i="44"/>
  <c r="EA39" i="44"/>
  <c r="EB39" i="44"/>
  <c r="EC39" i="44"/>
  <c r="ED39" i="44"/>
  <c r="EE39" i="44"/>
  <c r="EF39" i="44"/>
  <c r="EG39" i="44"/>
  <c r="EH39" i="44"/>
  <c r="EI39" i="44"/>
  <c r="EJ39" i="44"/>
  <c r="EK39" i="44"/>
  <c r="EL39" i="44"/>
  <c r="EM39" i="44"/>
  <c r="EN39" i="44"/>
  <c r="EO39" i="44"/>
  <c r="EP39" i="44"/>
  <c r="EQ39" i="44"/>
  <c r="ER39" i="44"/>
  <c r="ES39" i="44"/>
  <c r="ET39" i="44"/>
  <c r="EU39" i="44"/>
  <c r="EV39" i="44"/>
  <c r="EW39" i="44"/>
  <c r="EX39" i="44"/>
  <c r="EY39" i="44"/>
  <c r="EZ39" i="44"/>
  <c r="FA39" i="44"/>
  <c r="FB39" i="44"/>
  <c r="FC39" i="44"/>
  <c r="FD39" i="44"/>
  <c r="FE39" i="44"/>
  <c r="FF39" i="44"/>
  <c r="FG39" i="44"/>
  <c r="FH39" i="44"/>
  <c r="FI39" i="44"/>
  <c r="FJ39" i="44"/>
  <c r="FK39" i="44"/>
  <c r="FL39" i="44"/>
  <c r="FM39" i="44"/>
  <c r="FN39" i="44"/>
  <c r="FO39" i="44"/>
  <c r="FP39" i="44"/>
  <c r="FQ39" i="44"/>
  <c r="FR39" i="44"/>
  <c r="FS39" i="44"/>
  <c r="FT39" i="44"/>
  <c r="FU39" i="44"/>
  <c r="FV39" i="44"/>
  <c r="FW39" i="44"/>
  <c r="FX39" i="44"/>
  <c r="FY39" i="44"/>
  <c r="FZ39" i="44"/>
  <c r="GA39" i="44"/>
  <c r="GB39" i="44"/>
  <c r="GC39" i="44"/>
  <c r="GD39" i="44"/>
  <c r="GE39" i="44"/>
  <c r="GF39" i="44"/>
  <c r="GG39" i="44"/>
  <c r="GH39" i="44"/>
  <c r="GI39" i="44"/>
  <c r="GJ39" i="44"/>
  <c r="GK39" i="44"/>
  <c r="GL39" i="44"/>
  <c r="GM39" i="44"/>
  <c r="GN39" i="44"/>
  <c r="GO39" i="44"/>
  <c r="GP39" i="44"/>
  <c r="GQ39" i="44"/>
  <c r="GR39" i="44"/>
  <c r="GS39" i="44"/>
  <c r="GT39" i="44"/>
  <c r="GU39" i="44"/>
  <c r="GV39" i="44"/>
  <c r="GW39" i="44"/>
  <c r="GX39" i="44"/>
  <c r="GY39" i="44"/>
  <c r="GZ39" i="44"/>
  <c r="HA39" i="44"/>
  <c r="HB39" i="44"/>
  <c r="HC39" i="44"/>
  <c r="HD39" i="44"/>
  <c r="HE39" i="44"/>
  <c r="HF39" i="44"/>
  <c r="HG39" i="44"/>
  <c r="HH39" i="44"/>
  <c r="HI39" i="44"/>
  <c r="HJ39" i="44"/>
  <c r="HK39" i="44"/>
  <c r="DQ40" i="44"/>
  <c r="DR40" i="44"/>
  <c r="DS40" i="44"/>
  <c r="DT40" i="44"/>
  <c r="DU40" i="44"/>
  <c r="DV40" i="44"/>
  <c r="DW40" i="44"/>
  <c r="DX40" i="44"/>
  <c r="DY40" i="44"/>
  <c r="DZ40" i="44"/>
  <c r="EA40" i="44"/>
  <c r="EB40" i="44"/>
  <c r="EC40" i="44"/>
  <c r="ED40" i="44"/>
  <c r="EE40" i="44"/>
  <c r="EF40" i="44"/>
  <c r="EG40" i="44"/>
  <c r="EH40" i="44"/>
  <c r="EI40" i="44"/>
  <c r="EJ40" i="44"/>
  <c r="EK40" i="44"/>
  <c r="EL40" i="44"/>
  <c r="EM40" i="44"/>
  <c r="EN40" i="44"/>
  <c r="EO40" i="44"/>
  <c r="EP40" i="44"/>
  <c r="EQ40" i="44"/>
  <c r="ER40" i="44"/>
  <c r="ES40" i="44"/>
  <c r="ET40" i="44"/>
  <c r="EU40" i="44"/>
  <c r="EV40" i="44"/>
  <c r="EW40" i="44"/>
  <c r="EX40" i="44"/>
  <c r="EY40" i="44"/>
  <c r="EZ40" i="44"/>
  <c r="FA40" i="44"/>
  <c r="FB40" i="44"/>
  <c r="FC40" i="44"/>
  <c r="FD40" i="44"/>
  <c r="FE40" i="44"/>
  <c r="FF40" i="44"/>
  <c r="FG40" i="44"/>
  <c r="FH40" i="44"/>
  <c r="FI40" i="44"/>
  <c r="FJ40" i="44"/>
  <c r="FK40" i="44"/>
  <c r="FL40" i="44"/>
  <c r="FM40" i="44"/>
  <c r="FN40" i="44"/>
  <c r="FO40" i="44"/>
  <c r="FP40" i="44"/>
  <c r="FQ40" i="44"/>
  <c r="FR40" i="44"/>
  <c r="FS40" i="44"/>
  <c r="FT40" i="44"/>
  <c r="FU40" i="44"/>
  <c r="FV40" i="44"/>
  <c r="FW40" i="44"/>
  <c r="FX40" i="44"/>
  <c r="FY40" i="44"/>
  <c r="FZ40" i="44"/>
  <c r="GA40" i="44"/>
  <c r="GB40" i="44"/>
  <c r="GC40" i="44"/>
  <c r="GD40" i="44"/>
  <c r="GE40" i="44"/>
  <c r="GF40" i="44"/>
  <c r="GG40" i="44"/>
  <c r="GH40" i="44"/>
  <c r="GI40" i="44"/>
  <c r="GJ40" i="44"/>
  <c r="GK40" i="44"/>
  <c r="GL40" i="44"/>
  <c r="GM40" i="44"/>
  <c r="GN40" i="44"/>
  <c r="GO40" i="44"/>
  <c r="GP40" i="44"/>
  <c r="GQ40" i="44"/>
  <c r="GR40" i="44"/>
  <c r="GS40" i="44"/>
  <c r="GT40" i="44"/>
  <c r="GU40" i="44"/>
  <c r="GV40" i="44"/>
  <c r="GW40" i="44"/>
  <c r="GX40" i="44"/>
  <c r="GY40" i="44"/>
  <c r="GZ40" i="44"/>
  <c r="HA40" i="44"/>
  <c r="HB40" i="44"/>
  <c r="HC40" i="44"/>
  <c r="HD40" i="44"/>
  <c r="HE40" i="44"/>
  <c r="HF40" i="44"/>
  <c r="HG40" i="44"/>
  <c r="HH40" i="44"/>
  <c r="HI40" i="44"/>
  <c r="HJ40" i="44"/>
  <c r="HK40" i="44"/>
  <c r="DP26" i="44"/>
  <c r="DP27" i="44"/>
  <c r="DP28" i="44"/>
  <c r="DP29" i="44"/>
  <c r="DP30" i="44"/>
  <c r="DP31" i="44"/>
  <c r="DP32" i="44"/>
  <c r="DP33" i="44"/>
  <c r="DP34" i="44"/>
  <c r="DP35" i="44"/>
  <c r="DP36" i="44"/>
  <c r="DP37" i="44"/>
  <c r="DP38" i="44"/>
  <c r="DP39" i="44"/>
  <c r="DP40" i="44"/>
  <c r="DI26" i="44"/>
  <c r="DJ26" i="44"/>
  <c r="DK26" i="44"/>
  <c r="DL26" i="44"/>
  <c r="DM26" i="44"/>
  <c r="DN26" i="44"/>
  <c r="DO26" i="44"/>
  <c r="DI27" i="44"/>
  <c r="DJ27" i="44"/>
  <c r="DK27" i="44"/>
  <c r="DL27" i="44"/>
  <c r="DM27" i="44"/>
  <c r="DN27" i="44"/>
  <c r="DO27" i="44"/>
  <c r="DI28" i="44"/>
  <c r="DJ28" i="44"/>
  <c r="DK28" i="44"/>
  <c r="DL28" i="44"/>
  <c r="DM28" i="44"/>
  <c r="DN28" i="44"/>
  <c r="DO28" i="44"/>
  <c r="DI29" i="44"/>
  <c r="DJ29" i="44"/>
  <c r="DK29" i="44"/>
  <c r="DL29" i="44"/>
  <c r="DM29" i="44"/>
  <c r="DN29" i="44"/>
  <c r="DO29" i="44"/>
  <c r="DI30" i="44"/>
  <c r="DJ30" i="44"/>
  <c r="DK30" i="44"/>
  <c r="DL30" i="44"/>
  <c r="DM30" i="44"/>
  <c r="DN30" i="44"/>
  <c r="DO30" i="44"/>
  <c r="DI31" i="44"/>
  <c r="DJ31" i="44"/>
  <c r="DK31" i="44"/>
  <c r="DL31" i="44"/>
  <c r="DM31" i="44"/>
  <c r="DN31" i="44"/>
  <c r="DO31" i="44"/>
  <c r="DI32" i="44"/>
  <c r="DJ32" i="44"/>
  <c r="DK32" i="44"/>
  <c r="DL32" i="44"/>
  <c r="DM32" i="44"/>
  <c r="DN32" i="44"/>
  <c r="DO32" i="44"/>
  <c r="DI33" i="44"/>
  <c r="DJ33" i="44"/>
  <c r="DK33" i="44"/>
  <c r="DL33" i="44"/>
  <c r="DM33" i="44"/>
  <c r="DN33" i="44"/>
  <c r="DO33" i="44"/>
  <c r="DI34" i="44"/>
  <c r="DJ34" i="44"/>
  <c r="DK34" i="44"/>
  <c r="DL34" i="44"/>
  <c r="DM34" i="44"/>
  <c r="DN34" i="44"/>
  <c r="DO34" i="44"/>
  <c r="DI35" i="44"/>
  <c r="DJ35" i="44"/>
  <c r="DK35" i="44"/>
  <c r="DL35" i="44"/>
  <c r="DM35" i="44"/>
  <c r="DN35" i="44"/>
  <c r="DO35" i="44"/>
  <c r="DI36" i="44"/>
  <c r="DJ36" i="44"/>
  <c r="DK36" i="44"/>
  <c r="DL36" i="44"/>
  <c r="DM36" i="44"/>
  <c r="DN36" i="44"/>
  <c r="DO36" i="44"/>
  <c r="DI37" i="44"/>
  <c r="DJ37" i="44"/>
  <c r="DK37" i="44"/>
  <c r="DL37" i="44"/>
  <c r="DM37" i="44"/>
  <c r="DN37" i="44"/>
  <c r="DO37" i="44"/>
  <c r="DI38" i="44"/>
  <c r="DJ38" i="44"/>
  <c r="DK38" i="44"/>
  <c r="DL38" i="44"/>
  <c r="DM38" i="44"/>
  <c r="DN38" i="44"/>
  <c r="DO38" i="44"/>
  <c r="DI39" i="44"/>
  <c r="DJ39" i="44"/>
  <c r="DK39" i="44"/>
  <c r="DL39" i="44"/>
  <c r="DM39" i="44"/>
  <c r="DN39" i="44"/>
  <c r="DO39" i="44"/>
  <c r="DI40" i="44"/>
  <c r="DJ40" i="44"/>
  <c r="DK40" i="44"/>
  <c r="DL40" i="44"/>
  <c r="DM40" i="44"/>
  <c r="DN40" i="44"/>
  <c r="DO40" i="44"/>
  <c r="DH27" i="44"/>
  <c r="DH28" i="44"/>
  <c r="DH29" i="44"/>
  <c r="DH30" i="44"/>
  <c r="DH31" i="44"/>
  <c r="DH32" i="44"/>
  <c r="DH33" i="44"/>
  <c r="DH34" i="44"/>
  <c r="DH35" i="44"/>
  <c r="DH36" i="44"/>
  <c r="DH37" i="44"/>
  <c r="DH38" i="44"/>
  <c r="DH39" i="44"/>
  <c r="DH40" i="44"/>
  <c r="DH26" i="44"/>
  <c r="B13" i="45"/>
  <c r="B17" i="45"/>
  <c r="B18" i="45"/>
  <c r="B41" i="45"/>
  <c r="B19" i="45"/>
  <c r="B21" i="45"/>
  <c r="B110" i="44"/>
  <c r="B22" i="45"/>
  <c r="B45" i="45"/>
  <c r="B69" i="45"/>
  <c r="B92" i="45"/>
  <c r="B116" i="45"/>
  <c r="B111" i="44"/>
  <c r="B23" i="45"/>
  <c r="B46" i="45"/>
  <c r="B109" i="44"/>
  <c r="B108" i="44"/>
  <c r="B104" i="44"/>
  <c r="B105" i="44"/>
  <c r="B106" i="44"/>
  <c r="B103" i="44"/>
  <c r="B102" i="44"/>
  <c r="B14" i="45"/>
  <c r="B37" i="45"/>
  <c r="B61" i="45"/>
  <c r="B84" i="45"/>
  <c r="B108" i="45"/>
  <c r="B101" i="44"/>
  <c r="B96" i="44"/>
  <c r="G96" i="44"/>
  <c r="B97" i="44"/>
  <c r="B9" i="45"/>
  <c r="B32" i="45"/>
  <c r="B98" i="44"/>
  <c r="B99" i="44"/>
  <c r="G99" i="44"/>
  <c r="B100" i="44"/>
  <c r="G100" i="44"/>
  <c r="B95" i="44"/>
  <c r="B94" i="44"/>
  <c r="A111" i="44"/>
  <c r="A110" i="44"/>
  <c r="A109" i="44"/>
  <c r="A108" i="44"/>
  <c r="A107" i="44"/>
  <c r="A106" i="44"/>
  <c r="A105" i="44"/>
  <c r="A104" i="44"/>
  <c r="A103" i="44"/>
  <c r="A102" i="44"/>
  <c r="A101" i="44"/>
  <c r="A100" i="44"/>
  <c r="A99" i="44"/>
  <c r="A98" i="44"/>
  <c r="A97" i="44"/>
  <c r="A96" i="44"/>
  <c r="A95" i="44"/>
  <c r="A94" i="44"/>
  <c r="J75" i="20"/>
  <c r="I75" i="20"/>
  <c r="H75" i="20"/>
  <c r="G75" i="20"/>
  <c r="F75" i="20"/>
  <c r="E24" i="36"/>
  <c r="AK24" i="47"/>
  <c r="AK7" i="47"/>
  <c r="AK8" i="47"/>
  <c r="AK9" i="47"/>
  <c r="AK10" i="47"/>
  <c r="AK11" i="47"/>
  <c r="AK12" i="47"/>
  <c r="AK13" i="47"/>
  <c r="AK14" i="47"/>
  <c r="AK15" i="47"/>
  <c r="AK16" i="47"/>
  <c r="AK17" i="47"/>
  <c r="AK18" i="47"/>
  <c r="AK19" i="47"/>
  <c r="AK20" i="47"/>
  <c r="AK21" i="47"/>
  <c r="AK6" i="47"/>
  <c r="D66" i="42"/>
  <c r="E66" i="42"/>
  <c r="F66" i="42"/>
  <c r="G66" i="42"/>
  <c r="H66" i="42"/>
  <c r="I66" i="42"/>
  <c r="J66" i="42"/>
  <c r="K66" i="42"/>
  <c r="L66" i="42"/>
  <c r="M66" i="42"/>
  <c r="N66" i="42"/>
  <c r="O66" i="42"/>
  <c r="P66" i="42"/>
  <c r="Q66" i="42"/>
  <c r="R66" i="42"/>
  <c r="S66" i="42"/>
  <c r="T66" i="42"/>
  <c r="U66" i="42"/>
  <c r="V66" i="42"/>
  <c r="C66" i="42"/>
  <c r="C12" i="19"/>
  <c r="F23" i="20"/>
  <c r="C11" i="19"/>
  <c r="C25" i="19"/>
  <c r="B12" i="19"/>
  <c r="B11" i="19"/>
  <c r="P140" i="6"/>
  <c r="H42" i="36"/>
  <c r="H39" i="36"/>
  <c r="I39" i="36"/>
  <c r="H40" i="36"/>
  <c r="I40" i="36"/>
  <c r="I23" i="36"/>
  <c r="I25" i="36"/>
  <c r="I26" i="36"/>
  <c r="B26" i="36"/>
  <c r="I27" i="36"/>
  <c r="B27" i="36"/>
  <c r="I30" i="36"/>
  <c r="I31" i="36"/>
  <c r="I32" i="36"/>
  <c r="B32" i="36"/>
  <c r="I22" i="36"/>
  <c r="H33" i="36"/>
  <c r="H44" i="36"/>
  <c r="O34" i="1"/>
  <c r="P34" i="1"/>
  <c r="Q34" i="1"/>
  <c r="R34" i="1"/>
  <c r="S34" i="1"/>
  <c r="T34" i="1"/>
  <c r="U34" i="1"/>
  <c r="V34" i="1"/>
  <c r="B34" i="1"/>
  <c r="AG21" i="47"/>
  <c r="AG19" i="47"/>
  <c r="AH19" i="47"/>
  <c r="AG16" i="47"/>
  <c r="AG15" i="47"/>
  <c r="AG14" i="47"/>
  <c r="AG24" i="47"/>
  <c r="AG13" i="47"/>
  <c r="AG12" i="47"/>
  <c r="AG11" i="47"/>
  <c r="AE21" i="47"/>
  <c r="E28" i="36"/>
  <c r="E33" i="36"/>
  <c r="AE19" i="47"/>
  <c r="AE16" i="47"/>
  <c r="AE15" i="47"/>
  <c r="AE13" i="47"/>
  <c r="AE14" i="47"/>
  <c r="AE22" i="47"/>
  <c r="AE12" i="47"/>
  <c r="AE11" i="47"/>
  <c r="AE8" i="47"/>
  <c r="AB20" i="47"/>
  <c r="Z20" i="47"/>
  <c r="AB10" i="47"/>
  <c r="AB9" i="47"/>
  <c r="Z10" i="47"/>
  <c r="Z9" i="47"/>
  <c r="Z7" i="47"/>
  <c r="AB7" i="47"/>
  <c r="B66" i="42"/>
  <c r="B28" i="1"/>
  <c r="D45" i="19"/>
  <c r="M25" i="42"/>
  <c r="M25" i="1"/>
  <c r="M30" i="1"/>
  <c r="Q25" i="42"/>
  <c r="Q25" i="1"/>
  <c r="Q30" i="1"/>
  <c r="C24" i="43"/>
  <c r="F28" i="36"/>
  <c r="D28" i="36"/>
  <c r="I28" i="36"/>
  <c r="B28" i="36"/>
  <c r="B30" i="36"/>
  <c r="B31" i="36"/>
  <c r="F24" i="36"/>
  <c r="D24" i="36"/>
  <c r="AD24" i="47"/>
  <c r="AF24" i="47"/>
  <c r="AG8" i="47"/>
  <c r="AG6" i="47"/>
  <c r="AA7" i="47"/>
  <c r="AE6" i="47"/>
  <c r="AC9" i="47"/>
  <c r="AD6" i="47"/>
  <c r="AH6" i="47"/>
  <c r="AF6" i="47"/>
  <c r="Y7" i="47"/>
  <c r="Y22" i="47"/>
  <c r="AB22" i="47"/>
  <c r="AD8" i="47"/>
  <c r="AH8" i="47"/>
  <c r="AF8" i="47"/>
  <c r="AA9" i="47"/>
  <c r="AC10" i="47"/>
  <c r="AA10" i="47"/>
  <c r="AH11" i="47"/>
  <c r="AF11" i="47"/>
  <c r="AH12" i="47"/>
  <c r="AF12" i="47"/>
  <c r="AH13" i="47"/>
  <c r="AF13" i="47"/>
  <c r="X14" i="47"/>
  <c r="AF14" i="47"/>
  <c r="AD15" i="47"/>
  <c r="AD22" i="47"/>
  <c r="AF15" i="47"/>
  <c r="AH15" i="47"/>
  <c r="AD16" i="47"/>
  <c r="AH16" i="47"/>
  <c r="AF16" i="47"/>
  <c r="AF19" i="47"/>
  <c r="AC20" i="47"/>
  <c r="AC22" i="47"/>
  <c r="E13" i="36"/>
  <c r="E16" i="36"/>
  <c r="B6" i="36"/>
  <c r="B8" i="36"/>
  <c r="AA20" i="47"/>
  <c r="AH21" i="47"/>
  <c r="AF21" i="47"/>
  <c r="AA22" i="47"/>
  <c r="AF22" i="47"/>
  <c r="AG22" i="47"/>
  <c r="R26" i="34"/>
  <c r="S26" i="34"/>
  <c r="T26" i="34"/>
  <c r="U26" i="34"/>
  <c r="V26" i="34"/>
  <c r="W26" i="34"/>
  <c r="X26" i="34"/>
  <c r="Y26" i="34"/>
  <c r="B12" i="46"/>
  <c r="D8" i="46"/>
  <c r="C11" i="46" s="1"/>
  <c r="C97" i="46" s="1"/>
  <c r="L7" i="46"/>
  <c r="R6" i="46"/>
  <c r="R5" i="46"/>
  <c r="F3" i="46"/>
  <c r="R4" i="46"/>
  <c r="L5" i="46"/>
  <c r="L3" i="46"/>
  <c r="L6" i="46"/>
  <c r="Q145" i="6"/>
  <c r="R145" i="6"/>
  <c r="S145" i="6"/>
  <c r="T145" i="6"/>
  <c r="U145" i="6"/>
  <c r="V145" i="6"/>
  <c r="W145" i="6"/>
  <c r="X145" i="6"/>
  <c r="Y145" i="6"/>
  <c r="Z145" i="6"/>
  <c r="C140" i="6"/>
  <c r="EV153" i="45"/>
  <c r="EU153" i="45"/>
  <c r="ET153" i="45"/>
  <c r="ES153" i="45"/>
  <c r="ER153" i="45"/>
  <c r="EQ153" i="45"/>
  <c r="EP153" i="45"/>
  <c r="EO153" i="45"/>
  <c r="EN153" i="45"/>
  <c r="EM153" i="45"/>
  <c r="EL153" i="45"/>
  <c r="EK153" i="45"/>
  <c r="EJ153" i="45"/>
  <c r="EI153" i="45"/>
  <c r="EH153" i="45"/>
  <c r="EG153" i="45"/>
  <c r="EF153" i="45"/>
  <c r="EE153" i="45"/>
  <c r="ED153" i="45"/>
  <c r="EC153" i="45"/>
  <c r="EB153" i="45"/>
  <c r="EA153" i="45"/>
  <c r="DZ153" i="45"/>
  <c r="DY153" i="45"/>
  <c r="DX153" i="45"/>
  <c r="DW153" i="45"/>
  <c r="DV153" i="45"/>
  <c r="DU153" i="45"/>
  <c r="DT153" i="45"/>
  <c r="DS153" i="45"/>
  <c r="DR153" i="45"/>
  <c r="DQ153" i="45"/>
  <c r="DP153" i="45"/>
  <c r="DO153" i="45"/>
  <c r="DN153" i="45"/>
  <c r="DM153" i="45"/>
  <c r="DL153" i="45"/>
  <c r="DK153" i="45"/>
  <c r="DJ153" i="45"/>
  <c r="DI153" i="45"/>
  <c r="DH153" i="45"/>
  <c r="DG153" i="45"/>
  <c r="DF153" i="45"/>
  <c r="DE153" i="45"/>
  <c r="DD153" i="45"/>
  <c r="DC153" i="45"/>
  <c r="DB153" i="45"/>
  <c r="DA153" i="45"/>
  <c r="CZ153" i="45"/>
  <c r="CY153" i="45"/>
  <c r="CX153" i="45"/>
  <c r="CW153" i="45"/>
  <c r="CV153" i="45"/>
  <c r="CU153" i="45"/>
  <c r="CT153" i="45"/>
  <c r="CS153" i="45"/>
  <c r="CR153" i="45"/>
  <c r="CQ153" i="45"/>
  <c r="CP153" i="45"/>
  <c r="CO153" i="45"/>
  <c r="CN153" i="45"/>
  <c r="CM153" i="45"/>
  <c r="CL153" i="45"/>
  <c r="CK153" i="45"/>
  <c r="CJ153" i="45"/>
  <c r="CI153" i="45"/>
  <c r="CH153" i="45"/>
  <c r="CG153" i="45"/>
  <c r="CF153" i="45"/>
  <c r="CE153" i="45"/>
  <c r="CD153" i="45"/>
  <c r="CC153" i="45"/>
  <c r="CB153" i="45"/>
  <c r="CA153" i="45"/>
  <c r="BZ153" i="45"/>
  <c r="BY153" i="45"/>
  <c r="BX153" i="45"/>
  <c r="BW153" i="45"/>
  <c r="BV153" i="45"/>
  <c r="BU153" i="45"/>
  <c r="BT153" i="45"/>
  <c r="BS153" i="45"/>
  <c r="BR153" i="45"/>
  <c r="BQ153" i="45"/>
  <c r="BP153" i="45"/>
  <c r="BO153" i="45"/>
  <c r="BN153" i="45"/>
  <c r="BM153" i="45"/>
  <c r="BL153" i="45"/>
  <c r="BK153" i="45"/>
  <c r="BJ153" i="45"/>
  <c r="BI153" i="45"/>
  <c r="BH153" i="45"/>
  <c r="BG153" i="45"/>
  <c r="BF153" i="45"/>
  <c r="BE153" i="45"/>
  <c r="BD153" i="45"/>
  <c r="BC153" i="45"/>
  <c r="BB153" i="45"/>
  <c r="BA153" i="45"/>
  <c r="AZ153" i="45"/>
  <c r="AY153" i="45"/>
  <c r="AX153" i="45"/>
  <c r="AW153" i="45"/>
  <c r="AV153" i="45"/>
  <c r="AU153" i="45"/>
  <c r="AT153" i="45"/>
  <c r="AS153" i="45"/>
  <c r="AR153" i="45"/>
  <c r="AQ153" i="45"/>
  <c r="AP153" i="45"/>
  <c r="AO153" i="45"/>
  <c r="AN153" i="45"/>
  <c r="AM153" i="45"/>
  <c r="AL153" i="45"/>
  <c r="AK153" i="45"/>
  <c r="AJ153" i="45"/>
  <c r="AI153" i="45"/>
  <c r="AH153" i="45"/>
  <c r="AG153" i="45"/>
  <c r="AF153" i="45"/>
  <c r="AE153" i="45"/>
  <c r="AD153" i="45"/>
  <c r="AC153" i="45"/>
  <c r="AB153" i="45"/>
  <c r="AA153" i="45"/>
  <c r="Z153" i="45"/>
  <c r="Y153" i="45"/>
  <c r="X153" i="45"/>
  <c r="W153" i="45"/>
  <c r="V153" i="45"/>
  <c r="U153" i="45"/>
  <c r="T153" i="45"/>
  <c r="S153" i="45"/>
  <c r="R153" i="45"/>
  <c r="Q153" i="45"/>
  <c r="P153" i="45"/>
  <c r="O153" i="45"/>
  <c r="N153" i="45"/>
  <c r="M153" i="45"/>
  <c r="L153" i="45"/>
  <c r="K153" i="45"/>
  <c r="J153" i="45"/>
  <c r="I153" i="45"/>
  <c r="H153" i="45"/>
  <c r="G153" i="45"/>
  <c r="F153" i="45"/>
  <c r="E153" i="45"/>
  <c r="D153" i="45"/>
  <c r="C153" i="45"/>
  <c r="EV127" i="45"/>
  <c r="EU127" i="45"/>
  <c r="ET127" i="45"/>
  <c r="ES127" i="45"/>
  <c r="ER127" i="45"/>
  <c r="EQ127" i="45"/>
  <c r="EP127" i="45"/>
  <c r="EO127" i="45"/>
  <c r="EN127" i="45"/>
  <c r="EM127" i="45"/>
  <c r="EL127" i="45"/>
  <c r="EK127" i="45"/>
  <c r="EJ127" i="45"/>
  <c r="EI127" i="45"/>
  <c r="EH127" i="45"/>
  <c r="EG127" i="45"/>
  <c r="EF127" i="45"/>
  <c r="EE127" i="45"/>
  <c r="ED127" i="45"/>
  <c r="EC127" i="45"/>
  <c r="EB127" i="45"/>
  <c r="EA127" i="45"/>
  <c r="DZ127" i="45"/>
  <c r="DY127" i="45"/>
  <c r="DX127" i="45"/>
  <c r="DW127" i="45"/>
  <c r="DV127" i="45"/>
  <c r="DU127" i="45"/>
  <c r="DT127" i="45"/>
  <c r="DS127" i="45"/>
  <c r="DR127" i="45"/>
  <c r="DQ127" i="45"/>
  <c r="DP127" i="45"/>
  <c r="DO127" i="45"/>
  <c r="DN127" i="45"/>
  <c r="DM127" i="45"/>
  <c r="DL127" i="45"/>
  <c r="DK127" i="45"/>
  <c r="DJ127" i="45"/>
  <c r="DI127" i="45"/>
  <c r="DH127" i="45"/>
  <c r="DG127" i="45"/>
  <c r="DF127" i="45"/>
  <c r="DE127" i="45"/>
  <c r="DD127" i="45"/>
  <c r="DC127" i="45"/>
  <c r="DB127" i="45"/>
  <c r="DA127" i="45"/>
  <c r="CZ127" i="45"/>
  <c r="CY127" i="45"/>
  <c r="CX127" i="45"/>
  <c r="CW127" i="45"/>
  <c r="CV127" i="45"/>
  <c r="CU127" i="45"/>
  <c r="CT127" i="45"/>
  <c r="CS127" i="45"/>
  <c r="CR127" i="45"/>
  <c r="CQ127" i="45"/>
  <c r="CP127" i="45"/>
  <c r="CO127" i="45"/>
  <c r="CN127" i="45"/>
  <c r="CM127" i="45"/>
  <c r="CL127" i="45"/>
  <c r="CK127" i="45"/>
  <c r="CJ127" i="45"/>
  <c r="CI127" i="45"/>
  <c r="CH127" i="45"/>
  <c r="CG127" i="45"/>
  <c r="CF127" i="45"/>
  <c r="CE127" i="45"/>
  <c r="CD127" i="45"/>
  <c r="CC127" i="45"/>
  <c r="CB127" i="45"/>
  <c r="CA127" i="45"/>
  <c r="BZ127" i="45"/>
  <c r="BY127" i="45"/>
  <c r="BX127" i="45"/>
  <c r="BW127" i="45"/>
  <c r="BV127" i="45"/>
  <c r="BU127" i="45"/>
  <c r="BT127" i="45"/>
  <c r="BS127" i="45"/>
  <c r="BR127" i="45"/>
  <c r="BQ127" i="45"/>
  <c r="BP127" i="45"/>
  <c r="BO127" i="45"/>
  <c r="BN127" i="45"/>
  <c r="BM127" i="45"/>
  <c r="BL127" i="45"/>
  <c r="BK127" i="45"/>
  <c r="BJ127" i="45"/>
  <c r="BI127" i="45"/>
  <c r="BH127" i="45"/>
  <c r="BG127" i="45"/>
  <c r="BF127" i="45"/>
  <c r="BE127" i="45"/>
  <c r="BD127" i="45"/>
  <c r="BC127" i="45"/>
  <c r="BB127" i="45"/>
  <c r="BA127" i="45"/>
  <c r="AZ127" i="45"/>
  <c r="AY127" i="45"/>
  <c r="AX127" i="45"/>
  <c r="AW127" i="45"/>
  <c r="AV127" i="45"/>
  <c r="AU127" i="45"/>
  <c r="AT127" i="45"/>
  <c r="AS127" i="45"/>
  <c r="AR127" i="45"/>
  <c r="AQ127" i="45"/>
  <c r="AP127" i="45"/>
  <c r="AO127" i="45"/>
  <c r="AN127" i="45"/>
  <c r="AM127" i="45"/>
  <c r="AL127" i="45"/>
  <c r="AK127" i="45"/>
  <c r="AJ127" i="45"/>
  <c r="AI127" i="45"/>
  <c r="AH127" i="45"/>
  <c r="AG127" i="45"/>
  <c r="AF127" i="45"/>
  <c r="AE127" i="45"/>
  <c r="AD127" i="45"/>
  <c r="AC127" i="45"/>
  <c r="AB127" i="45"/>
  <c r="AA127" i="45"/>
  <c r="Z127" i="45"/>
  <c r="Y127" i="45"/>
  <c r="X127" i="45"/>
  <c r="W127" i="45"/>
  <c r="V127" i="45"/>
  <c r="U127" i="45"/>
  <c r="T127" i="45"/>
  <c r="S127" i="45"/>
  <c r="R127" i="45"/>
  <c r="Q127" i="45"/>
  <c r="P127" i="45"/>
  <c r="O127" i="45"/>
  <c r="N127" i="45"/>
  <c r="M127" i="45"/>
  <c r="L127" i="45"/>
  <c r="K127" i="45"/>
  <c r="J127" i="45"/>
  <c r="I127" i="45"/>
  <c r="H127" i="45"/>
  <c r="G127" i="45"/>
  <c r="F127" i="45"/>
  <c r="E127" i="45"/>
  <c r="D127" i="45"/>
  <c r="C127" i="45"/>
  <c r="B75" i="45"/>
  <c r="B99" i="45"/>
  <c r="CL50" i="45"/>
  <c r="CL73" i="45"/>
  <c r="CL96" i="45"/>
  <c r="B70" i="45"/>
  <c r="B93" i="45"/>
  <c r="B117" i="45"/>
  <c r="B65" i="45"/>
  <c r="B88" i="45"/>
  <c r="B112" i="45"/>
  <c r="DF26" i="45"/>
  <c r="DF50" i="45"/>
  <c r="DF73" i="45"/>
  <c r="DF96" i="45"/>
  <c r="DE26" i="45"/>
  <c r="DE50" i="45"/>
  <c r="DE73" i="45"/>
  <c r="DE96" i="45"/>
  <c r="DD26" i="45"/>
  <c r="DD50" i="45"/>
  <c r="DD73" i="45"/>
  <c r="DD96" i="45"/>
  <c r="DC26" i="45"/>
  <c r="DC50" i="45"/>
  <c r="DC73" i="45"/>
  <c r="DC96" i="45"/>
  <c r="DB26" i="45"/>
  <c r="DB50" i="45"/>
  <c r="DB73" i="45"/>
  <c r="DB96" i="45"/>
  <c r="DA26" i="45"/>
  <c r="DA50" i="45"/>
  <c r="DA73" i="45"/>
  <c r="DA96" i="45"/>
  <c r="CZ26" i="45"/>
  <c r="CZ50" i="45"/>
  <c r="CZ73" i="45"/>
  <c r="CZ96" i="45"/>
  <c r="CY26" i="45"/>
  <c r="CY50" i="45"/>
  <c r="CY73" i="45"/>
  <c r="CY96" i="45"/>
  <c r="CX26" i="45"/>
  <c r="CX50" i="45"/>
  <c r="CX73" i="45"/>
  <c r="CX96" i="45"/>
  <c r="CW26" i="45"/>
  <c r="CW50" i="45"/>
  <c r="CW73" i="45"/>
  <c r="CW96" i="45"/>
  <c r="CV26" i="45"/>
  <c r="CV50" i="45"/>
  <c r="CV73" i="45"/>
  <c r="CV96" i="45"/>
  <c r="CU26" i="45"/>
  <c r="CU50" i="45"/>
  <c r="CU73" i="45"/>
  <c r="CU96" i="45"/>
  <c r="CT26" i="45"/>
  <c r="CT50" i="45"/>
  <c r="CT73" i="45"/>
  <c r="CT96" i="45"/>
  <c r="CS26" i="45"/>
  <c r="CS50" i="45"/>
  <c r="CS73" i="45"/>
  <c r="CS96" i="45"/>
  <c r="CR26" i="45"/>
  <c r="CR50" i="45"/>
  <c r="CR73" i="45"/>
  <c r="CR96" i="45"/>
  <c r="CQ26" i="45"/>
  <c r="CQ50" i="45"/>
  <c r="CQ73" i="45"/>
  <c r="CQ96" i="45"/>
  <c r="CP26" i="45"/>
  <c r="CP50" i="45"/>
  <c r="CP73" i="45"/>
  <c r="CP96" i="45"/>
  <c r="CO26" i="45"/>
  <c r="CO50" i="45"/>
  <c r="CO73" i="45"/>
  <c r="CO96" i="45"/>
  <c r="CN26" i="45"/>
  <c r="CN50" i="45"/>
  <c r="CN73" i="45"/>
  <c r="CN96" i="45"/>
  <c r="CM26" i="45"/>
  <c r="CM50" i="45"/>
  <c r="CM73" i="45"/>
  <c r="CM96" i="45"/>
  <c r="CL26" i="45"/>
  <c r="CK26" i="45"/>
  <c r="CK50" i="45"/>
  <c r="CK73" i="45"/>
  <c r="CK96" i="45"/>
  <c r="CJ26" i="45"/>
  <c r="CJ50" i="45"/>
  <c r="CJ73" i="45"/>
  <c r="CJ96" i="45"/>
  <c r="CI26" i="45"/>
  <c r="CI50" i="45"/>
  <c r="CI73" i="45"/>
  <c r="CI96" i="45"/>
  <c r="CH26" i="45"/>
  <c r="CH50" i="45"/>
  <c r="CH73" i="45"/>
  <c r="CH96" i="45"/>
  <c r="CG26" i="45"/>
  <c r="CG50" i="45"/>
  <c r="CG73" i="45"/>
  <c r="CG96" i="45"/>
  <c r="CF26" i="45"/>
  <c r="CF50" i="45"/>
  <c r="CF73" i="45"/>
  <c r="CF96" i="45"/>
  <c r="CE26" i="45"/>
  <c r="CE50" i="45"/>
  <c r="CE73" i="45"/>
  <c r="CE96" i="45"/>
  <c r="CD26" i="45"/>
  <c r="CD50" i="45"/>
  <c r="CD73" i="45"/>
  <c r="CD96" i="45"/>
  <c r="CC26" i="45"/>
  <c r="CC50" i="45"/>
  <c r="CC73" i="45"/>
  <c r="CC96" i="45"/>
  <c r="CB26" i="45"/>
  <c r="CB50" i="45"/>
  <c r="CB73" i="45"/>
  <c r="CB96" i="45"/>
  <c r="CA26" i="45"/>
  <c r="CA50" i="45"/>
  <c r="CA73" i="45"/>
  <c r="CA96" i="45"/>
  <c r="BZ26" i="45"/>
  <c r="BZ50" i="45"/>
  <c r="BZ73" i="45"/>
  <c r="BZ96" i="45"/>
  <c r="BY26" i="45"/>
  <c r="BY50" i="45"/>
  <c r="BY73" i="45"/>
  <c r="BY96" i="45"/>
  <c r="BX26" i="45"/>
  <c r="BX50" i="45"/>
  <c r="BX73" i="45"/>
  <c r="BX96" i="45"/>
  <c r="BW26" i="45"/>
  <c r="BW50" i="45"/>
  <c r="BW73" i="45"/>
  <c r="BW96" i="45"/>
  <c r="BV26" i="45"/>
  <c r="BV50" i="45"/>
  <c r="BV73" i="45"/>
  <c r="BV96" i="45"/>
  <c r="BU26" i="45"/>
  <c r="BU50" i="45"/>
  <c r="BU73" i="45"/>
  <c r="BU96" i="45"/>
  <c r="BT26" i="45"/>
  <c r="BT50" i="45"/>
  <c r="BT73" i="45"/>
  <c r="BT96" i="45"/>
  <c r="BS26" i="45"/>
  <c r="BS50" i="45"/>
  <c r="BS73" i="45"/>
  <c r="BS96" i="45"/>
  <c r="BR26" i="45"/>
  <c r="BR50" i="45"/>
  <c r="BR73" i="45"/>
  <c r="BR96" i="45"/>
  <c r="BQ26" i="45"/>
  <c r="BQ50" i="45"/>
  <c r="BQ73" i="45"/>
  <c r="BQ96" i="45"/>
  <c r="BP26" i="45"/>
  <c r="BP50" i="45"/>
  <c r="BP73" i="45"/>
  <c r="BP96" i="45"/>
  <c r="BO26" i="45"/>
  <c r="BO50" i="45"/>
  <c r="BO73" i="45"/>
  <c r="BO96" i="45"/>
  <c r="BN26" i="45"/>
  <c r="BN50" i="45"/>
  <c r="BN73" i="45"/>
  <c r="BN96" i="45"/>
  <c r="BM26" i="45"/>
  <c r="BM50" i="45"/>
  <c r="BM73" i="45"/>
  <c r="BM96" i="45"/>
  <c r="BL26" i="45"/>
  <c r="BL50" i="45"/>
  <c r="BL73" i="45"/>
  <c r="BL96" i="45"/>
  <c r="BK26" i="45"/>
  <c r="BK50" i="45"/>
  <c r="BK73" i="45"/>
  <c r="BK96" i="45"/>
  <c r="BJ26" i="45"/>
  <c r="BJ50" i="45"/>
  <c r="BJ73" i="45"/>
  <c r="BJ96" i="45"/>
  <c r="BI26" i="45"/>
  <c r="BI50" i="45"/>
  <c r="BI73" i="45"/>
  <c r="BI96" i="45"/>
  <c r="BH26" i="45"/>
  <c r="BH50" i="45"/>
  <c r="BH73" i="45"/>
  <c r="BH96" i="45"/>
  <c r="BG26" i="45"/>
  <c r="BG50" i="45"/>
  <c r="BG73" i="45"/>
  <c r="BG96" i="45"/>
  <c r="BF26" i="45"/>
  <c r="BF50" i="45"/>
  <c r="BF73" i="45"/>
  <c r="BF96" i="45"/>
  <c r="BE26" i="45"/>
  <c r="BE50" i="45"/>
  <c r="BE73" i="45"/>
  <c r="BE96" i="45"/>
  <c r="BD26" i="45"/>
  <c r="BD50" i="45"/>
  <c r="BD73" i="45"/>
  <c r="BD96" i="45"/>
  <c r="BC26" i="45"/>
  <c r="BC50" i="45"/>
  <c r="BC73" i="45"/>
  <c r="BC96" i="45"/>
  <c r="BB26" i="45"/>
  <c r="BB50" i="45"/>
  <c r="BB73" i="45"/>
  <c r="BB96" i="45"/>
  <c r="BA26" i="45"/>
  <c r="BA50" i="45"/>
  <c r="BA73" i="45"/>
  <c r="BA96" i="45"/>
  <c r="AZ26" i="45"/>
  <c r="AZ50" i="45"/>
  <c r="AZ73" i="45"/>
  <c r="AZ96" i="45"/>
  <c r="AY26" i="45"/>
  <c r="AY50" i="45"/>
  <c r="AY73" i="45"/>
  <c r="AY96" i="45"/>
  <c r="AX26" i="45"/>
  <c r="AX50" i="45"/>
  <c r="AX73" i="45"/>
  <c r="AX96" i="45"/>
  <c r="AW26" i="45"/>
  <c r="AW50" i="45"/>
  <c r="AW73" i="45"/>
  <c r="AW96" i="45"/>
  <c r="AV26" i="45"/>
  <c r="AV50" i="45"/>
  <c r="AV73" i="45"/>
  <c r="AV96" i="45"/>
  <c r="AU26" i="45"/>
  <c r="AU50" i="45"/>
  <c r="AU73" i="45"/>
  <c r="AU96" i="45"/>
  <c r="AT26" i="45"/>
  <c r="AT50" i="45"/>
  <c r="AT73" i="45"/>
  <c r="AT96" i="45"/>
  <c r="AS26" i="45"/>
  <c r="AS50" i="45"/>
  <c r="AS73" i="45"/>
  <c r="AS96" i="45"/>
  <c r="AR26" i="45"/>
  <c r="AR50" i="45"/>
  <c r="AR73" i="45"/>
  <c r="AR96" i="45"/>
  <c r="AQ26" i="45"/>
  <c r="AQ50" i="45"/>
  <c r="AQ73" i="45"/>
  <c r="AQ96" i="45"/>
  <c r="AP26" i="45"/>
  <c r="AP50" i="45"/>
  <c r="AP73" i="45"/>
  <c r="AP96" i="45"/>
  <c r="AO26" i="45"/>
  <c r="AO50" i="45"/>
  <c r="AO73" i="45"/>
  <c r="AO96" i="45"/>
  <c r="AN26" i="45"/>
  <c r="AN50" i="45"/>
  <c r="AN73" i="45"/>
  <c r="AN96" i="45"/>
  <c r="AM26" i="45"/>
  <c r="AM50" i="45"/>
  <c r="AM73" i="45"/>
  <c r="AM96" i="45"/>
  <c r="AL26" i="45"/>
  <c r="AL50" i="45"/>
  <c r="AL73" i="45"/>
  <c r="AL96" i="45"/>
  <c r="AK26" i="45"/>
  <c r="AK50" i="45"/>
  <c r="AK73" i="45"/>
  <c r="AK96" i="45"/>
  <c r="AJ26" i="45"/>
  <c r="AJ50" i="45"/>
  <c r="AJ73" i="45"/>
  <c r="AJ96" i="45"/>
  <c r="AI26" i="45"/>
  <c r="AI50" i="45"/>
  <c r="AI73" i="45"/>
  <c r="AI96" i="45"/>
  <c r="AH26" i="45"/>
  <c r="AH50" i="45"/>
  <c r="AH73" i="45"/>
  <c r="AH96" i="45"/>
  <c r="AG26" i="45"/>
  <c r="AG50" i="45"/>
  <c r="AG73" i="45"/>
  <c r="AG96" i="45"/>
  <c r="AF26" i="45"/>
  <c r="AF50" i="45"/>
  <c r="AF73" i="45"/>
  <c r="AF96" i="45"/>
  <c r="AE26" i="45"/>
  <c r="AE50" i="45"/>
  <c r="AE73" i="45"/>
  <c r="AE96" i="45"/>
  <c r="AD26" i="45"/>
  <c r="AD50" i="45"/>
  <c r="AD73" i="45"/>
  <c r="AD96" i="45"/>
  <c r="AC26" i="45"/>
  <c r="AC50" i="45"/>
  <c r="AC73" i="45"/>
  <c r="AC96" i="45"/>
  <c r="AB26" i="45"/>
  <c r="AB50" i="45"/>
  <c r="AB73" i="45"/>
  <c r="AB96" i="45"/>
  <c r="AA26" i="45"/>
  <c r="AA50" i="45"/>
  <c r="AA73" i="45"/>
  <c r="AA96" i="45"/>
  <c r="Z26" i="45"/>
  <c r="Z50" i="45"/>
  <c r="Z73" i="45"/>
  <c r="Z96" i="45"/>
  <c r="Y26" i="45"/>
  <c r="Y50" i="45"/>
  <c r="Y73" i="45"/>
  <c r="Y96" i="45"/>
  <c r="X26" i="45"/>
  <c r="X50" i="45"/>
  <c r="X73" i="45"/>
  <c r="X96" i="45"/>
  <c r="W26" i="45"/>
  <c r="W50" i="45"/>
  <c r="W73" i="45"/>
  <c r="W96" i="45"/>
  <c r="V26" i="45"/>
  <c r="V50" i="45"/>
  <c r="V73" i="45"/>
  <c r="V96" i="45"/>
  <c r="U26" i="45"/>
  <c r="U50" i="45"/>
  <c r="U73" i="45"/>
  <c r="U96" i="45"/>
  <c r="T26" i="45"/>
  <c r="T50" i="45"/>
  <c r="T73" i="45"/>
  <c r="T96" i="45"/>
  <c r="S26" i="45"/>
  <c r="S50" i="45"/>
  <c r="S73" i="45"/>
  <c r="S96" i="45"/>
  <c r="R26" i="45"/>
  <c r="R50" i="45"/>
  <c r="R73" i="45"/>
  <c r="R96" i="45"/>
  <c r="Q26" i="45"/>
  <c r="Q50" i="45"/>
  <c r="Q73" i="45"/>
  <c r="Q96" i="45"/>
  <c r="P26" i="45"/>
  <c r="P50" i="45"/>
  <c r="P73" i="45"/>
  <c r="P96" i="45"/>
  <c r="O26" i="45"/>
  <c r="O50" i="45"/>
  <c r="O73" i="45"/>
  <c r="O96" i="45"/>
  <c r="N26" i="45"/>
  <c r="N50" i="45"/>
  <c r="N73" i="45"/>
  <c r="N96" i="45"/>
  <c r="M26" i="45"/>
  <c r="M50" i="45"/>
  <c r="M73" i="45"/>
  <c r="M96" i="45"/>
  <c r="L26" i="45"/>
  <c r="L50" i="45"/>
  <c r="L73" i="45"/>
  <c r="L96" i="45"/>
  <c r="K26" i="45"/>
  <c r="K50" i="45"/>
  <c r="K73" i="45"/>
  <c r="K96" i="45"/>
  <c r="J26" i="45"/>
  <c r="J50" i="45"/>
  <c r="J73" i="45"/>
  <c r="J96" i="45"/>
  <c r="I26" i="45"/>
  <c r="I50" i="45"/>
  <c r="I73" i="45"/>
  <c r="I96" i="45"/>
  <c r="H26" i="45"/>
  <c r="H50" i="45"/>
  <c r="H73" i="45"/>
  <c r="H96" i="45"/>
  <c r="G26" i="45"/>
  <c r="G50" i="45"/>
  <c r="G73" i="45"/>
  <c r="G96" i="45"/>
  <c r="F26" i="45"/>
  <c r="F50" i="45"/>
  <c r="F73" i="45"/>
  <c r="F96" i="45"/>
  <c r="E26" i="45"/>
  <c r="E50" i="45"/>
  <c r="E73" i="45"/>
  <c r="E96" i="45"/>
  <c r="D26" i="45"/>
  <c r="D50" i="45"/>
  <c r="D73" i="45"/>
  <c r="D96" i="45"/>
  <c r="C26" i="45"/>
  <c r="C50" i="45"/>
  <c r="C73" i="45"/>
  <c r="C96" i="45"/>
  <c r="A23" i="45"/>
  <c r="A22" i="45"/>
  <c r="A21" i="45"/>
  <c r="AQ21" i="45"/>
  <c r="AQ44" i="45"/>
  <c r="A20" i="45"/>
  <c r="AI20" i="45"/>
  <c r="B42" i="45"/>
  <c r="B66" i="45"/>
  <c r="B89" i="45"/>
  <c r="B113" i="45"/>
  <c r="A19" i="45"/>
  <c r="A18" i="45"/>
  <c r="A17" i="45"/>
  <c r="Z17" i="45"/>
  <c r="Z40" i="45"/>
  <c r="A16" i="45"/>
  <c r="A15" i="45"/>
  <c r="DB15" i="45"/>
  <c r="DB38" i="45"/>
  <c r="A14" i="45"/>
  <c r="A13" i="45"/>
  <c r="A12" i="45"/>
  <c r="A11" i="45"/>
  <c r="G11" i="45"/>
  <c r="G34" i="45"/>
  <c r="A10" i="45"/>
  <c r="A9" i="45"/>
  <c r="BI9" i="45"/>
  <c r="BI32" i="45"/>
  <c r="A8" i="45"/>
  <c r="BW8" i="45"/>
  <c r="BW31" i="45"/>
  <c r="A7" i="45"/>
  <c r="CU7" i="45"/>
  <c r="CU30" i="45"/>
  <c r="A6" i="45"/>
  <c r="A87" i="44"/>
  <c r="A85" i="44"/>
  <c r="A84" i="44"/>
  <c r="A82" i="44"/>
  <c r="A79" i="44"/>
  <c r="A77" i="44"/>
  <c r="A75" i="44"/>
  <c r="A73" i="44"/>
  <c r="T71" i="44"/>
  <c r="FP70" i="44"/>
  <c r="FO70" i="44"/>
  <c r="FN70" i="44"/>
  <c r="FM70" i="44"/>
  <c r="FL70" i="44"/>
  <c r="FK70" i="44"/>
  <c r="FJ70" i="44"/>
  <c r="FI70" i="44"/>
  <c r="FH70" i="44"/>
  <c r="FG70" i="44"/>
  <c r="FF70" i="44"/>
  <c r="FE70" i="44"/>
  <c r="FD70" i="44"/>
  <c r="FC70" i="44"/>
  <c r="FB70" i="44"/>
  <c r="FA70" i="44"/>
  <c r="EZ70" i="44"/>
  <c r="EY70" i="44"/>
  <c r="EX70" i="44"/>
  <c r="EW70" i="44"/>
  <c r="EV70" i="44"/>
  <c r="EU70" i="44"/>
  <c r="ET70" i="44"/>
  <c r="ES70" i="44"/>
  <c r="ER70" i="44"/>
  <c r="EQ70" i="44"/>
  <c r="EP70" i="44"/>
  <c r="EO70" i="44"/>
  <c r="EN70" i="44"/>
  <c r="EM70" i="44"/>
  <c r="EL70" i="44"/>
  <c r="EK70" i="44"/>
  <c r="EJ70" i="44"/>
  <c r="EI70" i="44"/>
  <c r="EH70" i="44"/>
  <c r="EG70" i="44"/>
  <c r="EF70" i="44"/>
  <c r="EE70" i="44"/>
  <c r="ED70" i="44"/>
  <c r="EC70" i="44"/>
  <c r="EB70" i="44"/>
  <c r="EA70" i="44"/>
  <c r="DZ70" i="44"/>
  <c r="DY70" i="44"/>
  <c r="DX70" i="44"/>
  <c r="DW70" i="44"/>
  <c r="DV70" i="44"/>
  <c r="DU70" i="44"/>
  <c r="DT70" i="44"/>
  <c r="DS70" i="44"/>
  <c r="DR70" i="44"/>
  <c r="DQ70" i="44"/>
  <c r="DP70" i="44"/>
  <c r="DO70" i="44"/>
  <c r="DN70" i="44"/>
  <c r="DM70" i="44"/>
  <c r="DL70" i="44"/>
  <c r="DK70" i="44"/>
  <c r="DJ70" i="44"/>
  <c r="DI70" i="44"/>
  <c r="DH70" i="44"/>
  <c r="DG70" i="44"/>
  <c r="DF70" i="44"/>
  <c r="DE70" i="44"/>
  <c r="DD70" i="44"/>
  <c r="DC70" i="44"/>
  <c r="DB70" i="44"/>
  <c r="DA70" i="44"/>
  <c r="CZ70" i="44"/>
  <c r="CY70" i="44"/>
  <c r="CX70" i="44"/>
  <c r="CW70" i="44"/>
  <c r="CV70" i="44"/>
  <c r="CU70" i="44"/>
  <c r="CT70" i="44"/>
  <c r="CS70" i="44"/>
  <c r="CR70" i="44"/>
  <c r="CQ70" i="44"/>
  <c r="CP70" i="44"/>
  <c r="CO70" i="44"/>
  <c r="CN70" i="44"/>
  <c r="CM70" i="44"/>
  <c r="CL70" i="44"/>
  <c r="CK70" i="44"/>
  <c r="CJ70" i="44"/>
  <c r="CI70" i="44"/>
  <c r="CH70" i="44"/>
  <c r="CG70" i="44"/>
  <c r="CF70" i="44"/>
  <c r="CE70" i="44"/>
  <c r="CD70" i="44"/>
  <c r="CC70" i="44"/>
  <c r="CB70" i="44"/>
  <c r="CA70" i="44"/>
  <c r="BZ70" i="44"/>
  <c r="BY70" i="44"/>
  <c r="BX70" i="44"/>
  <c r="BW70" i="44"/>
  <c r="BV70" i="44"/>
  <c r="BU70" i="44"/>
  <c r="BT70" i="44"/>
  <c r="BS70" i="44"/>
  <c r="BR70" i="44"/>
  <c r="BQ70" i="44"/>
  <c r="BP70" i="44"/>
  <c r="BO70" i="44"/>
  <c r="BN70" i="44"/>
  <c r="BM70" i="44"/>
  <c r="BL70" i="44"/>
  <c r="BK70" i="44"/>
  <c r="BJ70" i="44"/>
  <c r="BI70" i="44"/>
  <c r="BH70" i="44"/>
  <c r="BG70" i="44"/>
  <c r="BF70" i="44"/>
  <c r="BE70" i="44"/>
  <c r="BD70" i="44"/>
  <c r="BC70" i="44"/>
  <c r="BB70" i="44"/>
  <c r="BA70" i="44"/>
  <c r="AZ70" i="44"/>
  <c r="AY70" i="44"/>
  <c r="AX70" i="44"/>
  <c r="AW70" i="44"/>
  <c r="AV70" i="44"/>
  <c r="AU70" i="44"/>
  <c r="AT70" i="44"/>
  <c r="AS70" i="44"/>
  <c r="AR70" i="44"/>
  <c r="AQ70" i="44"/>
  <c r="AP70" i="44"/>
  <c r="AO70" i="44"/>
  <c r="AN70" i="44"/>
  <c r="AM70" i="44"/>
  <c r="AL70" i="44"/>
  <c r="AK70" i="44"/>
  <c r="AJ70" i="44"/>
  <c r="AI70" i="44"/>
  <c r="AH70" i="44"/>
  <c r="AG70" i="44"/>
  <c r="AF70" i="44"/>
  <c r="AE70" i="44"/>
  <c r="AD70" i="44"/>
  <c r="AC70" i="44"/>
  <c r="AB70" i="44"/>
  <c r="AA70" i="44"/>
  <c r="Z70" i="44"/>
  <c r="Y70" i="44"/>
  <c r="X70" i="44"/>
  <c r="W70" i="44"/>
  <c r="D65" i="44"/>
  <c r="A65" i="44"/>
  <c r="A88" i="44"/>
  <c r="D64" i="44"/>
  <c r="A64" i="44"/>
  <c r="D63" i="44"/>
  <c r="A63" i="44"/>
  <c r="A86" i="44"/>
  <c r="D62" i="44"/>
  <c r="A62" i="44"/>
  <c r="D61" i="44"/>
  <c r="A61" i="44"/>
  <c r="D60" i="44"/>
  <c r="A60" i="44"/>
  <c r="A83" i="44"/>
  <c r="D59" i="44"/>
  <c r="A59" i="44"/>
  <c r="D58" i="44"/>
  <c r="A58" i="44"/>
  <c r="A81" i="44"/>
  <c r="D57" i="44"/>
  <c r="A57" i="44"/>
  <c r="A80" i="44"/>
  <c r="D56" i="44"/>
  <c r="A56" i="44"/>
  <c r="D55" i="44"/>
  <c r="A55" i="44"/>
  <c r="A78" i="44"/>
  <c r="D54" i="44"/>
  <c r="A54" i="44"/>
  <c r="D53" i="44"/>
  <c r="A53" i="44"/>
  <c r="A76" i="44"/>
  <c r="D52" i="44"/>
  <c r="A52" i="44"/>
  <c r="D51" i="44"/>
  <c r="A51" i="44"/>
  <c r="A74" i="44"/>
  <c r="D50" i="44"/>
  <c r="A50" i="44"/>
  <c r="D49" i="44"/>
  <c r="A49" i="44"/>
  <c r="A72" i="44"/>
  <c r="D48" i="44"/>
  <c r="A48" i="44"/>
  <c r="A71" i="44"/>
  <c r="A40" i="44"/>
  <c r="A39" i="44"/>
  <c r="A38" i="44"/>
  <c r="A37" i="44"/>
  <c r="A36" i="44"/>
  <c r="A35" i="44"/>
  <c r="A34" i="44"/>
  <c r="A33" i="44"/>
  <c r="A32" i="44"/>
  <c r="A31" i="44"/>
  <c r="A30" i="44"/>
  <c r="A29" i="44"/>
  <c r="A28" i="44"/>
  <c r="A27" i="44"/>
  <c r="A26" i="44"/>
  <c r="B13" i="46"/>
  <c r="D73" i="44"/>
  <c r="B14" i="46"/>
  <c r="B15" i="46"/>
  <c r="B16" i="46"/>
  <c r="B17" i="46"/>
  <c r="B18" i="46"/>
  <c r="B19" i="46"/>
  <c r="B20" i="46"/>
  <c r="B21" i="46"/>
  <c r="B22" i="46"/>
  <c r="B23" i="46"/>
  <c r="B24" i="46"/>
  <c r="B25" i="46"/>
  <c r="B26" i="46"/>
  <c r="B27" i="46"/>
  <c r="B28" i="46"/>
  <c r="B29" i="46"/>
  <c r="B30" i="46"/>
  <c r="B31" i="46"/>
  <c r="B32" i="46"/>
  <c r="B33" i="46"/>
  <c r="B34" i="46"/>
  <c r="B35" i="46"/>
  <c r="B36" i="46"/>
  <c r="B37" i="46"/>
  <c r="B38" i="46"/>
  <c r="B39" i="46"/>
  <c r="B40" i="46"/>
  <c r="B41" i="46"/>
  <c r="B42" i="46"/>
  <c r="B43" i="46"/>
  <c r="B44" i="46"/>
  <c r="B45" i="46"/>
  <c r="B46" i="46"/>
  <c r="B47" i="46"/>
  <c r="B48" i="46"/>
  <c r="B49" i="46"/>
  <c r="B50" i="46"/>
  <c r="B51" i="46"/>
  <c r="B52" i="46"/>
  <c r="B53" i="46"/>
  <c r="B54" i="46"/>
  <c r="B55" i="46"/>
  <c r="B56" i="46"/>
  <c r="B57" i="46"/>
  <c r="B58" i="46"/>
  <c r="B59" i="46"/>
  <c r="B60" i="46"/>
  <c r="B61" i="46"/>
  <c r="B62" i="46"/>
  <c r="B63" i="46"/>
  <c r="B64" i="46"/>
  <c r="B65" i="46"/>
  <c r="B66" i="46"/>
  <c r="B67" i="46"/>
  <c r="B68" i="46"/>
  <c r="B69" i="46"/>
  <c r="B70" i="46"/>
  <c r="B71" i="46"/>
  <c r="B72" i="46"/>
  <c r="B73" i="46"/>
  <c r="B74" i="46"/>
  <c r="B75" i="46"/>
  <c r="B76" i="46"/>
  <c r="B77" i="46"/>
  <c r="B78" i="46"/>
  <c r="B79" i="46"/>
  <c r="B80" i="46"/>
  <c r="B81" i="46"/>
  <c r="B82" i="46"/>
  <c r="B83" i="46"/>
  <c r="B84" i="46"/>
  <c r="B85" i="46"/>
  <c r="B86" i="46"/>
  <c r="B87" i="46"/>
  <c r="B88" i="46"/>
  <c r="B89" i="46"/>
  <c r="B90" i="46"/>
  <c r="B91" i="46"/>
  <c r="B92" i="46"/>
  <c r="B93" i="46"/>
  <c r="B94" i="46"/>
  <c r="B95" i="46"/>
  <c r="B96" i="46"/>
  <c r="B97" i="46"/>
  <c r="B98" i="46"/>
  <c r="B99" i="46"/>
  <c r="B100" i="46"/>
  <c r="B101" i="46"/>
  <c r="B102" i="46"/>
  <c r="B103" i="46"/>
  <c r="B104" i="46"/>
  <c r="B105" i="46"/>
  <c r="B106" i="46"/>
  <c r="B107" i="46"/>
  <c r="B108" i="46"/>
  <c r="B109" i="46"/>
  <c r="B110" i="46"/>
  <c r="B111" i="46"/>
  <c r="B112" i="46"/>
  <c r="B113" i="46"/>
  <c r="B114" i="46"/>
  <c r="B115" i="46"/>
  <c r="B116" i="46"/>
  <c r="B117" i="46"/>
  <c r="B118" i="46"/>
  <c r="B119" i="46"/>
  <c r="B120" i="46"/>
  <c r="B121" i="46"/>
  <c r="B122" i="46"/>
  <c r="B123" i="46"/>
  <c r="B124" i="46"/>
  <c r="B125" i="46"/>
  <c r="B126" i="46"/>
  <c r="B127" i="46"/>
  <c r="B128" i="46"/>
  <c r="I22" i="43"/>
  <c r="J22" i="43"/>
  <c r="J25" i="43"/>
  <c r="BY6" i="43"/>
  <c r="BY7" i="43"/>
  <c r="BY9" i="43"/>
  <c r="BN6" i="43"/>
  <c r="BU15" i="43"/>
  <c r="H20" i="43"/>
  <c r="BC6" i="43"/>
  <c r="BJ15" i="43"/>
  <c r="G20" i="43"/>
  <c r="AR6" i="43"/>
  <c r="AG6" i="43"/>
  <c r="V6" i="43"/>
  <c r="AC15" i="43"/>
  <c r="D20" i="43"/>
  <c r="V9" i="43"/>
  <c r="B6" i="43"/>
  <c r="A6" i="43"/>
  <c r="AG8" i="43"/>
  <c r="V8" i="43"/>
  <c r="C4" i="43"/>
  <c r="C6" i="43"/>
  <c r="C53" i="42"/>
  <c r="V47" i="42"/>
  <c r="Q47" i="42"/>
  <c r="N47" i="42"/>
  <c r="I47" i="42"/>
  <c r="F47" i="42"/>
  <c r="B42" i="42"/>
  <c r="C28" i="42"/>
  <c r="C29" i="1"/>
  <c r="E26" i="19"/>
  <c r="B28" i="42"/>
  <c r="B29" i="1"/>
  <c r="D26" i="19"/>
  <c r="V20" i="42"/>
  <c r="V20" i="1"/>
  <c r="X18" i="19"/>
  <c r="U20" i="42"/>
  <c r="U20" i="1"/>
  <c r="W18" i="19"/>
  <c r="T20" i="42"/>
  <c r="T20" i="1"/>
  <c r="V18" i="19"/>
  <c r="S20" i="42"/>
  <c r="S20" i="1"/>
  <c r="U18" i="19"/>
  <c r="R20" i="42"/>
  <c r="R20" i="1"/>
  <c r="T18" i="19"/>
  <c r="Q20" i="42"/>
  <c r="Q20" i="1"/>
  <c r="S18" i="19"/>
  <c r="P20" i="42"/>
  <c r="P20" i="1"/>
  <c r="R18" i="19"/>
  <c r="O20" i="42"/>
  <c r="O20" i="1"/>
  <c r="Q18" i="19"/>
  <c r="N20" i="42"/>
  <c r="N20" i="1"/>
  <c r="P18" i="19"/>
  <c r="M20" i="42"/>
  <c r="M20" i="1"/>
  <c r="O18" i="19"/>
  <c r="L20" i="42"/>
  <c r="L20" i="1"/>
  <c r="N18" i="19"/>
  <c r="K20" i="42"/>
  <c r="K20" i="1"/>
  <c r="M18" i="19"/>
  <c r="J20" i="42"/>
  <c r="J20" i="1"/>
  <c r="L18" i="19"/>
  <c r="I20" i="42"/>
  <c r="I20" i="1"/>
  <c r="K18" i="19"/>
  <c r="H20" i="42"/>
  <c r="H20" i="1"/>
  <c r="J18" i="19"/>
  <c r="G20" i="42"/>
  <c r="G20" i="1"/>
  <c r="I18" i="19"/>
  <c r="F20" i="42"/>
  <c r="F20" i="1"/>
  <c r="H18" i="19"/>
  <c r="E20" i="42"/>
  <c r="E20" i="1"/>
  <c r="G18" i="19"/>
  <c r="D20" i="42"/>
  <c r="D20" i="1"/>
  <c r="F18" i="19"/>
  <c r="C20" i="42"/>
  <c r="C20" i="1"/>
  <c r="E18" i="19"/>
  <c r="B19" i="42"/>
  <c r="B19" i="1"/>
  <c r="B108" i="5"/>
  <c r="H108" i="5"/>
  <c r="H109" i="5"/>
  <c r="D131" i="41"/>
  <c r="B124" i="41"/>
  <c r="W107" i="41"/>
  <c r="W106" i="41"/>
  <c r="X105" i="41"/>
  <c r="U103" i="41"/>
  <c r="Y102" i="41"/>
  <c r="U102" i="41"/>
  <c r="V101" i="41"/>
  <c r="S99" i="41"/>
  <c r="W98" i="41"/>
  <c r="S98" i="41"/>
  <c r="O98" i="41"/>
  <c r="Y97" i="41"/>
  <c r="V97" i="41"/>
  <c r="N97" i="41"/>
  <c r="Y96" i="41"/>
  <c r="X96" i="41"/>
  <c r="Y95" i="41"/>
  <c r="X95" i="41"/>
  <c r="W95" i="41"/>
  <c r="O95" i="41"/>
  <c r="Y94" i="41"/>
  <c r="X94" i="41"/>
  <c r="W94" i="41"/>
  <c r="V94" i="41"/>
  <c r="S94" i="41"/>
  <c r="O94" i="41"/>
  <c r="K94" i="41"/>
  <c r="Y93" i="41"/>
  <c r="X93" i="41"/>
  <c r="W93" i="41"/>
  <c r="V93" i="41"/>
  <c r="U93" i="41"/>
  <c r="R93" i="41"/>
  <c r="J93" i="41"/>
  <c r="Y92" i="41"/>
  <c r="X92" i="41"/>
  <c r="W92" i="41"/>
  <c r="V92" i="41"/>
  <c r="U92" i="41"/>
  <c r="T92" i="41"/>
  <c r="S92" i="41"/>
  <c r="R92" i="41"/>
  <c r="Q92" i="41"/>
  <c r="P92" i="41"/>
  <c r="O92" i="41"/>
  <c r="N92" i="41"/>
  <c r="M92" i="41"/>
  <c r="L92" i="41"/>
  <c r="K92" i="41"/>
  <c r="J92" i="41"/>
  <c r="I92" i="41"/>
  <c r="H92" i="41"/>
  <c r="Y91" i="41"/>
  <c r="X91" i="41"/>
  <c r="W91" i="41"/>
  <c r="V91" i="41"/>
  <c r="U91" i="41"/>
  <c r="T91" i="41"/>
  <c r="S91" i="41"/>
  <c r="R91" i="41"/>
  <c r="Q91" i="41"/>
  <c r="P91" i="41"/>
  <c r="O91" i="41"/>
  <c r="N91" i="41"/>
  <c r="M91" i="41"/>
  <c r="L91" i="41"/>
  <c r="K91" i="41"/>
  <c r="J91" i="41"/>
  <c r="I91" i="41"/>
  <c r="H91" i="41"/>
  <c r="G91" i="41"/>
  <c r="D91" i="41"/>
  <c r="D92" i="41"/>
  <c r="D93" i="41"/>
  <c r="D94" i="41"/>
  <c r="D95" i="41"/>
  <c r="D96" i="41"/>
  <c r="D97" i="41"/>
  <c r="D98" i="41"/>
  <c r="D99" i="41"/>
  <c r="D100" i="41"/>
  <c r="D101" i="41"/>
  <c r="D102" i="41"/>
  <c r="D103" i="41"/>
  <c r="D104" i="41"/>
  <c r="D105" i="41"/>
  <c r="D106" i="41"/>
  <c r="D107" i="41"/>
  <c r="D108" i="41"/>
  <c r="D109" i="41"/>
  <c r="D110" i="41"/>
  <c r="Y90" i="41"/>
  <c r="X90" i="41"/>
  <c r="W90" i="41"/>
  <c r="V90" i="41"/>
  <c r="U90" i="41"/>
  <c r="T90" i="41"/>
  <c r="S90" i="41"/>
  <c r="R90" i="41"/>
  <c r="Q90" i="41"/>
  <c r="P90" i="41"/>
  <c r="O90" i="41"/>
  <c r="N90" i="41"/>
  <c r="M90" i="41"/>
  <c r="L90" i="41"/>
  <c r="K90" i="41"/>
  <c r="J90" i="41"/>
  <c r="I90" i="41"/>
  <c r="H90" i="41"/>
  <c r="G90" i="41"/>
  <c r="F90" i="41"/>
  <c r="X86" i="41"/>
  <c r="W84" i="41"/>
  <c r="X83" i="41"/>
  <c r="Y80" i="41"/>
  <c r="V79" i="41"/>
  <c r="R79" i="41"/>
  <c r="T78" i="41"/>
  <c r="S76" i="41"/>
  <c r="Y75" i="41"/>
  <c r="W75" i="41"/>
  <c r="T75" i="41"/>
  <c r="R75" i="41"/>
  <c r="O75" i="41"/>
  <c r="Y74" i="41"/>
  <c r="X74" i="41"/>
  <c r="U74" i="41"/>
  <c r="P74" i="41"/>
  <c r="M74" i="41"/>
  <c r="Y73" i="41"/>
  <c r="X73" i="41"/>
  <c r="W73" i="41"/>
  <c r="Y72" i="41"/>
  <c r="X72" i="41"/>
  <c r="W72" i="41"/>
  <c r="V72" i="41"/>
  <c r="Y71" i="41"/>
  <c r="X71" i="41"/>
  <c r="W71" i="41"/>
  <c r="W112" i="41"/>
  <c r="W23" i="41"/>
  <c r="W25" i="41"/>
  <c r="W21" i="41"/>
  <c r="W22" i="41"/>
  <c r="W30" i="41"/>
  <c r="V71" i="41"/>
  <c r="U71" i="41"/>
  <c r="Y70" i="41"/>
  <c r="X70" i="41"/>
  <c r="X112" i="41"/>
  <c r="X23" i="41"/>
  <c r="X25" i="41"/>
  <c r="X21" i="41"/>
  <c r="X22" i="41"/>
  <c r="X30" i="41"/>
  <c r="W70" i="41"/>
  <c r="V70" i="41"/>
  <c r="U70" i="41"/>
  <c r="T70" i="41"/>
  <c r="Y69" i="41"/>
  <c r="X69" i="41"/>
  <c r="W69" i="41"/>
  <c r="V69" i="41"/>
  <c r="V112" i="41"/>
  <c r="V23" i="41"/>
  <c r="V25" i="41"/>
  <c r="V21" i="41"/>
  <c r="V22" i="41"/>
  <c r="V30" i="41"/>
  <c r="U69" i="41"/>
  <c r="T69" i="41"/>
  <c r="S69" i="41"/>
  <c r="D69" i="41"/>
  <c r="D70" i="41"/>
  <c r="D71" i="41"/>
  <c r="D72" i="41"/>
  <c r="D73" i="41"/>
  <c r="D74" i="41"/>
  <c r="D75" i="41"/>
  <c r="D76" i="41"/>
  <c r="D77" i="41"/>
  <c r="D78" i="41"/>
  <c r="D79" i="41"/>
  <c r="D80" i="41"/>
  <c r="D81" i="41"/>
  <c r="D82" i="41"/>
  <c r="D83" i="41"/>
  <c r="D84" i="41"/>
  <c r="D85" i="41"/>
  <c r="D86" i="41"/>
  <c r="D87" i="41"/>
  <c r="D88" i="41"/>
  <c r="Y68" i="41"/>
  <c r="Y112" i="41"/>
  <c r="Y23" i="41"/>
  <c r="Y25" i="41"/>
  <c r="Y21" i="41"/>
  <c r="Y22" i="41"/>
  <c r="Y30" i="41"/>
  <c r="X68" i="41"/>
  <c r="W68" i="41"/>
  <c r="V68" i="41"/>
  <c r="U68" i="41"/>
  <c r="T68" i="41"/>
  <c r="S68" i="41"/>
  <c r="R68" i="41"/>
  <c r="Y64" i="41"/>
  <c r="G53" i="41"/>
  <c r="H53" i="41"/>
  <c r="I53" i="41"/>
  <c r="J53" i="41"/>
  <c r="K53" i="41"/>
  <c r="L53" i="41"/>
  <c r="M53" i="41"/>
  <c r="N53" i="41"/>
  <c r="O53" i="41"/>
  <c r="P53" i="41"/>
  <c r="Q53" i="41"/>
  <c r="R53" i="41"/>
  <c r="S53" i="41"/>
  <c r="T53" i="41"/>
  <c r="U53" i="41"/>
  <c r="V53" i="41"/>
  <c r="W53" i="41"/>
  <c r="X53" i="41"/>
  <c r="Y53" i="41"/>
  <c r="F53" i="41"/>
  <c r="F52" i="41"/>
  <c r="U49" i="41"/>
  <c r="U48" i="41"/>
  <c r="S47" i="41"/>
  <c r="S46" i="41"/>
  <c r="H44" i="41"/>
  <c r="H43" i="41"/>
  <c r="H42" i="41"/>
  <c r="H41" i="41"/>
  <c r="E35" i="41"/>
  <c r="O37" i="41"/>
  <c r="O38" i="41"/>
  <c r="A32" i="41"/>
  <c r="T29" i="41"/>
  <c r="Q29" i="41"/>
  <c r="L29" i="41"/>
  <c r="Y29" i="41"/>
  <c r="X29" i="41"/>
  <c r="D28" i="41"/>
  <c r="Y109" i="41"/>
  <c r="W29" i="41"/>
  <c r="Y103" i="41"/>
  <c r="O29" i="41"/>
  <c r="O99" i="41"/>
  <c r="S95" i="41"/>
  <c r="D27" i="41"/>
  <c r="Y87" i="41"/>
  <c r="Y86" i="41"/>
  <c r="U29" i="41"/>
  <c r="W76" i="41"/>
  <c r="Y24" i="41"/>
  <c r="X24" i="41"/>
  <c r="W24" i="41"/>
  <c r="V24" i="41"/>
  <c r="U24" i="41"/>
  <c r="T24" i="41"/>
  <c r="S24" i="41"/>
  <c r="R24" i="41"/>
  <c r="Q24" i="41"/>
  <c r="P24" i="41"/>
  <c r="O24" i="41"/>
  <c r="N24" i="41"/>
  <c r="M24" i="41"/>
  <c r="L24" i="41"/>
  <c r="K24" i="41"/>
  <c r="J24" i="41"/>
  <c r="I24" i="41"/>
  <c r="H24" i="41"/>
  <c r="G24" i="41"/>
  <c r="F24" i="41"/>
  <c r="E24" i="41"/>
  <c r="E17" i="41"/>
  <c r="F16" i="41"/>
  <c r="E16" i="41"/>
  <c r="E15" i="41"/>
  <c r="E19" i="41"/>
  <c r="F15" i="41"/>
  <c r="I9" i="41"/>
  <c r="J9" i="41"/>
  <c r="K9" i="41"/>
  <c r="L9" i="41"/>
  <c r="M9" i="41"/>
  <c r="N9" i="41"/>
  <c r="O9" i="41"/>
  <c r="P9" i="41"/>
  <c r="Q9" i="41"/>
  <c r="R9" i="41"/>
  <c r="S9" i="41"/>
  <c r="T9" i="41"/>
  <c r="U9" i="41"/>
  <c r="V9" i="41"/>
  <c r="W9" i="41"/>
  <c r="X9" i="41"/>
  <c r="Y9" i="41"/>
  <c r="G9" i="41"/>
  <c r="H9" i="41"/>
  <c r="F9" i="41"/>
  <c r="Y4" i="41"/>
  <c r="X4" i="41"/>
  <c r="Y3" i="41"/>
  <c r="P87" i="39"/>
  <c r="P86" i="39"/>
  <c r="O86" i="39"/>
  <c r="P85" i="39"/>
  <c r="O85" i="39"/>
  <c r="N85" i="39"/>
  <c r="P84" i="39"/>
  <c r="O84" i="39"/>
  <c r="N84" i="39"/>
  <c r="M84" i="39"/>
  <c r="P83" i="39"/>
  <c r="O83" i="39"/>
  <c r="N83" i="39"/>
  <c r="M83" i="39"/>
  <c r="L83" i="39"/>
  <c r="P82" i="39"/>
  <c r="O82" i="39"/>
  <c r="N82" i="39"/>
  <c r="M82" i="39"/>
  <c r="L82" i="39"/>
  <c r="K82" i="39"/>
  <c r="P81" i="39"/>
  <c r="O81" i="39"/>
  <c r="N81" i="39"/>
  <c r="M81" i="39"/>
  <c r="L81" i="39"/>
  <c r="K81" i="39"/>
  <c r="J81" i="39"/>
  <c r="P80" i="39"/>
  <c r="O80" i="39"/>
  <c r="N80" i="39"/>
  <c r="M80" i="39"/>
  <c r="L80" i="39"/>
  <c r="K80" i="39"/>
  <c r="J80" i="39"/>
  <c r="I80" i="39"/>
  <c r="P79" i="39"/>
  <c r="O79" i="39"/>
  <c r="N79" i="39"/>
  <c r="M79" i="39"/>
  <c r="L79" i="39"/>
  <c r="K79" i="39"/>
  <c r="J79" i="39"/>
  <c r="I79" i="39"/>
  <c r="H79" i="39"/>
  <c r="P78" i="39"/>
  <c r="O78" i="39"/>
  <c r="N78" i="39"/>
  <c r="M78" i="39"/>
  <c r="L78" i="39"/>
  <c r="K78" i="39"/>
  <c r="J78" i="39"/>
  <c r="I78" i="39"/>
  <c r="H78" i="39"/>
  <c r="G78" i="39"/>
  <c r="P77" i="39"/>
  <c r="O77" i="39"/>
  <c r="N77" i="39"/>
  <c r="M77" i="39"/>
  <c r="L77" i="39"/>
  <c r="K77" i="39"/>
  <c r="J77" i="39"/>
  <c r="I77" i="39"/>
  <c r="H77" i="39"/>
  <c r="G77" i="39"/>
  <c r="F77" i="39"/>
  <c r="P75" i="39"/>
  <c r="P74" i="39"/>
  <c r="O74" i="39"/>
  <c r="P73" i="39"/>
  <c r="O73" i="39"/>
  <c r="N73" i="39"/>
  <c r="P72" i="39"/>
  <c r="O72" i="39"/>
  <c r="N72" i="39"/>
  <c r="M72" i="39"/>
  <c r="P71" i="39"/>
  <c r="O71" i="39"/>
  <c r="N71" i="39"/>
  <c r="M71" i="39"/>
  <c r="L71" i="39"/>
  <c r="P70" i="39"/>
  <c r="O70" i="39"/>
  <c r="N70" i="39"/>
  <c r="M70" i="39"/>
  <c r="L70" i="39"/>
  <c r="K70" i="39"/>
  <c r="P65" i="39"/>
  <c r="D65" i="39" a="1"/>
  <c r="D73" i="39"/>
  <c r="D85" i="39"/>
  <c r="P55" i="39"/>
  <c r="G51" i="39"/>
  <c r="H51" i="39"/>
  <c r="I51" i="39"/>
  <c r="J51" i="39"/>
  <c r="K51" i="39"/>
  <c r="L51" i="39"/>
  <c r="M51" i="39"/>
  <c r="N51" i="39"/>
  <c r="O51" i="39"/>
  <c r="P51" i="39"/>
  <c r="F51" i="39"/>
  <c r="F50" i="39"/>
  <c r="U49" i="39"/>
  <c r="T49" i="39"/>
  <c r="U48" i="39"/>
  <c r="T48" i="39"/>
  <c r="U47" i="39"/>
  <c r="T47" i="39"/>
  <c r="U46" i="39"/>
  <c r="T46" i="39"/>
  <c r="S43" i="39"/>
  <c r="E35" i="39"/>
  <c r="S42" i="39"/>
  <c r="A32" i="39"/>
  <c r="P29" i="39"/>
  <c r="O29" i="39"/>
  <c r="N29" i="39"/>
  <c r="M29" i="39"/>
  <c r="L29" i="39"/>
  <c r="K29" i="39"/>
  <c r="J29" i="39"/>
  <c r="D28" i="39"/>
  <c r="D27" i="39"/>
  <c r="P24" i="39"/>
  <c r="O24" i="39"/>
  <c r="N24" i="39"/>
  <c r="M24" i="39"/>
  <c r="L24" i="39"/>
  <c r="K24" i="39"/>
  <c r="J24" i="39"/>
  <c r="I24" i="39"/>
  <c r="H24" i="39"/>
  <c r="G24" i="39"/>
  <c r="F24" i="39"/>
  <c r="E24" i="39"/>
  <c r="E17" i="39"/>
  <c r="E16" i="39"/>
  <c r="E15" i="39"/>
  <c r="P4" i="39"/>
  <c r="P3" i="39"/>
  <c r="B8" i="16"/>
  <c r="B9" i="16"/>
  <c r="B10" i="16"/>
  <c r="B11" i="16"/>
  <c r="B12" i="16"/>
  <c r="E19" i="16"/>
  <c r="E20" i="16"/>
  <c r="B20" i="16"/>
  <c r="B21" i="16"/>
  <c r="E21" i="16"/>
  <c r="B22" i="16"/>
  <c r="E22" i="16"/>
  <c r="B23" i="16"/>
  <c r="E23" i="16"/>
  <c r="B24" i="16"/>
  <c r="E24" i="16"/>
  <c r="E1" i="13"/>
  <c r="F1" i="13"/>
  <c r="E2" i="13"/>
  <c r="F2" i="13"/>
  <c r="E3" i="13"/>
  <c r="F3" i="13"/>
  <c r="E4" i="13"/>
  <c r="F4" i="13"/>
  <c r="E5" i="13"/>
  <c r="F5" i="13"/>
  <c r="A8" i="13" a="1"/>
  <c r="Y3" i="34"/>
  <c r="Y4" i="34"/>
  <c r="F9" i="34"/>
  <c r="G9" i="34"/>
  <c r="H9" i="34"/>
  <c r="I9" i="34"/>
  <c r="J9" i="34"/>
  <c r="K9" i="34"/>
  <c r="L9" i="34"/>
  <c r="M9" i="34"/>
  <c r="N9" i="34"/>
  <c r="O9" i="34"/>
  <c r="P9" i="34"/>
  <c r="Q9" i="34"/>
  <c r="R9" i="34"/>
  <c r="S9" i="34"/>
  <c r="T9" i="34"/>
  <c r="U9" i="34"/>
  <c r="V9" i="34"/>
  <c r="W9" i="34"/>
  <c r="X9" i="34"/>
  <c r="Y9" i="34"/>
  <c r="E16" i="34"/>
  <c r="E17" i="34"/>
  <c r="E24" i="34"/>
  <c r="F24" i="34"/>
  <c r="G24" i="34"/>
  <c r="H24" i="34"/>
  <c r="I24" i="34"/>
  <c r="J24" i="34"/>
  <c r="K24" i="34"/>
  <c r="L24" i="34"/>
  <c r="M24" i="34"/>
  <c r="N24" i="34"/>
  <c r="O24" i="34"/>
  <c r="P24" i="34"/>
  <c r="Q24" i="34"/>
  <c r="R24" i="34"/>
  <c r="S24" i="34"/>
  <c r="T24" i="34"/>
  <c r="U24" i="34"/>
  <c r="V24" i="34"/>
  <c r="W24" i="34"/>
  <c r="X24" i="34"/>
  <c r="Y24" i="34"/>
  <c r="U81" i="34"/>
  <c r="V82" i="34"/>
  <c r="V84" i="34"/>
  <c r="Y85" i="34"/>
  <c r="X86" i="34"/>
  <c r="A32" i="34"/>
  <c r="E35" i="34"/>
  <c r="O37" i="34"/>
  <c r="O38" i="34"/>
  <c r="H41" i="34"/>
  <c r="H42" i="34"/>
  <c r="H43" i="34"/>
  <c r="H44" i="34"/>
  <c r="S46" i="34"/>
  <c r="S47" i="34"/>
  <c r="U48" i="34"/>
  <c r="U49" i="34"/>
  <c r="F52" i="34"/>
  <c r="F16" i="34"/>
  <c r="G52" i="34"/>
  <c r="F53" i="34"/>
  <c r="Y64" i="34"/>
  <c r="R68" i="34"/>
  <c r="S68" i="34"/>
  <c r="T68" i="34"/>
  <c r="U68" i="34"/>
  <c r="V68" i="34"/>
  <c r="W68" i="34"/>
  <c r="X68" i="34"/>
  <c r="Y68" i="34"/>
  <c r="D69" i="34"/>
  <c r="S69" i="34"/>
  <c r="T69" i="34"/>
  <c r="U69" i="34"/>
  <c r="V69" i="34"/>
  <c r="W69" i="34"/>
  <c r="X69" i="34"/>
  <c r="Y69" i="34"/>
  <c r="D70" i="34"/>
  <c r="D71" i="34"/>
  <c r="D72" i="34"/>
  <c r="D73" i="34"/>
  <c r="D74" i="34"/>
  <c r="D75" i="34"/>
  <c r="D76" i="34"/>
  <c r="T70" i="34"/>
  <c r="U70" i="34"/>
  <c r="V70" i="34"/>
  <c r="W70" i="34"/>
  <c r="X70" i="34"/>
  <c r="Y70" i="34"/>
  <c r="U71" i="34"/>
  <c r="V71" i="34"/>
  <c r="W71" i="34"/>
  <c r="X71" i="34"/>
  <c r="Y71" i="34"/>
  <c r="V72" i="34"/>
  <c r="W72" i="34"/>
  <c r="X72" i="34"/>
  <c r="Y72" i="34"/>
  <c r="W73" i="34"/>
  <c r="X73" i="34"/>
  <c r="Y73" i="34"/>
  <c r="X74" i="34"/>
  <c r="Y74" i="34"/>
  <c r="Y75" i="34"/>
  <c r="D77" i="34"/>
  <c r="D78" i="34"/>
  <c r="D79" i="34"/>
  <c r="D80" i="34"/>
  <c r="D81" i="34"/>
  <c r="Y81" i="34"/>
  <c r="D82" i="34"/>
  <c r="D83" i="34"/>
  <c r="D84" i="34"/>
  <c r="U82" i="34"/>
  <c r="Y82" i="34"/>
  <c r="D85" i="34"/>
  <c r="D86" i="34"/>
  <c r="D87" i="34"/>
  <c r="D88" i="34"/>
  <c r="Y86" i="34"/>
  <c r="F90" i="34"/>
  <c r="G90" i="34"/>
  <c r="H90" i="34"/>
  <c r="I90" i="34"/>
  <c r="J90" i="34"/>
  <c r="K90" i="34"/>
  <c r="L90" i="34"/>
  <c r="M90" i="34"/>
  <c r="N90" i="34"/>
  <c r="O90" i="34"/>
  <c r="P90" i="34"/>
  <c r="Q90" i="34"/>
  <c r="R90" i="34"/>
  <c r="S90" i="34"/>
  <c r="T90" i="34"/>
  <c r="U90" i="34"/>
  <c r="V90" i="34"/>
  <c r="W90" i="34"/>
  <c r="X90" i="34"/>
  <c r="Y90" i="34"/>
  <c r="D91" i="34"/>
  <c r="G91" i="34"/>
  <c r="H91" i="34"/>
  <c r="I91" i="34"/>
  <c r="J91" i="34"/>
  <c r="K91" i="34"/>
  <c r="L91" i="34"/>
  <c r="M91" i="34"/>
  <c r="N91" i="34"/>
  <c r="O91" i="34"/>
  <c r="P91" i="34"/>
  <c r="Q91" i="34"/>
  <c r="R91" i="34"/>
  <c r="S91" i="34"/>
  <c r="T91" i="34"/>
  <c r="U91" i="34"/>
  <c r="V91" i="34"/>
  <c r="W91" i="34"/>
  <c r="X91" i="34"/>
  <c r="Y91" i="34"/>
  <c r="D92" i="34"/>
  <c r="D93" i="34"/>
  <c r="D94" i="34"/>
  <c r="H92" i="34"/>
  <c r="I92" i="34"/>
  <c r="J92" i="34"/>
  <c r="K92" i="34"/>
  <c r="L92" i="34"/>
  <c r="M92" i="34"/>
  <c r="N92" i="34"/>
  <c r="O92" i="34"/>
  <c r="P92" i="34"/>
  <c r="Q92" i="34"/>
  <c r="R92" i="34"/>
  <c r="S92" i="34"/>
  <c r="T92" i="34"/>
  <c r="U92" i="34"/>
  <c r="V92" i="34"/>
  <c r="W92" i="34"/>
  <c r="X92" i="34"/>
  <c r="Y92" i="34"/>
  <c r="U93" i="34"/>
  <c r="V93" i="34"/>
  <c r="W93" i="34"/>
  <c r="X93" i="34"/>
  <c r="Y93" i="34"/>
  <c r="V94" i="34"/>
  <c r="W94" i="34"/>
  <c r="X94" i="34"/>
  <c r="Y94" i="34"/>
  <c r="D95" i="34"/>
  <c r="D96" i="34"/>
  <c r="D97" i="34"/>
  <c r="D98" i="34"/>
  <c r="W95" i="34"/>
  <c r="X95" i="34"/>
  <c r="Y95" i="34"/>
  <c r="X96" i="34"/>
  <c r="Y96" i="34"/>
  <c r="Y97" i="34"/>
  <c r="D99" i="34"/>
  <c r="D100" i="34"/>
  <c r="D101" i="34"/>
  <c r="D102" i="34"/>
  <c r="D103" i="34"/>
  <c r="D104" i="34"/>
  <c r="D105" i="34"/>
  <c r="D106" i="34"/>
  <c r="D107" i="34"/>
  <c r="D108" i="34"/>
  <c r="D109" i="34"/>
  <c r="D110" i="34"/>
  <c r="B124" i="34"/>
  <c r="D131" i="34"/>
  <c r="H11" i="12"/>
  <c r="H12" i="12" s="1"/>
  <c r="D16" i="12"/>
  <c r="D17" i="12"/>
  <c r="D18" i="12"/>
  <c r="D19" i="12"/>
  <c r="D20" i="12"/>
  <c r="D21" i="12"/>
  <c r="D22" i="12"/>
  <c r="D23" i="12"/>
  <c r="D24" i="12"/>
  <c r="D25" i="12"/>
  <c r="H35" i="12"/>
  <c r="B8" i="13" a="1"/>
  <c r="B11" i="13" s="1"/>
  <c r="H36" i="12"/>
  <c r="D8" i="13" a="1"/>
  <c r="D12" i="13" s="1"/>
  <c r="D19" i="13" s="1"/>
  <c r="P3" i="10"/>
  <c r="P4" i="10"/>
  <c r="F9" i="10"/>
  <c r="G9" i="10"/>
  <c r="H9" i="10"/>
  <c r="I9" i="10"/>
  <c r="J9" i="10"/>
  <c r="K9" i="10"/>
  <c r="L9" i="10"/>
  <c r="M9" i="10"/>
  <c r="N9" i="10"/>
  <c r="O9" i="10"/>
  <c r="P9" i="10"/>
  <c r="Q9" i="10"/>
  <c r="R9" i="10"/>
  <c r="S9" i="10"/>
  <c r="T9" i="10"/>
  <c r="U9" i="10"/>
  <c r="V9" i="10"/>
  <c r="W9" i="10"/>
  <c r="X9" i="10"/>
  <c r="D11" i="10"/>
  <c r="E11" i="10"/>
  <c r="F11" i="10"/>
  <c r="G11" i="10"/>
  <c r="H11" i="10"/>
  <c r="I11" i="10"/>
  <c r="J11" i="10"/>
  <c r="K11" i="10"/>
  <c r="L11" i="10"/>
  <c r="M11" i="10"/>
  <c r="N11" i="10"/>
  <c r="O11" i="10"/>
  <c r="P11" i="10"/>
  <c r="E12" i="10"/>
  <c r="E15" i="10"/>
  <c r="E19" i="10"/>
  <c r="F12" i="10"/>
  <c r="F15" i="10"/>
  <c r="F19" i="10"/>
  <c r="E14" i="10"/>
  <c r="F14" i="10"/>
  <c r="G14" i="10"/>
  <c r="H14" i="10"/>
  <c r="I14" i="10"/>
  <c r="J14" i="10"/>
  <c r="K14" i="10"/>
  <c r="L14" i="10"/>
  <c r="M14" i="10"/>
  <c r="N14" i="10"/>
  <c r="O14" i="10"/>
  <c r="P14" i="10"/>
  <c r="AC15" i="10"/>
  <c r="E16" i="10"/>
  <c r="AC16" i="10"/>
  <c r="E17" i="10"/>
  <c r="AC17" i="10"/>
  <c r="E18" i="10"/>
  <c r="F18" i="10"/>
  <c r="G18" i="10"/>
  <c r="H18" i="10"/>
  <c r="I18" i="10"/>
  <c r="J18" i="10"/>
  <c r="K18" i="10"/>
  <c r="L18" i="10"/>
  <c r="M18" i="10"/>
  <c r="N18" i="10"/>
  <c r="O18" i="10"/>
  <c r="P18" i="10"/>
  <c r="AC18" i="10"/>
  <c r="E20" i="10"/>
  <c r="F20" i="10"/>
  <c r="G20" i="10"/>
  <c r="H20" i="10"/>
  <c r="I20" i="10"/>
  <c r="J20" i="10"/>
  <c r="K20" i="10"/>
  <c r="L20" i="10"/>
  <c r="M20" i="10"/>
  <c r="N20" i="10"/>
  <c r="O20" i="10"/>
  <c r="P20" i="10"/>
  <c r="E23" i="10"/>
  <c r="D27" i="10"/>
  <c r="A32" i="10"/>
  <c r="E35" i="10"/>
  <c r="AA9" i="10"/>
  <c r="AA10" i="10"/>
  <c r="O38" i="10"/>
  <c r="O35" i="10"/>
  <c r="P40" i="10"/>
  <c r="E41" i="10"/>
  <c r="I24" i="10"/>
  <c r="P41" i="10"/>
  <c r="F50" i="10"/>
  <c r="F16" i="10"/>
  <c r="G50" i="10"/>
  <c r="F51" i="10"/>
  <c r="G51" i="10"/>
  <c r="H51" i="10"/>
  <c r="I51" i="10"/>
  <c r="J51" i="10"/>
  <c r="K51" i="10"/>
  <c r="L51" i="10"/>
  <c r="M51" i="10"/>
  <c r="N51" i="10"/>
  <c r="O51" i="10"/>
  <c r="P51" i="10"/>
  <c r="Q51" i="10"/>
  <c r="R51" i="10"/>
  <c r="S51" i="10"/>
  <c r="T51" i="10"/>
  <c r="U51" i="10"/>
  <c r="V51" i="10"/>
  <c r="W51" i="10"/>
  <c r="X51" i="10"/>
  <c r="Q53" i="10"/>
  <c r="R53" i="10"/>
  <c r="S53" i="10"/>
  <c r="T53" i="10"/>
  <c r="U53" i="10"/>
  <c r="V53" i="10"/>
  <c r="W53" i="10"/>
  <c r="X53" i="10"/>
  <c r="X60" i="10"/>
  <c r="D64" i="10"/>
  <c r="S64" i="10"/>
  <c r="T64" i="10"/>
  <c r="U64" i="10"/>
  <c r="W64" i="10"/>
  <c r="X64" i="10"/>
  <c r="D65" i="10"/>
  <c r="T65" i="10"/>
  <c r="U65" i="10"/>
  <c r="V65" i="10"/>
  <c r="X65" i="10"/>
  <c r="D66" i="10"/>
  <c r="D67" i="10"/>
  <c r="D68" i="10"/>
  <c r="T66" i="10"/>
  <c r="V66" i="10"/>
  <c r="W66" i="10"/>
  <c r="X66" i="10"/>
  <c r="U67" i="10"/>
  <c r="V67" i="10"/>
  <c r="W67" i="10"/>
  <c r="V68" i="10"/>
  <c r="W68" i="10"/>
  <c r="D69" i="10"/>
  <c r="D70" i="10"/>
  <c r="D71" i="10"/>
  <c r="W69" i="10"/>
  <c r="X69" i="10"/>
  <c r="X70" i="10"/>
  <c r="D72" i="10"/>
  <c r="D73" i="10"/>
  <c r="D74" i="10"/>
  <c r="D75" i="10"/>
  <c r="D76" i="10"/>
  <c r="D77" i="10"/>
  <c r="D78" i="10"/>
  <c r="D79" i="10"/>
  <c r="D80" i="10"/>
  <c r="Q75" i="10"/>
  <c r="R75" i="10"/>
  <c r="S75" i="10"/>
  <c r="U75" i="10"/>
  <c r="V75" i="10"/>
  <c r="W75" i="10"/>
  <c r="R76" i="10"/>
  <c r="S76" i="10"/>
  <c r="U76" i="10"/>
  <c r="V76" i="10"/>
  <c r="W76" i="10"/>
  <c r="S77" i="10"/>
  <c r="T77" i="10"/>
  <c r="V77" i="10"/>
  <c r="W77" i="10"/>
  <c r="X77" i="10"/>
  <c r="T78" i="10"/>
  <c r="U78" i="10"/>
  <c r="V78" i="10"/>
  <c r="X78" i="10"/>
  <c r="U79" i="10"/>
  <c r="W79" i="10"/>
  <c r="X79" i="10"/>
  <c r="W80" i="10"/>
  <c r="X80" i="10"/>
  <c r="D81" i="10"/>
  <c r="D82" i="10"/>
  <c r="X81" i="10"/>
  <c r="X82" i="10"/>
  <c r="D86" i="10"/>
  <c r="F86" i="10"/>
  <c r="I86" i="10"/>
  <c r="J86" i="10"/>
  <c r="N86" i="10"/>
  <c r="Q86" i="10"/>
  <c r="R86" i="10"/>
  <c r="V86" i="10"/>
  <c r="D87" i="10"/>
  <c r="D88" i="10"/>
  <c r="D89" i="10"/>
  <c r="D90" i="10"/>
  <c r="D91" i="10"/>
  <c r="D92" i="10"/>
  <c r="D93" i="10"/>
  <c r="G87" i="10"/>
  <c r="K87" i="10"/>
  <c r="N87" i="10"/>
  <c r="O87" i="10"/>
  <c r="S87" i="10"/>
  <c r="V87" i="10"/>
  <c r="W87" i="10"/>
  <c r="J88" i="10"/>
  <c r="M88" i="10"/>
  <c r="N88" i="10"/>
  <c r="R88" i="10"/>
  <c r="U88" i="10"/>
  <c r="V88" i="10"/>
  <c r="J89" i="10"/>
  <c r="M89" i="10"/>
  <c r="N89" i="10"/>
  <c r="R89" i="10"/>
  <c r="U89" i="10"/>
  <c r="V89" i="10"/>
  <c r="K90" i="10"/>
  <c r="N90" i="10"/>
  <c r="O90" i="10"/>
  <c r="S90" i="10"/>
  <c r="V90" i="10"/>
  <c r="W90" i="10"/>
  <c r="M91" i="10"/>
  <c r="P91" i="10"/>
  <c r="Q91" i="10"/>
  <c r="U91" i="10"/>
  <c r="X91" i="10"/>
  <c r="L92" i="10"/>
  <c r="P92" i="10"/>
  <c r="S92" i="10"/>
  <c r="T92" i="10"/>
  <c r="X92" i="10"/>
  <c r="O93" i="10"/>
  <c r="P93" i="10"/>
  <c r="T93" i="10"/>
  <c r="W93" i="10"/>
  <c r="X93" i="10"/>
  <c r="D94" i="10"/>
  <c r="O94" i="10"/>
  <c r="P94" i="10"/>
  <c r="S94" i="10"/>
  <c r="W94" i="10"/>
  <c r="X94" i="10"/>
  <c r="D95" i="10"/>
  <c r="D96" i="10"/>
  <c r="D97" i="10"/>
  <c r="Q95" i="10"/>
  <c r="T95" i="10"/>
  <c r="U95" i="10"/>
  <c r="P96" i="10"/>
  <c r="S96" i="10"/>
  <c r="T96" i="10"/>
  <c r="X96" i="10"/>
  <c r="S97" i="10"/>
  <c r="T97" i="10"/>
  <c r="X97" i="10"/>
  <c r="D98" i="10"/>
  <c r="S98" i="10"/>
  <c r="W98" i="10"/>
  <c r="X98" i="10"/>
  <c r="D99" i="10"/>
  <c r="D100" i="10"/>
  <c r="D101" i="10"/>
  <c r="U99" i="10"/>
  <c r="X99" i="10"/>
  <c r="T100" i="10"/>
  <c r="X100" i="10"/>
  <c r="W101" i="10"/>
  <c r="X101" i="10"/>
  <c r="D102" i="10"/>
  <c r="W102" i="10"/>
  <c r="X102" i="10"/>
  <c r="D103" i="10"/>
  <c r="D104" i="10"/>
  <c r="X104" i="10"/>
  <c r="Y3" i="29"/>
  <c r="Y4" i="29"/>
  <c r="F9" i="29"/>
  <c r="G9" i="29"/>
  <c r="H9" i="29"/>
  <c r="I9" i="29"/>
  <c r="J9" i="29"/>
  <c r="K9" i="29"/>
  <c r="L9" i="29"/>
  <c r="M9" i="29"/>
  <c r="N9" i="29"/>
  <c r="O9" i="29"/>
  <c r="P9" i="29"/>
  <c r="Q9" i="29"/>
  <c r="R9" i="29"/>
  <c r="S9" i="29"/>
  <c r="T9" i="29"/>
  <c r="U9" i="29"/>
  <c r="V9" i="29"/>
  <c r="W9" i="29"/>
  <c r="X9" i="29"/>
  <c r="Y9" i="29"/>
  <c r="E12" i="29"/>
  <c r="E15" i="29"/>
  <c r="E19" i="29"/>
  <c r="F12" i="29"/>
  <c r="F15" i="29"/>
  <c r="F19" i="29"/>
  <c r="E16" i="29"/>
  <c r="E17" i="29"/>
  <c r="E24" i="29"/>
  <c r="F24" i="29"/>
  <c r="G24" i="29"/>
  <c r="H24" i="29"/>
  <c r="I24" i="29"/>
  <c r="J24" i="29"/>
  <c r="K24" i="29"/>
  <c r="L24" i="29"/>
  <c r="M24" i="29"/>
  <c r="N24" i="29"/>
  <c r="O24" i="29"/>
  <c r="P24" i="29"/>
  <c r="Q24" i="29"/>
  <c r="R24" i="29"/>
  <c r="S24" i="29"/>
  <c r="T24" i="29"/>
  <c r="U24" i="29"/>
  <c r="V24" i="29"/>
  <c r="W24" i="29"/>
  <c r="X24" i="29"/>
  <c r="Y24" i="29"/>
  <c r="M26" i="29"/>
  <c r="P68" i="29"/>
  <c r="N26" i="29"/>
  <c r="O69" i="29"/>
  <c r="O26" i="29"/>
  <c r="Q70" i="29"/>
  <c r="P26" i="29"/>
  <c r="Q26" i="29"/>
  <c r="W72" i="29"/>
  <c r="R26" i="29"/>
  <c r="T73" i="29"/>
  <c r="S26" i="29"/>
  <c r="U74" i="29"/>
  <c r="T26" i="29"/>
  <c r="U26" i="29"/>
  <c r="Y76" i="29"/>
  <c r="V26" i="29"/>
  <c r="Y77" i="29"/>
  <c r="W26" i="29"/>
  <c r="X26" i="29"/>
  <c r="Y79" i="29"/>
  <c r="Y26" i="29"/>
  <c r="D27" i="29"/>
  <c r="A32" i="29"/>
  <c r="E35" i="29"/>
  <c r="O37" i="29"/>
  <c r="O38" i="29"/>
  <c r="H41" i="29"/>
  <c r="H42" i="29"/>
  <c r="H43" i="29"/>
  <c r="H44" i="29"/>
  <c r="S46" i="29"/>
  <c r="S47" i="29"/>
  <c r="U48" i="29"/>
  <c r="U49" i="29"/>
  <c r="F52" i="29"/>
  <c r="F53" i="29"/>
  <c r="G53" i="29"/>
  <c r="H53" i="29"/>
  <c r="I53" i="29"/>
  <c r="J53" i="29"/>
  <c r="K53" i="29"/>
  <c r="L53" i="29"/>
  <c r="M53" i="29"/>
  <c r="N53" i="29"/>
  <c r="O53" i="29"/>
  <c r="P53" i="29"/>
  <c r="Q53" i="29"/>
  <c r="R53" i="29"/>
  <c r="S53" i="29"/>
  <c r="T53" i="29"/>
  <c r="U53" i="29"/>
  <c r="V53" i="29"/>
  <c r="W53" i="29"/>
  <c r="X53" i="29"/>
  <c r="Y53" i="29"/>
  <c r="Y57" i="29"/>
  <c r="R60" i="29"/>
  <c r="S60" i="29"/>
  <c r="T60" i="29"/>
  <c r="U60" i="29"/>
  <c r="V60" i="29"/>
  <c r="W60" i="29"/>
  <c r="X60" i="29"/>
  <c r="Y60" i="29"/>
  <c r="D61" i="29"/>
  <c r="S61" i="29"/>
  <c r="T61" i="29"/>
  <c r="U61" i="29"/>
  <c r="V61" i="29"/>
  <c r="W61" i="29"/>
  <c r="X61" i="29"/>
  <c r="Y61" i="29"/>
  <c r="D62" i="29"/>
  <c r="T62" i="29"/>
  <c r="U62" i="29"/>
  <c r="V62" i="29"/>
  <c r="W62" i="29"/>
  <c r="X62" i="29"/>
  <c r="Y62" i="29"/>
  <c r="D63" i="29"/>
  <c r="D64" i="29"/>
  <c r="D65" i="29"/>
  <c r="D66" i="29"/>
  <c r="U63" i="29"/>
  <c r="V63" i="29"/>
  <c r="W63" i="29"/>
  <c r="X63" i="29"/>
  <c r="Y63" i="29"/>
  <c r="V64" i="29"/>
  <c r="W64" i="29"/>
  <c r="X64" i="29"/>
  <c r="Y64" i="29"/>
  <c r="W65" i="29"/>
  <c r="X65" i="29"/>
  <c r="Y65" i="29"/>
  <c r="X66" i="29"/>
  <c r="Y66" i="29"/>
  <c r="Y104" i="29"/>
  <c r="Y23" i="29"/>
  <c r="D67" i="29"/>
  <c r="D68" i="29"/>
  <c r="D69" i="29"/>
  <c r="D70" i="29"/>
  <c r="D71" i="29"/>
  <c r="D72" i="29"/>
  <c r="D73" i="29"/>
  <c r="D74" i="29"/>
  <c r="D75" i="29"/>
  <c r="D76" i="29"/>
  <c r="D77" i="29"/>
  <c r="D78" i="29"/>
  <c r="D79" i="29"/>
  <c r="D80" i="29"/>
  <c r="Y67" i="29"/>
  <c r="P70" i="29"/>
  <c r="U70" i="29"/>
  <c r="V70" i="29"/>
  <c r="T74" i="29"/>
  <c r="V74" i="29"/>
  <c r="W74" i="29"/>
  <c r="X74" i="29"/>
  <c r="X78" i="29"/>
  <c r="Y78" i="29"/>
  <c r="F82" i="29"/>
  <c r="G82" i="29"/>
  <c r="H82" i="29"/>
  <c r="I82" i="29"/>
  <c r="J82" i="29"/>
  <c r="K82" i="29"/>
  <c r="L82" i="29"/>
  <c r="M82" i="29"/>
  <c r="N82" i="29"/>
  <c r="O82" i="29"/>
  <c r="P82" i="29"/>
  <c r="Q82" i="29"/>
  <c r="R82" i="29"/>
  <c r="S82" i="29"/>
  <c r="T82" i="29"/>
  <c r="U82" i="29"/>
  <c r="V82" i="29"/>
  <c r="W82" i="29"/>
  <c r="X82" i="29"/>
  <c r="Y82" i="29"/>
  <c r="D83" i="29"/>
  <c r="G83" i="29"/>
  <c r="H83" i="29"/>
  <c r="I83" i="29"/>
  <c r="J83" i="29"/>
  <c r="K83" i="29"/>
  <c r="L83" i="29"/>
  <c r="M83" i="29"/>
  <c r="N83" i="29"/>
  <c r="O83" i="29"/>
  <c r="P83" i="29"/>
  <c r="Q83" i="29"/>
  <c r="R83" i="29"/>
  <c r="S83" i="29"/>
  <c r="T83" i="29"/>
  <c r="U83" i="29"/>
  <c r="V83" i="29"/>
  <c r="W83" i="29"/>
  <c r="X83" i="29"/>
  <c r="Y83" i="29"/>
  <c r="D84" i="29"/>
  <c r="H84" i="29"/>
  <c r="I84" i="29"/>
  <c r="J84" i="29"/>
  <c r="K84" i="29"/>
  <c r="L84" i="29"/>
  <c r="M84" i="29"/>
  <c r="N84" i="29"/>
  <c r="O84" i="29"/>
  <c r="P84" i="29"/>
  <c r="Q84" i="29"/>
  <c r="R84" i="29"/>
  <c r="S84" i="29"/>
  <c r="T84" i="29"/>
  <c r="U84" i="29"/>
  <c r="V84" i="29"/>
  <c r="W84" i="29"/>
  <c r="X84" i="29"/>
  <c r="Y84" i="29"/>
  <c r="D85" i="29"/>
  <c r="I85" i="29"/>
  <c r="J85" i="29"/>
  <c r="K85" i="29"/>
  <c r="L85" i="29"/>
  <c r="M85" i="29"/>
  <c r="N85" i="29"/>
  <c r="O85" i="29"/>
  <c r="P85" i="29"/>
  <c r="Q85" i="29"/>
  <c r="R85" i="29"/>
  <c r="S85" i="29"/>
  <c r="T85" i="29"/>
  <c r="U85" i="29"/>
  <c r="V85" i="29"/>
  <c r="W85" i="29"/>
  <c r="X85" i="29"/>
  <c r="Y85" i="29"/>
  <c r="D86" i="29"/>
  <c r="D87" i="29"/>
  <c r="D88" i="29"/>
  <c r="D89" i="29"/>
  <c r="D90" i="29"/>
  <c r="D91" i="29"/>
  <c r="D92" i="29"/>
  <c r="D93" i="29"/>
  <c r="D94" i="29"/>
  <c r="D95" i="29"/>
  <c r="D96" i="29"/>
  <c r="D97" i="29"/>
  <c r="D98" i="29"/>
  <c r="D99" i="29"/>
  <c r="D100" i="29"/>
  <c r="D101" i="29"/>
  <c r="D102" i="29"/>
  <c r="J86" i="29"/>
  <c r="K86" i="29"/>
  <c r="L86" i="29"/>
  <c r="M86" i="29"/>
  <c r="N86" i="29"/>
  <c r="O86" i="29"/>
  <c r="P86" i="29"/>
  <c r="Q86" i="29"/>
  <c r="R86" i="29"/>
  <c r="S86" i="29"/>
  <c r="T86" i="29"/>
  <c r="U86" i="29"/>
  <c r="V86" i="29"/>
  <c r="W86" i="29"/>
  <c r="X86" i="29"/>
  <c r="Y86" i="29"/>
  <c r="K87" i="29"/>
  <c r="L87" i="29"/>
  <c r="M87" i="29"/>
  <c r="N87" i="29"/>
  <c r="O87" i="29"/>
  <c r="P87" i="29"/>
  <c r="Q87" i="29"/>
  <c r="R87" i="29"/>
  <c r="S87" i="29"/>
  <c r="T87" i="29"/>
  <c r="U87" i="29"/>
  <c r="V87" i="29"/>
  <c r="W87" i="29"/>
  <c r="X87" i="29"/>
  <c r="Y87" i="29"/>
  <c r="L88" i="29"/>
  <c r="M88" i="29"/>
  <c r="N88" i="29"/>
  <c r="O88" i="29"/>
  <c r="P88" i="29"/>
  <c r="Q88" i="29"/>
  <c r="R88" i="29"/>
  <c r="S88" i="29"/>
  <c r="T88" i="29"/>
  <c r="U88" i="29"/>
  <c r="V88" i="29"/>
  <c r="W88" i="29"/>
  <c r="X88" i="29"/>
  <c r="Y88" i="29"/>
  <c r="M89" i="29"/>
  <c r="N89" i="29"/>
  <c r="O89" i="29"/>
  <c r="P89" i="29"/>
  <c r="Q89" i="29"/>
  <c r="R89" i="29"/>
  <c r="S89" i="29"/>
  <c r="T89" i="29"/>
  <c r="U89" i="29"/>
  <c r="V89" i="29"/>
  <c r="W89" i="29"/>
  <c r="X89" i="29"/>
  <c r="Y89" i="29"/>
  <c r="N90" i="29"/>
  <c r="O90" i="29"/>
  <c r="P90" i="29"/>
  <c r="Q90" i="29"/>
  <c r="R90" i="29"/>
  <c r="S90" i="29"/>
  <c r="T90" i="29"/>
  <c r="U90" i="29"/>
  <c r="V90" i="29"/>
  <c r="W90" i="29"/>
  <c r="X90" i="29"/>
  <c r="Y90" i="29"/>
  <c r="O91" i="29"/>
  <c r="P91" i="29"/>
  <c r="Q91" i="29"/>
  <c r="R91" i="29"/>
  <c r="S91" i="29"/>
  <c r="T91" i="29"/>
  <c r="U91" i="29"/>
  <c r="V91" i="29"/>
  <c r="W91" i="29"/>
  <c r="X91" i="29"/>
  <c r="Y91" i="29"/>
  <c r="P92" i="29"/>
  <c r="Q92" i="29"/>
  <c r="R92" i="29"/>
  <c r="S92" i="29"/>
  <c r="T92" i="29"/>
  <c r="U92" i="29"/>
  <c r="V92" i="29"/>
  <c r="W92" i="29"/>
  <c r="X92" i="29"/>
  <c r="Y92" i="29"/>
  <c r="Q93" i="29"/>
  <c r="R93" i="29"/>
  <c r="S93" i="29"/>
  <c r="T93" i="29"/>
  <c r="U93" i="29"/>
  <c r="V93" i="29"/>
  <c r="W93" i="29"/>
  <c r="X93" i="29"/>
  <c r="Y93" i="29"/>
  <c r="R94" i="29"/>
  <c r="S94" i="29"/>
  <c r="T94" i="29"/>
  <c r="U94" i="29"/>
  <c r="V94" i="29"/>
  <c r="W94" i="29"/>
  <c r="X94" i="29"/>
  <c r="Y94" i="29"/>
  <c r="S95" i="29"/>
  <c r="T95" i="29"/>
  <c r="U95" i="29"/>
  <c r="V95" i="29"/>
  <c r="W95" i="29"/>
  <c r="X95" i="29"/>
  <c r="Y95" i="29"/>
  <c r="T96" i="29"/>
  <c r="U96" i="29"/>
  <c r="V96" i="29"/>
  <c r="W96" i="29"/>
  <c r="X96" i="29"/>
  <c r="Y96" i="29"/>
  <c r="U97" i="29"/>
  <c r="V97" i="29"/>
  <c r="W97" i="29"/>
  <c r="X97" i="29"/>
  <c r="Y97" i="29"/>
  <c r="V98" i="29"/>
  <c r="W98" i="29"/>
  <c r="X98" i="29"/>
  <c r="Y98" i="29"/>
  <c r="W99" i="29"/>
  <c r="X99" i="29"/>
  <c r="Y99" i="29"/>
  <c r="X100" i="29"/>
  <c r="Y100" i="29"/>
  <c r="Y101" i="29"/>
  <c r="P103" i="29"/>
  <c r="D53" i="8"/>
  <c r="G17" i="9"/>
  <c r="H17" i="9"/>
  <c r="I17" i="9"/>
  <c r="J17" i="9"/>
  <c r="K17" i="9"/>
  <c r="L17" i="9"/>
  <c r="M17" i="9"/>
  <c r="N17" i="9"/>
  <c r="O17" i="9"/>
  <c r="P17" i="9"/>
  <c r="Q17" i="9"/>
  <c r="R17" i="9"/>
  <c r="S17" i="9"/>
  <c r="T17" i="9"/>
  <c r="U17" i="9"/>
  <c r="V17" i="9"/>
  <c r="W17" i="9"/>
  <c r="X17" i="9"/>
  <c r="Y17" i="9"/>
  <c r="E19" i="9"/>
  <c r="F24" i="9"/>
  <c r="H24" i="9"/>
  <c r="I24" i="9"/>
  <c r="J24" i="9"/>
  <c r="K24" i="9"/>
  <c r="L24" i="9"/>
  <c r="M24" i="9"/>
  <c r="N24" i="9"/>
  <c r="O24" i="9"/>
  <c r="P24" i="9"/>
  <c r="Q24" i="9"/>
  <c r="R24" i="9"/>
  <c r="S24" i="9"/>
  <c r="T24" i="9"/>
  <c r="U24" i="9"/>
  <c r="V24" i="9"/>
  <c r="W24" i="9"/>
  <c r="X24" i="9"/>
  <c r="Y24" i="9"/>
  <c r="Z24" i="9"/>
  <c r="G25" i="9"/>
  <c r="L25" i="9"/>
  <c r="J25" i="9"/>
  <c r="O25" i="9"/>
  <c r="R25" i="9"/>
  <c r="T25" i="9"/>
  <c r="Z25" i="9"/>
  <c r="F26" i="9"/>
  <c r="C8" i="7"/>
  <c r="E8" i="7"/>
  <c r="F8" i="7"/>
  <c r="G8" i="7"/>
  <c r="H8" i="7"/>
  <c r="I8" i="7"/>
  <c r="J8" i="7"/>
  <c r="K8" i="7"/>
  <c r="L8" i="7"/>
  <c r="M8" i="7"/>
  <c r="N8" i="7"/>
  <c r="O8" i="7"/>
  <c r="P8" i="7"/>
  <c r="Q8" i="7"/>
  <c r="R8" i="7"/>
  <c r="S8" i="7"/>
  <c r="T8" i="7"/>
  <c r="U8" i="7"/>
  <c r="V8" i="7"/>
  <c r="W8" i="7"/>
  <c r="C9" i="7"/>
  <c r="D53" i="7"/>
  <c r="E53" i="7"/>
  <c r="F53" i="7"/>
  <c r="G53" i="7"/>
  <c r="H53" i="7"/>
  <c r="I53" i="7"/>
  <c r="J53" i="7"/>
  <c r="K53" i="7"/>
  <c r="L53" i="7"/>
  <c r="M53" i="7"/>
  <c r="N53" i="7"/>
  <c r="O53" i="7"/>
  <c r="P53" i="7"/>
  <c r="Q53" i="7"/>
  <c r="R53" i="7"/>
  <c r="S53" i="7"/>
  <c r="T53" i="7"/>
  <c r="U53" i="7"/>
  <c r="V53" i="7"/>
  <c r="W53" i="7"/>
  <c r="X53" i="7"/>
  <c r="E55" i="7"/>
  <c r="F55" i="7"/>
  <c r="G55" i="7"/>
  <c r="H55" i="7"/>
  <c r="I55" i="7"/>
  <c r="J55" i="7"/>
  <c r="K55" i="7"/>
  <c r="L55" i="7"/>
  <c r="M55" i="7"/>
  <c r="N55" i="7"/>
  <c r="O55" i="7"/>
  <c r="P55" i="7"/>
  <c r="Q55" i="7"/>
  <c r="R55" i="7"/>
  <c r="S55" i="7"/>
  <c r="T55" i="7"/>
  <c r="U55" i="7"/>
  <c r="V55" i="7"/>
  <c r="W55" i="7"/>
  <c r="X55" i="7"/>
  <c r="D60" i="7"/>
  <c r="D61" i="7"/>
  <c r="D62" i="7"/>
  <c r="D63" i="7"/>
  <c r="D64" i="7"/>
  <c r="B31" i="23"/>
  <c r="C31" i="23"/>
  <c r="D31" i="23"/>
  <c r="E31" i="23"/>
  <c r="F31" i="23"/>
  <c r="G31" i="23"/>
  <c r="H31" i="23"/>
  <c r="I31" i="23"/>
  <c r="J31" i="23"/>
  <c r="K31" i="23"/>
  <c r="L31" i="23"/>
  <c r="M31" i="23"/>
  <c r="N31" i="23"/>
  <c r="O31" i="23"/>
  <c r="P31" i="23"/>
  <c r="Q31" i="23"/>
  <c r="R31" i="23"/>
  <c r="S31" i="23"/>
  <c r="T31" i="23"/>
  <c r="U31" i="23"/>
  <c r="B32" i="23"/>
  <c r="C32" i="23"/>
  <c r="D32" i="23"/>
  <c r="E32" i="23"/>
  <c r="F32" i="23"/>
  <c r="G32" i="23"/>
  <c r="H32" i="23"/>
  <c r="I32" i="23"/>
  <c r="J32" i="23"/>
  <c r="K32" i="23"/>
  <c r="L32" i="23"/>
  <c r="M32" i="23"/>
  <c r="N32" i="23"/>
  <c r="O32" i="23"/>
  <c r="P32" i="23"/>
  <c r="Q32" i="23"/>
  <c r="R32" i="23"/>
  <c r="S32" i="23"/>
  <c r="T32" i="23"/>
  <c r="U32" i="23"/>
  <c r="B33" i="23"/>
  <c r="C33" i="23"/>
  <c r="D33" i="23"/>
  <c r="E33" i="23"/>
  <c r="F33" i="23"/>
  <c r="G33" i="23"/>
  <c r="H33" i="23"/>
  <c r="I33" i="23"/>
  <c r="J33" i="23"/>
  <c r="K33" i="23"/>
  <c r="L33" i="23"/>
  <c r="M33" i="23"/>
  <c r="N33" i="23"/>
  <c r="O33" i="23"/>
  <c r="P33" i="23"/>
  <c r="Q33" i="23"/>
  <c r="R33" i="23"/>
  <c r="S33" i="23"/>
  <c r="T33" i="23"/>
  <c r="U33" i="23"/>
  <c r="B35" i="23"/>
  <c r="C35" i="23"/>
  <c r="D35" i="23"/>
  <c r="E35" i="23"/>
  <c r="F35" i="23"/>
  <c r="G35" i="23"/>
  <c r="H35" i="23"/>
  <c r="I35" i="23"/>
  <c r="I37" i="23"/>
  <c r="J35" i="23"/>
  <c r="J37" i="23"/>
  <c r="K35" i="23"/>
  <c r="L35" i="23"/>
  <c r="M35" i="23"/>
  <c r="M37" i="23"/>
  <c r="M39" i="23"/>
  <c r="O147" i="2"/>
  <c r="N35" i="23"/>
  <c r="O35" i="23"/>
  <c r="O37" i="23"/>
  <c r="P35" i="23"/>
  <c r="P37" i="23"/>
  <c r="Q35" i="23"/>
  <c r="Q37" i="23"/>
  <c r="Q39" i="23"/>
  <c r="S147" i="2"/>
  <c r="R35" i="23"/>
  <c r="S35" i="23"/>
  <c r="T35" i="23"/>
  <c r="T37" i="23"/>
  <c r="U35" i="23"/>
  <c r="B36" i="23"/>
  <c r="C36" i="23"/>
  <c r="D36" i="23"/>
  <c r="E36" i="23"/>
  <c r="F36" i="23"/>
  <c r="G36" i="23"/>
  <c r="H36" i="23"/>
  <c r="H37" i="23"/>
  <c r="H39" i="23"/>
  <c r="H41" i="23"/>
  <c r="H44" i="23"/>
  <c r="I36" i="23"/>
  <c r="J36" i="23"/>
  <c r="K36" i="23"/>
  <c r="L36" i="23"/>
  <c r="L37" i="23"/>
  <c r="M36" i="23"/>
  <c r="N36" i="23"/>
  <c r="N37" i="23"/>
  <c r="N39" i="23"/>
  <c r="O36" i="23"/>
  <c r="O39" i="23"/>
  <c r="Q147" i="2"/>
  <c r="Q153" i="2"/>
  <c r="P36" i="23"/>
  <c r="Q36" i="23"/>
  <c r="R36" i="23"/>
  <c r="R37" i="23"/>
  <c r="S36" i="23"/>
  <c r="S37" i="23"/>
  <c r="T36" i="23"/>
  <c r="U36" i="23"/>
  <c r="U37" i="23"/>
  <c r="U39" i="23"/>
  <c r="W147" i="2"/>
  <c r="D37" i="23"/>
  <c r="E37" i="23"/>
  <c r="E39" i="23"/>
  <c r="G147" i="2"/>
  <c r="F37" i="23"/>
  <c r="P147" i="2"/>
  <c r="P151" i="2"/>
  <c r="P148" i="2"/>
  <c r="C6" i="3"/>
  <c r="D6" i="3"/>
  <c r="E6" i="3"/>
  <c r="F6" i="3"/>
  <c r="G6" i="3"/>
  <c r="H6" i="3"/>
  <c r="I6" i="3"/>
  <c r="J6" i="3"/>
  <c r="K6" i="3"/>
  <c r="L6" i="3"/>
  <c r="M6" i="3"/>
  <c r="M9" i="3"/>
  <c r="N6" i="3"/>
  <c r="O6" i="3"/>
  <c r="P6" i="3"/>
  <c r="Q6" i="3"/>
  <c r="Q9" i="3"/>
  <c r="Q16" i="3"/>
  <c r="R6" i="3"/>
  <c r="R9" i="3"/>
  <c r="S6" i="3"/>
  <c r="T6" i="3"/>
  <c r="U6" i="3"/>
  <c r="V6" i="3"/>
  <c r="V9" i="3"/>
  <c r="W6" i="3"/>
  <c r="C7" i="3"/>
  <c r="B94" i="3"/>
  <c r="D7" i="3"/>
  <c r="C94" i="3"/>
  <c r="C93" i="5"/>
  <c r="E7" i="3"/>
  <c r="F7" i="3"/>
  <c r="E94" i="3"/>
  <c r="G7" i="3"/>
  <c r="H7" i="3"/>
  <c r="G94" i="3"/>
  <c r="G93" i="5"/>
  <c r="I7" i="3"/>
  <c r="J7" i="3"/>
  <c r="I94" i="3"/>
  <c r="I14" i="42"/>
  <c r="I19" i="42"/>
  <c r="I19" i="1"/>
  <c r="K14" i="19"/>
  <c r="K7" i="3"/>
  <c r="J94" i="3"/>
  <c r="J93" i="5"/>
  <c r="J97" i="5"/>
  <c r="J15" i="42"/>
  <c r="J22" i="42"/>
  <c r="L7" i="3"/>
  <c r="M7" i="3"/>
  <c r="M16" i="3"/>
  <c r="N7" i="3"/>
  <c r="O7" i="3"/>
  <c r="P7" i="3"/>
  <c r="O94" i="3"/>
  <c r="O93" i="5"/>
  <c r="O97" i="5"/>
  <c r="O15" i="42"/>
  <c r="Q7" i="3"/>
  <c r="R7" i="3"/>
  <c r="Q94" i="3"/>
  <c r="S7" i="3"/>
  <c r="R94" i="3"/>
  <c r="T7" i="3"/>
  <c r="U7" i="3"/>
  <c r="V7" i="3"/>
  <c r="U94" i="3"/>
  <c r="W7" i="3"/>
  <c r="C8" i="3"/>
  <c r="C9" i="3"/>
  <c r="C16" i="3"/>
  <c r="C15" i="3"/>
  <c r="D8" i="3"/>
  <c r="D9" i="3"/>
  <c r="E8" i="3"/>
  <c r="F8" i="3"/>
  <c r="G8" i="3"/>
  <c r="H8" i="3"/>
  <c r="H9" i="3"/>
  <c r="H16" i="3"/>
  <c r="I8" i="3"/>
  <c r="J8" i="3"/>
  <c r="K8" i="3"/>
  <c r="K9" i="3"/>
  <c r="L8" i="3"/>
  <c r="M8" i="3"/>
  <c r="N8" i="3"/>
  <c r="O8" i="3"/>
  <c r="O9" i="3"/>
  <c r="O16" i="3"/>
  <c r="P8" i="3"/>
  <c r="P9" i="3"/>
  <c r="P16" i="3"/>
  <c r="P22" i="3"/>
  <c r="Q8" i="3"/>
  <c r="R8" i="3"/>
  <c r="S8" i="3"/>
  <c r="S9" i="3"/>
  <c r="S16" i="3"/>
  <c r="S22" i="3"/>
  <c r="T8" i="3"/>
  <c r="T9" i="3"/>
  <c r="U8" i="3"/>
  <c r="V8" i="3"/>
  <c r="W8" i="3"/>
  <c r="AA15" i="3"/>
  <c r="C32" i="3"/>
  <c r="C33" i="3"/>
  <c r="C40" i="3"/>
  <c r="D33" i="3"/>
  <c r="E33" i="3"/>
  <c r="C37" i="3"/>
  <c r="C39" i="3"/>
  <c r="L46" i="3"/>
  <c r="L47" i="3"/>
  <c r="L50" i="3"/>
  <c r="K81" i="3"/>
  <c r="V94" i="3"/>
  <c r="V14" i="42"/>
  <c r="V19" i="42"/>
  <c r="V19" i="1"/>
  <c r="X14" i="19"/>
  <c r="D120" i="3"/>
  <c r="E120" i="3"/>
  <c r="F120" i="3"/>
  <c r="G120" i="3"/>
  <c r="H120" i="3"/>
  <c r="I120" i="3"/>
  <c r="J120" i="3"/>
  <c r="K120" i="3"/>
  <c r="L120" i="3"/>
  <c r="M120" i="3"/>
  <c r="N120" i="3"/>
  <c r="O120" i="3"/>
  <c r="P120" i="3"/>
  <c r="Q120" i="3"/>
  <c r="R120" i="3"/>
  <c r="S120" i="3"/>
  <c r="T120" i="3"/>
  <c r="U120" i="3"/>
  <c r="V120" i="3"/>
  <c r="W120" i="3"/>
  <c r="C10" i="2"/>
  <c r="D10" i="2"/>
  <c r="E10" i="2"/>
  <c r="F10" i="2"/>
  <c r="G10" i="2"/>
  <c r="H10" i="2"/>
  <c r="I10" i="2"/>
  <c r="J10" i="2"/>
  <c r="K10" i="2"/>
  <c r="L10" i="2"/>
  <c r="M10" i="2"/>
  <c r="N10" i="2"/>
  <c r="O10" i="2"/>
  <c r="P10" i="2"/>
  <c r="Q10" i="2"/>
  <c r="R10" i="2"/>
  <c r="S10" i="2"/>
  <c r="T10" i="2"/>
  <c r="U10" i="2"/>
  <c r="V10" i="2"/>
  <c r="W10" i="2"/>
  <c r="AB18" i="2"/>
  <c r="B34" i="2"/>
  <c r="F35" i="2"/>
  <c r="B36" i="2"/>
  <c r="G51" i="2"/>
  <c r="H56" i="2"/>
  <c r="D67" i="2"/>
  <c r="K67" i="2"/>
  <c r="D73" i="2"/>
  <c r="E73" i="2"/>
  <c r="F73" i="2"/>
  <c r="G73" i="2"/>
  <c r="H73" i="2"/>
  <c r="I73" i="2"/>
  <c r="J73" i="2"/>
  <c r="K73" i="2"/>
  <c r="L73" i="2"/>
  <c r="M73" i="2"/>
  <c r="N73" i="2"/>
  <c r="O73" i="2"/>
  <c r="P73" i="2"/>
  <c r="Q73" i="2"/>
  <c r="R73" i="2"/>
  <c r="S73" i="2"/>
  <c r="T73" i="2"/>
  <c r="U73" i="2"/>
  <c r="V73" i="2"/>
  <c r="W73" i="2"/>
  <c r="X73" i="2"/>
  <c r="D88" i="2"/>
  <c r="D89" i="2"/>
  <c r="D90" i="2"/>
  <c r="E90" i="2"/>
  <c r="F90" i="2"/>
  <c r="G90" i="2"/>
  <c r="C91" i="2"/>
  <c r="C93" i="2"/>
  <c r="H91" i="2"/>
  <c r="H93" i="2"/>
  <c r="I91" i="2"/>
  <c r="J91" i="2"/>
  <c r="K91" i="2"/>
  <c r="L91" i="2"/>
  <c r="L93" i="2"/>
  <c r="L94" i="2"/>
  <c r="M91" i="2"/>
  <c r="N91" i="2"/>
  <c r="O91" i="2"/>
  <c r="P91" i="2"/>
  <c r="P93" i="2"/>
  <c r="Q91" i="2"/>
  <c r="R91" i="2"/>
  <c r="S91" i="2"/>
  <c r="T91" i="2"/>
  <c r="T93" i="2"/>
  <c r="U91" i="2"/>
  <c r="U93" i="2"/>
  <c r="U94" i="2"/>
  <c r="V91" i="2"/>
  <c r="W91" i="2"/>
  <c r="C92" i="2"/>
  <c r="C94" i="2"/>
  <c r="D92" i="2"/>
  <c r="H92" i="2"/>
  <c r="I92" i="2"/>
  <c r="J92" i="2"/>
  <c r="K92" i="2"/>
  <c r="L92" i="2"/>
  <c r="M92" i="2"/>
  <c r="N92" i="2"/>
  <c r="N94" i="2"/>
  <c r="O92" i="2"/>
  <c r="O94" i="2"/>
  <c r="P92" i="2"/>
  <c r="Q92" i="2"/>
  <c r="R92" i="2"/>
  <c r="S92" i="2"/>
  <c r="T92" i="2"/>
  <c r="U92" i="2"/>
  <c r="V92" i="2"/>
  <c r="V94" i="2"/>
  <c r="W92" i="2"/>
  <c r="W94" i="2"/>
  <c r="I93" i="2"/>
  <c r="I94" i="2"/>
  <c r="J93" i="2"/>
  <c r="K93" i="2"/>
  <c r="M93" i="2"/>
  <c r="M94" i="2"/>
  <c r="N93" i="2"/>
  <c r="O93" i="2"/>
  <c r="Q93" i="2"/>
  <c r="Q94" i="2"/>
  <c r="R93" i="2"/>
  <c r="S93" i="2"/>
  <c r="V93" i="2"/>
  <c r="W93" i="2"/>
  <c r="H94" i="2"/>
  <c r="J94" i="2"/>
  <c r="P94" i="2"/>
  <c r="R94" i="2"/>
  <c r="T94" i="2"/>
  <c r="C95" i="2"/>
  <c r="H95" i="2"/>
  <c r="I95" i="2"/>
  <c r="J95" i="2"/>
  <c r="K95" i="2"/>
  <c r="L95" i="2"/>
  <c r="M95" i="2"/>
  <c r="N95" i="2"/>
  <c r="O95" i="2"/>
  <c r="P95" i="2"/>
  <c r="Q95" i="2"/>
  <c r="R95" i="2"/>
  <c r="S95" i="2"/>
  <c r="T95" i="2"/>
  <c r="U95" i="2"/>
  <c r="V95" i="2"/>
  <c r="W95" i="2"/>
  <c r="C100" i="2"/>
  <c r="C102" i="2"/>
  <c r="C107" i="2"/>
  <c r="D100" i="2"/>
  <c r="D102" i="2"/>
  <c r="D132" i="2"/>
  <c r="D138" i="2"/>
  <c r="E100" i="2"/>
  <c r="E102" i="2"/>
  <c r="E107" i="2"/>
  <c r="F100" i="2"/>
  <c r="F102" i="2"/>
  <c r="F107" i="2"/>
  <c r="F108" i="2"/>
  <c r="F109" i="2"/>
  <c r="G100" i="2"/>
  <c r="G102" i="2"/>
  <c r="H100" i="2"/>
  <c r="H102" i="2"/>
  <c r="I100" i="2"/>
  <c r="I102" i="2"/>
  <c r="J100" i="2"/>
  <c r="J102" i="2"/>
  <c r="K100" i="2"/>
  <c r="L100" i="2"/>
  <c r="L102" i="2"/>
  <c r="M100" i="2"/>
  <c r="M102" i="2"/>
  <c r="N100" i="2"/>
  <c r="O100" i="2"/>
  <c r="O102" i="2"/>
  <c r="O103" i="2"/>
  <c r="P100" i="2"/>
  <c r="P102" i="2"/>
  <c r="Q100" i="2"/>
  <c r="Q102" i="2"/>
  <c r="Q107" i="2"/>
  <c r="Q108" i="2"/>
  <c r="Q109" i="2"/>
  <c r="R100" i="2"/>
  <c r="R102" i="2"/>
  <c r="R132" i="2"/>
  <c r="R138" i="2"/>
  <c r="R107" i="2"/>
  <c r="R108" i="2"/>
  <c r="R109" i="2"/>
  <c r="S100" i="2"/>
  <c r="T100" i="2"/>
  <c r="T102" i="2"/>
  <c r="T103" i="2"/>
  <c r="U100" i="2"/>
  <c r="U102" i="2"/>
  <c r="V100" i="2"/>
  <c r="V102" i="2"/>
  <c r="V132" i="2"/>
  <c r="V138" i="2"/>
  <c r="V145" i="2"/>
  <c r="W100" i="2"/>
  <c r="W102" i="2"/>
  <c r="C101" i="2"/>
  <c r="D101" i="2"/>
  <c r="D106" i="2"/>
  <c r="E101" i="2"/>
  <c r="F101" i="2"/>
  <c r="F106" i="2"/>
  <c r="G101" i="2"/>
  <c r="H101" i="2"/>
  <c r="I101" i="2"/>
  <c r="J101" i="2"/>
  <c r="K101" i="2"/>
  <c r="L101" i="2"/>
  <c r="M101" i="2"/>
  <c r="N101" i="2"/>
  <c r="O101" i="2"/>
  <c r="P101" i="2"/>
  <c r="Q101" i="2"/>
  <c r="R101" i="2"/>
  <c r="S101" i="2"/>
  <c r="T101" i="2"/>
  <c r="U101" i="2"/>
  <c r="V101" i="2"/>
  <c r="W101" i="2"/>
  <c r="L106" i="2"/>
  <c r="N106" i="2"/>
  <c r="P106" i="2"/>
  <c r="R106" i="2"/>
  <c r="T106" i="2"/>
  <c r="V106" i="2"/>
  <c r="O107" i="2"/>
  <c r="O108" i="2"/>
  <c r="O109" i="2"/>
  <c r="C128" i="2"/>
  <c r="D128" i="2"/>
  <c r="E128" i="2"/>
  <c r="F128" i="2"/>
  <c r="G128" i="2"/>
  <c r="H128" i="2"/>
  <c r="I128" i="2"/>
  <c r="J128" i="2"/>
  <c r="K128" i="2"/>
  <c r="L128" i="2"/>
  <c r="M128" i="2"/>
  <c r="N128" i="2"/>
  <c r="O128" i="2"/>
  <c r="P128" i="2"/>
  <c r="Q128" i="2"/>
  <c r="R128" i="2"/>
  <c r="S128" i="2"/>
  <c r="T128" i="2"/>
  <c r="U128" i="2"/>
  <c r="V128" i="2"/>
  <c r="W128" i="2"/>
  <c r="C129" i="2"/>
  <c r="D129" i="2"/>
  <c r="E129" i="2"/>
  <c r="F129" i="2"/>
  <c r="G129" i="2"/>
  <c r="H129" i="2"/>
  <c r="I129" i="2"/>
  <c r="J129" i="2"/>
  <c r="K129" i="2"/>
  <c r="L129" i="2"/>
  <c r="M129" i="2"/>
  <c r="N129" i="2"/>
  <c r="O129" i="2"/>
  <c r="P129" i="2"/>
  <c r="Q129" i="2"/>
  <c r="R129" i="2"/>
  <c r="S129" i="2"/>
  <c r="T129" i="2"/>
  <c r="U129" i="2"/>
  <c r="V129" i="2"/>
  <c r="W129" i="2"/>
  <c r="C134" i="2"/>
  <c r="C136" i="2"/>
  <c r="C137" i="2"/>
  <c r="C138" i="2"/>
  <c r="C139" i="2"/>
  <c r="AD151" i="2"/>
  <c r="AA153" i="2"/>
  <c r="AA154" i="2"/>
  <c r="AB153" i="2"/>
  <c r="AC153" i="2"/>
  <c r="AB154" i="2"/>
  <c r="AD154" i="2"/>
  <c r="AC154" i="2"/>
  <c r="AA156" i="2"/>
  <c r="AC156" i="2"/>
  <c r="AA162" i="2"/>
  <c r="AB163" i="2"/>
  <c r="AE163" i="2"/>
  <c r="AE164" i="2"/>
  <c r="AL163" i="2"/>
  <c r="AN164" i="2"/>
  <c r="AC164" i="2"/>
  <c r="AK164" i="2"/>
  <c r="AK165" i="2"/>
  <c r="AC165" i="2"/>
  <c r="C189" i="2"/>
  <c r="B208" i="2"/>
  <c r="C208" i="2"/>
  <c r="D208" i="2"/>
  <c r="F208" i="2"/>
  <c r="G208" i="2"/>
  <c r="H208" i="2"/>
  <c r="I208" i="2"/>
  <c r="J208" i="2"/>
  <c r="K208" i="2"/>
  <c r="L208" i="2"/>
  <c r="M208" i="2"/>
  <c r="N208" i="2"/>
  <c r="O208" i="2"/>
  <c r="P208" i="2"/>
  <c r="Q208" i="2"/>
  <c r="R208" i="2"/>
  <c r="S208" i="2"/>
  <c r="T208" i="2"/>
  <c r="U208" i="2"/>
  <c r="V208" i="2"/>
  <c r="D225" i="2"/>
  <c r="D226" i="2"/>
  <c r="G232" i="2"/>
  <c r="G233" i="2"/>
  <c r="C242" i="2"/>
  <c r="J242" i="2"/>
  <c r="G250" i="2"/>
  <c r="C251" i="2"/>
  <c r="D251" i="2"/>
  <c r="E251" i="2"/>
  <c r="E252" i="2"/>
  <c r="F251" i="2"/>
  <c r="F252" i="2"/>
  <c r="G251" i="2"/>
  <c r="G252" i="2"/>
  <c r="H251" i="2"/>
  <c r="H252" i="2"/>
  <c r="I251" i="2"/>
  <c r="I252" i="2"/>
  <c r="J251" i="2"/>
  <c r="J252" i="2"/>
  <c r="K251" i="2"/>
  <c r="K252" i="2"/>
  <c r="L251" i="2"/>
  <c r="L252" i="2"/>
  <c r="M251" i="2"/>
  <c r="M252" i="2"/>
  <c r="N251" i="2"/>
  <c r="N252" i="2"/>
  <c r="O251" i="2"/>
  <c r="P251" i="2"/>
  <c r="P252" i="2"/>
  <c r="Q251" i="2"/>
  <c r="Q252" i="2"/>
  <c r="R251" i="2"/>
  <c r="R252" i="2"/>
  <c r="S251" i="2"/>
  <c r="S252" i="2"/>
  <c r="T251" i="2"/>
  <c r="U251" i="2"/>
  <c r="U252" i="2"/>
  <c r="V251" i="2"/>
  <c r="V252" i="2"/>
  <c r="W251" i="2"/>
  <c r="C255" i="2"/>
  <c r="AB263" i="2"/>
  <c r="AC263" i="2"/>
  <c r="AB265" i="2"/>
  <c r="AB269" i="2"/>
  <c r="C254" i="2"/>
  <c r="B7" i="32"/>
  <c r="B14" i="32"/>
  <c r="B32" i="32"/>
  <c r="B35" i="32"/>
  <c r="C32" i="32"/>
  <c r="B33" i="32"/>
  <c r="C33" i="32"/>
  <c r="C34" i="32"/>
  <c r="B34" i="32"/>
  <c r="B50" i="32"/>
  <c r="C50" i="32"/>
  <c r="B51" i="32"/>
  <c r="C51" i="32"/>
  <c r="B52" i="32"/>
  <c r="B53" i="32"/>
  <c r="L3" i="35"/>
  <c r="R4" i="35"/>
  <c r="L5" i="35"/>
  <c r="R5" i="35"/>
  <c r="F3" i="35"/>
  <c r="L6" i="35"/>
  <c r="R6" i="35"/>
  <c r="L7" i="35"/>
  <c r="D8" i="35"/>
  <c r="C11" i="35" s="1"/>
  <c r="B12" i="35"/>
  <c r="L3" i="33"/>
  <c r="R4" i="33"/>
  <c r="R5" i="33"/>
  <c r="F3" i="33"/>
  <c r="R6" i="33"/>
  <c r="L7" i="33"/>
  <c r="D8" i="33"/>
  <c r="C11" i="33" s="1"/>
  <c r="C15" i="33" s="1"/>
  <c r="E143" i="33"/>
  <c r="L3" i="28"/>
  <c r="R4" i="28"/>
  <c r="R5" i="28"/>
  <c r="F3" i="28"/>
  <c r="L6" i="28"/>
  <c r="R6" i="28"/>
  <c r="L7" i="28"/>
  <c r="D8" i="28"/>
  <c r="C11" i="28" s="1"/>
  <c r="L3" i="25"/>
  <c r="B12" i="25"/>
  <c r="R4" i="25"/>
  <c r="L5" i="25"/>
  <c r="R5" i="25"/>
  <c r="F3" i="25"/>
  <c r="L6" i="25"/>
  <c r="R6" i="25"/>
  <c r="L7" i="25"/>
  <c r="D8" i="25"/>
  <c r="C11" i="25" s="1"/>
  <c r="C71" i="25" s="1"/>
  <c r="L3" i="37"/>
  <c r="L4" i="37"/>
  <c r="R4" i="37"/>
  <c r="L5" i="37"/>
  <c r="R5" i="37"/>
  <c r="F3" i="37"/>
  <c r="L6" i="37"/>
  <c r="R6" i="37"/>
  <c r="L7" i="37"/>
  <c r="D8" i="37"/>
  <c r="C11" i="37" s="1"/>
  <c r="C79" i="37" s="1"/>
  <c r="B12" i="37"/>
  <c r="A5" i="27"/>
  <c r="D5" i="27"/>
  <c r="A6" i="27"/>
  <c r="D6" i="27"/>
  <c r="A7" i="27"/>
  <c r="D7" i="27"/>
  <c r="A8" i="27"/>
  <c r="A9" i="27"/>
  <c r="D9" i="27"/>
  <c r="E9" i="27"/>
  <c r="A10" i="27"/>
  <c r="D10" i="27"/>
  <c r="A11" i="27"/>
  <c r="D11" i="27"/>
  <c r="A12" i="27"/>
  <c r="D12" i="27"/>
  <c r="A13" i="27"/>
  <c r="D13" i="27"/>
  <c r="A14" i="27"/>
  <c r="D14" i="27"/>
  <c r="A15" i="27"/>
  <c r="D15" i="27"/>
  <c r="E15" i="27"/>
  <c r="A16" i="27"/>
  <c r="D16" i="27"/>
  <c r="A17" i="27"/>
  <c r="D17" i="27"/>
  <c r="A18" i="27"/>
  <c r="D18" i="27"/>
  <c r="E18" i="27"/>
  <c r="A19" i="27"/>
  <c r="D19" i="27"/>
  <c r="A20" i="27"/>
  <c r="D20" i="27"/>
  <c r="A21" i="27"/>
  <c r="D21" i="27"/>
  <c r="A23" i="27"/>
  <c r="D23" i="27"/>
  <c r="E23" i="27"/>
  <c r="A24" i="27"/>
  <c r="C40" i="26"/>
  <c r="E39" i="36"/>
  <c r="F39" i="36"/>
  <c r="G39" i="36"/>
  <c r="E40" i="36"/>
  <c r="F40" i="36"/>
  <c r="G40" i="36"/>
  <c r="I43" i="36"/>
  <c r="D9" i="5"/>
  <c r="E9" i="5"/>
  <c r="D14" i="5"/>
  <c r="E14" i="5"/>
  <c r="F14" i="5"/>
  <c r="G14" i="5"/>
  <c r="H14" i="5"/>
  <c r="I14" i="5"/>
  <c r="J14" i="5"/>
  <c r="K14" i="5"/>
  <c r="L14" i="5"/>
  <c r="M14" i="5"/>
  <c r="N14" i="5"/>
  <c r="O14" i="5"/>
  <c r="P14" i="5"/>
  <c r="Q14" i="5"/>
  <c r="R14" i="5"/>
  <c r="S14" i="5"/>
  <c r="T14" i="5"/>
  <c r="U14" i="5"/>
  <c r="V14" i="5"/>
  <c r="W14" i="5"/>
  <c r="D15" i="5"/>
  <c r="E15" i="5"/>
  <c r="F15" i="5"/>
  <c r="G15" i="5"/>
  <c r="H15" i="5"/>
  <c r="I15" i="5"/>
  <c r="J15" i="5"/>
  <c r="K15" i="5"/>
  <c r="L15" i="5"/>
  <c r="M15" i="5"/>
  <c r="N15" i="5"/>
  <c r="O15" i="5"/>
  <c r="P15" i="5"/>
  <c r="Q15" i="5"/>
  <c r="R15" i="5"/>
  <c r="S15" i="5"/>
  <c r="T15" i="5"/>
  <c r="U15" i="5"/>
  <c r="V15" i="5"/>
  <c r="W15" i="5"/>
  <c r="D16" i="5"/>
  <c r="E16" i="5"/>
  <c r="F16" i="5"/>
  <c r="G16" i="5"/>
  <c r="H16" i="5"/>
  <c r="I16" i="5"/>
  <c r="J16" i="5"/>
  <c r="K16" i="5"/>
  <c r="L16" i="5"/>
  <c r="M16" i="5"/>
  <c r="N16" i="5"/>
  <c r="O16" i="5"/>
  <c r="P16" i="5"/>
  <c r="Q16" i="5"/>
  <c r="R16" i="5"/>
  <c r="S16" i="5"/>
  <c r="T16" i="5"/>
  <c r="U16" i="5"/>
  <c r="V16" i="5"/>
  <c r="W16" i="5"/>
  <c r="D17" i="5"/>
  <c r="E17" i="5"/>
  <c r="F17" i="5"/>
  <c r="G17" i="5"/>
  <c r="H17" i="5"/>
  <c r="I17" i="5"/>
  <c r="J17" i="5"/>
  <c r="K17" i="5"/>
  <c r="L17" i="5"/>
  <c r="M17" i="5"/>
  <c r="N17" i="5"/>
  <c r="O17" i="5"/>
  <c r="P17" i="5"/>
  <c r="Q17" i="5"/>
  <c r="R17" i="5"/>
  <c r="S17" i="5"/>
  <c r="T17" i="5"/>
  <c r="U17" i="5"/>
  <c r="V17" i="5"/>
  <c r="W17" i="5"/>
  <c r="D18" i="5"/>
  <c r="E18" i="5"/>
  <c r="F18" i="5"/>
  <c r="G18" i="5"/>
  <c r="H18" i="5"/>
  <c r="I18" i="5"/>
  <c r="J18" i="5"/>
  <c r="K18" i="5"/>
  <c r="L18" i="5"/>
  <c r="M18" i="5"/>
  <c r="N18" i="5"/>
  <c r="O18" i="5"/>
  <c r="P18" i="5"/>
  <c r="Q18" i="5"/>
  <c r="R18" i="5"/>
  <c r="S18" i="5"/>
  <c r="T18" i="5"/>
  <c r="U18" i="5"/>
  <c r="V18" i="5"/>
  <c r="W18" i="5"/>
  <c r="D19" i="5"/>
  <c r="E19" i="5"/>
  <c r="F19" i="5"/>
  <c r="G19" i="5"/>
  <c r="H19" i="5"/>
  <c r="I19" i="5"/>
  <c r="J19" i="5"/>
  <c r="K19" i="5"/>
  <c r="L19" i="5"/>
  <c r="M19" i="5"/>
  <c r="N19" i="5"/>
  <c r="O19" i="5"/>
  <c r="P19" i="5"/>
  <c r="Q19" i="5"/>
  <c r="R19" i="5"/>
  <c r="S19" i="5"/>
  <c r="T19" i="5"/>
  <c r="U19" i="5"/>
  <c r="V19" i="5"/>
  <c r="W19" i="5"/>
  <c r="D20" i="5"/>
  <c r="E20" i="5"/>
  <c r="F20" i="5"/>
  <c r="G20" i="5"/>
  <c r="H20" i="5"/>
  <c r="I20" i="5"/>
  <c r="J20" i="5"/>
  <c r="K20" i="5"/>
  <c r="L20" i="5"/>
  <c r="M20" i="5"/>
  <c r="N20" i="5"/>
  <c r="O20" i="5"/>
  <c r="P20" i="5"/>
  <c r="Q20" i="5"/>
  <c r="R20" i="5"/>
  <c r="S20" i="5"/>
  <c r="T20" i="5"/>
  <c r="U20" i="5"/>
  <c r="V20" i="5"/>
  <c r="W20" i="5"/>
  <c r="D24" i="5"/>
  <c r="E24" i="5"/>
  <c r="F24" i="5"/>
  <c r="G24" i="5"/>
  <c r="H24" i="5"/>
  <c r="I24" i="5"/>
  <c r="J24" i="5"/>
  <c r="K24" i="5"/>
  <c r="L24" i="5"/>
  <c r="M24" i="5"/>
  <c r="N24" i="5"/>
  <c r="O24" i="5"/>
  <c r="P24" i="5"/>
  <c r="Q24" i="5"/>
  <c r="R24" i="5"/>
  <c r="S24" i="5"/>
  <c r="T24" i="5"/>
  <c r="U24" i="5"/>
  <c r="V24" i="5"/>
  <c r="F25" i="5"/>
  <c r="N25" i="5"/>
  <c r="AG25" i="5"/>
  <c r="AH25" i="5"/>
  <c r="AI25" i="5"/>
  <c r="C25" i="5"/>
  <c r="D30" i="5"/>
  <c r="E30" i="5"/>
  <c r="F30" i="5"/>
  <c r="G30" i="5"/>
  <c r="H30" i="5"/>
  <c r="I30" i="5"/>
  <c r="J30" i="5"/>
  <c r="J114" i="3"/>
  <c r="K30" i="5"/>
  <c r="L30" i="5"/>
  <c r="M30" i="5"/>
  <c r="N30" i="5"/>
  <c r="O30" i="5"/>
  <c r="P30" i="5"/>
  <c r="Q30" i="5"/>
  <c r="R30" i="5"/>
  <c r="S30" i="5"/>
  <c r="T30" i="5"/>
  <c r="U30" i="5"/>
  <c r="V30" i="5"/>
  <c r="W30" i="5"/>
  <c r="D35" i="5"/>
  <c r="E60" i="7"/>
  <c r="E35" i="5"/>
  <c r="F60" i="7"/>
  <c r="F35" i="5"/>
  <c r="G60" i="7"/>
  <c r="G35" i="5"/>
  <c r="H60" i="7"/>
  <c r="H35" i="5"/>
  <c r="I60" i="7"/>
  <c r="K28" i="9"/>
  <c r="I35" i="5"/>
  <c r="J60" i="7"/>
  <c r="J35" i="5"/>
  <c r="K60" i="7"/>
  <c r="K35" i="5"/>
  <c r="L60" i="7"/>
  <c r="L35" i="5"/>
  <c r="M60" i="7"/>
  <c r="M35" i="5"/>
  <c r="N60" i="7"/>
  <c r="N35" i="5"/>
  <c r="O60" i="7"/>
  <c r="O35" i="5"/>
  <c r="P60" i="7"/>
  <c r="P35" i="5"/>
  <c r="Q60" i="7"/>
  <c r="Q35" i="5"/>
  <c r="R60" i="7"/>
  <c r="R35" i="5"/>
  <c r="S60" i="7"/>
  <c r="S35" i="5"/>
  <c r="T60" i="7"/>
  <c r="T35" i="5"/>
  <c r="U60" i="7"/>
  <c r="U35" i="5"/>
  <c r="V60" i="7"/>
  <c r="V35" i="5"/>
  <c r="W60" i="7"/>
  <c r="W35" i="5"/>
  <c r="X60" i="7"/>
  <c r="E36" i="5"/>
  <c r="G36" i="5"/>
  <c r="I36" i="5"/>
  <c r="K36" i="5"/>
  <c r="M36" i="5"/>
  <c r="O36" i="5"/>
  <c r="Q36" i="5"/>
  <c r="S36" i="5"/>
  <c r="U36" i="5"/>
  <c r="W36" i="5"/>
  <c r="Y36" i="5"/>
  <c r="D36" i="5"/>
  <c r="D40" i="5"/>
  <c r="D78" i="6"/>
  <c r="E40" i="5"/>
  <c r="F40" i="5"/>
  <c r="F78" i="6"/>
  <c r="E17" i="42"/>
  <c r="F17" i="1"/>
  <c r="G40" i="5"/>
  <c r="H40" i="5"/>
  <c r="H78" i="6"/>
  <c r="G17" i="42"/>
  <c r="G17" i="1"/>
  <c r="I40" i="5"/>
  <c r="J40" i="5"/>
  <c r="J78" i="6"/>
  <c r="I17" i="42"/>
  <c r="K40" i="5"/>
  <c r="L40" i="5"/>
  <c r="L78" i="6"/>
  <c r="K17" i="1"/>
  <c r="M40" i="5"/>
  <c r="N40" i="5"/>
  <c r="N78" i="6"/>
  <c r="O40" i="5"/>
  <c r="P40" i="5"/>
  <c r="P78" i="6"/>
  <c r="O17" i="42"/>
  <c r="Q40" i="5"/>
  <c r="R40" i="5"/>
  <c r="R78" i="6"/>
  <c r="Q17" i="1"/>
  <c r="S40" i="5"/>
  <c r="T40" i="5"/>
  <c r="T78" i="6"/>
  <c r="U40" i="5"/>
  <c r="V40" i="5"/>
  <c r="V78" i="6"/>
  <c r="W40" i="5"/>
  <c r="D48" i="5"/>
  <c r="F48" i="5"/>
  <c r="G48" i="5"/>
  <c r="H48" i="5"/>
  <c r="H50" i="5"/>
  <c r="D49" i="5"/>
  <c r="E50" i="5"/>
  <c r="F50" i="5"/>
  <c r="G50" i="5"/>
  <c r="D55" i="5"/>
  <c r="F55" i="5"/>
  <c r="G55" i="5"/>
  <c r="H55" i="5"/>
  <c r="I55" i="5"/>
  <c r="J55" i="5"/>
  <c r="K55" i="5"/>
  <c r="H57" i="5"/>
  <c r="I57" i="5"/>
  <c r="E70" i="5"/>
  <c r="E75" i="5"/>
  <c r="B86" i="5"/>
  <c r="C86" i="5"/>
  <c r="C26" i="19"/>
  <c r="C30" i="19"/>
  <c r="D86" i="5"/>
  <c r="I87" i="5"/>
  <c r="D107" i="5"/>
  <c r="E107" i="5"/>
  <c r="F107" i="5"/>
  <c r="G107" i="5"/>
  <c r="H107" i="5"/>
  <c r="I107" i="5"/>
  <c r="J107" i="5"/>
  <c r="K107" i="5"/>
  <c r="L107" i="5"/>
  <c r="M107" i="5"/>
  <c r="N107" i="5"/>
  <c r="O107" i="5"/>
  <c r="P107" i="5"/>
  <c r="Q107" i="5"/>
  <c r="R107" i="5"/>
  <c r="S107" i="5"/>
  <c r="T107" i="5"/>
  <c r="U107" i="5"/>
  <c r="V107" i="5"/>
  <c r="W107" i="5"/>
  <c r="F5" i="6"/>
  <c r="R47" i="42"/>
  <c r="I5" i="6"/>
  <c r="E6" i="6"/>
  <c r="J6" i="6"/>
  <c r="K6" i="6"/>
  <c r="L6" i="6"/>
  <c r="M6" i="6"/>
  <c r="N6" i="6"/>
  <c r="N25" i="6"/>
  <c r="H73" i="6"/>
  <c r="G27" i="42"/>
  <c r="O6" i="6"/>
  <c r="P6" i="6"/>
  <c r="Q6" i="6"/>
  <c r="R6" i="6"/>
  <c r="R25" i="6"/>
  <c r="L73" i="6"/>
  <c r="K27" i="42"/>
  <c r="S6" i="6"/>
  <c r="T6" i="6"/>
  <c r="U6" i="6"/>
  <c r="V6" i="6"/>
  <c r="V25" i="6"/>
  <c r="P73" i="6"/>
  <c r="O27" i="42"/>
  <c r="W6" i="6"/>
  <c r="X6" i="6"/>
  <c r="Y6" i="6"/>
  <c r="Z6" i="6"/>
  <c r="Z25" i="6"/>
  <c r="T73" i="6"/>
  <c r="S27" i="42"/>
  <c r="S28" i="1"/>
  <c r="U45" i="19"/>
  <c r="AA6" i="6"/>
  <c r="AB6" i="6"/>
  <c r="AC6" i="6"/>
  <c r="J7" i="6"/>
  <c r="K7" i="6"/>
  <c r="L7" i="6"/>
  <c r="M7" i="6"/>
  <c r="N7" i="6"/>
  <c r="O7" i="6"/>
  <c r="D8" i="6"/>
  <c r="E8" i="6"/>
  <c r="J8" i="6"/>
  <c r="K8" i="6"/>
  <c r="L8" i="6"/>
  <c r="M8" i="6"/>
  <c r="N8" i="6"/>
  <c r="O8" i="6"/>
  <c r="P8" i="6"/>
  <c r="Q8" i="6"/>
  <c r="R8" i="6"/>
  <c r="S8" i="6"/>
  <c r="T8" i="6"/>
  <c r="U8" i="6"/>
  <c r="V8" i="6"/>
  <c r="W8" i="6"/>
  <c r="X8" i="6"/>
  <c r="Y8" i="6"/>
  <c r="Z8" i="6"/>
  <c r="AA8" i="6"/>
  <c r="AB8" i="6"/>
  <c r="AC8" i="6"/>
  <c r="D9" i="6"/>
  <c r="E9" i="6"/>
  <c r="L9" i="6"/>
  <c r="M9" i="6"/>
  <c r="N9" i="6"/>
  <c r="O9" i="6"/>
  <c r="P9" i="6"/>
  <c r="Q9" i="6"/>
  <c r="R9" i="6"/>
  <c r="S9" i="6"/>
  <c r="T9" i="6"/>
  <c r="U9" i="6"/>
  <c r="V9" i="6"/>
  <c r="W9" i="6"/>
  <c r="X9" i="6"/>
  <c r="Y9" i="6"/>
  <c r="Z9" i="6"/>
  <c r="AA9" i="6"/>
  <c r="AB9" i="6"/>
  <c r="AC9" i="6"/>
  <c r="J10" i="6"/>
  <c r="K10" i="6"/>
  <c r="L10" i="6"/>
  <c r="M10" i="6"/>
  <c r="N10" i="6"/>
  <c r="O10" i="6"/>
  <c r="J11" i="6"/>
  <c r="K11" i="6"/>
  <c r="L11" i="6"/>
  <c r="M11" i="6"/>
  <c r="N11" i="6"/>
  <c r="O11" i="6"/>
  <c r="J12" i="6"/>
  <c r="K12" i="6"/>
  <c r="L12" i="6"/>
  <c r="M12" i="6"/>
  <c r="N12" i="6"/>
  <c r="O12" i="6"/>
  <c r="P12" i="6"/>
  <c r="Q12" i="6"/>
  <c r="R12" i="6"/>
  <c r="S12" i="6"/>
  <c r="T12" i="6"/>
  <c r="E14" i="6"/>
  <c r="J14" i="6"/>
  <c r="K14" i="6"/>
  <c r="L14" i="6"/>
  <c r="M14" i="6"/>
  <c r="N14" i="6"/>
  <c r="O14" i="6"/>
  <c r="P14" i="6"/>
  <c r="Q14" i="6"/>
  <c r="R14" i="6"/>
  <c r="S14" i="6"/>
  <c r="T14" i="6"/>
  <c r="J15" i="6"/>
  <c r="K15" i="6"/>
  <c r="L15" i="6"/>
  <c r="M15" i="6"/>
  <c r="N15" i="6"/>
  <c r="O15" i="6"/>
  <c r="P15" i="6"/>
  <c r="Q15" i="6"/>
  <c r="R15" i="6"/>
  <c r="S15" i="6"/>
  <c r="T15" i="6"/>
  <c r="J17" i="6"/>
  <c r="K17" i="6"/>
  <c r="L17" i="6"/>
  <c r="M17" i="6"/>
  <c r="N17" i="6"/>
  <c r="O17" i="6"/>
  <c r="P17" i="6"/>
  <c r="Q17" i="6"/>
  <c r="R17" i="6"/>
  <c r="S17" i="6"/>
  <c r="S25" i="6"/>
  <c r="M73" i="6"/>
  <c r="L27" i="42"/>
  <c r="L28" i="1"/>
  <c r="N45" i="19"/>
  <c r="T17" i="6"/>
  <c r="U17" i="6"/>
  <c r="V17" i="6"/>
  <c r="W17" i="6"/>
  <c r="X17" i="6"/>
  <c r="Y17" i="6"/>
  <c r="J18" i="6"/>
  <c r="K18" i="6"/>
  <c r="L18" i="6"/>
  <c r="M18" i="6"/>
  <c r="N18" i="6"/>
  <c r="J19" i="6"/>
  <c r="K19" i="6"/>
  <c r="L19" i="6"/>
  <c r="M19" i="6"/>
  <c r="N19" i="6"/>
  <c r="O19" i="6"/>
  <c r="P19" i="6"/>
  <c r="Q19" i="6"/>
  <c r="R19" i="6"/>
  <c r="S19" i="6"/>
  <c r="T19" i="6"/>
  <c r="U19" i="6"/>
  <c r="V19" i="6"/>
  <c r="W19" i="6"/>
  <c r="X19" i="6"/>
  <c r="Y19" i="6"/>
  <c r="Z19" i="6"/>
  <c r="AA19" i="6"/>
  <c r="AA25" i="6"/>
  <c r="U73" i="6"/>
  <c r="T27" i="42"/>
  <c r="T28" i="1"/>
  <c r="V45" i="19"/>
  <c r="AB19" i="6"/>
  <c r="AC19" i="6"/>
  <c r="J20" i="6"/>
  <c r="K20" i="6"/>
  <c r="L20" i="6"/>
  <c r="M20" i="6"/>
  <c r="N20" i="6"/>
  <c r="O20" i="6"/>
  <c r="P20" i="6"/>
  <c r="Q20" i="6"/>
  <c r="R20" i="6"/>
  <c r="S20" i="6"/>
  <c r="T20" i="6"/>
  <c r="J21" i="6"/>
  <c r="K21" i="6"/>
  <c r="L21" i="6"/>
  <c r="M21" i="6"/>
  <c r="N21" i="6"/>
  <c r="O21" i="6"/>
  <c r="P21" i="6"/>
  <c r="Q21" i="6"/>
  <c r="R21" i="6"/>
  <c r="S21" i="6"/>
  <c r="T21" i="6"/>
  <c r="U21" i="6"/>
  <c r="V21" i="6"/>
  <c r="W21" i="6"/>
  <c r="X21" i="6"/>
  <c r="Y21" i="6"/>
  <c r="Z21" i="6"/>
  <c r="AA21" i="6"/>
  <c r="AB21" i="6"/>
  <c r="AC21" i="6"/>
  <c r="J22" i="6"/>
  <c r="K22" i="6"/>
  <c r="L22" i="6"/>
  <c r="M22" i="6"/>
  <c r="N22" i="6"/>
  <c r="O22" i="6"/>
  <c r="P22" i="6"/>
  <c r="Q22" i="6"/>
  <c r="R22" i="6"/>
  <c r="S22" i="6"/>
  <c r="T22" i="6"/>
  <c r="U22" i="6"/>
  <c r="V22" i="6"/>
  <c r="W22" i="6"/>
  <c r="X22" i="6"/>
  <c r="Y22" i="6"/>
  <c r="J23" i="6"/>
  <c r="K23" i="6"/>
  <c r="L23" i="6"/>
  <c r="M23" i="6"/>
  <c r="N23" i="6"/>
  <c r="O23" i="6"/>
  <c r="P23" i="6"/>
  <c r="Q23" i="6"/>
  <c r="R23" i="6"/>
  <c r="S23" i="6"/>
  <c r="T23" i="6"/>
  <c r="U23" i="6"/>
  <c r="V23" i="6"/>
  <c r="W23" i="6"/>
  <c r="X23" i="6"/>
  <c r="Y23" i="6"/>
  <c r="Z23" i="6"/>
  <c r="AA23" i="6"/>
  <c r="AB23" i="6"/>
  <c r="AC23" i="6"/>
  <c r="J24" i="6"/>
  <c r="K24" i="6"/>
  <c r="L24" i="6"/>
  <c r="M24" i="6"/>
  <c r="N24" i="6"/>
  <c r="O24" i="6"/>
  <c r="P24" i="6"/>
  <c r="Q24" i="6"/>
  <c r="R24" i="6"/>
  <c r="S24" i="6"/>
  <c r="T24" i="6"/>
  <c r="E32" i="6"/>
  <c r="E33" i="6"/>
  <c r="E34" i="6"/>
  <c r="E35" i="6"/>
  <c r="E36" i="6"/>
  <c r="E37" i="6"/>
  <c r="E39" i="6"/>
  <c r="F39" i="6"/>
  <c r="E38" i="6"/>
  <c r="E45" i="6"/>
  <c r="F45" i="6"/>
  <c r="G45" i="6"/>
  <c r="G65" i="6"/>
  <c r="J27" i="34"/>
  <c r="H45" i="6"/>
  <c r="I45" i="6"/>
  <c r="J45" i="6"/>
  <c r="K45" i="6"/>
  <c r="K65" i="6"/>
  <c r="L45" i="6"/>
  <c r="M45" i="6"/>
  <c r="N45" i="6"/>
  <c r="O45" i="6"/>
  <c r="O65" i="6"/>
  <c r="P45" i="6"/>
  <c r="F46" i="6"/>
  <c r="G46" i="6"/>
  <c r="H46" i="6"/>
  <c r="H65" i="6"/>
  <c r="K27" i="34"/>
  <c r="I46" i="6"/>
  <c r="J46" i="6"/>
  <c r="K46" i="6"/>
  <c r="L46" i="6"/>
  <c r="M46" i="6"/>
  <c r="N46" i="6"/>
  <c r="O46" i="6"/>
  <c r="P46" i="6"/>
  <c r="Q46" i="6"/>
  <c r="G47" i="6"/>
  <c r="H47" i="6"/>
  <c r="I47" i="6"/>
  <c r="I65" i="6"/>
  <c r="L27" i="34"/>
  <c r="M97" i="34"/>
  <c r="J47" i="6"/>
  <c r="K47" i="6"/>
  <c r="L47" i="6"/>
  <c r="M47" i="6"/>
  <c r="N47" i="6"/>
  <c r="O47" i="6"/>
  <c r="P47" i="6"/>
  <c r="Q47" i="6"/>
  <c r="Q65" i="6"/>
  <c r="R47" i="6"/>
  <c r="H48" i="6"/>
  <c r="I48" i="6"/>
  <c r="J48" i="6"/>
  <c r="K48" i="6"/>
  <c r="L48" i="6"/>
  <c r="M48" i="6"/>
  <c r="N48" i="6"/>
  <c r="O48" i="6"/>
  <c r="P48" i="6"/>
  <c r="Q48" i="6"/>
  <c r="R48" i="6"/>
  <c r="S48" i="6"/>
  <c r="I49" i="6"/>
  <c r="J49" i="6"/>
  <c r="K49" i="6"/>
  <c r="L49" i="6"/>
  <c r="M49" i="6"/>
  <c r="N49" i="6"/>
  <c r="O49" i="6"/>
  <c r="P49" i="6"/>
  <c r="Q49" i="6"/>
  <c r="R49" i="6"/>
  <c r="S49" i="6"/>
  <c r="S65" i="6"/>
  <c r="T49" i="6"/>
  <c r="J50" i="6"/>
  <c r="K50" i="6"/>
  <c r="L50" i="6"/>
  <c r="M50" i="6"/>
  <c r="N50" i="6"/>
  <c r="O50" i="6"/>
  <c r="P50" i="6"/>
  <c r="Q50" i="6"/>
  <c r="R50" i="6"/>
  <c r="S50" i="6"/>
  <c r="T50" i="6"/>
  <c r="U50" i="6"/>
  <c r="K51" i="6"/>
  <c r="L51" i="6"/>
  <c r="M51" i="6"/>
  <c r="N51" i="6"/>
  <c r="O51" i="6"/>
  <c r="P51" i="6"/>
  <c r="Q51" i="6"/>
  <c r="R51" i="6"/>
  <c r="S51" i="6"/>
  <c r="T51" i="6"/>
  <c r="U51" i="6"/>
  <c r="V51" i="6"/>
  <c r="L52" i="6"/>
  <c r="M52" i="6"/>
  <c r="N52" i="6"/>
  <c r="O52" i="6"/>
  <c r="P52" i="6"/>
  <c r="Q52" i="6"/>
  <c r="R52" i="6"/>
  <c r="S52" i="6"/>
  <c r="T52" i="6"/>
  <c r="U52" i="6"/>
  <c r="V52" i="6"/>
  <c r="W52" i="6"/>
  <c r="M53" i="6"/>
  <c r="N53" i="6"/>
  <c r="O53" i="6"/>
  <c r="P53" i="6"/>
  <c r="Q53" i="6"/>
  <c r="R53" i="6"/>
  <c r="S53" i="6"/>
  <c r="T53" i="6"/>
  <c r="U53" i="6"/>
  <c r="V53" i="6"/>
  <c r="W53" i="6"/>
  <c r="W65" i="6"/>
  <c r="X53" i="6"/>
  <c r="N54" i="6"/>
  <c r="O54" i="6"/>
  <c r="P54" i="6"/>
  <c r="Q54" i="6"/>
  <c r="R54" i="6"/>
  <c r="S54" i="6"/>
  <c r="T54" i="6"/>
  <c r="U54" i="6"/>
  <c r="V54" i="6"/>
  <c r="W54" i="6"/>
  <c r="X54" i="6"/>
  <c r="O55" i="6"/>
  <c r="P55" i="6"/>
  <c r="Q55" i="6"/>
  <c r="R55" i="6"/>
  <c r="S55" i="6"/>
  <c r="T55" i="6"/>
  <c r="U55" i="6"/>
  <c r="V55" i="6"/>
  <c r="W55" i="6"/>
  <c r="X55" i="6"/>
  <c r="P56" i="6"/>
  <c r="Q56" i="6"/>
  <c r="R56" i="6"/>
  <c r="S56" i="6"/>
  <c r="T56" i="6"/>
  <c r="U56" i="6"/>
  <c r="V56" i="6"/>
  <c r="W56" i="6"/>
  <c r="X56" i="6"/>
  <c r="Q57" i="6"/>
  <c r="R57" i="6"/>
  <c r="S57" i="6"/>
  <c r="T57" i="6"/>
  <c r="U57" i="6"/>
  <c r="V57" i="6"/>
  <c r="W57" i="6"/>
  <c r="X57" i="6"/>
  <c r="R58" i="6"/>
  <c r="S58" i="6"/>
  <c r="T58" i="6"/>
  <c r="U58" i="6"/>
  <c r="V58" i="6"/>
  <c r="W58" i="6"/>
  <c r="X58" i="6"/>
  <c r="S59" i="6"/>
  <c r="T59" i="6"/>
  <c r="U59" i="6"/>
  <c r="V59" i="6"/>
  <c r="W59" i="6"/>
  <c r="X59" i="6"/>
  <c r="T60" i="6"/>
  <c r="U60" i="6"/>
  <c r="V60" i="6"/>
  <c r="W60" i="6"/>
  <c r="X60" i="6"/>
  <c r="U61" i="6"/>
  <c r="V61" i="6"/>
  <c r="W61" i="6"/>
  <c r="X61" i="6"/>
  <c r="V62" i="6"/>
  <c r="W62" i="6"/>
  <c r="X62" i="6"/>
  <c r="W63" i="6"/>
  <c r="X63" i="6"/>
  <c r="X64" i="6"/>
  <c r="E65" i="6"/>
  <c r="H27" i="34"/>
  <c r="P93" i="34"/>
  <c r="M65" i="6"/>
  <c r="P27" i="34"/>
  <c r="V101" i="34"/>
  <c r="U65" i="6"/>
  <c r="X27" i="34"/>
  <c r="E78" i="6"/>
  <c r="D17" i="42"/>
  <c r="G78" i="6"/>
  <c r="F17" i="42"/>
  <c r="I78" i="6"/>
  <c r="H17" i="42"/>
  <c r="K78" i="6"/>
  <c r="M78" i="6"/>
  <c r="L17" i="42"/>
  <c r="O78" i="6"/>
  <c r="Q78" i="6"/>
  <c r="P17" i="1"/>
  <c r="S78" i="6"/>
  <c r="R17" i="42"/>
  <c r="U78" i="6"/>
  <c r="W78" i="6"/>
  <c r="V17" i="1"/>
  <c r="A89" i="6"/>
  <c r="K89" i="6"/>
  <c r="L89" i="6"/>
  <c r="E112" i="6"/>
  <c r="M89" i="6"/>
  <c r="F112" i="6"/>
  <c r="N89" i="6"/>
  <c r="O89" i="6"/>
  <c r="P89" i="6"/>
  <c r="Q89" i="6"/>
  <c r="J112" i="6"/>
  <c r="R89" i="6"/>
  <c r="A90" i="6"/>
  <c r="K90" i="6"/>
  <c r="D113" i="6"/>
  <c r="L90" i="6"/>
  <c r="M90" i="6"/>
  <c r="F113" i="6"/>
  <c r="N90" i="6"/>
  <c r="G113" i="6"/>
  <c r="O90" i="6"/>
  <c r="H113" i="6"/>
  <c r="P90" i="6"/>
  <c r="Q90" i="6"/>
  <c r="J113" i="6"/>
  <c r="R90" i="6"/>
  <c r="A91" i="6"/>
  <c r="K91" i="6"/>
  <c r="D114" i="6"/>
  <c r="L91" i="6"/>
  <c r="M91" i="6"/>
  <c r="N91" i="6"/>
  <c r="G114" i="6"/>
  <c r="O91" i="6"/>
  <c r="H114" i="6"/>
  <c r="P91" i="6"/>
  <c r="Q91" i="6"/>
  <c r="R91" i="6"/>
  <c r="A92" i="6"/>
  <c r="K92" i="6"/>
  <c r="D115" i="6"/>
  <c r="L92" i="6"/>
  <c r="E115" i="6"/>
  <c r="M92" i="6"/>
  <c r="F115" i="6"/>
  <c r="N92" i="6"/>
  <c r="O92" i="6"/>
  <c r="H115" i="6"/>
  <c r="P92" i="6"/>
  <c r="S92" i="6"/>
  <c r="Q92" i="6"/>
  <c r="J115" i="6"/>
  <c r="R92" i="6"/>
  <c r="A93" i="6"/>
  <c r="K93" i="6"/>
  <c r="L93" i="6"/>
  <c r="S93" i="6"/>
  <c r="M93" i="6"/>
  <c r="N93" i="6"/>
  <c r="G116" i="6"/>
  <c r="O93" i="6"/>
  <c r="P93" i="6"/>
  <c r="Q93" i="6"/>
  <c r="R93" i="6"/>
  <c r="K116" i="6"/>
  <c r="A94" i="6"/>
  <c r="K94" i="6"/>
  <c r="D117" i="6"/>
  <c r="L94" i="6"/>
  <c r="M94" i="6"/>
  <c r="F117" i="6"/>
  <c r="N94" i="6"/>
  <c r="G117" i="6"/>
  <c r="O94" i="6"/>
  <c r="H117" i="6"/>
  <c r="P94" i="6"/>
  <c r="Q94" i="6"/>
  <c r="J117" i="6"/>
  <c r="R94" i="6"/>
  <c r="A95" i="6"/>
  <c r="K95" i="6"/>
  <c r="D118" i="6"/>
  <c r="L95" i="6"/>
  <c r="S95" i="6"/>
  <c r="M95" i="6"/>
  <c r="N95" i="6"/>
  <c r="O95" i="6"/>
  <c r="H118" i="6"/>
  <c r="P95" i="6"/>
  <c r="I118" i="6"/>
  <c r="Q95" i="6"/>
  <c r="R95" i="6"/>
  <c r="A96" i="6"/>
  <c r="K96" i="6"/>
  <c r="D119" i="6"/>
  <c r="L96" i="6"/>
  <c r="M96" i="6"/>
  <c r="S96" i="6"/>
  <c r="F119" i="6"/>
  <c r="N96" i="6"/>
  <c r="O96" i="6"/>
  <c r="H119" i="6"/>
  <c r="P96" i="6"/>
  <c r="I119" i="6"/>
  <c r="Q96" i="6"/>
  <c r="J119" i="6"/>
  <c r="R96" i="6"/>
  <c r="K119" i="6"/>
  <c r="A97" i="6"/>
  <c r="K97" i="6"/>
  <c r="L97" i="6"/>
  <c r="M97" i="6"/>
  <c r="F120" i="6"/>
  <c r="N97" i="6"/>
  <c r="G120" i="6"/>
  <c r="O97" i="6"/>
  <c r="P97" i="6"/>
  <c r="Q97" i="6"/>
  <c r="J120" i="6"/>
  <c r="R97" i="6"/>
  <c r="A98" i="6"/>
  <c r="K98" i="6"/>
  <c r="S98" i="6"/>
  <c r="D121" i="6"/>
  <c r="L98" i="6"/>
  <c r="M98" i="6"/>
  <c r="F121" i="6"/>
  <c r="N98" i="6"/>
  <c r="G121" i="6"/>
  <c r="O98" i="6"/>
  <c r="H121" i="6"/>
  <c r="P98" i="6"/>
  <c r="Q98" i="6"/>
  <c r="J121" i="6"/>
  <c r="R98" i="6"/>
  <c r="A99" i="6"/>
  <c r="K99" i="6"/>
  <c r="D122" i="6"/>
  <c r="L99" i="6"/>
  <c r="M99" i="6"/>
  <c r="S99" i="6"/>
  <c r="N99" i="6"/>
  <c r="O99" i="6"/>
  <c r="H122" i="6"/>
  <c r="P99" i="6"/>
  <c r="Q99" i="6"/>
  <c r="J122" i="6"/>
  <c r="R99" i="6"/>
  <c r="A100" i="6"/>
  <c r="K100" i="6"/>
  <c r="D123" i="6"/>
  <c r="L100" i="6"/>
  <c r="E123" i="6"/>
  <c r="M100" i="6"/>
  <c r="F123" i="6"/>
  <c r="N100" i="6"/>
  <c r="O100" i="6"/>
  <c r="H123" i="6"/>
  <c r="P100" i="6"/>
  <c r="Q100" i="6"/>
  <c r="J123" i="6"/>
  <c r="R100" i="6"/>
  <c r="A101" i="6"/>
  <c r="K101" i="6"/>
  <c r="D124" i="6"/>
  <c r="L101" i="6"/>
  <c r="M101" i="6"/>
  <c r="N101" i="6"/>
  <c r="G124" i="6"/>
  <c r="O101" i="6"/>
  <c r="S101" i="6"/>
  <c r="P101" i="6"/>
  <c r="Q101" i="6"/>
  <c r="R101" i="6"/>
  <c r="K124" i="6"/>
  <c r="A102" i="6"/>
  <c r="K102" i="6"/>
  <c r="D125" i="6"/>
  <c r="L102" i="6"/>
  <c r="M102" i="6"/>
  <c r="F125" i="6"/>
  <c r="N102" i="6"/>
  <c r="G125" i="6"/>
  <c r="O102" i="6"/>
  <c r="H125" i="6"/>
  <c r="P102" i="6"/>
  <c r="Q102" i="6"/>
  <c r="J125" i="6"/>
  <c r="R102" i="6"/>
  <c r="A103" i="6"/>
  <c r="K103" i="6"/>
  <c r="D126" i="6"/>
  <c r="L103" i="6"/>
  <c r="E126" i="6"/>
  <c r="M103" i="6"/>
  <c r="N103" i="6"/>
  <c r="G126" i="6"/>
  <c r="O103" i="6"/>
  <c r="H126" i="6"/>
  <c r="P103" i="6"/>
  <c r="I126" i="6"/>
  <c r="Q103" i="6"/>
  <c r="R103" i="6"/>
  <c r="A104" i="6"/>
  <c r="K104" i="6"/>
  <c r="D127" i="6"/>
  <c r="L104" i="6"/>
  <c r="E127" i="6"/>
  <c r="M104" i="6"/>
  <c r="F127" i="6"/>
  <c r="N104" i="6"/>
  <c r="O104" i="6"/>
  <c r="H127" i="6"/>
  <c r="P104" i="6"/>
  <c r="Q104" i="6"/>
  <c r="J127" i="6"/>
  <c r="R104" i="6"/>
  <c r="K127" i="6"/>
  <c r="A105" i="6"/>
  <c r="K105" i="6"/>
  <c r="L105" i="6"/>
  <c r="S105" i="6"/>
  <c r="M105" i="6"/>
  <c r="F128" i="6"/>
  <c r="N105" i="6"/>
  <c r="O105" i="6"/>
  <c r="P105" i="6"/>
  <c r="Q105" i="6"/>
  <c r="J128" i="6"/>
  <c r="R105" i="6"/>
  <c r="A106" i="6"/>
  <c r="K106" i="6"/>
  <c r="D129" i="6"/>
  <c r="L106" i="6"/>
  <c r="E129" i="6"/>
  <c r="M106" i="6"/>
  <c r="F129" i="6"/>
  <c r="N106" i="6"/>
  <c r="O106" i="6"/>
  <c r="H129" i="6"/>
  <c r="P106" i="6"/>
  <c r="Q106" i="6"/>
  <c r="J129" i="6"/>
  <c r="R106" i="6"/>
  <c r="A107" i="6"/>
  <c r="K107" i="6"/>
  <c r="L107" i="6"/>
  <c r="E130" i="6"/>
  <c r="M107" i="6"/>
  <c r="N107" i="6"/>
  <c r="G130" i="6"/>
  <c r="O107" i="6"/>
  <c r="P107" i="6"/>
  <c r="I130" i="6"/>
  <c r="Q107" i="6"/>
  <c r="R107" i="6"/>
  <c r="K130" i="6"/>
  <c r="A112" i="6"/>
  <c r="D112" i="6"/>
  <c r="G112" i="6"/>
  <c r="H112" i="6"/>
  <c r="H131" i="6"/>
  <c r="I112" i="6"/>
  <c r="K112" i="6"/>
  <c r="A113" i="6"/>
  <c r="E113" i="6"/>
  <c r="I113" i="6"/>
  <c r="K113" i="6"/>
  <c r="A114" i="6"/>
  <c r="E114" i="6"/>
  <c r="F114" i="6"/>
  <c r="I114" i="6"/>
  <c r="J114" i="6"/>
  <c r="K114" i="6"/>
  <c r="K131" i="6"/>
  <c r="L26" i="29"/>
  <c r="A115" i="6"/>
  <c r="G115" i="6"/>
  <c r="I115" i="6"/>
  <c r="K115" i="6"/>
  <c r="A116" i="6"/>
  <c r="D116" i="6"/>
  <c r="E116" i="6"/>
  <c r="F116" i="6"/>
  <c r="H116" i="6"/>
  <c r="I116" i="6"/>
  <c r="J116" i="6"/>
  <c r="A117" i="6"/>
  <c r="E117" i="6"/>
  <c r="I117" i="6"/>
  <c r="K117" i="6"/>
  <c r="A118" i="6"/>
  <c r="E118" i="6"/>
  <c r="F118" i="6"/>
  <c r="G118" i="6"/>
  <c r="J118" i="6"/>
  <c r="K118" i="6"/>
  <c r="A119" i="6"/>
  <c r="E119" i="6"/>
  <c r="G119" i="6"/>
  <c r="A120" i="6"/>
  <c r="D120" i="6"/>
  <c r="E120" i="6"/>
  <c r="H120" i="6"/>
  <c r="I120" i="6"/>
  <c r="K120" i="6"/>
  <c r="A121" i="6"/>
  <c r="E121" i="6"/>
  <c r="I121" i="6"/>
  <c r="K121" i="6"/>
  <c r="A122" i="6"/>
  <c r="E122" i="6"/>
  <c r="G122" i="6"/>
  <c r="I122" i="6"/>
  <c r="K122" i="6"/>
  <c r="A123" i="6"/>
  <c r="G123" i="6"/>
  <c r="I123" i="6"/>
  <c r="K123" i="6"/>
  <c r="A124" i="6"/>
  <c r="E124" i="6"/>
  <c r="F124" i="6"/>
  <c r="I124" i="6"/>
  <c r="J124" i="6"/>
  <c r="A125" i="6"/>
  <c r="E125" i="6"/>
  <c r="I125" i="6"/>
  <c r="K125" i="6"/>
  <c r="A126" i="6"/>
  <c r="F126" i="6"/>
  <c r="J126" i="6"/>
  <c r="K126" i="6"/>
  <c r="A127" i="6"/>
  <c r="G127" i="6"/>
  <c r="I127" i="6"/>
  <c r="A128" i="6"/>
  <c r="D128" i="6"/>
  <c r="E128" i="6"/>
  <c r="G128" i="6"/>
  <c r="H128" i="6"/>
  <c r="I128" i="6"/>
  <c r="K128" i="6"/>
  <c r="A129" i="6"/>
  <c r="G129" i="6"/>
  <c r="I129" i="6"/>
  <c r="K129" i="6"/>
  <c r="A130" i="6"/>
  <c r="D130" i="6"/>
  <c r="F130" i="6"/>
  <c r="H130" i="6"/>
  <c r="J130" i="6"/>
  <c r="C14" i="21"/>
  <c r="D14" i="21"/>
  <c r="C15" i="21"/>
  <c r="D15" i="21"/>
  <c r="C24" i="21"/>
  <c r="D24" i="21"/>
  <c r="F24" i="21"/>
  <c r="G24" i="21"/>
  <c r="H24" i="21"/>
  <c r="I24" i="21"/>
  <c r="J24" i="21"/>
  <c r="K24" i="21"/>
  <c r="L24" i="21"/>
  <c r="M24" i="21"/>
  <c r="N24" i="21"/>
  <c r="O24" i="21"/>
  <c r="O28" i="21"/>
  <c r="P24" i="21"/>
  <c r="P28" i="21"/>
  <c r="Q24" i="21"/>
  <c r="R24" i="21"/>
  <c r="R28" i="21"/>
  <c r="S24" i="21"/>
  <c r="T24" i="21"/>
  <c r="T28" i="21"/>
  <c r="U24" i="21"/>
  <c r="V24" i="21"/>
  <c r="V28" i="21"/>
  <c r="W24" i="21"/>
  <c r="W28" i="21"/>
  <c r="X24" i="21"/>
  <c r="X28" i="21"/>
  <c r="Y24" i="21"/>
  <c r="G13" i="20"/>
  <c r="P13" i="20"/>
  <c r="AA13" i="20"/>
  <c r="G29" i="20"/>
  <c r="H29" i="20"/>
  <c r="I29" i="20"/>
  <c r="J29" i="20"/>
  <c r="K29" i="20"/>
  <c r="L29" i="20"/>
  <c r="M29" i="20"/>
  <c r="N29" i="20"/>
  <c r="O29" i="20"/>
  <c r="P29" i="20"/>
  <c r="Q29" i="20"/>
  <c r="R29" i="20"/>
  <c r="S29" i="20"/>
  <c r="T29" i="20"/>
  <c r="U29" i="20"/>
  <c r="V29" i="20"/>
  <c r="W29" i="20"/>
  <c r="X29" i="20"/>
  <c r="Y29" i="20"/>
  <c r="Z29" i="20"/>
  <c r="AA29" i="20"/>
  <c r="P46" i="20"/>
  <c r="Q46" i="20"/>
  <c r="R46" i="20"/>
  <c r="S46" i="20"/>
  <c r="T46" i="20"/>
  <c r="U46" i="20"/>
  <c r="V46" i="20"/>
  <c r="W46" i="20"/>
  <c r="X46" i="20"/>
  <c r="Y46" i="20"/>
  <c r="Z46" i="20"/>
  <c r="AA46" i="20"/>
  <c r="T51" i="20"/>
  <c r="T62" i="20"/>
  <c r="R38" i="21"/>
  <c r="S37" i="21"/>
  <c r="U51" i="20"/>
  <c r="U62" i="20"/>
  <c r="S38" i="21"/>
  <c r="T37" i="21"/>
  <c r="V51" i="20"/>
  <c r="V62" i="20"/>
  <c r="T38" i="21"/>
  <c r="U37" i="21"/>
  <c r="W51" i="20"/>
  <c r="W62" i="20"/>
  <c r="U38" i="21"/>
  <c r="V37" i="21"/>
  <c r="X51" i="20"/>
  <c r="X62" i="20"/>
  <c r="V38" i="21"/>
  <c r="W37" i="21"/>
  <c r="Y51" i="20"/>
  <c r="Y62" i="20"/>
  <c r="W38" i="21"/>
  <c r="X37" i="21"/>
  <c r="Z51" i="20"/>
  <c r="Z62" i="20"/>
  <c r="X38" i="21"/>
  <c r="Y37" i="21"/>
  <c r="AA51" i="20"/>
  <c r="AA62" i="20"/>
  <c r="Y38" i="21"/>
  <c r="I47" i="1"/>
  <c r="M47" i="1"/>
  <c r="C53" i="1"/>
  <c r="B9" i="19"/>
  <c r="B20" i="19"/>
  <c r="C9" i="19"/>
  <c r="B14" i="19"/>
  <c r="C14" i="19"/>
  <c r="B26" i="19"/>
  <c r="Q55" i="19"/>
  <c r="R55" i="19"/>
  <c r="S55" i="19"/>
  <c r="T55" i="19"/>
  <c r="U55" i="19"/>
  <c r="V55" i="19"/>
  <c r="W55" i="19"/>
  <c r="X55" i="19"/>
  <c r="Y72" i="19"/>
  <c r="S47" i="1"/>
  <c r="O47" i="1"/>
  <c r="C47" i="1"/>
  <c r="D4" i="27"/>
  <c r="E8" i="27"/>
  <c r="R47" i="1"/>
  <c r="N47" i="1"/>
  <c r="B47" i="1"/>
  <c r="P47" i="1"/>
  <c r="L47" i="1"/>
  <c r="E25" i="41"/>
  <c r="E21" i="41"/>
  <c r="E22" i="41"/>
  <c r="G52" i="41"/>
  <c r="F17" i="41"/>
  <c r="F19" i="41"/>
  <c r="V73" i="41"/>
  <c r="R73" i="41"/>
  <c r="N73" i="41"/>
  <c r="U73" i="41"/>
  <c r="P73" i="41"/>
  <c r="K73" i="41"/>
  <c r="S73" i="41"/>
  <c r="M73" i="41"/>
  <c r="J29" i="41"/>
  <c r="T73" i="41"/>
  <c r="Q73" i="41"/>
  <c r="O73" i="41"/>
  <c r="L73" i="41"/>
  <c r="V77" i="41"/>
  <c r="R77" i="41"/>
  <c r="X77" i="41"/>
  <c r="T77" i="41"/>
  <c r="P77" i="41"/>
  <c r="U77" i="41"/>
  <c r="Y77" i="41"/>
  <c r="Q77" i="41"/>
  <c r="N29" i="41"/>
  <c r="S77" i="41"/>
  <c r="O77" i="41"/>
  <c r="W77" i="41"/>
  <c r="X81" i="41"/>
  <c r="T81" i="41"/>
  <c r="V81" i="41"/>
  <c r="W81" i="41"/>
  <c r="S81" i="41"/>
  <c r="R29" i="41"/>
  <c r="Y81" i="41"/>
  <c r="U81" i="41"/>
  <c r="X85" i="41"/>
  <c r="Y85" i="41"/>
  <c r="V29" i="41"/>
  <c r="W85" i="41"/>
  <c r="W96" i="41"/>
  <c r="S96" i="41"/>
  <c r="O96" i="41"/>
  <c r="U96" i="41"/>
  <c r="Q96" i="41"/>
  <c r="M96" i="41"/>
  <c r="P96" i="41"/>
  <c r="T96" i="41"/>
  <c r="L96" i="41"/>
  <c r="V96" i="41"/>
  <c r="R96" i="41"/>
  <c r="N96" i="41"/>
  <c r="Y100" i="41"/>
  <c r="U100" i="41"/>
  <c r="Q100" i="41"/>
  <c r="W100" i="41"/>
  <c r="S100" i="41"/>
  <c r="R100" i="41"/>
  <c r="V100" i="41"/>
  <c r="X100" i="41"/>
  <c r="T100" i="41"/>
  <c r="P100" i="41"/>
  <c r="W104" i="41"/>
  <c r="Y104" i="41"/>
  <c r="U104" i="41"/>
  <c r="X104" i="41"/>
  <c r="T104" i="41"/>
  <c r="S29" i="41"/>
  <c r="V104" i="41"/>
  <c r="P111" i="41"/>
  <c r="Y108" i="41"/>
  <c r="X108" i="41"/>
  <c r="W74" i="41"/>
  <c r="S74" i="41"/>
  <c r="O74" i="41"/>
  <c r="V74" i="41"/>
  <c r="Q74" i="41"/>
  <c r="L74" i="41"/>
  <c r="T74" i="41"/>
  <c r="N74" i="41"/>
  <c r="W78" i="41"/>
  <c r="S78" i="41"/>
  <c r="Y78" i="41"/>
  <c r="U78" i="41"/>
  <c r="Q78" i="41"/>
  <c r="R78" i="41"/>
  <c r="V78" i="41"/>
  <c r="Y82" i="41"/>
  <c r="U82" i="41"/>
  <c r="W82" i="41"/>
  <c r="X82" i="41"/>
  <c r="T82" i="41"/>
  <c r="S93" i="41"/>
  <c r="O93" i="41"/>
  <c r="K93" i="41"/>
  <c r="Q93" i="41"/>
  <c r="M93" i="41"/>
  <c r="I93" i="41"/>
  <c r="T93" i="41"/>
  <c r="L93" i="41"/>
  <c r="P93" i="41"/>
  <c r="U97" i="41"/>
  <c r="Q97" i="41"/>
  <c r="M97" i="41"/>
  <c r="W97" i="41"/>
  <c r="S97" i="41"/>
  <c r="O97" i="41"/>
  <c r="X97" i="41"/>
  <c r="P97" i="41"/>
  <c r="T97" i="41"/>
  <c r="W101" i="41"/>
  <c r="S101" i="41"/>
  <c r="Y101" i="41"/>
  <c r="U101" i="41"/>
  <c r="Q101" i="41"/>
  <c r="X101" i="41"/>
  <c r="T101" i="41"/>
  <c r="Y105" i="41"/>
  <c r="U105" i="41"/>
  <c r="W105" i="41"/>
  <c r="V105" i="41"/>
  <c r="K29" i="41"/>
  <c r="P29" i="41"/>
  <c r="R74" i="41"/>
  <c r="P78" i="41"/>
  <c r="N93" i="41"/>
  <c r="V76" i="41"/>
  <c r="R76" i="41"/>
  <c r="N76" i="41"/>
  <c r="X76" i="41"/>
  <c r="T76" i="41"/>
  <c r="P76" i="41"/>
  <c r="Y76" i="41"/>
  <c r="Q76" i="41"/>
  <c r="U76" i="41"/>
  <c r="X80" i="41"/>
  <c r="T80" i="41"/>
  <c r="V80" i="41"/>
  <c r="R80" i="41"/>
  <c r="W80" i="41"/>
  <c r="S80" i="41"/>
  <c r="V84" i="41"/>
  <c r="X84" i="41"/>
  <c r="Y84" i="41"/>
  <c r="V95" i="41"/>
  <c r="R95" i="41"/>
  <c r="N95" i="41"/>
  <c r="T95" i="41"/>
  <c r="P95" i="41"/>
  <c r="L95" i="41"/>
  <c r="Q95" i="41"/>
  <c r="U95" i="41"/>
  <c r="M95" i="41"/>
  <c r="X99" i="41"/>
  <c r="T99" i="41"/>
  <c r="P99" i="41"/>
  <c r="V99" i="41"/>
  <c r="R99" i="41"/>
  <c r="U99" i="41"/>
  <c r="Y99" i="41"/>
  <c r="Q99" i="41"/>
  <c r="V103" i="41"/>
  <c r="X103" i="41"/>
  <c r="T103" i="41"/>
  <c r="W103" i="41"/>
  <c r="S103" i="41"/>
  <c r="X107" i="41"/>
  <c r="Y107" i="41"/>
  <c r="M29" i="41"/>
  <c r="O76" i="41"/>
  <c r="X78" i="41"/>
  <c r="U80" i="41"/>
  <c r="V82" i="41"/>
  <c r="K95" i="41"/>
  <c r="R97" i="41"/>
  <c r="W99" i="41"/>
  <c r="R101" i="41"/>
  <c r="U75" i="41"/>
  <c r="Q75" i="41"/>
  <c r="M75" i="41"/>
  <c r="Y79" i="41"/>
  <c r="U79" i="41"/>
  <c r="Q79" i="41"/>
  <c r="W79" i="41"/>
  <c r="S79" i="41"/>
  <c r="W83" i="41"/>
  <c r="Y83" i="41"/>
  <c r="U83" i="41"/>
  <c r="R94" i="41"/>
  <c r="N94" i="41"/>
  <c r="J94" i="41"/>
  <c r="T94" i="41"/>
  <c r="P94" i="41"/>
  <c r="L94" i="41"/>
  <c r="X98" i="41"/>
  <c r="T98" i="41"/>
  <c r="P98" i="41"/>
  <c r="V98" i="41"/>
  <c r="R98" i="41"/>
  <c r="N98" i="41"/>
  <c r="V102" i="41"/>
  <c r="R102" i="41"/>
  <c r="X102" i="41"/>
  <c r="T102" i="41"/>
  <c r="X106" i="41"/>
  <c r="V106" i="41"/>
  <c r="P75" i="41"/>
  <c r="V75" i="41"/>
  <c r="T79" i="41"/>
  <c r="V83" i="41"/>
  <c r="Q94" i="41"/>
  <c r="U98" i="41"/>
  <c r="S102" i="41"/>
  <c r="Y106" i="41"/>
  <c r="N75" i="41"/>
  <c r="S75" i="41"/>
  <c r="X75" i="41"/>
  <c r="X79" i="41"/>
  <c r="M94" i="41"/>
  <c r="U94" i="41"/>
  <c r="Q98" i="41"/>
  <c r="Y98" i="41"/>
  <c r="W102" i="41"/>
  <c r="Q61" i="39"/>
  <c r="E19" i="39"/>
  <c r="E25" i="39"/>
  <c r="E21" i="39"/>
  <c r="E22" i="39"/>
  <c r="D71" i="39"/>
  <c r="D83" i="39"/>
  <c r="D74" i="39"/>
  <c r="D86" i="39"/>
  <c r="D65" i="39"/>
  <c r="D77" i="39"/>
  <c r="D66" i="39"/>
  <c r="D78" i="39"/>
  <c r="D67" i="39"/>
  <c r="D79" i="39"/>
  <c r="D75" i="39"/>
  <c r="D87" i="39"/>
  <c r="D70" i="39"/>
  <c r="D82" i="39"/>
  <c r="F17" i="39"/>
  <c r="F16" i="39"/>
  <c r="F15" i="39"/>
  <c r="G50" i="39"/>
  <c r="D68" i="39"/>
  <c r="D80" i="39"/>
  <c r="D72" i="39"/>
  <c r="D84" i="39"/>
  <c r="D69" i="39"/>
  <c r="D81" i="39"/>
  <c r="X68" i="29"/>
  <c r="W83" i="34"/>
  <c r="N68" i="29"/>
  <c r="G86" i="10"/>
  <c r="K86" i="10"/>
  <c r="O86" i="10"/>
  <c r="S86" i="10"/>
  <c r="W86" i="10"/>
  <c r="H87" i="10"/>
  <c r="L87" i="10"/>
  <c r="P87" i="10"/>
  <c r="T87" i="10"/>
  <c r="X87" i="10"/>
  <c r="K88" i="10"/>
  <c r="O88" i="10"/>
  <c r="S88" i="10"/>
  <c r="W88" i="10"/>
  <c r="K89" i="10"/>
  <c r="O89" i="10"/>
  <c r="S89" i="10"/>
  <c r="W89" i="10"/>
  <c r="L90" i="10"/>
  <c r="P90" i="10"/>
  <c r="T90" i="10"/>
  <c r="X90" i="10"/>
  <c r="N91" i="10"/>
  <c r="R91" i="10"/>
  <c r="V91" i="10"/>
  <c r="M92" i="10"/>
  <c r="Q92" i="10"/>
  <c r="U92" i="10"/>
  <c r="M93" i="10"/>
  <c r="Q93" i="10"/>
  <c r="U93" i="10"/>
  <c r="Q94" i="10"/>
  <c r="U94" i="10"/>
  <c r="R95" i="10"/>
  <c r="V95" i="10"/>
  <c r="Q96" i="10"/>
  <c r="U96" i="10"/>
  <c r="Q97" i="10"/>
  <c r="U97" i="10"/>
  <c r="U98" i="10"/>
  <c r="V99" i="10"/>
  <c r="U100" i="10"/>
  <c r="U101" i="10"/>
  <c r="H86" i="10"/>
  <c r="L86" i="10"/>
  <c r="P86" i="10"/>
  <c r="T86" i="10"/>
  <c r="X86" i="10"/>
  <c r="I87" i="10"/>
  <c r="M87" i="10"/>
  <c r="Q87" i="10"/>
  <c r="U87" i="10"/>
  <c r="H88" i="10"/>
  <c r="L88" i="10"/>
  <c r="P88" i="10"/>
  <c r="T88" i="10"/>
  <c r="X88" i="10"/>
  <c r="L89" i="10"/>
  <c r="P89" i="10"/>
  <c r="T89" i="10"/>
  <c r="X89" i="10"/>
  <c r="M90" i="10"/>
  <c r="Q90" i="10"/>
  <c r="U90" i="10"/>
  <c r="K91" i="10"/>
  <c r="O91" i="10"/>
  <c r="S91" i="10"/>
  <c r="W91" i="10"/>
  <c r="N92" i="10"/>
  <c r="R92" i="10"/>
  <c r="V92" i="10"/>
  <c r="N93" i="10"/>
  <c r="R93" i="10"/>
  <c r="V93" i="10"/>
  <c r="N94" i="10"/>
  <c r="R94" i="10"/>
  <c r="V94" i="10"/>
  <c r="O95" i="10"/>
  <c r="S95" i="10"/>
  <c r="W95" i="10"/>
  <c r="R96" i="10"/>
  <c r="V96" i="10"/>
  <c r="R97" i="10"/>
  <c r="V97" i="10"/>
  <c r="R98" i="10"/>
  <c r="V98" i="10"/>
  <c r="S99" i="10"/>
  <c r="W99" i="10"/>
  <c r="V100" i="10"/>
  <c r="V101" i="10"/>
  <c r="V102" i="10"/>
  <c r="W103" i="10"/>
  <c r="W82" i="34"/>
  <c r="X82" i="34"/>
  <c r="X103" i="10"/>
  <c r="W100" i="10"/>
  <c r="T99" i="10"/>
  <c r="T98" i="10"/>
  <c r="W97" i="10"/>
  <c r="W96" i="10"/>
  <c r="X95" i="10"/>
  <c r="P95" i="10"/>
  <c r="T94" i="10"/>
  <c r="S93" i="10"/>
  <c r="W92" i="10"/>
  <c r="O92" i="10"/>
  <c r="T91" i="10"/>
  <c r="L91" i="10"/>
  <c r="R90" i="10"/>
  <c r="J90" i="10"/>
  <c r="Q89" i="10"/>
  <c r="I89" i="10"/>
  <c r="Q88" i="10"/>
  <c r="I88" i="10"/>
  <c r="R87" i="10"/>
  <c r="J87" i="10"/>
  <c r="U86" i="10"/>
  <c r="M86" i="10"/>
  <c r="R16" i="3"/>
  <c r="X23" i="21"/>
  <c r="V27" i="34"/>
  <c r="T27" i="34"/>
  <c r="X105" i="34"/>
  <c r="T97" i="34"/>
  <c r="R27" i="34"/>
  <c r="N27" i="34"/>
  <c r="U95" i="34"/>
  <c r="L55" i="5"/>
  <c r="V25" i="5"/>
  <c r="W24" i="5"/>
  <c r="V23" i="21"/>
  <c r="S100" i="6"/>
  <c r="S90" i="6"/>
  <c r="T63" i="7"/>
  <c r="T61" i="7"/>
  <c r="T64" i="7"/>
  <c r="T62" i="7"/>
  <c r="L63" i="7"/>
  <c r="L61" i="7"/>
  <c r="L64" i="7"/>
  <c r="L62" i="7"/>
  <c r="W242" i="2"/>
  <c r="W114" i="3"/>
  <c r="S242" i="2"/>
  <c r="S114" i="3"/>
  <c r="O242" i="2"/>
  <c r="O114" i="3"/>
  <c r="K242" i="2"/>
  <c r="K114" i="3"/>
  <c r="G242" i="2"/>
  <c r="G114" i="3"/>
  <c r="G25" i="5"/>
  <c r="K25" i="5"/>
  <c r="O25" i="5"/>
  <c r="S25" i="5"/>
  <c r="W25" i="5"/>
  <c r="E25" i="5"/>
  <c r="I25" i="5"/>
  <c r="M25" i="5"/>
  <c r="Q25" i="5"/>
  <c r="U25" i="5"/>
  <c r="R25" i="5"/>
  <c r="J25" i="5"/>
  <c r="E9" i="7"/>
  <c r="AD269" i="2"/>
  <c r="F9" i="5"/>
  <c r="B13" i="25"/>
  <c r="I48" i="5"/>
  <c r="E62" i="7"/>
  <c r="E64" i="7"/>
  <c r="E61" i="7"/>
  <c r="E63" i="7"/>
  <c r="R61" i="7"/>
  <c r="R63" i="7"/>
  <c r="R62" i="7"/>
  <c r="R64" i="7"/>
  <c r="J61" i="7"/>
  <c r="J63" i="7"/>
  <c r="J62" i="7"/>
  <c r="J64" i="7"/>
  <c r="P25" i="5"/>
  <c r="H25" i="5"/>
  <c r="Y109" i="34"/>
  <c r="L93" i="34"/>
  <c r="J93" i="34"/>
  <c r="N93" i="34"/>
  <c r="I93" i="34"/>
  <c r="Q93" i="34"/>
  <c r="O93" i="34"/>
  <c r="X65" i="6"/>
  <c r="V65" i="6"/>
  <c r="T65" i="6"/>
  <c r="R65" i="6"/>
  <c r="P65" i="6"/>
  <c r="L65" i="6"/>
  <c r="Q96" i="34"/>
  <c r="X63" i="7"/>
  <c r="X61" i="7"/>
  <c r="X62" i="7"/>
  <c r="X64" i="7"/>
  <c r="P63" i="7"/>
  <c r="P61" i="7"/>
  <c r="P62" i="7"/>
  <c r="P64" i="7"/>
  <c r="H63" i="7"/>
  <c r="H61" i="7"/>
  <c r="H62" i="7"/>
  <c r="H64" i="7"/>
  <c r="U114" i="3"/>
  <c r="U242" i="2"/>
  <c r="Q242" i="2"/>
  <c r="Q114" i="3"/>
  <c r="M242" i="2"/>
  <c r="M114" i="3"/>
  <c r="I242" i="2"/>
  <c r="I114" i="3"/>
  <c r="E242" i="2"/>
  <c r="E114" i="3"/>
  <c r="N65" i="6"/>
  <c r="J65" i="6"/>
  <c r="F65" i="6"/>
  <c r="I27" i="34"/>
  <c r="K94" i="34"/>
  <c r="V61" i="7"/>
  <c r="V63" i="7"/>
  <c r="V62" i="7"/>
  <c r="V64" i="7"/>
  <c r="N61" i="7"/>
  <c r="N63" i="7"/>
  <c r="N62" i="7"/>
  <c r="N64" i="7"/>
  <c r="F61" i="7"/>
  <c r="F63" i="7"/>
  <c r="F62" i="7"/>
  <c r="F64" i="7"/>
  <c r="T25" i="5"/>
  <c r="L25" i="5"/>
  <c r="D25" i="5"/>
  <c r="B13" i="37"/>
  <c r="L5" i="33"/>
  <c r="B12" i="33"/>
  <c r="L6" i="33"/>
  <c r="C4" i="32"/>
  <c r="C7" i="32"/>
  <c r="C6" i="32"/>
  <c r="AN165" i="2"/>
  <c r="O3" i="10"/>
  <c r="O4" i="10"/>
  <c r="X3" i="29"/>
  <c r="X4" i="29"/>
  <c r="V36" i="5"/>
  <c r="R36" i="5"/>
  <c r="N36" i="5"/>
  <c r="J36" i="5"/>
  <c r="F36" i="5"/>
  <c r="V114" i="3"/>
  <c r="V242" i="2"/>
  <c r="R114" i="3"/>
  <c r="R242" i="2"/>
  <c r="N114" i="3"/>
  <c r="N242" i="2"/>
  <c r="F114" i="3"/>
  <c r="F242" i="2"/>
  <c r="L5" i="28"/>
  <c r="B12" i="28"/>
  <c r="C35" i="32"/>
  <c r="C5" i="32"/>
  <c r="AB156" i="2"/>
  <c r="AD156" i="2"/>
  <c r="AE156" i="2"/>
  <c r="AB155" i="2"/>
  <c r="AA157" i="2"/>
  <c r="C16" i="13"/>
  <c r="C18" i="13"/>
  <c r="C15" i="13"/>
  <c r="C17" i="13"/>
  <c r="C19" i="13"/>
  <c r="T36" i="5"/>
  <c r="P36" i="5"/>
  <c r="L36" i="5"/>
  <c r="H36" i="5"/>
  <c r="T114" i="3"/>
  <c r="T242" i="2"/>
  <c r="P114" i="3"/>
  <c r="P242" i="2"/>
  <c r="L114" i="3"/>
  <c r="L242" i="2"/>
  <c r="H114" i="3"/>
  <c r="H242" i="2"/>
  <c r="D9" i="7"/>
  <c r="L44" i="7"/>
  <c r="F19" i="9"/>
  <c r="AC269" i="2"/>
  <c r="G26" i="9"/>
  <c r="C53" i="32"/>
  <c r="C52" i="32"/>
  <c r="U106" i="2"/>
  <c r="Q106" i="2"/>
  <c r="M106" i="2"/>
  <c r="F17" i="29"/>
  <c r="G52" i="29"/>
  <c r="F16" i="29"/>
  <c r="J107" i="2"/>
  <c r="W106" i="2"/>
  <c r="S106" i="2"/>
  <c r="O106" i="2"/>
  <c r="K106" i="2"/>
  <c r="C46" i="2"/>
  <c r="C49" i="2"/>
  <c r="AB20" i="2"/>
  <c r="AE20" i="2"/>
  <c r="D16" i="2"/>
  <c r="H57" i="2"/>
  <c r="D32" i="32"/>
  <c r="S94" i="2"/>
  <c r="K94" i="2"/>
  <c r="B13" i="35"/>
  <c r="D50" i="32"/>
  <c r="B15" i="32"/>
  <c r="B16" i="32"/>
  <c r="C135" i="2"/>
  <c r="G19" i="9"/>
  <c r="E88" i="2"/>
  <c r="H26" i="9"/>
  <c r="E89" i="2"/>
  <c r="D91" i="2"/>
  <c r="W25" i="9"/>
  <c r="W77" i="29"/>
  <c r="H50" i="10"/>
  <c r="G16" i="10"/>
  <c r="H24" i="10"/>
  <c r="L24" i="10"/>
  <c r="P24" i="10"/>
  <c r="F24" i="10"/>
  <c r="J24" i="10"/>
  <c r="N24" i="10"/>
  <c r="G24" i="10"/>
  <c r="O24" i="10"/>
  <c r="K24" i="10"/>
  <c r="M24" i="10"/>
  <c r="E24" i="10"/>
  <c r="P94" i="3"/>
  <c r="P14" i="42"/>
  <c r="P14" i="1"/>
  <c r="I25" i="9"/>
  <c r="I27" i="9"/>
  <c r="M25" i="9"/>
  <c r="Q25" i="9"/>
  <c r="U25" i="9"/>
  <c r="Y25" i="9"/>
  <c r="G27" i="9"/>
  <c r="F25" i="9"/>
  <c r="F27" i="9"/>
  <c r="K25" i="9"/>
  <c r="P25" i="9"/>
  <c r="V25" i="9"/>
  <c r="H25" i="9"/>
  <c r="H27" i="9"/>
  <c r="N25" i="9"/>
  <c r="S25" i="9"/>
  <c r="X25" i="9"/>
  <c r="Y74" i="29"/>
  <c r="W70" i="29"/>
  <c r="G17" i="10"/>
  <c r="W81" i="10"/>
  <c r="V80" i="10"/>
  <c r="V79" i="10"/>
  <c r="W78" i="10"/>
  <c r="U77" i="10"/>
  <c r="X76" i="10"/>
  <c r="T76" i="10"/>
  <c r="X75" i="10"/>
  <c r="T75" i="10"/>
  <c r="X68" i="10"/>
  <c r="X67" i="10"/>
  <c r="U66" i="10"/>
  <c r="W65" i="10"/>
  <c r="S65" i="10"/>
  <c r="V64" i="10"/>
  <c r="R64" i="10"/>
  <c r="F17" i="10"/>
  <c r="G17" i="34"/>
  <c r="H52" i="34"/>
  <c r="G16" i="34"/>
  <c r="F17" i="34"/>
  <c r="A8" i="13"/>
  <c r="A9" i="13"/>
  <c r="A16" i="13"/>
  <c r="A10" i="13"/>
  <c r="A17" i="13"/>
  <c r="A11" i="13"/>
  <c r="A18" i="13"/>
  <c r="A12" i="13"/>
  <c r="A19" i="13"/>
  <c r="H52" i="41"/>
  <c r="G16" i="41"/>
  <c r="G17" i="41"/>
  <c r="H50" i="39"/>
  <c r="G17" i="39"/>
  <c r="G16" i="39"/>
  <c r="F19" i="39"/>
  <c r="T107" i="2"/>
  <c r="T108" i="2"/>
  <c r="T109" i="2"/>
  <c r="H16" i="34"/>
  <c r="H17" i="34"/>
  <c r="I52" i="34"/>
  <c r="D51" i="32"/>
  <c r="D52" i="32"/>
  <c r="D53" i="32"/>
  <c r="D35" i="32"/>
  <c r="D33" i="32"/>
  <c r="D34" i="32"/>
  <c r="E32" i="32"/>
  <c r="I62" i="7"/>
  <c r="I64" i="7"/>
  <c r="I63" i="7"/>
  <c r="I61" i="7"/>
  <c r="K64" i="7"/>
  <c r="K62" i="7"/>
  <c r="K61" i="7"/>
  <c r="K63" i="7"/>
  <c r="U27" i="34"/>
  <c r="Y65" i="6"/>
  <c r="R23" i="21"/>
  <c r="H16" i="10"/>
  <c r="I50" i="10"/>
  <c r="H17" i="10"/>
  <c r="D93" i="2"/>
  <c r="D95" i="2"/>
  <c r="B14" i="35"/>
  <c r="M62" i="7"/>
  <c r="M64" i="7"/>
  <c r="M61" i="7"/>
  <c r="M63" i="7"/>
  <c r="B13" i="28"/>
  <c r="O64" i="7"/>
  <c r="O62" i="7"/>
  <c r="O61" i="7"/>
  <c r="O63" i="7"/>
  <c r="N94" i="34"/>
  <c r="W27" i="34"/>
  <c r="P111" i="34"/>
  <c r="B14" i="25"/>
  <c r="M55" i="5"/>
  <c r="Q99" i="34"/>
  <c r="U99" i="34"/>
  <c r="Y99" i="34"/>
  <c r="O99" i="34"/>
  <c r="S99" i="34"/>
  <c r="W99" i="34"/>
  <c r="P99" i="34"/>
  <c r="X99" i="34"/>
  <c r="T99" i="34"/>
  <c r="R99" i="34"/>
  <c r="V99" i="34"/>
  <c r="U105" i="34"/>
  <c r="Y105" i="34"/>
  <c r="F89" i="2"/>
  <c r="E91" i="2"/>
  <c r="E92" i="2"/>
  <c r="F88" i="2"/>
  <c r="C14" i="32"/>
  <c r="G231" i="2"/>
  <c r="G237" i="2"/>
  <c r="G236" i="2"/>
  <c r="G78" i="2"/>
  <c r="H58" i="2"/>
  <c r="H59" i="2"/>
  <c r="G234" i="2"/>
  <c r="G16" i="29"/>
  <c r="H52" i="29"/>
  <c r="G17" i="29"/>
  <c r="Q62" i="7"/>
  <c r="Q64" i="7"/>
  <c r="Q63" i="7"/>
  <c r="Q61" i="7"/>
  <c r="S64" i="7"/>
  <c r="S62" i="7"/>
  <c r="S61" i="7"/>
  <c r="S63" i="7"/>
  <c r="B14" i="37"/>
  <c r="M27" i="34"/>
  <c r="S98" i="34"/>
  <c r="O27" i="34"/>
  <c r="R100" i="34"/>
  <c r="Y27" i="34"/>
  <c r="P23" i="21"/>
  <c r="T23" i="21"/>
  <c r="G235" i="2"/>
  <c r="B17" i="32"/>
  <c r="H16" i="2"/>
  <c r="H17" i="2"/>
  <c r="H23" i="2"/>
  <c r="I55" i="2"/>
  <c r="L16" i="2"/>
  <c r="L17" i="2"/>
  <c r="L23" i="2"/>
  <c r="M55" i="2"/>
  <c r="P16" i="2"/>
  <c r="P17" i="2"/>
  <c r="P23" i="2"/>
  <c r="Q55" i="2"/>
  <c r="T16" i="2"/>
  <c r="T17" i="2"/>
  <c r="T23" i="2"/>
  <c r="U55" i="2"/>
  <c r="F16" i="2"/>
  <c r="F17" i="2"/>
  <c r="F23" i="2"/>
  <c r="G55" i="2"/>
  <c r="J16" i="2"/>
  <c r="J17" i="2"/>
  <c r="J23" i="2"/>
  <c r="K55" i="2"/>
  <c r="N16" i="2"/>
  <c r="N17" i="2"/>
  <c r="N23" i="2"/>
  <c r="O55" i="2"/>
  <c r="R16" i="2"/>
  <c r="R17" i="2"/>
  <c r="R23" i="2"/>
  <c r="S55" i="2"/>
  <c r="V16" i="2"/>
  <c r="V17" i="2"/>
  <c r="V23" i="2"/>
  <c r="W55" i="2"/>
  <c r="G16" i="2"/>
  <c r="G17" i="2"/>
  <c r="G23" i="2"/>
  <c r="O16" i="2"/>
  <c r="O17" i="2"/>
  <c r="O23" i="2"/>
  <c r="P55" i="2"/>
  <c r="W16" i="2"/>
  <c r="W17" i="2"/>
  <c r="W23" i="2"/>
  <c r="X55" i="2"/>
  <c r="C16" i="2"/>
  <c r="C17" i="2"/>
  <c r="C23" i="2"/>
  <c r="D55" i="2"/>
  <c r="K16" i="2"/>
  <c r="K17" i="2"/>
  <c r="K23" i="2"/>
  <c r="L55" i="2"/>
  <c r="S16" i="2"/>
  <c r="S17" i="2"/>
  <c r="S23" i="2"/>
  <c r="T55" i="2"/>
  <c r="I16" i="2"/>
  <c r="I17" i="2"/>
  <c r="I23" i="2"/>
  <c r="J55" i="2"/>
  <c r="D17" i="2"/>
  <c r="D23" i="2"/>
  <c r="E55" i="2"/>
  <c r="Q16" i="2"/>
  <c r="Q17" i="2"/>
  <c r="Q23" i="2"/>
  <c r="R55" i="2"/>
  <c r="E16" i="2"/>
  <c r="E17" i="2"/>
  <c r="E23" i="2"/>
  <c r="F55" i="2"/>
  <c r="U16" i="2"/>
  <c r="U17" i="2"/>
  <c r="U23" i="2"/>
  <c r="V55" i="2"/>
  <c r="M16" i="2"/>
  <c r="M17" i="2"/>
  <c r="M23" i="2"/>
  <c r="N55" i="2"/>
  <c r="U62" i="7"/>
  <c r="U64" i="7"/>
  <c r="U61" i="7"/>
  <c r="U63" i="7"/>
  <c r="G64" i="7"/>
  <c r="G62" i="7"/>
  <c r="G61" i="7"/>
  <c r="G63" i="7"/>
  <c r="W64" i="7"/>
  <c r="Y172" i="2"/>
  <c r="W62" i="7"/>
  <c r="W61" i="7"/>
  <c r="W63" i="7"/>
  <c r="B13" i="33"/>
  <c r="Q27" i="34"/>
  <c r="W102" i="34"/>
  <c r="S27" i="34"/>
  <c r="J48" i="5"/>
  <c r="I50" i="5"/>
  <c r="F9" i="7"/>
  <c r="F10" i="7"/>
  <c r="I26" i="9"/>
  <c r="AE269" i="2"/>
  <c r="H19" i="9"/>
  <c r="G9" i="5"/>
  <c r="W107" i="34"/>
  <c r="H17" i="41"/>
  <c r="I52" i="41"/>
  <c r="H16" i="41"/>
  <c r="I50" i="39"/>
  <c r="H17" i="39"/>
  <c r="H16" i="39"/>
  <c r="R57" i="2"/>
  <c r="Q233" i="2"/>
  <c r="Q250" i="2"/>
  <c r="R56" i="2"/>
  <c r="Q232" i="2"/>
  <c r="L57" i="2"/>
  <c r="K232" i="2"/>
  <c r="K233" i="2"/>
  <c r="L56" i="2"/>
  <c r="K250" i="2"/>
  <c r="K56" i="2"/>
  <c r="J232" i="2"/>
  <c r="J250" i="2"/>
  <c r="K57" i="2"/>
  <c r="J233" i="2"/>
  <c r="M56" i="2"/>
  <c r="L250" i="2"/>
  <c r="M57" i="2"/>
  <c r="L232" i="2"/>
  <c r="L233" i="2"/>
  <c r="H17" i="29"/>
  <c r="I52" i="29"/>
  <c r="H16" i="29"/>
  <c r="H71" i="2"/>
  <c r="H60" i="2"/>
  <c r="H61" i="2"/>
  <c r="H61" i="3"/>
  <c r="E93" i="2"/>
  <c r="D94" i="2"/>
  <c r="W106" i="34"/>
  <c r="X106" i="34"/>
  <c r="Y106" i="34"/>
  <c r="V106" i="34"/>
  <c r="I19" i="9"/>
  <c r="J26" i="9"/>
  <c r="AF269" i="2"/>
  <c r="H9" i="5"/>
  <c r="G9" i="7"/>
  <c r="H52" i="7"/>
  <c r="J27" i="9"/>
  <c r="Q23" i="21"/>
  <c r="Q28" i="21"/>
  <c r="R102" i="34"/>
  <c r="N57" i="2"/>
  <c r="M233" i="2"/>
  <c r="M232" i="2"/>
  <c r="M237" i="2"/>
  <c r="N56" i="2"/>
  <c r="M250" i="2"/>
  <c r="E56" i="2"/>
  <c r="D250" i="2"/>
  <c r="D252" i="2"/>
  <c r="E57" i="2"/>
  <c r="D233" i="2"/>
  <c r="D232" i="2"/>
  <c r="D57" i="2"/>
  <c r="D56" i="2"/>
  <c r="C232" i="2"/>
  <c r="C233" i="2"/>
  <c r="C250" i="2"/>
  <c r="C252" i="2"/>
  <c r="C256" i="2"/>
  <c r="W56" i="2"/>
  <c r="V232" i="2"/>
  <c r="V250" i="2"/>
  <c r="V233" i="2"/>
  <c r="W57" i="2"/>
  <c r="G56" i="2"/>
  <c r="F232" i="2"/>
  <c r="F250" i="2"/>
  <c r="F233" i="2"/>
  <c r="G57" i="2"/>
  <c r="I56" i="2"/>
  <c r="H232" i="2"/>
  <c r="H233" i="2"/>
  <c r="I57" i="2"/>
  <c r="H250" i="2"/>
  <c r="E43" i="23"/>
  <c r="G80" i="2"/>
  <c r="G88" i="2"/>
  <c r="F92" i="2"/>
  <c r="G89" i="2"/>
  <c r="G91" i="2"/>
  <c r="F91" i="2"/>
  <c r="E50" i="32"/>
  <c r="G52" i="7"/>
  <c r="J50" i="5"/>
  <c r="K48" i="5"/>
  <c r="X104" i="34"/>
  <c r="U104" i="34"/>
  <c r="B14" i="33"/>
  <c r="V57" i="2"/>
  <c r="U233" i="2"/>
  <c r="U232" i="2"/>
  <c r="U250" i="2"/>
  <c r="V56" i="2"/>
  <c r="J57" i="2"/>
  <c r="I233" i="2"/>
  <c r="I250" i="2"/>
  <c r="J56" i="2"/>
  <c r="I232" i="2"/>
  <c r="X57" i="2"/>
  <c r="X56" i="2"/>
  <c r="W250" i="2"/>
  <c r="W252" i="2"/>
  <c r="W232" i="2"/>
  <c r="W233" i="2"/>
  <c r="S56" i="2"/>
  <c r="R232" i="2"/>
  <c r="R250" i="2"/>
  <c r="S57" i="2"/>
  <c r="R233" i="2"/>
  <c r="U56" i="2"/>
  <c r="T250" i="2"/>
  <c r="T252" i="2"/>
  <c r="U57" i="2"/>
  <c r="T233" i="2"/>
  <c r="T232" i="2"/>
  <c r="W23" i="21"/>
  <c r="T100" i="34"/>
  <c r="X100" i="34"/>
  <c r="W100" i="34"/>
  <c r="V100" i="34"/>
  <c r="P98" i="34"/>
  <c r="B15" i="37"/>
  <c r="C15" i="32"/>
  <c r="C17" i="32"/>
  <c r="B15" i="25"/>
  <c r="U23" i="21"/>
  <c r="U28" i="21"/>
  <c r="V17" i="21"/>
  <c r="E33" i="32"/>
  <c r="E35" i="32"/>
  <c r="I17" i="34"/>
  <c r="I16" i="34"/>
  <c r="J52" i="34"/>
  <c r="Y23" i="21"/>
  <c r="F57" i="2"/>
  <c r="E233" i="2"/>
  <c r="E232" i="2"/>
  <c r="F56" i="2"/>
  <c r="E250" i="2"/>
  <c r="T57" i="2"/>
  <c r="T56" i="2"/>
  <c r="S232" i="2"/>
  <c r="S233" i="2"/>
  <c r="S250" i="2"/>
  <c r="P57" i="2"/>
  <c r="P56" i="2"/>
  <c r="O250" i="2"/>
  <c r="O252" i="2"/>
  <c r="O232" i="2"/>
  <c r="O237" i="2"/>
  <c r="O233" i="2"/>
  <c r="O56" i="2"/>
  <c r="N232" i="2"/>
  <c r="N250" i="2"/>
  <c r="O57" i="2"/>
  <c r="N233" i="2"/>
  <c r="Q56" i="2"/>
  <c r="P232" i="2"/>
  <c r="P233" i="2"/>
  <c r="P250" i="2"/>
  <c r="Q57" i="2"/>
  <c r="E95" i="2"/>
  <c r="N55" i="5"/>
  <c r="X108" i="34"/>
  <c r="B14" i="28"/>
  <c r="B15" i="35"/>
  <c r="I17" i="10"/>
  <c r="J50" i="10"/>
  <c r="I16" i="10"/>
  <c r="S23" i="21"/>
  <c r="S28" i="21"/>
  <c r="I16" i="41"/>
  <c r="J52" i="41"/>
  <c r="I17" i="41"/>
  <c r="I17" i="39"/>
  <c r="I16" i="39"/>
  <c r="J50" i="39"/>
  <c r="B16" i="37"/>
  <c r="O55" i="5"/>
  <c r="S231" i="2"/>
  <c r="S237" i="2"/>
  <c r="S78" i="2"/>
  <c r="S234" i="2"/>
  <c r="S236" i="2"/>
  <c r="T58" i="2"/>
  <c r="T59" i="2"/>
  <c r="S235" i="2"/>
  <c r="G93" i="2"/>
  <c r="W231" i="2"/>
  <c r="W237" i="2"/>
  <c r="W236" i="2"/>
  <c r="W78" i="2"/>
  <c r="X58" i="2"/>
  <c r="X59" i="2"/>
  <c r="W234" i="2"/>
  <c r="W235" i="2"/>
  <c r="E94" i="2"/>
  <c r="Q234" i="2"/>
  <c r="Q236" i="2"/>
  <c r="R58" i="2"/>
  <c r="R59" i="2"/>
  <c r="Q231" i="2"/>
  <c r="Q237" i="2"/>
  <c r="Q78" i="2"/>
  <c r="Q235" i="2"/>
  <c r="B15" i="28"/>
  <c r="V58" i="2"/>
  <c r="V59" i="2"/>
  <c r="U231" i="2"/>
  <c r="U237" i="2"/>
  <c r="U238" i="2"/>
  <c r="U78" i="2"/>
  <c r="U234" i="2"/>
  <c r="U236" i="2"/>
  <c r="U235" i="2"/>
  <c r="F93" i="2"/>
  <c r="K58" i="2"/>
  <c r="K59" i="2"/>
  <c r="J78" i="2"/>
  <c r="J236" i="2"/>
  <c r="J231" i="2"/>
  <c r="J237" i="2"/>
  <c r="J238" i="2"/>
  <c r="J239" i="2"/>
  <c r="J234" i="2"/>
  <c r="J235" i="2"/>
  <c r="O58" i="2"/>
  <c r="O59" i="2"/>
  <c r="N78" i="2"/>
  <c r="N236" i="2"/>
  <c r="N234" i="2"/>
  <c r="N231" i="2"/>
  <c r="N237" i="2"/>
  <c r="N235" i="2"/>
  <c r="J16" i="34"/>
  <c r="J17" i="34"/>
  <c r="K52" i="34"/>
  <c r="E34" i="32"/>
  <c r="F32" i="32"/>
  <c r="F95" i="2"/>
  <c r="W58" i="2"/>
  <c r="W59" i="2"/>
  <c r="V78" i="2"/>
  <c r="V236" i="2"/>
  <c r="V234" i="2"/>
  <c r="V231" i="2"/>
  <c r="V237" i="2"/>
  <c r="V235" i="2"/>
  <c r="B16" i="25"/>
  <c r="C16" i="32"/>
  <c r="D14" i="32"/>
  <c r="G81" i="2"/>
  <c r="C231" i="2"/>
  <c r="C237" i="2"/>
  <c r="C238" i="2"/>
  <c r="C239" i="2"/>
  <c r="C78" i="2"/>
  <c r="C234" i="2"/>
  <c r="C236" i="2"/>
  <c r="D58" i="2"/>
  <c r="D59" i="2"/>
  <c r="C235" i="2"/>
  <c r="N58" i="2"/>
  <c r="N59" i="2"/>
  <c r="M231" i="2"/>
  <c r="M234" i="2"/>
  <c r="M236" i="2"/>
  <c r="M78" i="2"/>
  <c r="M235" i="2"/>
  <c r="B16" i="35"/>
  <c r="P78" i="2"/>
  <c r="Q58" i="2"/>
  <c r="Q59" i="2"/>
  <c r="P234" i="2"/>
  <c r="P231" i="2"/>
  <c r="P235" i="2"/>
  <c r="P236" i="2"/>
  <c r="T78" i="2"/>
  <c r="U58" i="2"/>
  <c r="U59" i="2"/>
  <c r="T234" i="2"/>
  <c r="T236" i="2"/>
  <c r="T231" i="2"/>
  <c r="T237" i="2"/>
  <c r="T235" i="2"/>
  <c r="L48" i="5"/>
  <c r="K50" i="5"/>
  <c r="E51" i="32"/>
  <c r="E52" i="32"/>
  <c r="G92" i="2"/>
  <c r="G95" i="2"/>
  <c r="H78" i="2"/>
  <c r="I58" i="2"/>
  <c r="I59" i="2"/>
  <c r="H234" i="2"/>
  <c r="H231" i="2"/>
  <c r="H237" i="2"/>
  <c r="H236" i="2"/>
  <c r="H235" i="2"/>
  <c r="K231" i="2"/>
  <c r="K237" i="2"/>
  <c r="K238" i="2"/>
  <c r="K78" i="2"/>
  <c r="K234" i="2"/>
  <c r="K236" i="2"/>
  <c r="L58" i="2"/>
  <c r="L59" i="2"/>
  <c r="K235" i="2"/>
  <c r="J16" i="10"/>
  <c r="J17" i="10"/>
  <c r="K50" i="10"/>
  <c r="O231" i="2"/>
  <c r="O78" i="2"/>
  <c r="O236" i="2"/>
  <c r="P58" i="2"/>
  <c r="P59" i="2"/>
  <c r="O234" i="2"/>
  <c r="O235" i="2"/>
  <c r="F58" i="2"/>
  <c r="F59" i="2"/>
  <c r="E231" i="2"/>
  <c r="E237" i="2"/>
  <c r="E78" i="2"/>
  <c r="E235" i="2"/>
  <c r="E234" i="2"/>
  <c r="E236" i="2"/>
  <c r="S58" i="2"/>
  <c r="S59" i="2"/>
  <c r="R78" i="2"/>
  <c r="R236" i="2"/>
  <c r="R231" i="2"/>
  <c r="R234" i="2"/>
  <c r="R235" i="2"/>
  <c r="J58" i="2"/>
  <c r="J59" i="2"/>
  <c r="I234" i="2"/>
  <c r="I236" i="2"/>
  <c r="I78" i="2"/>
  <c r="I231" i="2"/>
  <c r="I235" i="2"/>
  <c r="B15" i="33"/>
  <c r="G58" i="2"/>
  <c r="G59" i="2"/>
  <c r="F78" i="2"/>
  <c r="F236" i="2"/>
  <c r="F234" i="2"/>
  <c r="F231" i="2"/>
  <c r="F237" i="2"/>
  <c r="F235" i="2"/>
  <c r="D78" i="2"/>
  <c r="E58" i="2"/>
  <c r="E59" i="2"/>
  <c r="D234" i="2"/>
  <c r="D236" i="2"/>
  <c r="D231" i="2"/>
  <c r="D237" i="2"/>
  <c r="D235" i="2"/>
  <c r="J19" i="9"/>
  <c r="K26" i="9"/>
  <c r="H9" i="7"/>
  <c r="AG269" i="2"/>
  <c r="I9" i="5"/>
  <c r="K27" i="9"/>
  <c r="I16" i="29"/>
  <c r="I17" i="29"/>
  <c r="J52" i="29"/>
  <c r="L78" i="2"/>
  <c r="M58" i="2"/>
  <c r="M59" i="2"/>
  <c r="L234" i="2"/>
  <c r="L236" i="2"/>
  <c r="L231" i="2"/>
  <c r="L237" i="2"/>
  <c r="L235" i="2"/>
  <c r="J17" i="41"/>
  <c r="K52" i="41"/>
  <c r="J16" i="41"/>
  <c r="J17" i="39"/>
  <c r="J16" i="39"/>
  <c r="K50" i="39"/>
  <c r="I9" i="7"/>
  <c r="AH269" i="2"/>
  <c r="J9" i="5"/>
  <c r="K19" i="9"/>
  <c r="L26" i="9"/>
  <c r="L27" i="9"/>
  <c r="B43" i="23"/>
  <c r="D80" i="2"/>
  <c r="D81" i="2"/>
  <c r="G61" i="3"/>
  <c r="F107" i="3"/>
  <c r="G71" i="2"/>
  <c r="G60" i="2"/>
  <c r="G61" i="2"/>
  <c r="I80" i="2"/>
  <c r="G43" i="23"/>
  <c r="P43" i="23"/>
  <c r="R80" i="2"/>
  <c r="R81" i="2"/>
  <c r="M43" i="23"/>
  <c r="O80" i="2"/>
  <c r="O81" i="2"/>
  <c r="L71" i="2"/>
  <c r="L61" i="3"/>
  <c r="L60" i="2"/>
  <c r="L61" i="2"/>
  <c r="G94" i="2"/>
  <c r="C80" i="2"/>
  <c r="C147" i="2"/>
  <c r="D15" i="32"/>
  <c r="D16" i="32"/>
  <c r="D17" i="32"/>
  <c r="W61" i="3"/>
  <c r="V107" i="3"/>
  <c r="W71" i="2"/>
  <c r="W72" i="2"/>
  <c r="W60" i="2"/>
  <c r="W61" i="2"/>
  <c r="K17" i="34"/>
  <c r="L52" i="34"/>
  <c r="K16" i="34"/>
  <c r="O61" i="3"/>
  <c r="O71" i="2"/>
  <c r="O60" i="2"/>
  <c r="O61" i="2"/>
  <c r="B16" i="28"/>
  <c r="Q80" i="2"/>
  <c r="Q81" i="2"/>
  <c r="O43" i="23"/>
  <c r="G107" i="2"/>
  <c r="T71" i="2"/>
  <c r="T61" i="3"/>
  <c r="S107" i="3"/>
  <c r="T60" i="2"/>
  <c r="T61" i="2"/>
  <c r="S61" i="3"/>
  <c r="R107" i="3"/>
  <c r="S71" i="2"/>
  <c r="S60" i="2"/>
  <c r="S61" i="2"/>
  <c r="E80" i="2"/>
  <c r="E81" i="2"/>
  <c r="C43" i="23"/>
  <c r="I61" i="3"/>
  <c r="H107" i="3"/>
  <c r="I71" i="2"/>
  <c r="I60" i="2"/>
  <c r="I61" i="2"/>
  <c r="F50" i="32"/>
  <c r="U61" i="3"/>
  <c r="T107" i="3"/>
  <c r="U71" i="2"/>
  <c r="U72" i="2"/>
  <c r="U60" i="2"/>
  <c r="U61" i="2"/>
  <c r="Q61" i="3"/>
  <c r="Q71" i="2"/>
  <c r="Q60" i="2"/>
  <c r="Q61" i="2"/>
  <c r="D71" i="2"/>
  <c r="D72" i="2"/>
  <c r="D61" i="3"/>
  <c r="C107" i="3"/>
  <c r="D60" i="2"/>
  <c r="D61" i="2"/>
  <c r="H43" i="23"/>
  <c r="J81" i="2"/>
  <c r="J80" i="2"/>
  <c r="V61" i="3"/>
  <c r="V71" i="2"/>
  <c r="V72" i="2"/>
  <c r="V60" i="2"/>
  <c r="V61" i="2"/>
  <c r="X71" i="2"/>
  <c r="X72" i="2"/>
  <c r="X61" i="3"/>
  <c r="W107" i="3"/>
  <c r="X60" i="2"/>
  <c r="X61" i="2"/>
  <c r="B17" i="37"/>
  <c r="M61" i="3"/>
  <c r="L107" i="3"/>
  <c r="M71" i="2"/>
  <c r="M60" i="2"/>
  <c r="M61" i="2"/>
  <c r="P71" i="2"/>
  <c r="P61" i="3"/>
  <c r="P60" i="2"/>
  <c r="P61" i="2"/>
  <c r="K16" i="10"/>
  <c r="L50" i="10"/>
  <c r="K17" i="10"/>
  <c r="F43" i="23"/>
  <c r="H81" i="2"/>
  <c r="H80" i="2"/>
  <c r="R43" i="23"/>
  <c r="T81" i="2"/>
  <c r="T80" i="2"/>
  <c r="T132" i="2"/>
  <c r="T138" i="2"/>
  <c r="T145" i="2"/>
  <c r="N43" i="23"/>
  <c r="P80" i="2"/>
  <c r="P81" i="2"/>
  <c r="M80" i="2"/>
  <c r="K43" i="23"/>
  <c r="N61" i="3"/>
  <c r="M107" i="3"/>
  <c r="N71" i="2"/>
  <c r="N60" i="2"/>
  <c r="N61" i="2"/>
  <c r="B17" i="25"/>
  <c r="F33" i="32"/>
  <c r="F34" i="32"/>
  <c r="F35" i="32"/>
  <c r="G32" i="32"/>
  <c r="K61" i="3"/>
  <c r="K71" i="2"/>
  <c r="K60" i="2"/>
  <c r="K61" i="2"/>
  <c r="R61" i="3"/>
  <c r="R71" i="2"/>
  <c r="R60" i="2"/>
  <c r="R61" i="2"/>
  <c r="U43" i="23"/>
  <c r="W80" i="2"/>
  <c r="W81" i="2"/>
  <c r="J43" i="23"/>
  <c r="L81" i="2"/>
  <c r="L80" i="2"/>
  <c r="J17" i="29"/>
  <c r="K52" i="29"/>
  <c r="J16" i="29"/>
  <c r="E61" i="3"/>
  <c r="E71" i="2"/>
  <c r="E60" i="2"/>
  <c r="E61" i="2"/>
  <c r="D43" i="23"/>
  <c r="F81" i="2"/>
  <c r="F80" i="2"/>
  <c r="F94" i="2"/>
  <c r="B16" i="33"/>
  <c r="J61" i="3"/>
  <c r="I107" i="3"/>
  <c r="J71" i="2"/>
  <c r="J60" i="2"/>
  <c r="J61" i="2"/>
  <c r="F61" i="3"/>
  <c r="F71" i="2"/>
  <c r="F60" i="2"/>
  <c r="F61" i="2"/>
  <c r="K80" i="2"/>
  <c r="K81" i="2"/>
  <c r="I43" i="23"/>
  <c r="E53" i="32"/>
  <c r="L50" i="5"/>
  <c r="M48" i="5"/>
  <c r="B17" i="35"/>
  <c r="T43" i="23"/>
  <c r="V80" i="2"/>
  <c r="L43" i="23"/>
  <c r="N81" i="2"/>
  <c r="N80" i="2"/>
  <c r="U80" i="2"/>
  <c r="S43" i="23"/>
  <c r="S80" i="2"/>
  <c r="Q43" i="23"/>
  <c r="S81" i="2"/>
  <c r="P55" i="5"/>
  <c r="L52" i="41"/>
  <c r="K16" i="41"/>
  <c r="K17" i="41"/>
  <c r="L50" i="39"/>
  <c r="K17" i="39"/>
  <c r="K16" i="39"/>
  <c r="U81" i="2"/>
  <c r="V81" i="2"/>
  <c r="B18" i="35"/>
  <c r="M81" i="2"/>
  <c r="K107" i="3"/>
  <c r="Q55" i="5"/>
  <c r="P107" i="3"/>
  <c r="F51" i="32"/>
  <c r="F52" i="32"/>
  <c r="G50" i="32"/>
  <c r="L16" i="34"/>
  <c r="M52" i="34"/>
  <c r="L17" i="34"/>
  <c r="E14" i="32"/>
  <c r="C81" i="2"/>
  <c r="C145" i="2"/>
  <c r="I81" i="2"/>
  <c r="B17" i="33"/>
  <c r="L16" i="10"/>
  <c r="M50" i="10"/>
  <c r="L17" i="10"/>
  <c r="B18" i="37"/>
  <c r="U107" i="3"/>
  <c r="N48" i="5"/>
  <c r="M50" i="5"/>
  <c r="E107" i="3"/>
  <c r="K16" i="29"/>
  <c r="L52" i="29"/>
  <c r="K17" i="29"/>
  <c r="G33" i="32"/>
  <c r="G34" i="32"/>
  <c r="G35" i="32"/>
  <c r="B18" i="25"/>
  <c r="B17" i="28"/>
  <c r="C151" i="2"/>
  <c r="C148" i="2"/>
  <c r="C161" i="2"/>
  <c r="C152" i="2"/>
  <c r="F176" i="2"/>
  <c r="C155" i="2"/>
  <c r="C153" i="2"/>
  <c r="C160" i="2"/>
  <c r="J9" i="7"/>
  <c r="K52" i="7"/>
  <c r="AI269" i="2"/>
  <c r="M26" i="9"/>
  <c r="K9" i="5"/>
  <c r="L19" i="9"/>
  <c r="M27" i="9"/>
  <c r="M52" i="41"/>
  <c r="L17" i="41"/>
  <c r="L16" i="41"/>
  <c r="M50" i="39"/>
  <c r="L17" i="39"/>
  <c r="L16" i="39"/>
  <c r="B18" i="28"/>
  <c r="H50" i="32"/>
  <c r="G53" i="32"/>
  <c r="G51" i="32"/>
  <c r="G52" i="32"/>
  <c r="M19" i="9"/>
  <c r="N26" i="9"/>
  <c r="K9" i="7"/>
  <c r="AJ269" i="2"/>
  <c r="L9" i="5"/>
  <c r="N27" i="9"/>
  <c r="L17" i="29"/>
  <c r="M52" i="29"/>
  <c r="L16" i="29"/>
  <c r="N50" i="5"/>
  <c r="O48" i="5"/>
  <c r="B19" i="37"/>
  <c r="N50" i="10"/>
  <c r="M17" i="10"/>
  <c r="M16" i="10"/>
  <c r="C142" i="2"/>
  <c r="C144" i="2"/>
  <c r="M17" i="34"/>
  <c r="M16" i="34"/>
  <c r="N52" i="34"/>
  <c r="F53" i="32"/>
  <c r="R55" i="5"/>
  <c r="B19" i="35"/>
  <c r="B18" i="33"/>
  <c r="B19" i="25"/>
  <c r="H32" i="32"/>
  <c r="E15" i="32"/>
  <c r="E16" i="32"/>
  <c r="F14" i="32"/>
  <c r="E17" i="32"/>
  <c r="M16" i="41"/>
  <c r="M17" i="41"/>
  <c r="N52" i="41"/>
  <c r="M17" i="39"/>
  <c r="M16" i="39"/>
  <c r="N50" i="39"/>
  <c r="B19" i="33"/>
  <c r="C141" i="2"/>
  <c r="C146" i="2"/>
  <c r="P48" i="5"/>
  <c r="O50" i="5"/>
  <c r="B19" i="28"/>
  <c r="F17" i="32"/>
  <c r="F15" i="32"/>
  <c r="F16" i="32"/>
  <c r="B20" i="25"/>
  <c r="S55" i="5"/>
  <c r="M16" i="29"/>
  <c r="M17" i="29"/>
  <c r="N52" i="29"/>
  <c r="H51" i="32"/>
  <c r="H52" i="32"/>
  <c r="I50" i="32"/>
  <c r="N17" i="10"/>
  <c r="N16" i="10"/>
  <c r="O50" i="10"/>
  <c r="H33" i="32"/>
  <c r="H34" i="32"/>
  <c r="B20" i="35"/>
  <c r="N16" i="34"/>
  <c r="N17" i="34"/>
  <c r="O52" i="34"/>
  <c r="B20" i="37"/>
  <c r="L9" i="7"/>
  <c r="L10" i="7"/>
  <c r="O26" i="9"/>
  <c r="O28" i="9"/>
  <c r="AK269" i="2"/>
  <c r="N19" i="9"/>
  <c r="M9" i="5"/>
  <c r="O27" i="9"/>
  <c r="O52" i="41"/>
  <c r="N17" i="41"/>
  <c r="N16" i="41"/>
  <c r="N17" i="39"/>
  <c r="N16" i="39"/>
  <c r="O50" i="39"/>
  <c r="M52" i="7"/>
  <c r="B21" i="37"/>
  <c r="B21" i="35"/>
  <c r="B20" i="28"/>
  <c r="H35" i="32"/>
  <c r="H42" i="32"/>
  <c r="P50" i="10"/>
  <c r="O17" i="10"/>
  <c r="O16" i="10"/>
  <c r="N17" i="29"/>
  <c r="O52" i="29"/>
  <c r="N16" i="29"/>
  <c r="B21" i="25"/>
  <c r="G14" i="32"/>
  <c r="B20" i="33"/>
  <c r="O17" i="34"/>
  <c r="P52" i="34"/>
  <c r="O16" i="34"/>
  <c r="I51" i="32"/>
  <c r="I52" i="32"/>
  <c r="T55" i="5"/>
  <c r="M9" i="7"/>
  <c r="N52" i="7"/>
  <c r="AL269" i="2"/>
  <c r="N9" i="5"/>
  <c r="O19" i="9"/>
  <c r="P26" i="9"/>
  <c r="P28" i="9"/>
  <c r="P27" i="9"/>
  <c r="I32" i="32"/>
  <c r="H53" i="32"/>
  <c r="H60" i="32"/>
  <c r="P50" i="5"/>
  <c r="Q48" i="5"/>
  <c r="C143" i="2"/>
  <c r="C253" i="2"/>
  <c r="P52" i="41"/>
  <c r="O16" i="41"/>
  <c r="O17" i="41"/>
  <c r="P50" i="39"/>
  <c r="O17" i="39"/>
  <c r="O16" i="39"/>
  <c r="R48" i="5"/>
  <c r="Q50" i="5"/>
  <c r="Q26" i="9"/>
  <c r="N9" i="7"/>
  <c r="O52" i="7"/>
  <c r="P19" i="9"/>
  <c r="AM269" i="2"/>
  <c r="O9" i="5"/>
  <c r="Q27" i="9"/>
  <c r="P16" i="34"/>
  <c r="P17" i="34"/>
  <c r="Q52" i="34"/>
  <c r="O16" i="29"/>
  <c r="P52" i="29"/>
  <c r="O17" i="29"/>
  <c r="B21" i="28"/>
  <c r="B22" i="37"/>
  <c r="U55" i="5"/>
  <c r="J50" i="32"/>
  <c r="G15" i="32"/>
  <c r="G16" i="32"/>
  <c r="B22" i="25"/>
  <c r="I33" i="32"/>
  <c r="I34" i="32"/>
  <c r="P16" i="10"/>
  <c r="Q50" i="10"/>
  <c r="R50" i="10"/>
  <c r="S50" i="10"/>
  <c r="T50" i="10"/>
  <c r="U50" i="10"/>
  <c r="V50" i="10"/>
  <c r="W50" i="10"/>
  <c r="X50" i="10"/>
  <c r="P17" i="10"/>
  <c r="I53" i="32"/>
  <c r="I60" i="32"/>
  <c r="B21" i="33"/>
  <c r="B22" i="35"/>
  <c r="P17" i="41"/>
  <c r="Q52" i="41"/>
  <c r="P16" i="41"/>
  <c r="P17" i="39"/>
  <c r="P16" i="39"/>
  <c r="J51" i="32"/>
  <c r="J52" i="32"/>
  <c r="B23" i="37"/>
  <c r="Q19" i="9"/>
  <c r="AN269" i="2"/>
  <c r="R26" i="9"/>
  <c r="R27" i="9"/>
  <c r="O9" i="7"/>
  <c r="P9" i="5"/>
  <c r="B22" i="28"/>
  <c r="P17" i="29"/>
  <c r="Q52" i="29"/>
  <c r="P16" i="29"/>
  <c r="B22" i="33"/>
  <c r="J32" i="32"/>
  <c r="G17" i="32"/>
  <c r="R50" i="5"/>
  <c r="S48" i="5"/>
  <c r="B23" i="35"/>
  <c r="I35" i="32"/>
  <c r="I42" i="32"/>
  <c r="B23" i="25"/>
  <c r="H14" i="32"/>
  <c r="V55" i="5"/>
  <c r="Q17" i="34"/>
  <c r="Q16" i="34"/>
  <c r="R52" i="34"/>
  <c r="R52" i="41"/>
  <c r="Q16" i="41"/>
  <c r="Q17" i="41"/>
  <c r="J33" i="32"/>
  <c r="J34" i="32"/>
  <c r="J35" i="32"/>
  <c r="J42" i="32"/>
  <c r="B23" i="33"/>
  <c r="R19" i="9"/>
  <c r="P9" i="7"/>
  <c r="AO269" i="2"/>
  <c r="Q9" i="5"/>
  <c r="S26" i="9"/>
  <c r="S27" i="9"/>
  <c r="R16" i="34"/>
  <c r="R17" i="34"/>
  <c r="S52" i="34"/>
  <c r="H15" i="32"/>
  <c r="H16" i="32"/>
  <c r="I14" i="32"/>
  <c r="T48" i="5"/>
  <c r="S50" i="5"/>
  <c r="Q16" i="29"/>
  <c r="Q17" i="29"/>
  <c r="R52" i="29"/>
  <c r="B23" i="28"/>
  <c r="B24" i="25"/>
  <c r="K50" i="32"/>
  <c r="B24" i="35"/>
  <c r="W55" i="5"/>
  <c r="B24" i="37"/>
  <c r="J53" i="32"/>
  <c r="J60" i="32"/>
  <c r="R17" i="41"/>
  <c r="S52" i="41"/>
  <c r="R16" i="41"/>
  <c r="R17" i="29"/>
  <c r="S52" i="29"/>
  <c r="R16" i="29"/>
  <c r="I15" i="32"/>
  <c r="I16" i="32"/>
  <c r="B25" i="37"/>
  <c r="K51" i="32"/>
  <c r="K52" i="32"/>
  <c r="B24" i="28"/>
  <c r="T50" i="5"/>
  <c r="U48" i="5"/>
  <c r="S17" i="34"/>
  <c r="T52" i="34"/>
  <c r="S16" i="34"/>
  <c r="B25" i="25"/>
  <c r="H17" i="32"/>
  <c r="H24" i="32"/>
  <c r="Q9" i="7"/>
  <c r="R52" i="7"/>
  <c r="AP269" i="2"/>
  <c r="S19" i="9"/>
  <c r="R9" i="5"/>
  <c r="T27" i="9"/>
  <c r="T26" i="9"/>
  <c r="T28" i="9"/>
  <c r="K32" i="32"/>
  <c r="X55" i="5"/>
  <c r="B24" i="33"/>
  <c r="B25" i="35"/>
  <c r="T52" i="41"/>
  <c r="S16" i="41"/>
  <c r="S17" i="41"/>
  <c r="V48" i="5"/>
  <c r="U50" i="5"/>
  <c r="J14" i="32"/>
  <c r="B26" i="35"/>
  <c r="B25" i="33"/>
  <c r="B25" i="28"/>
  <c r="I17" i="32"/>
  <c r="I24" i="32"/>
  <c r="K33" i="32"/>
  <c r="K34" i="32"/>
  <c r="K35" i="32"/>
  <c r="K42" i="32"/>
  <c r="B26" i="25"/>
  <c r="T16" i="34"/>
  <c r="U52" i="34"/>
  <c r="T17" i="34"/>
  <c r="S16" i="29"/>
  <c r="T52" i="29"/>
  <c r="S17" i="29"/>
  <c r="T19" i="9"/>
  <c r="R9" i="7"/>
  <c r="R10" i="7"/>
  <c r="T16" i="9"/>
  <c r="T18" i="9"/>
  <c r="U26" i="9"/>
  <c r="U28" i="9"/>
  <c r="AQ269" i="2"/>
  <c r="S9" i="5"/>
  <c r="U27" i="9"/>
  <c r="K53" i="32"/>
  <c r="K60" i="32"/>
  <c r="B26" i="37"/>
  <c r="T17" i="41"/>
  <c r="U52" i="41"/>
  <c r="T16" i="41"/>
  <c r="B26" i="28"/>
  <c r="B26" i="33"/>
  <c r="B27" i="35"/>
  <c r="U19" i="9"/>
  <c r="V26" i="9"/>
  <c r="S9" i="7"/>
  <c r="T52" i="7"/>
  <c r="AR269" i="2"/>
  <c r="T9" i="5"/>
  <c r="V27" i="9"/>
  <c r="B27" i="25"/>
  <c r="B27" i="37"/>
  <c r="T17" i="29"/>
  <c r="U52" i="29"/>
  <c r="T16" i="29"/>
  <c r="U17" i="34"/>
  <c r="U16" i="34"/>
  <c r="V52" i="34"/>
  <c r="J15" i="32"/>
  <c r="J16" i="32"/>
  <c r="K14" i="32"/>
  <c r="V50" i="5"/>
  <c r="W48" i="5"/>
  <c r="U16" i="41"/>
  <c r="V52" i="41"/>
  <c r="U17" i="41"/>
  <c r="K15" i="32"/>
  <c r="K16" i="32"/>
  <c r="B27" i="33"/>
  <c r="J17" i="32"/>
  <c r="J24" i="32"/>
  <c r="V16" i="34"/>
  <c r="V17" i="34"/>
  <c r="W52" i="34"/>
  <c r="U16" i="29"/>
  <c r="U17" i="29"/>
  <c r="V52" i="29"/>
  <c r="S10" i="7"/>
  <c r="T22" i="7"/>
  <c r="B27" i="28"/>
  <c r="X48" i="5"/>
  <c r="X50" i="5"/>
  <c r="W50" i="5"/>
  <c r="B28" i="25"/>
  <c r="B28" i="37"/>
  <c r="S24" i="7"/>
  <c r="T9" i="7"/>
  <c r="V19" i="9"/>
  <c r="AS269" i="2"/>
  <c r="W26" i="9"/>
  <c r="U9" i="5"/>
  <c r="W27" i="9"/>
  <c r="B28" i="35"/>
  <c r="W52" i="41"/>
  <c r="V17" i="41"/>
  <c r="V16" i="41"/>
  <c r="U9" i="7"/>
  <c r="V52" i="7"/>
  <c r="AT269" i="2"/>
  <c r="V9" i="5"/>
  <c r="X26" i="9"/>
  <c r="W19" i="9"/>
  <c r="X27" i="9"/>
  <c r="B29" i="25"/>
  <c r="T23" i="7"/>
  <c r="U16" i="9"/>
  <c r="U18" i="9"/>
  <c r="W17" i="34"/>
  <c r="X52" i="34"/>
  <c r="W16" i="34"/>
  <c r="B29" i="35"/>
  <c r="B28" i="28"/>
  <c r="V17" i="29"/>
  <c r="W52" i="29"/>
  <c r="V16" i="29"/>
  <c r="B29" i="37"/>
  <c r="B28" i="33"/>
  <c r="K17" i="32"/>
  <c r="K24" i="32"/>
  <c r="X52" i="41"/>
  <c r="W16" i="41"/>
  <c r="W17" i="41"/>
  <c r="X16" i="34"/>
  <c r="X17" i="34"/>
  <c r="Y52" i="34"/>
  <c r="W16" i="29"/>
  <c r="X52" i="29"/>
  <c r="W17" i="29"/>
  <c r="B29" i="28"/>
  <c r="B30" i="25"/>
  <c r="B30" i="37"/>
  <c r="B30" i="35"/>
  <c r="V9" i="7"/>
  <c r="W52" i="7"/>
  <c r="Y26" i="9"/>
  <c r="Y28" i="9"/>
  <c r="X19" i="9"/>
  <c r="AU269" i="2"/>
  <c r="W9" i="5"/>
  <c r="Y27" i="9"/>
  <c r="B29" i="33"/>
  <c r="X17" i="41"/>
  <c r="Y52" i="41"/>
  <c r="X16" i="41"/>
  <c r="Y19" i="9"/>
  <c r="Z26" i="9"/>
  <c r="AV269" i="2"/>
  <c r="W9" i="7"/>
  <c r="Z27" i="9"/>
  <c r="B31" i="35"/>
  <c r="B30" i="33"/>
  <c r="B31" i="37"/>
  <c r="B31" i="25"/>
  <c r="B30" i="28"/>
  <c r="X17" i="29"/>
  <c r="Y52" i="29"/>
  <c r="X16" i="29"/>
  <c r="Y17" i="34"/>
  <c r="Y16" i="34"/>
  <c r="Y16" i="41"/>
  <c r="Y17" i="41"/>
  <c r="Y16" i="29"/>
  <c r="Y17" i="29"/>
  <c r="B32" i="35"/>
  <c r="B31" i="33"/>
  <c r="B31" i="28"/>
  <c r="B32" i="25"/>
  <c r="B32" i="37"/>
  <c r="B33" i="37"/>
  <c r="B33" i="35"/>
  <c r="B33" i="25"/>
  <c r="B32" i="28"/>
  <c r="B32" i="33"/>
  <c r="B34" i="37"/>
  <c r="B34" i="25"/>
  <c r="B33" i="33"/>
  <c r="B33" i="28"/>
  <c r="B34" i="35"/>
  <c r="B35" i="35"/>
  <c r="B35" i="37"/>
  <c r="B34" i="28"/>
  <c r="B34" i="33"/>
  <c r="B35" i="25"/>
  <c r="B35" i="33"/>
  <c r="B35" i="28"/>
  <c r="B36" i="37"/>
  <c r="B36" i="25"/>
  <c r="B36" i="35"/>
  <c r="B37" i="37"/>
  <c r="B36" i="28"/>
  <c r="B37" i="25"/>
  <c r="B36" i="33"/>
  <c r="B37" i="35"/>
  <c r="B38" i="37"/>
  <c r="B38" i="25"/>
  <c r="B37" i="28"/>
  <c r="B38" i="35"/>
  <c r="B37" i="33"/>
  <c r="B38" i="28"/>
  <c r="B38" i="33"/>
  <c r="B39" i="35"/>
  <c r="B39" i="25"/>
  <c r="B39" i="37"/>
  <c r="B39" i="33"/>
  <c r="B40" i="35"/>
  <c r="B40" i="25"/>
  <c r="B40" i="37"/>
  <c r="B39" i="28"/>
  <c r="B40" i="33"/>
  <c r="B41" i="25"/>
  <c r="B41" i="35"/>
  <c r="B40" i="28"/>
  <c r="B41" i="37"/>
  <c r="B42" i="37"/>
  <c r="B41" i="28"/>
  <c r="B42" i="35"/>
  <c r="B42" i="25"/>
  <c r="B41" i="33"/>
  <c r="B43" i="37"/>
  <c r="B42" i="33"/>
  <c r="B43" i="25"/>
  <c r="B42" i="28"/>
  <c r="B43" i="35"/>
  <c r="B43" i="28"/>
  <c r="B44" i="35"/>
  <c r="B44" i="25"/>
  <c r="B44" i="37"/>
  <c r="B43" i="33"/>
  <c r="B44" i="33"/>
  <c r="B45" i="37"/>
  <c r="B44" i="28"/>
  <c r="B45" i="35"/>
  <c r="B45" i="25"/>
  <c r="B45" i="28"/>
  <c r="B45" i="33"/>
  <c r="B46" i="25"/>
  <c r="B46" i="35"/>
  <c r="B46" i="37"/>
  <c r="B46" i="33"/>
  <c r="B47" i="37"/>
  <c r="B47" i="25"/>
  <c r="B46" i="28"/>
  <c r="B47" i="35"/>
  <c r="B47" i="33"/>
  <c r="B48" i="37"/>
  <c r="B48" i="35"/>
  <c r="B48" i="25"/>
  <c r="B47" i="28"/>
  <c r="B48" i="28"/>
  <c r="B49" i="35"/>
  <c r="B49" i="25"/>
  <c r="B49" i="37"/>
  <c r="B48" i="33"/>
  <c r="B50" i="25"/>
  <c r="B49" i="28"/>
  <c r="B50" i="37"/>
  <c r="B50" i="35"/>
  <c r="B49" i="33"/>
  <c r="B51" i="35"/>
  <c r="B50" i="33"/>
  <c r="B51" i="37"/>
  <c r="B50" i="28"/>
  <c r="B51" i="25"/>
  <c r="B51" i="33"/>
  <c r="B52" i="25"/>
  <c r="B51" i="28"/>
  <c r="B52" i="37"/>
  <c r="B52" i="35"/>
  <c r="B53" i="37"/>
  <c r="B53" i="35"/>
  <c r="B53" i="25"/>
  <c r="B52" i="28"/>
  <c r="B52" i="33"/>
  <c r="B53" i="33"/>
  <c r="B54" i="35"/>
  <c r="B53" i="28"/>
  <c r="B54" i="25"/>
  <c r="B54" i="37"/>
  <c r="B55" i="25"/>
  <c r="B54" i="28"/>
  <c r="B54" i="33"/>
  <c r="B55" i="37"/>
  <c r="B55" i="35"/>
  <c r="B56" i="35"/>
  <c r="B55" i="28"/>
  <c r="B56" i="25"/>
  <c r="B56" i="37"/>
  <c r="B55" i="33"/>
  <c r="B57" i="37"/>
  <c r="B57" i="25"/>
  <c r="B56" i="33"/>
  <c r="B56" i="28"/>
  <c r="B57" i="35"/>
  <c r="B58" i="25"/>
  <c r="B58" i="37"/>
  <c r="B57" i="28"/>
  <c r="B58" i="35"/>
  <c r="B57" i="33"/>
  <c r="B58" i="28"/>
  <c r="B59" i="37"/>
  <c r="B58" i="33"/>
  <c r="B59" i="25"/>
  <c r="B59" i="35"/>
  <c r="B60" i="35"/>
  <c r="B60" i="25"/>
  <c r="B59" i="33"/>
  <c r="B60" i="37"/>
  <c r="B59" i="28"/>
  <c r="B60" i="33"/>
  <c r="B60" i="28"/>
  <c r="B61" i="25"/>
  <c r="B61" i="35"/>
  <c r="B61" i="37"/>
  <c r="B61" i="33"/>
  <c r="B62" i="35"/>
  <c r="B62" i="25"/>
  <c r="B62" i="37"/>
  <c r="B61" i="28"/>
  <c r="B63" i="25"/>
  <c r="B63" i="37"/>
  <c r="B62" i="33"/>
  <c r="B62" i="28"/>
  <c r="B63" i="35"/>
  <c r="B63" i="33"/>
  <c r="B64" i="25"/>
  <c r="B63" i="28"/>
  <c r="B64" i="35"/>
  <c r="B64" i="37"/>
  <c r="B64" i="33"/>
  <c r="B65" i="37"/>
  <c r="B65" i="35"/>
  <c r="B64" i="28"/>
  <c r="B65" i="25"/>
  <c r="B66" i="37"/>
  <c r="B65" i="33"/>
  <c r="B66" i="35"/>
  <c r="B65" i="28"/>
  <c r="B66" i="25"/>
  <c r="B66" i="33"/>
  <c r="B67" i="35"/>
  <c r="B67" i="25"/>
  <c r="B66" i="28"/>
  <c r="B67" i="37"/>
  <c r="B68" i="35"/>
  <c r="B67" i="28"/>
  <c r="B67" i="33"/>
  <c r="B68" i="37"/>
  <c r="B68" i="25"/>
  <c r="B69" i="25"/>
  <c r="B68" i="28"/>
  <c r="B69" i="37"/>
  <c r="B68" i="33"/>
  <c r="B69" i="35"/>
  <c r="B70" i="35"/>
  <c r="B69" i="28"/>
  <c r="B70" i="25"/>
  <c r="B70" i="37"/>
  <c r="B69" i="33"/>
  <c r="B71" i="37"/>
  <c r="B70" i="28"/>
  <c r="B70" i="33"/>
  <c r="B71" i="35"/>
  <c r="B71" i="25"/>
  <c r="B71" i="33"/>
  <c r="B72" i="37"/>
  <c r="B72" i="25"/>
  <c r="B72" i="35"/>
  <c r="B71" i="28"/>
  <c r="B73" i="37"/>
  <c r="B72" i="28"/>
  <c r="B73" i="25"/>
  <c r="B73" i="35"/>
  <c r="B72" i="33"/>
  <c r="B74" i="35"/>
  <c r="B73" i="28"/>
  <c r="B74" i="37"/>
  <c r="B74" i="25"/>
  <c r="B73" i="33"/>
  <c r="B74" i="33"/>
  <c r="B75" i="37"/>
  <c r="B75" i="35"/>
  <c r="B75" i="25"/>
  <c r="B74" i="28"/>
  <c r="B76" i="25"/>
  <c r="B76" i="35"/>
  <c r="B75" i="33"/>
  <c r="B75" i="28"/>
  <c r="B76" i="37"/>
  <c r="B76" i="33"/>
  <c r="B77" i="25"/>
  <c r="B77" i="37"/>
  <c r="B76" i="28"/>
  <c r="B77" i="35"/>
  <c r="B78" i="25"/>
  <c r="B77" i="33"/>
  <c r="B77" i="28"/>
  <c r="B78" i="37"/>
  <c r="B78" i="35"/>
  <c r="B78" i="28"/>
  <c r="B79" i="35"/>
  <c r="B78" i="33"/>
  <c r="B79" i="25"/>
  <c r="B79" i="37"/>
  <c r="B79" i="33"/>
  <c r="B80" i="35"/>
  <c r="B80" i="25"/>
  <c r="B80" i="37"/>
  <c r="B79" i="28"/>
  <c r="B80" i="28"/>
  <c r="B81" i="25"/>
  <c r="B80" i="33"/>
  <c r="B81" i="37"/>
  <c r="B81" i="35"/>
  <c r="B82" i="35"/>
  <c r="B81" i="28"/>
  <c r="B82" i="25"/>
  <c r="B81" i="33"/>
  <c r="B82" i="37"/>
  <c r="B83" i="37"/>
  <c r="B83" i="35"/>
  <c r="B82" i="33"/>
  <c r="B83" i="25"/>
  <c r="B82" i="28"/>
  <c r="B83" i="33"/>
  <c r="B84" i="25"/>
  <c r="B83" i="28"/>
  <c r="B84" i="35"/>
  <c r="B84" i="37"/>
  <c r="B84" i="33"/>
  <c r="B85" i="35"/>
  <c r="B84" i="28"/>
  <c r="B85" i="37"/>
  <c r="B85" i="25"/>
  <c r="B85" i="33"/>
  <c r="B86" i="37"/>
  <c r="B86" i="35"/>
  <c r="B85" i="28"/>
  <c r="B86" i="25"/>
  <c r="B86" i="28"/>
  <c r="B87" i="35"/>
  <c r="B86" i="33"/>
  <c r="B87" i="25"/>
  <c r="B87" i="37"/>
  <c r="B88" i="37"/>
  <c r="B88" i="25"/>
  <c r="B88" i="35"/>
  <c r="B87" i="28"/>
  <c r="B87" i="33"/>
  <c r="B88" i="28"/>
  <c r="B89" i="37"/>
  <c r="B88" i="33"/>
  <c r="B89" i="35"/>
  <c r="B89" i="25"/>
  <c r="B90" i="35"/>
  <c r="B90" i="37"/>
  <c r="B89" i="33"/>
  <c r="B89" i="28"/>
  <c r="B90" i="25"/>
  <c r="B90" i="33"/>
  <c r="B91" i="25"/>
  <c r="B91" i="35"/>
  <c r="B90" i="28"/>
  <c r="B91" i="37"/>
  <c r="B91" i="28"/>
  <c r="B91" i="33"/>
  <c r="B92" i="37"/>
  <c r="B92" i="35"/>
  <c r="B92" i="25"/>
  <c r="B93" i="35"/>
  <c r="B93" i="37"/>
  <c r="B92" i="33"/>
  <c r="B93" i="25"/>
  <c r="B92" i="28"/>
  <c r="B93" i="33"/>
  <c r="B94" i="35"/>
  <c r="B93" i="28"/>
  <c r="B94" i="25"/>
  <c r="B94" i="37"/>
  <c r="B95" i="37"/>
  <c r="B95" i="25"/>
  <c r="B94" i="33"/>
  <c r="B94" i="28"/>
  <c r="B95" i="35"/>
  <c r="B96" i="35"/>
  <c r="B95" i="33"/>
  <c r="B96" i="25"/>
  <c r="B96" i="37"/>
  <c r="B95" i="28"/>
  <c r="B97" i="37"/>
  <c r="B96" i="28"/>
  <c r="B96" i="33"/>
  <c r="B97" i="25"/>
  <c r="B97" i="35"/>
  <c r="B98" i="37"/>
  <c r="B98" i="25"/>
  <c r="B97" i="33"/>
  <c r="B97" i="28"/>
  <c r="B98" i="35"/>
  <c r="B98" i="33"/>
  <c r="B98" i="28"/>
  <c r="B99" i="25"/>
  <c r="B99" i="37"/>
  <c r="B99" i="35"/>
  <c r="B100" i="37"/>
  <c r="B100" i="35"/>
  <c r="B100" i="25"/>
  <c r="B99" i="28"/>
  <c r="B99" i="33"/>
  <c r="B101" i="37"/>
  <c r="B101" i="35"/>
  <c r="B100" i="33"/>
  <c r="B100" i="28"/>
  <c r="B101" i="25"/>
  <c r="B102" i="25"/>
  <c r="B102" i="35"/>
  <c r="B101" i="28"/>
  <c r="B101" i="33"/>
  <c r="B102" i="37"/>
  <c r="B102" i="33"/>
  <c r="B103" i="37"/>
  <c r="B103" i="35"/>
  <c r="B102" i="28"/>
  <c r="B103" i="25"/>
  <c r="B104" i="25"/>
  <c r="B103" i="28"/>
  <c r="B104" i="37"/>
  <c r="B103" i="33"/>
  <c r="B104" i="35"/>
  <c r="B104" i="28"/>
  <c r="B105" i="35"/>
  <c r="B105" i="37"/>
  <c r="B104" i="33"/>
  <c r="B105" i="25"/>
  <c r="B106" i="25"/>
  <c r="B106" i="37"/>
  <c r="B105" i="28"/>
  <c r="B105" i="33"/>
  <c r="B106" i="35"/>
  <c r="B107" i="37"/>
  <c r="B107" i="25"/>
  <c r="B106" i="28"/>
  <c r="B107" i="35"/>
  <c r="B106" i="33"/>
  <c r="B107" i="33"/>
  <c r="B108" i="25"/>
  <c r="B108" i="35"/>
  <c r="B108" i="37"/>
  <c r="B107" i="28"/>
  <c r="B109" i="37"/>
  <c r="B109" i="25"/>
  <c r="B108" i="33"/>
  <c r="B108" i="28"/>
  <c r="B109" i="35"/>
  <c r="B110" i="25"/>
  <c r="B110" i="37"/>
  <c r="B109" i="33"/>
  <c r="B110" i="35"/>
  <c r="B109" i="28"/>
  <c r="B110" i="28"/>
  <c r="B111" i="37"/>
  <c r="B110" i="33"/>
  <c r="B111" i="35"/>
  <c r="B111" i="25"/>
  <c r="B112" i="37"/>
  <c r="B111" i="28"/>
  <c r="B112" i="25"/>
  <c r="B112" i="35"/>
  <c r="B111" i="33"/>
  <c r="B113" i="25"/>
  <c r="B112" i="28"/>
  <c r="B113" i="35"/>
  <c r="B112" i="33"/>
  <c r="B113" i="37"/>
  <c r="B114" i="25"/>
  <c r="B113" i="33"/>
  <c r="B113" i="28"/>
  <c r="B114" i="37"/>
  <c r="B114" i="35"/>
  <c r="B114" i="28"/>
  <c r="B114" i="33"/>
  <c r="B115" i="25"/>
  <c r="B115" i="35"/>
  <c r="B115" i="37"/>
  <c r="B115" i="28"/>
  <c r="B116" i="25"/>
  <c r="B116" i="37"/>
  <c r="B116" i="35"/>
  <c r="B115" i="33"/>
  <c r="B117" i="37"/>
  <c r="B116" i="28"/>
  <c r="B116" i="33"/>
  <c r="B117" i="25"/>
  <c r="B117" i="35"/>
  <c r="B118" i="25"/>
  <c r="B117" i="28"/>
  <c r="B118" i="35"/>
  <c r="B117" i="33"/>
  <c r="B118" i="37"/>
  <c r="B119" i="35"/>
  <c r="B119" i="37"/>
  <c r="B118" i="33"/>
  <c r="B119" i="25"/>
  <c r="B118" i="28"/>
  <c r="B119" i="28"/>
  <c r="B120" i="25"/>
  <c r="B119" i="33"/>
  <c r="B120" i="35"/>
  <c r="B120" i="37"/>
  <c r="B121" i="35"/>
  <c r="B121" i="37"/>
  <c r="B121" i="25"/>
  <c r="B120" i="33"/>
  <c r="B120" i="28"/>
  <c r="B122" i="25"/>
  <c r="B121" i="33"/>
  <c r="B121" i="28"/>
  <c r="B122" i="37"/>
  <c r="B122" i="35"/>
  <c r="B123" i="35"/>
  <c r="B122" i="33"/>
  <c r="B123" i="25"/>
  <c r="B123" i="37"/>
  <c r="B122" i="28"/>
  <c r="B123" i="28"/>
  <c r="B124" i="37"/>
  <c r="B124" i="25"/>
  <c r="B123" i="33"/>
  <c r="B124" i="35"/>
  <c r="B125" i="25"/>
  <c r="B124" i="28"/>
  <c r="B124" i="33"/>
  <c r="B125" i="37"/>
  <c r="B125" i="35"/>
  <c r="B126" i="37"/>
  <c r="B125" i="33"/>
  <c r="B125" i="28"/>
  <c r="B126" i="35"/>
  <c r="B126" i="25"/>
  <c r="B126" i="33"/>
  <c r="B127" i="35"/>
  <c r="B127" i="25"/>
  <c r="B126" i="28"/>
  <c r="B127" i="37"/>
  <c r="B128" i="37"/>
  <c r="B127" i="33"/>
  <c r="B128" i="25"/>
  <c r="B127" i="28"/>
  <c r="B128" i="35"/>
  <c r="B129" i="25"/>
  <c r="B129" i="37"/>
  <c r="B128" i="33"/>
  <c r="B129" i="35"/>
  <c r="B128" i="28"/>
  <c r="B130" i="35"/>
  <c r="B130" i="25"/>
  <c r="B129" i="28"/>
  <c r="B129" i="33"/>
  <c r="B130" i="37"/>
  <c r="B130" i="33"/>
  <c r="B131" i="37"/>
  <c r="B130" i="28"/>
  <c r="B131" i="35"/>
  <c r="B131" i="25"/>
  <c r="B132" i="37"/>
  <c r="B131" i="33"/>
  <c r="B131" i="28"/>
  <c r="B132" i="25"/>
  <c r="B132" i="35"/>
  <c r="B132" i="28"/>
  <c r="B132" i="33"/>
  <c r="F132" i="35"/>
  <c r="C132" i="35"/>
  <c r="H132" i="35"/>
  <c r="B133" i="35"/>
  <c r="E132" i="35"/>
  <c r="G132" i="35"/>
  <c r="E132" i="25"/>
  <c r="B133" i="25"/>
  <c r="F132" i="25"/>
  <c r="H132" i="25"/>
  <c r="G132" i="25"/>
  <c r="C132" i="25"/>
  <c r="F132" i="37"/>
  <c r="C132" i="37"/>
  <c r="H132" i="37"/>
  <c r="B133" i="37"/>
  <c r="E132" i="37"/>
  <c r="G132" i="37"/>
  <c r="C133" i="37"/>
  <c r="H133" i="37"/>
  <c r="F133" i="37"/>
  <c r="G133" i="37"/>
  <c r="B134" i="37"/>
  <c r="G133" i="25"/>
  <c r="H133" i="25"/>
  <c r="C133" i="25"/>
  <c r="F133" i="25"/>
  <c r="B134" i="25"/>
  <c r="C133" i="35"/>
  <c r="H133" i="35"/>
  <c r="F133" i="35"/>
  <c r="G133" i="35"/>
  <c r="B134" i="35"/>
  <c r="G132" i="28"/>
  <c r="E132" i="28"/>
  <c r="B133" i="28"/>
  <c r="F132" i="28"/>
  <c r="C132" i="28"/>
  <c r="H132" i="28"/>
  <c r="G132" i="33"/>
  <c r="E132" i="33"/>
  <c r="B133" i="33"/>
  <c r="C132" i="33"/>
  <c r="H132" i="33"/>
  <c r="F132" i="33"/>
  <c r="E134" i="35"/>
  <c r="B135" i="35"/>
  <c r="C134" i="35"/>
  <c r="G134" i="35"/>
  <c r="D134" i="35"/>
  <c r="H134" i="35"/>
  <c r="F134" i="35"/>
  <c r="B134" i="33"/>
  <c r="G133" i="33"/>
  <c r="F133" i="33"/>
  <c r="C133" i="33"/>
  <c r="H133" i="33"/>
  <c r="B134" i="28"/>
  <c r="G133" i="28"/>
  <c r="C133" i="28"/>
  <c r="H133" i="28"/>
  <c r="F133" i="28"/>
  <c r="D134" i="25"/>
  <c r="B135" i="25"/>
  <c r="C134" i="25"/>
  <c r="G134" i="25"/>
  <c r="F134" i="25"/>
  <c r="H134" i="25"/>
  <c r="E134" i="37"/>
  <c r="B135" i="37"/>
  <c r="C134" i="37"/>
  <c r="G134" i="37"/>
  <c r="D134" i="37"/>
  <c r="F134" i="37"/>
  <c r="H134" i="37"/>
  <c r="F135" i="35"/>
  <c r="D135" i="35"/>
  <c r="H135" i="35"/>
  <c r="E135" i="35"/>
  <c r="B136" i="35"/>
  <c r="G135" i="35"/>
  <c r="C135" i="35"/>
  <c r="F135" i="37"/>
  <c r="D135" i="37"/>
  <c r="H135" i="37"/>
  <c r="E135" i="37"/>
  <c r="G135" i="37"/>
  <c r="B136" i="37"/>
  <c r="C135" i="37"/>
  <c r="F134" i="28"/>
  <c r="D134" i="28"/>
  <c r="H134" i="28"/>
  <c r="E134" i="28"/>
  <c r="B135" i="28"/>
  <c r="C134" i="28"/>
  <c r="G134" i="28"/>
  <c r="F134" i="33"/>
  <c r="D134" i="33"/>
  <c r="H134" i="33"/>
  <c r="G134" i="33"/>
  <c r="C134" i="33"/>
  <c r="E134" i="33"/>
  <c r="B135" i="33"/>
  <c r="F135" i="25"/>
  <c r="C135" i="25"/>
  <c r="H135" i="25"/>
  <c r="E135" i="25"/>
  <c r="B136" i="25"/>
  <c r="D135" i="25"/>
  <c r="G135" i="25"/>
  <c r="C136" i="25"/>
  <c r="G136" i="25"/>
  <c r="F136" i="25"/>
  <c r="D136" i="25"/>
  <c r="B137" i="25"/>
  <c r="E136" i="25"/>
  <c r="H136" i="25"/>
  <c r="C136" i="37"/>
  <c r="G136" i="37"/>
  <c r="E136" i="37"/>
  <c r="B137" i="37"/>
  <c r="F136" i="37"/>
  <c r="H136" i="37"/>
  <c r="D136" i="37"/>
  <c r="C135" i="33"/>
  <c r="G135" i="33"/>
  <c r="E135" i="33"/>
  <c r="B136" i="33"/>
  <c r="H135" i="33"/>
  <c r="D135" i="33"/>
  <c r="F135" i="33"/>
  <c r="C135" i="28"/>
  <c r="G135" i="28"/>
  <c r="E135" i="28"/>
  <c r="B136" i="28"/>
  <c r="F135" i="28"/>
  <c r="H135" i="28"/>
  <c r="D135" i="28"/>
  <c r="C136" i="35"/>
  <c r="G136" i="35"/>
  <c r="E136" i="35"/>
  <c r="B137" i="35"/>
  <c r="F136" i="35"/>
  <c r="H136" i="35"/>
  <c r="D136" i="35"/>
  <c r="D137" i="25"/>
  <c r="H137" i="25"/>
  <c r="E137" i="25"/>
  <c r="G137" i="25"/>
  <c r="F137" i="25"/>
  <c r="B138" i="25"/>
  <c r="C137" i="25"/>
  <c r="D136" i="28"/>
  <c r="H136" i="28"/>
  <c r="F136" i="28"/>
  <c r="G136" i="28"/>
  <c r="C136" i="28"/>
  <c r="E136" i="28"/>
  <c r="B137" i="28"/>
  <c r="D136" i="33"/>
  <c r="H136" i="33"/>
  <c r="F136" i="33"/>
  <c r="B137" i="33"/>
  <c r="E136" i="33"/>
  <c r="G136" i="33"/>
  <c r="C136" i="33"/>
  <c r="D137" i="35"/>
  <c r="H137" i="35"/>
  <c r="F137" i="35"/>
  <c r="G137" i="35"/>
  <c r="C137" i="35"/>
  <c r="B138" i="35"/>
  <c r="D137" i="37"/>
  <c r="H137" i="37"/>
  <c r="F137" i="37"/>
  <c r="G137" i="37"/>
  <c r="B138" i="37"/>
  <c r="C137" i="37"/>
  <c r="E137" i="37"/>
  <c r="E137" i="28"/>
  <c r="B138" i="28"/>
  <c r="C137" i="28"/>
  <c r="G137" i="28"/>
  <c r="H137" i="28"/>
  <c r="D137" i="28"/>
  <c r="F137" i="28"/>
  <c r="E138" i="25"/>
  <c r="B139" i="25"/>
  <c r="C138" i="25"/>
  <c r="H138" i="25"/>
  <c r="F138" i="25"/>
  <c r="D138" i="25"/>
  <c r="G138" i="25"/>
  <c r="E138" i="37"/>
  <c r="B139" i="37"/>
  <c r="C138" i="37"/>
  <c r="G138" i="37"/>
  <c r="H138" i="37"/>
  <c r="D138" i="37"/>
  <c r="F138" i="37"/>
  <c r="E138" i="35"/>
  <c r="B139" i="35"/>
  <c r="C138" i="35"/>
  <c r="G138" i="35"/>
  <c r="H138" i="35"/>
  <c r="D138" i="35"/>
  <c r="F138" i="35"/>
  <c r="B138" i="33"/>
  <c r="C137" i="33"/>
  <c r="G137" i="33"/>
  <c r="F137" i="33"/>
  <c r="D137" i="33"/>
  <c r="H137" i="33"/>
  <c r="F139" i="37"/>
  <c r="D139" i="37"/>
  <c r="H139" i="37"/>
  <c r="B140" i="37"/>
  <c r="C139" i="37"/>
  <c r="E139" i="37"/>
  <c r="G139" i="37"/>
  <c r="F139" i="35"/>
  <c r="D139" i="35"/>
  <c r="H139" i="35"/>
  <c r="B140" i="35"/>
  <c r="E139" i="35"/>
  <c r="C139" i="35"/>
  <c r="G139" i="35"/>
  <c r="F138" i="28"/>
  <c r="D138" i="28"/>
  <c r="H138" i="28"/>
  <c r="B139" i="28"/>
  <c r="E138" i="28"/>
  <c r="C138" i="28"/>
  <c r="G138" i="28"/>
  <c r="F138" i="33"/>
  <c r="D138" i="33"/>
  <c r="H138" i="33"/>
  <c r="C138" i="33"/>
  <c r="G138" i="33"/>
  <c r="B139" i="33"/>
  <c r="E138" i="33"/>
  <c r="F139" i="25"/>
  <c r="G139" i="25"/>
  <c r="D139" i="25"/>
  <c r="B140" i="25"/>
  <c r="C139" i="25"/>
  <c r="E139" i="25"/>
  <c r="H139" i="25"/>
  <c r="C139" i="33"/>
  <c r="G139" i="33"/>
  <c r="E139" i="33"/>
  <c r="B140" i="33"/>
  <c r="D139" i="33"/>
  <c r="H139" i="33"/>
  <c r="F139" i="33"/>
  <c r="C139" i="28"/>
  <c r="G139" i="28"/>
  <c r="E139" i="28"/>
  <c r="B140" i="28"/>
  <c r="F139" i="28"/>
  <c r="D139" i="28"/>
  <c r="H139" i="28"/>
  <c r="C140" i="37"/>
  <c r="G140" i="37"/>
  <c r="E140" i="37"/>
  <c r="B141" i="37"/>
  <c r="D140" i="37"/>
  <c r="F140" i="37"/>
  <c r="H140" i="37"/>
  <c r="C140" i="25"/>
  <c r="G140" i="25"/>
  <c r="E140" i="25"/>
  <c r="H140" i="25"/>
  <c r="F140" i="25"/>
  <c r="B141" i="25"/>
  <c r="D140" i="25"/>
  <c r="C140" i="35"/>
  <c r="G140" i="35"/>
  <c r="E140" i="35"/>
  <c r="B141" i="35"/>
  <c r="F140" i="35"/>
  <c r="D140" i="35"/>
  <c r="H140" i="35"/>
  <c r="D140" i="33"/>
  <c r="H140" i="33"/>
  <c r="F140" i="33"/>
  <c r="E140" i="33"/>
  <c r="B141" i="33"/>
  <c r="C140" i="33"/>
  <c r="G140" i="33"/>
  <c r="D141" i="35"/>
  <c r="H141" i="35"/>
  <c r="F141" i="35"/>
  <c r="C141" i="35"/>
  <c r="G141" i="35"/>
  <c r="E141" i="35"/>
  <c r="B142" i="35"/>
  <c r="D141" i="25"/>
  <c r="H141" i="25"/>
  <c r="C141" i="25"/>
  <c r="B142" i="25"/>
  <c r="F141" i="25"/>
  <c r="E141" i="25"/>
  <c r="G141" i="25"/>
  <c r="D140" i="28"/>
  <c r="H140" i="28"/>
  <c r="F140" i="28"/>
  <c r="C140" i="28"/>
  <c r="G140" i="28"/>
  <c r="E140" i="28"/>
  <c r="B141" i="28"/>
  <c r="D141" i="37"/>
  <c r="H141" i="37"/>
  <c r="F141" i="37"/>
  <c r="C141" i="37"/>
  <c r="E141" i="37"/>
  <c r="G141" i="37"/>
  <c r="B142" i="37"/>
  <c r="E142" i="37"/>
  <c r="B143" i="37"/>
  <c r="C142" i="37"/>
  <c r="G142" i="37"/>
  <c r="D142" i="37"/>
  <c r="F142" i="37"/>
  <c r="H142" i="37"/>
  <c r="E142" i="35"/>
  <c r="B143" i="35"/>
  <c r="C142" i="35"/>
  <c r="G142" i="35"/>
  <c r="D142" i="35"/>
  <c r="H142" i="35"/>
  <c r="F142" i="35"/>
  <c r="E141" i="28"/>
  <c r="B142" i="28"/>
  <c r="C141" i="28"/>
  <c r="G141" i="28"/>
  <c r="D141" i="28"/>
  <c r="H141" i="28"/>
  <c r="F141" i="28"/>
  <c r="E142" i="25"/>
  <c r="B143" i="25"/>
  <c r="G142" i="25"/>
  <c r="D142" i="25"/>
  <c r="C142" i="25"/>
  <c r="F142" i="25"/>
  <c r="H142" i="25"/>
  <c r="E141" i="33"/>
  <c r="B142" i="33"/>
  <c r="C141" i="33"/>
  <c r="G141" i="33"/>
  <c r="F141" i="33"/>
  <c r="D141" i="33"/>
  <c r="H141" i="33"/>
  <c r="F143" i="35"/>
  <c r="D143" i="35"/>
  <c r="H143" i="35"/>
  <c r="E143" i="35"/>
  <c r="B144" i="35"/>
  <c r="G143" i="35"/>
  <c r="C143" i="35"/>
  <c r="E143" i="25"/>
  <c r="B144" i="25"/>
  <c r="C143" i="25"/>
  <c r="G143" i="25"/>
  <c r="F143" i="25"/>
  <c r="H143" i="25"/>
  <c r="D143" i="25"/>
  <c r="F143" i="37"/>
  <c r="D143" i="37"/>
  <c r="H143" i="37"/>
  <c r="E143" i="37"/>
  <c r="G143" i="37"/>
  <c r="B144" i="37"/>
  <c r="C143" i="37"/>
  <c r="F142" i="33"/>
  <c r="D142" i="33"/>
  <c r="H142" i="33"/>
  <c r="G142" i="33"/>
  <c r="C142" i="33"/>
  <c r="E142" i="33"/>
  <c r="B143" i="33"/>
  <c r="F142" i="28"/>
  <c r="D142" i="28"/>
  <c r="H142" i="28"/>
  <c r="E142" i="28"/>
  <c r="B143" i="28"/>
  <c r="G142" i="28"/>
  <c r="C142" i="28"/>
  <c r="C143" i="28"/>
  <c r="G143" i="28"/>
  <c r="E143" i="28"/>
  <c r="B144" i="28"/>
  <c r="F143" i="28"/>
  <c r="D143" i="28"/>
  <c r="H143" i="28"/>
  <c r="C143" i="33"/>
  <c r="G143" i="33"/>
  <c r="B144" i="33"/>
  <c r="F143" i="33"/>
  <c r="D143" i="33"/>
  <c r="H143" i="33"/>
  <c r="C144" i="37"/>
  <c r="G144" i="37"/>
  <c r="E144" i="37"/>
  <c r="B145" i="37"/>
  <c r="F144" i="37"/>
  <c r="H144" i="37"/>
  <c r="D144" i="37"/>
  <c r="F144" i="25"/>
  <c r="D144" i="25"/>
  <c r="H144" i="25"/>
  <c r="G144" i="25"/>
  <c r="B145" i="25"/>
  <c r="C144" i="25"/>
  <c r="E144" i="25"/>
  <c r="C144" i="35"/>
  <c r="G144" i="35"/>
  <c r="E144" i="35"/>
  <c r="B145" i="35"/>
  <c r="F144" i="35"/>
  <c r="H144" i="35"/>
  <c r="D144" i="35"/>
  <c r="C145" i="25"/>
  <c r="G145" i="25"/>
  <c r="E145" i="25"/>
  <c r="B146" i="25"/>
  <c r="H145" i="25"/>
  <c r="D145" i="25"/>
  <c r="F145" i="25"/>
  <c r="D144" i="33"/>
  <c r="H144" i="33"/>
  <c r="F144" i="33"/>
  <c r="G144" i="33"/>
  <c r="C144" i="33"/>
  <c r="E144" i="33"/>
  <c r="B145" i="33"/>
  <c r="D145" i="35"/>
  <c r="H145" i="35"/>
  <c r="F145" i="35"/>
  <c r="G145" i="35"/>
  <c r="C145" i="35"/>
  <c r="B146" i="35"/>
  <c r="E145" i="35"/>
  <c r="D145" i="37"/>
  <c r="H145" i="37"/>
  <c r="F145" i="37"/>
  <c r="G145" i="37"/>
  <c r="B146" i="37"/>
  <c r="C145" i="37"/>
  <c r="E145" i="37"/>
  <c r="D144" i="28"/>
  <c r="H144" i="28"/>
  <c r="F144" i="28"/>
  <c r="G144" i="28"/>
  <c r="C144" i="28"/>
  <c r="B145" i="28"/>
  <c r="E144" i="28"/>
  <c r="E145" i="28"/>
  <c r="B146" i="28"/>
  <c r="C145" i="28"/>
  <c r="G145" i="28"/>
  <c r="H145" i="28"/>
  <c r="D145" i="28"/>
  <c r="F145" i="28"/>
  <c r="E146" i="35"/>
  <c r="B147" i="35"/>
  <c r="C146" i="35"/>
  <c r="G146" i="35"/>
  <c r="H146" i="35"/>
  <c r="D146" i="35"/>
  <c r="F146" i="35"/>
  <c r="E145" i="33"/>
  <c r="B146" i="33"/>
  <c r="C145" i="33"/>
  <c r="G145" i="33"/>
  <c r="H145" i="33"/>
  <c r="D145" i="33"/>
  <c r="F145" i="33"/>
  <c r="D146" i="25"/>
  <c r="H146" i="25"/>
  <c r="F146" i="25"/>
  <c r="B147" i="25"/>
  <c r="C146" i="25"/>
  <c r="E146" i="25"/>
  <c r="G146" i="25"/>
  <c r="E146" i="37"/>
  <c r="B147" i="37"/>
  <c r="C146" i="37"/>
  <c r="G146" i="37"/>
  <c r="H146" i="37"/>
  <c r="D146" i="37"/>
  <c r="F146" i="37"/>
  <c r="F147" i="35"/>
  <c r="D147" i="35"/>
  <c r="H147" i="35"/>
  <c r="B148" i="35"/>
  <c r="E147" i="35"/>
  <c r="C147" i="35"/>
  <c r="G147" i="35"/>
  <c r="E147" i="25"/>
  <c r="B148" i="25"/>
  <c r="C147" i="25"/>
  <c r="G147" i="25"/>
  <c r="D147" i="25"/>
  <c r="F147" i="25"/>
  <c r="H147" i="25"/>
  <c r="F147" i="37"/>
  <c r="D147" i="37"/>
  <c r="H147" i="37"/>
  <c r="B148" i="37"/>
  <c r="C147" i="37"/>
  <c r="E147" i="37"/>
  <c r="G147" i="37"/>
  <c r="F146" i="33"/>
  <c r="D146" i="33"/>
  <c r="H146" i="33"/>
  <c r="B147" i="33"/>
  <c r="E146" i="33"/>
  <c r="C146" i="33"/>
  <c r="G146" i="33"/>
  <c r="F146" i="28"/>
  <c r="D146" i="28"/>
  <c r="H146" i="28"/>
  <c r="B147" i="28"/>
  <c r="E146" i="28"/>
  <c r="C146" i="28"/>
  <c r="G146" i="28"/>
  <c r="C147" i="28"/>
  <c r="G147" i="28"/>
  <c r="E147" i="28"/>
  <c r="B148" i="28"/>
  <c r="F147" i="28"/>
  <c r="D147" i="28"/>
  <c r="H147" i="28"/>
  <c r="F148" i="25"/>
  <c r="D148" i="25"/>
  <c r="H148" i="25"/>
  <c r="C148" i="25"/>
  <c r="E148" i="25"/>
  <c r="G148" i="25"/>
  <c r="B149" i="25"/>
  <c r="C148" i="37"/>
  <c r="G148" i="37"/>
  <c r="E148" i="37"/>
  <c r="B149" i="37"/>
  <c r="D148" i="37"/>
  <c r="F148" i="37"/>
  <c r="H148" i="37"/>
  <c r="C148" i="35"/>
  <c r="G148" i="35"/>
  <c r="E148" i="35"/>
  <c r="B149" i="35"/>
  <c r="F148" i="35"/>
  <c r="D148" i="35"/>
  <c r="H148" i="35"/>
  <c r="C147" i="33"/>
  <c r="G147" i="33"/>
  <c r="E147" i="33"/>
  <c r="B148" i="33"/>
  <c r="F147" i="33"/>
  <c r="H147" i="33"/>
  <c r="D147" i="33"/>
  <c r="D149" i="35"/>
  <c r="H149" i="35"/>
  <c r="F149" i="35"/>
  <c r="C149" i="35"/>
  <c r="G149" i="35"/>
  <c r="E149" i="35"/>
  <c r="B150" i="35"/>
  <c r="C149" i="25"/>
  <c r="G149" i="25"/>
  <c r="E149" i="25"/>
  <c r="B150" i="25"/>
  <c r="D149" i="25"/>
  <c r="F149" i="25"/>
  <c r="H149" i="25"/>
  <c r="D148" i="28"/>
  <c r="H148" i="28"/>
  <c r="F148" i="28"/>
  <c r="C148" i="28"/>
  <c r="G148" i="28"/>
  <c r="E148" i="28"/>
  <c r="B149" i="28"/>
  <c r="D148" i="33"/>
  <c r="H148" i="33"/>
  <c r="F148" i="33"/>
  <c r="C148" i="33"/>
  <c r="G148" i="33"/>
  <c r="E148" i="33"/>
  <c r="B149" i="33"/>
  <c r="D149" i="37"/>
  <c r="H149" i="37"/>
  <c r="F149" i="37"/>
  <c r="C149" i="37"/>
  <c r="E149" i="37"/>
  <c r="G149" i="37"/>
  <c r="B150" i="37"/>
  <c r="E150" i="37"/>
  <c r="B151" i="37"/>
  <c r="C150" i="37"/>
  <c r="G150" i="37"/>
  <c r="D150" i="37"/>
  <c r="F150" i="37"/>
  <c r="H150" i="37"/>
  <c r="E149" i="33"/>
  <c r="B150" i="33"/>
  <c r="C149" i="33"/>
  <c r="G149" i="33"/>
  <c r="D149" i="33"/>
  <c r="H149" i="33"/>
  <c r="F149" i="33"/>
  <c r="E149" i="28"/>
  <c r="B150" i="28"/>
  <c r="C149" i="28"/>
  <c r="G149" i="28"/>
  <c r="D149" i="28"/>
  <c r="H149" i="28"/>
  <c r="F149" i="28"/>
  <c r="D150" i="25"/>
  <c r="H150" i="25"/>
  <c r="F150" i="25"/>
  <c r="E150" i="25"/>
  <c r="G150" i="25"/>
  <c r="B151" i="25"/>
  <c r="C150" i="25"/>
  <c r="E150" i="35"/>
  <c r="B151" i="35"/>
  <c r="C150" i="35"/>
  <c r="G150" i="35"/>
  <c r="D150" i="35"/>
  <c r="H150" i="35"/>
  <c r="F150" i="35"/>
  <c r="E151" i="25"/>
  <c r="B152" i="25"/>
  <c r="C151" i="25"/>
  <c r="G151" i="25"/>
  <c r="F151" i="25"/>
  <c r="H151" i="25"/>
  <c r="D151" i="25"/>
  <c r="F151" i="37"/>
  <c r="D151" i="37"/>
  <c r="H151" i="37"/>
  <c r="E151" i="37"/>
  <c r="G151" i="37"/>
  <c r="B152" i="37"/>
  <c r="C151" i="37"/>
  <c r="F151" i="35"/>
  <c r="D151" i="35"/>
  <c r="H151" i="35"/>
  <c r="E151" i="35"/>
  <c r="B152" i="35"/>
  <c r="G151" i="35"/>
  <c r="C151" i="35"/>
  <c r="F150" i="28"/>
  <c r="D150" i="28"/>
  <c r="H150" i="28"/>
  <c r="E150" i="28"/>
  <c r="B151" i="28"/>
  <c r="C150" i="28"/>
  <c r="G150" i="28"/>
  <c r="F150" i="33"/>
  <c r="D150" i="33"/>
  <c r="H150" i="33"/>
  <c r="E150" i="33"/>
  <c r="B151" i="33"/>
  <c r="C150" i="33"/>
  <c r="G150" i="33"/>
  <c r="C152" i="35"/>
  <c r="G152" i="35"/>
  <c r="E152" i="35"/>
  <c r="B153" i="35"/>
  <c r="F152" i="35"/>
  <c r="H152" i="35"/>
  <c r="D152" i="35"/>
  <c r="C151" i="28"/>
  <c r="G151" i="28"/>
  <c r="E151" i="28"/>
  <c r="B152" i="28"/>
  <c r="F151" i="28"/>
  <c r="H151" i="28"/>
  <c r="D151" i="28"/>
  <c r="F152" i="25"/>
  <c r="D152" i="25"/>
  <c r="H152" i="25"/>
  <c r="G152" i="25"/>
  <c r="B153" i="25"/>
  <c r="C152" i="25"/>
  <c r="E152" i="25"/>
  <c r="C151" i="33"/>
  <c r="G151" i="33"/>
  <c r="E151" i="33"/>
  <c r="B152" i="33"/>
  <c r="F151" i="33"/>
  <c r="D151" i="33"/>
  <c r="H151" i="33"/>
  <c r="C152" i="37"/>
  <c r="G152" i="37"/>
  <c r="E152" i="37"/>
  <c r="B153" i="37"/>
  <c r="F152" i="37"/>
  <c r="H152" i="37"/>
  <c r="D152" i="37"/>
  <c r="D152" i="33"/>
  <c r="H152" i="33"/>
  <c r="F152" i="33"/>
  <c r="G152" i="33"/>
  <c r="C152" i="33"/>
  <c r="E152" i="33"/>
  <c r="B153" i="33"/>
  <c r="C153" i="25"/>
  <c r="G153" i="25"/>
  <c r="E153" i="25"/>
  <c r="B154" i="25"/>
  <c r="H153" i="25"/>
  <c r="D153" i="25"/>
  <c r="F153" i="25"/>
  <c r="D152" i="28"/>
  <c r="H152" i="28"/>
  <c r="F152" i="28"/>
  <c r="G152" i="28"/>
  <c r="C152" i="28"/>
  <c r="E152" i="28"/>
  <c r="B153" i="28"/>
  <c r="D153" i="37"/>
  <c r="H153" i="37"/>
  <c r="F153" i="37"/>
  <c r="G153" i="37"/>
  <c r="B154" i="37"/>
  <c r="C153" i="37"/>
  <c r="E153" i="37"/>
  <c r="D153" i="35"/>
  <c r="H153" i="35"/>
  <c r="F153" i="35"/>
  <c r="G153" i="35"/>
  <c r="C153" i="35"/>
  <c r="B154" i="35"/>
  <c r="E153" i="35"/>
  <c r="E154" i="37"/>
  <c r="B155" i="37"/>
  <c r="C154" i="37"/>
  <c r="G154" i="37"/>
  <c r="H154" i="37"/>
  <c r="D154" i="37"/>
  <c r="F154" i="37"/>
  <c r="E153" i="28"/>
  <c r="B154" i="28"/>
  <c r="C153" i="28"/>
  <c r="G153" i="28"/>
  <c r="H153" i="28"/>
  <c r="D153" i="28"/>
  <c r="F153" i="28"/>
  <c r="E154" i="35"/>
  <c r="B155" i="35"/>
  <c r="C154" i="35"/>
  <c r="G154" i="35"/>
  <c r="H154" i="35"/>
  <c r="D154" i="35"/>
  <c r="F154" i="35"/>
  <c r="D154" i="25"/>
  <c r="H154" i="25"/>
  <c r="F154" i="25"/>
  <c r="B155" i="25"/>
  <c r="C154" i="25"/>
  <c r="E154" i="25"/>
  <c r="G154" i="25"/>
  <c r="E153" i="33"/>
  <c r="B154" i="33"/>
  <c r="C153" i="33"/>
  <c r="G153" i="33"/>
  <c r="H153" i="33"/>
  <c r="D153" i="33"/>
  <c r="F153" i="33"/>
  <c r="F154" i="33"/>
  <c r="D154" i="33"/>
  <c r="H154" i="33"/>
  <c r="B155" i="33"/>
  <c r="E154" i="33"/>
  <c r="G154" i="33"/>
  <c r="C154" i="33"/>
  <c r="F155" i="35"/>
  <c r="D155" i="35"/>
  <c r="H155" i="35"/>
  <c r="B156" i="35"/>
  <c r="E155" i="35"/>
  <c r="C155" i="35"/>
  <c r="G155" i="35"/>
  <c r="F155" i="37"/>
  <c r="D155" i="37"/>
  <c r="H155" i="37"/>
  <c r="B156" i="37"/>
  <c r="C155" i="37"/>
  <c r="E155" i="37"/>
  <c r="G155" i="37"/>
  <c r="E155" i="25"/>
  <c r="B156" i="25"/>
  <c r="C155" i="25"/>
  <c r="G155" i="25"/>
  <c r="D155" i="25"/>
  <c r="F155" i="25"/>
  <c r="H155" i="25"/>
  <c r="F154" i="28"/>
  <c r="D154" i="28"/>
  <c r="H154" i="28"/>
  <c r="B155" i="28"/>
  <c r="E154" i="28"/>
  <c r="C154" i="28"/>
  <c r="G154" i="28"/>
  <c r="C155" i="28"/>
  <c r="G155" i="28"/>
  <c r="E155" i="28"/>
  <c r="B156" i="28"/>
  <c r="F155" i="28"/>
  <c r="D155" i="28"/>
  <c r="H155" i="28"/>
  <c r="C156" i="37"/>
  <c r="G156" i="37"/>
  <c r="E156" i="37"/>
  <c r="B157" i="37"/>
  <c r="D156" i="37"/>
  <c r="F156" i="37"/>
  <c r="H156" i="37"/>
  <c r="C155" i="33"/>
  <c r="G155" i="33"/>
  <c r="E155" i="33"/>
  <c r="B156" i="33"/>
  <c r="F155" i="33"/>
  <c r="D155" i="33"/>
  <c r="H155" i="33"/>
  <c r="F156" i="25"/>
  <c r="D156" i="25"/>
  <c r="H156" i="25"/>
  <c r="C156" i="25"/>
  <c r="E156" i="25"/>
  <c r="G156" i="25"/>
  <c r="B157" i="25"/>
  <c r="C156" i="35"/>
  <c r="G156" i="35"/>
  <c r="E156" i="35"/>
  <c r="B157" i="35"/>
  <c r="F156" i="35"/>
  <c r="D156" i="35"/>
  <c r="H156" i="35"/>
  <c r="D156" i="28"/>
  <c r="H156" i="28"/>
  <c r="F156" i="28"/>
  <c r="C156" i="28"/>
  <c r="G156" i="28"/>
  <c r="E156" i="28"/>
  <c r="B157" i="28"/>
  <c r="D157" i="35"/>
  <c r="H157" i="35"/>
  <c r="F157" i="35"/>
  <c r="C157" i="35"/>
  <c r="G157" i="35"/>
  <c r="E157" i="35"/>
  <c r="B158" i="35"/>
  <c r="D157" i="37"/>
  <c r="H157" i="37"/>
  <c r="F157" i="37"/>
  <c r="C157" i="37"/>
  <c r="E157" i="37"/>
  <c r="G157" i="37"/>
  <c r="B158" i="37"/>
  <c r="D156" i="33"/>
  <c r="H156" i="33"/>
  <c r="F156" i="33"/>
  <c r="C156" i="33"/>
  <c r="G156" i="33"/>
  <c r="B157" i="33"/>
  <c r="E156" i="33"/>
  <c r="C157" i="25"/>
  <c r="G157" i="25"/>
  <c r="E157" i="25"/>
  <c r="B158" i="25"/>
  <c r="D157" i="25"/>
  <c r="F157" i="25"/>
  <c r="H157" i="25"/>
  <c r="E158" i="35"/>
  <c r="B159" i="35"/>
  <c r="C158" i="35"/>
  <c r="G158" i="35"/>
  <c r="D158" i="35"/>
  <c r="H158" i="35"/>
  <c r="F158" i="35"/>
  <c r="D158" i="25"/>
  <c r="H158" i="25"/>
  <c r="F158" i="25"/>
  <c r="E158" i="25"/>
  <c r="G158" i="25"/>
  <c r="B159" i="25"/>
  <c r="C158" i="25"/>
  <c r="E157" i="33"/>
  <c r="B158" i="33"/>
  <c r="C157" i="33"/>
  <c r="G157" i="33"/>
  <c r="D157" i="33"/>
  <c r="H157" i="33"/>
  <c r="F157" i="33"/>
  <c r="E158" i="37"/>
  <c r="B159" i="37"/>
  <c r="C158" i="37"/>
  <c r="G158" i="37"/>
  <c r="D158" i="37"/>
  <c r="F158" i="37"/>
  <c r="H158" i="37"/>
  <c r="E157" i="28"/>
  <c r="B158" i="28"/>
  <c r="C157" i="28"/>
  <c r="G157" i="28"/>
  <c r="D157" i="28"/>
  <c r="H157" i="28"/>
  <c r="F157" i="28"/>
  <c r="F158" i="28"/>
  <c r="D158" i="28"/>
  <c r="H158" i="28"/>
  <c r="E158" i="28"/>
  <c r="B159" i="28"/>
  <c r="G158" i="28"/>
  <c r="C158" i="28"/>
  <c r="E159" i="25"/>
  <c r="B160" i="25"/>
  <c r="C159" i="25"/>
  <c r="G159" i="25"/>
  <c r="F159" i="25"/>
  <c r="H159" i="25"/>
  <c r="D159" i="25"/>
  <c r="F159" i="37"/>
  <c r="D159" i="37"/>
  <c r="H159" i="37"/>
  <c r="E159" i="37"/>
  <c r="G159" i="37"/>
  <c r="B160" i="37"/>
  <c r="C159" i="37"/>
  <c r="F159" i="35"/>
  <c r="D159" i="35"/>
  <c r="H159" i="35"/>
  <c r="E159" i="35"/>
  <c r="B160" i="35"/>
  <c r="G159" i="35"/>
  <c r="C159" i="35"/>
  <c r="F158" i="33"/>
  <c r="D158" i="33"/>
  <c r="H158" i="33"/>
  <c r="E158" i="33"/>
  <c r="B159" i="33"/>
  <c r="C158" i="33"/>
  <c r="G158" i="33"/>
  <c r="C159" i="33"/>
  <c r="G159" i="33"/>
  <c r="E159" i="33"/>
  <c r="B160" i="33"/>
  <c r="F159" i="33"/>
  <c r="D159" i="33"/>
  <c r="H159" i="33"/>
  <c r="C160" i="37"/>
  <c r="G160" i="37"/>
  <c r="E160" i="37"/>
  <c r="B161" i="37"/>
  <c r="F160" i="37"/>
  <c r="H160" i="37"/>
  <c r="D160" i="37"/>
  <c r="F160" i="25"/>
  <c r="D160" i="25"/>
  <c r="H160" i="25"/>
  <c r="G160" i="25"/>
  <c r="B161" i="25"/>
  <c r="C160" i="25"/>
  <c r="E160" i="25"/>
  <c r="C159" i="28"/>
  <c r="G159" i="28"/>
  <c r="E159" i="28"/>
  <c r="B160" i="28"/>
  <c r="F159" i="28"/>
  <c r="D159" i="28"/>
  <c r="H159" i="28"/>
  <c r="C160" i="35"/>
  <c r="G160" i="35"/>
  <c r="E160" i="35"/>
  <c r="B161" i="35"/>
  <c r="F160" i="35"/>
  <c r="H160" i="35"/>
  <c r="D160" i="35"/>
  <c r="D160" i="28"/>
  <c r="H160" i="28"/>
  <c r="F160" i="28"/>
  <c r="G160" i="28"/>
  <c r="C160" i="28"/>
  <c r="B161" i="28"/>
  <c r="E160" i="28"/>
  <c r="D160" i="33"/>
  <c r="H160" i="33"/>
  <c r="F160" i="33"/>
  <c r="G160" i="33"/>
  <c r="C160" i="33"/>
  <c r="E160" i="33"/>
  <c r="B161" i="33"/>
  <c r="D161" i="35"/>
  <c r="H161" i="35"/>
  <c r="F161" i="35"/>
  <c r="G161" i="35"/>
  <c r="C161" i="35"/>
  <c r="B162" i="35"/>
  <c r="E161" i="35"/>
  <c r="D161" i="37"/>
  <c r="H161" i="37"/>
  <c r="F161" i="37"/>
  <c r="G161" i="37"/>
  <c r="B162" i="37"/>
  <c r="C161" i="37"/>
  <c r="E161" i="37"/>
  <c r="C161" i="25"/>
  <c r="G161" i="25"/>
  <c r="E161" i="25"/>
  <c r="B162" i="25"/>
  <c r="H161" i="25"/>
  <c r="D161" i="25"/>
  <c r="F161" i="25"/>
  <c r="D162" i="25"/>
  <c r="H162" i="25"/>
  <c r="F162" i="25"/>
  <c r="B163" i="25"/>
  <c r="C162" i="25"/>
  <c r="E162" i="25"/>
  <c r="G162" i="25"/>
  <c r="E161" i="33"/>
  <c r="B162" i="33"/>
  <c r="C161" i="33"/>
  <c r="G161" i="33"/>
  <c r="H161" i="33"/>
  <c r="D161" i="33"/>
  <c r="F161" i="33"/>
  <c r="E161" i="28"/>
  <c r="B162" i="28"/>
  <c r="C161" i="28"/>
  <c r="G161" i="28"/>
  <c r="H161" i="28"/>
  <c r="D161" i="28"/>
  <c r="F161" i="28"/>
  <c r="E162" i="37"/>
  <c r="B163" i="37"/>
  <c r="C162" i="37"/>
  <c r="G162" i="37"/>
  <c r="H162" i="37"/>
  <c r="D162" i="37"/>
  <c r="F162" i="37"/>
  <c r="C162" i="35"/>
  <c r="G162" i="35"/>
  <c r="F162" i="35"/>
  <c r="D162" i="35"/>
  <c r="B163" i="35"/>
  <c r="H162" i="35"/>
  <c r="E162" i="35"/>
  <c r="D163" i="35"/>
  <c r="H163" i="35"/>
  <c r="E163" i="35"/>
  <c r="G163" i="35"/>
  <c r="F163" i="35"/>
  <c r="C163" i="35"/>
  <c r="B164" i="35"/>
  <c r="F163" i="37"/>
  <c r="D163" i="37"/>
  <c r="H163" i="37"/>
  <c r="B164" i="37"/>
  <c r="C163" i="37"/>
  <c r="E163" i="37"/>
  <c r="G163" i="37"/>
  <c r="E163" i="25"/>
  <c r="B164" i="25"/>
  <c r="C163" i="25"/>
  <c r="G163" i="25"/>
  <c r="D163" i="25"/>
  <c r="F163" i="25"/>
  <c r="H163" i="25"/>
  <c r="F162" i="28"/>
  <c r="D162" i="28"/>
  <c r="H162" i="28"/>
  <c r="B163" i="28"/>
  <c r="E162" i="28"/>
  <c r="C162" i="28"/>
  <c r="G162" i="28"/>
  <c r="F162" i="33"/>
  <c r="D162" i="33"/>
  <c r="H162" i="33"/>
  <c r="B163" i="33"/>
  <c r="E162" i="33"/>
  <c r="C162" i="33"/>
  <c r="G162" i="33"/>
  <c r="F164" i="25"/>
  <c r="D164" i="25"/>
  <c r="H164" i="25"/>
  <c r="C164" i="25"/>
  <c r="E164" i="25"/>
  <c r="G164" i="25"/>
  <c r="B165" i="25"/>
  <c r="C164" i="37"/>
  <c r="G164" i="37"/>
  <c r="E164" i="37"/>
  <c r="B165" i="37"/>
  <c r="D164" i="37"/>
  <c r="F164" i="37"/>
  <c r="H164" i="37"/>
  <c r="C163" i="28"/>
  <c r="G163" i="28"/>
  <c r="E163" i="28"/>
  <c r="B164" i="28"/>
  <c r="F163" i="28"/>
  <c r="D163" i="28"/>
  <c r="H163" i="28"/>
  <c r="E164" i="35"/>
  <c r="B165" i="35"/>
  <c r="C164" i="35"/>
  <c r="H164" i="35"/>
  <c r="F164" i="35"/>
  <c r="D164" i="35"/>
  <c r="G164" i="35"/>
  <c r="C163" i="33"/>
  <c r="G163" i="33"/>
  <c r="E163" i="33"/>
  <c r="B164" i="33"/>
  <c r="F163" i="33"/>
  <c r="H163" i="33"/>
  <c r="D163" i="33"/>
  <c r="D164" i="33"/>
  <c r="H164" i="33"/>
  <c r="F164" i="33"/>
  <c r="C164" i="33"/>
  <c r="G164" i="33"/>
  <c r="E164" i="33"/>
  <c r="B165" i="33"/>
  <c r="C165" i="25"/>
  <c r="G165" i="25"/>
  <c r="E165" i="25"/>
  <c r="B166" i="25"/>
  <c r="D165" i="25"/>
  <c r="F165" i="25"/>
  <c r="H165" i="25"/>
  <c r="F165" i="35"/>
  <c r="G165" i="35"/>
  <c r="D165" i="35"/>
  <c r="B166" i="35"/>
  <c r="H165" i="35"/>
  <c r="C165" i="35"/>
  <c r="E165" i="35"/>
  <c r="D164" i="28"/>
  <c r="H164" i="28"/>
  <c r="F164" i="28"/>
  <c r="C164" i="28"/>
  <c r="G164" i="28"/>
  <c r="E164" i="28"/>
  <c r="B165" i="28"/>
  <c r="D165" i="37"/>
  <c r="H165" i="37"/>
  <c r="F165" i="37"/>
  <c r="C165" i="37"/>
  <c r="E165" i="37"/>
  <c r="G165" i="37"/>
  <c r="B166" i="37"/>
  <c r="E166" i="37"/>
  <c r="B167" i="37"/>
  <c r="C166" i="37"/>
  <c r="G166" i="37"/>
  <c r="D166" i="37"/>
  <c r="F166" i="37"/>
  <c r="H166" i="37"/>
  <c r="E165" i="28"/>
  <c r="B166" i="28"/>
  <c r="C165" i="28"/>
  <c r="G165" i="28"/>
  <c r="D165" i="28"/>
  <c r="H165" i="28"/>
  <c r="F165" i="28"/>
  <c r="E165" i="33"/>
  <c r="B166" i="33"/>
  <c r="C165" i="33"/>
  <c r="G165" i="33"/>
  <c r="D165" i="33"/>
  <c r="H165" i="33"/>
  <c r="F165" i="33"/>
  <c r="D166" i="25"/>
  <c r="H166" i="25"/>
  <c r="F166" i="25"/>
  <c r="E166" i="25"/>
  <c r="G166" i="25"/>
  <c r="B167" i="25"/>
  <c r="C166" i="25"/>
  <c r="C166" i="35"/>
  <c r="G166" i="35"/>
  <c r="E166" i="35"/>
  <c r="H166" i="35"/>
  <c r="F166" i="35"/>
  <c r="D166" i="35"/>
  <c r="B167" i="35"/>
  <c r="F166" i="28"/>
  <c r="D166" i="28"/>
  <c r="H166" i="28"/>
  <c r="E166" i="28"/>
  <c r="B167" i="28"/>
  <c r="C166" i="28"/>
  <c r="G166" i="28"/>
  <c r="D167" i="35"/>
  <c r="H167" i="35"/>
  <c r="C167" i="35"/>
  <c r="B168" i="35"/>
  <c r="F167" i="35"/>
  <c r="E167" i="35"/>
  <c r="G167" i="35"/>
  <c r="E167" i="25"/>
  <c r="B168" i="25"/>
  <c r="C167" i="25"/>
  <c r="G167" i="25"/>
  <c r="F167" i="25"/>
  <c r="H167" i="25"/>
  <c r="D167" i="25"/>
  <c r="F167" i="37"/>
  <c r="D167" i="37"/>
  <c r="H167" i="37"/>
  <c r="E167" i="37"/>
  <c r="G167" i="37"/>
  <c r="B168" i="37"/>
  <c r="C167" i="37"/>
  <c r="F166" i="33"/>
  <c r="D166" i="33"/>
  <c r="H166" i="33"/>
  <c r="E166" i="33"/>
  <c r="B167" i="33"/>
  <c r="C166" i="33"/>
  <c r="G166" i="33"/>
  <c r="F168" i="25"/>
  <c r="D168" i="25"/>
  <c r="H168" i="25"/>
  <c r="G168" i="25"/>
  <c r="B169" i="25"/>
  <c r="C168" i="25"/>
  <c r="E168" i="25"/>
  <c r="C167" i="33"/>
  <c r="G167" i="33"/>
  <c r="E167" i="33"/>
  <c r="B168" i="33"/>
  <c r="F167" i="33"/>
  <c r="D167" i="33"/>
  <c r="H167" i="33"/>
  <c r="C168" i="37"/>
  <c r="G168" i="37"/>
  <c r="E168" i="37"/>
  <c r="B169" i="37"/>
  <c r="F168" i="37"/>
  <c r="H168" i="37"/>
  <c r="D168" i="37"/>
  <c r="E168" i="35"/>
  <c r="B169" i="35"/>
  <c r="G168" i="35"/>
  <c r="D168" i="35"/>
  <c r="H168" i="35"/>
  <c r="C168" i="35"/>
  <c r="F168" i="35"/>
  <c r="C167" i="28"/>
  <c r="G167" i="28"/>
  <c r="E167" i="28"/>
  <c r="B168" i="28"/>
  <c r="F167" i="28"/>
  <c r="H167" i="28"/>
  <c r="D167" i="28"/>
  <c r="D169" i="37"/>
  <c r="H169" i="37"/>
  <c r="F169" i="37"/>
  <c r="G169" i="37"/>
  <c r="B170" i="37"/>
  <c r="C169" i="37"/>
  <c r="E169" i="37"/>
  <c r="C169" i="25"/>
  <c r="G169" i="25"/>
  <c r="E169" i="25"/>
  <c r="B170" i="25"/>
  <c r="H169" i="25"/>
  <c r="D169" i="25"/>
  <c r="F169" i="25"/>
  <c r="D168" i="28"/>
  <c r="H168" i="28"/>
  <c r="F168" i="28"/>
  <c r="G168" i="28"/>
  <c r="C168" i="28"/>
  <c r="E168" i="28"/>
  <c r="B169" i="28"/>
  <c r="F169" i="35"/>
  <c r="E169" i="35"/>
  <c r="C169" i="35"/>
  <c r="H169" i="35"/>
  <c r="G169" i="35"/>
  <c r="D169" i="35"/>
  <c r="B170" i="35"/>
  <c r="D168" i="33"/>
  <c r="H168" i="33"/>
  <c r="F168" i="33"/>
  <c r="G168" i="33"/>
  <c r="C168" i="33"/>
  <c r="E168" i="33"/>
  <c r="B169" i="33"/>
  <c r="E169" i="33"/>
  <c r="B170" i="33"/>
  <c r="C169" i="33"/>
  <c r="G169" i="33"/>
  <c r="H169" i="33"/>
  <c r="D169" i="33"/>
  <c r="F169" i="33"/>
  <c r="C170" i="35"/>
  <c r="G170" i="35"/>
  <c r="D170" i="35"/>
  <c r="B171" i="35"/>
  <c r="F170" i="35"/>
  <c r="E170" i="35"/>
  <c r="H170" i="35"/>
  <c r="E169" i="28"/>
  <c r="B170" i="28"/>
  <c r="C169" i="28"/>
  <c r="G169" i="28"/>
  <c r="H169" i="28"/>
  <c r="D169" i="28"/>
  <c r="F169" i="28"/>
  <c r="D170" i="25"/>
  <c r="H170" i="25"/>
  <c r="F170" i="25"/>
  <c r="B171" i="25"/>
  <c r="C170" i="25"/>
  <c r="E170" i="25"/>
  <c r="G170" i="25"/>
  <c r="E170" i="37"/>
  <c r="B171" i="37"/>
  <c r="C170" i="37"/>
  <c r="G170" i="37"/>
  <c r="H170" i="37"/>
  <c r="D170" i="37"/>
  <c r="F170" i="37"/>
  <c r="D171" i="35"/>
  <c r="H171" i="35"/>
  <c r="G171" i="35"/>
  <c r="E171" i="35"/>
  <c r="B172" i="35"/>
  <c r="C171" i="35"/>
  <c r="F171" i="35"/>
  <c r="F170" i="28"/>
  <c r="D170" i="28"/>
  <c r="H170" i="28"/>
  <c r="B171" i="28"/>
  <c r="E170" i="28"/>
  <c r="C170" i="28"/>
  <c r="G170" i="28"/>
  <c r="F170" i="33"/>
  <c r="D170" i="33"/>
  <c r="H170" i="33"/>
  <c r="B171" i="33"/>
  <c r="E170" i="33"/>
  <c r="G170" i="33"/>
  <c r="C170" i="33"/>
  <c r="E171" i="25"/>
  <c r="B172" i="25"/>
  <c r="C171" i="25"/>
  <c r="G171" i="25"/>
  <c r="D171" i="25"/>
  <c r="F171" i="25"/>
  <c r="H171" i="25"/>
  <c r="F171" i="37"/>
  <c r="D171" i="37"/>
  <c r="H171" i="37"/>
  <c r="B172" i="37"/>
  <c r="C171" i="37"/>
  <c r="E171" i="37"/>
  <c r="G171" i="37"/>
  <c r="C172" i="37"/>
  <c r="G172" i="37"/>
  <c r="E172" i="37"/>
  <c r="B173" i="37"/>
  <c r="D172" i="37"/>
  <c r="F172" i="37"/>
  <c r="H172" i="37"/>
  <c r="C171" i="33"/>
  <c r="G171" i="33"/>
  <c r="E171" i="33"/>
  <c r="B172" i="33"/>
  <c r="F171" i="33"/>
  <c r="D171" i="33"/>
  <c r="H171" i="33"/>
  <c r="F172" i="25"/>
  <c r="D172" i="25"/>
  <c r="H172" i="25"/>
  <c r="C172" i="25"/>
  <c r="E172" i="25"/>
  <c r="G172" i="25"/>
  <c r="B173" i="25"/>
  <c r="C171" i="28"/>
  <c r="G171" i="28"/>
  <c r="E171" i="28"/>
  <c r="B172" i="28"/>
  <c r="F171" i="28"/>
  <c r="D171" i="28"/>
  <c r="H171" i="28"/>
  <c r="E172" i="35"/>
  <c r="B173" i="35"/>
  <c r="F172" i="35"/>
  <c r="C172" i="35"/>
  <c r="H172" i="35"/>
  <c r="G172" i="35"/>
  <c r="D172" i="35"/>
  <c r="F173" i="35"/>
  <c r="D173" i="35"/>
  <c r="B174" i="35"/>
  <c r="G173" i="35"/>
  <c r="E173" i="35"/>
  <c r="H173" i="35"/>
  <c r="C173" i="35"/>
  <c r="D173" i="37"/>
  <c r="H173" i="37"/>
  <c r="F173" i="37"/>
  <c r="C173" i="37"/>
  <c r="E173" i="37"/>
  <c r="G173" i="37"/>
  <c r="B174" i="37"/>
  <c r="D172" i="33"/>
  <c r="H172" i="33"/>
  <c r="F172" i="33"/>
  <c r="C172" i="33"/>
  <c r="G172" i="33"/>
  <c r="B173" i="33"/>
  <c r="E172" i="33"/>
  <c r="D172" i="28"/>
  <c r="H172" i="28"/>
  <c r="F172" i="28"/>
  <c r="C172" i="28"/>
  <c r="G172" i="28"/>
  <c r="E172" i="28"/>
  <c r="B173" i="28"/>
  <c r="C173" i="25"/>
  <c r="G173" i="25"/>
  <c r="E173" i="25"/>
  <c r="B174" i="25"/>
  <c r="D173" i="25"/>
  <c r="F173" i="25"/>
  <c r="H173" i="25"/>
  <c r="C174" i="35"/>
  <c r="G174" i="35"/>
  <c r="H174" i="35"/>
  <c r="E174" i="35"/>
  <c r="B175" i="35"/>
  <c r="D174" i="35"/>
  <c r="F174" i="35"/>
  <c r="E173" i="33"/>
  <c r="B174" i="33"/>
  <c r="C173" i="33"/>
  <c r="G173" i="33"/>
  <c r="D173" i="33"/>
  <c r="H173" i="33"/>
  <c r="F173" i="33"/>
  <c r="E174" i="37"/>
  <c r="B175" i="37"/>
  <c r="C174" i="37"/>
  <c r="G174" i="37"/>
  <c r="D174" i="37"/>
  <c r="F174" i="37"/>
  <c r="H174" i="37"/>
  <c r="D174" i="25"/>
  <c r="H174" i="25"/>
  <c r="F174" i="25"/>
  <c r="E174" i="25"/>
  <c r="G174" i="25"/>
  <c r="B175" i="25"/>
  <c r="C174" i="25"/>
  <c r="E173" i="28"/>
  <c r="B174" i="28"/>
  <c r="C173" i="28"/>
  <c r="G173" i="28"/>
  <c r="D173" i="28"/>
  <c r="H173" i="28"/>
  <c r="F173" i="28"/>
  <c r="E175" i="25"/>
  <c r="B176" i="25"/>
  <c r="C175" i="25"/>
  <c r="G175" i="25"/>
  <c r="F175" i="25"/>
  <c r="H175" i="25"/>
  <c r="D175" i="25"/>
  <c r="F174" i="33"/>
  <c r="D174" i="33"/>
  <c r="H174" i="33"/>
  <c r="E174" i="33"/>
  <c r="B175" i="33"/>
  <c r="C174" i="33"/>
  <c r="G174" i="33"/>
  <c r="F175" i="37"/>
  <c r="D175" i="37"/>
  <c r="H175" i="37"/>
  <c r="E175" i="37"/>
  <c r="G175" i="37"/>
  <c r="B176" i="37"/>
  <c r="C175" i="37"/>
  <c r="F174" i="28"/>
  <c r="D174" i="28"/>
  <c r="H174" i="28"/>
  <c r="E174" i="28"/>
  <c r="B175" i="28"/>
  <c r="G174" i="28"/>
  <c r="C174" i="28"/>
  <c r="D175" i="35"/>
  <c r="H175" i="35"/>
  <c r="F175" i="35"/>
  <c r="C175" i="35"/>
  <c r="B176" i="35"/>
  <c r="G175" i="35"/>
  <c r="E175" i="35"/>
  <c r="E176" i="35"/>
  <c r="B177" i="35"/>
  <c r="D176" i="35"/>
  <c r="G176" i="35"/>
  <c r="F176" i="35"/>
  <c r="H176" i="35"/>
  <c r="C176" i="35"/>
  <c r="C175" i="33"/>
  <c r="G175" i="33"/>
  <c r="E175" i="33"/>
  <c r="B176" i="33"/>
  <c r="F175" i="33"/>
  <c r="D175" i="33"/>
  <c r="H175" i="33"/>
  <c r="F176" i="25"/>
  <c r="D176" i="25"/>
  <c r="H176" i="25"/>
  <c r="G176" i="25"/>
  <c r="B177" i="25"/>
  <c r="C176" i="25"/>
  <c r="E176" i="25"/>
  <c r="C175" i="28"/>
  <c r="G175" i="28"/>
  <c r="E175" i="28"/>
  <c r="B176" i="28"/>
  <c r="F175" i="28"/>
  <c r="D175" i="28"/>
  <c r="H175" i="28"/>
  <c r="C176" i="37"/>
  <c r="G176" i="37"/>
  <c r="E176" i="37"/>
  <c r="B177" i="37"/>
  <c r="F176" i="37"/>
  <c r="H176" i="37"/>
  <c r="D176" i="37"/>
  <c r="F177" i="35"/>
  <c r="C177" i="35"/>
  <c r="H177" i="35"/>
  <c r="E177" i="35"/>
  <c r="B178" i="35"/>
  <c r="D177" i="35"/>
  <c r="G177" i="35"/>
  <c r="D177" i="37"/>
  <c r="H177" i="37"/>
  <c r="F177" i="37"/>
  <c r="G177" i="37"/>
  <c r="B178" i="37"/>
  <c r="C177" i="37"/>
  <c r="E177" i="37"/>
  <c r="D176" i="28"/>
  <c r="H176" i="28"/>
  <c r="F176" i="28"/>
  <c r="G176" i="28"/>
  <c r="C176" i="28"/>
  <c r="B177" i="28"/>
  <c r="E176" i="28"/>
  <c r="C177" i="25"/>
  <c r="G177" i="25"/>
  <c r="E177" i="25"/>
  <c r="B178" i="25"/>
  <c r="H177" i="25"/>
  <c r="D177" i="25"/>
  <c r="F177" i="25"/>
  <c r="D176" i="33"/>
  <c r="H176" i="33"/>
  <c r="F176" i="33"/>
  <c r="G176" i="33"/>
  <c r="C176" i="33"/>
  <c r="E176" i="33"/>
  <c r="B177" i="33"/>
  <c r="E178" i="37"/>
  <c r="B179" i="37"/>
  <c r="C178" i="37"/>
  <c r="G178" i="37"/>
  <c r="H178" i="37"/>
  <c r="D178" i="37"/>
  <c r="F178" i="37"/>
  <c r="E177" i="28"/>
  <c r="B178" i="28"/>
  <c r="C177" i="28"/>
  <c r="G177" i="28"/>
  <c r="H177" i="28"/>
  <c r="D177" i="28"/>
  <c r="F177" i="28"/>
  <c r="E177" i="33"/>
  <c r="B178" i="33"/>
  <c r="C177" i="33"/>
  <c r="G177" i="33"/>
  <c r="H177" i="33"/>
  <c r="D177" i="33"/>
  <c r="F177" i="33"/>
  <c r="D178" i="25"/>
  <c r="H178" i="25"/>
  <c r="F178" i="25"/>
  <c r="B179" i="25"/>
  <c r="C178" i="25"/>
  <c r="E178" i="25"/>
  <c r="G178" i="25"/>
  <c r="C178" i="35"/>
  <c r="G178" i="35"/>
  <c r="F178" i="35"/>
  <c r="D178" i="35"/>
  <c r="B179" i="35"/>
  <c r="H178" i="35"/>
  <c r="E178" i="35"/>
  <c r="F178" i="33"/>
  <c r="D178" i="33"/>
  <c r="H178" i="33"/>
  <c r="B179" i="33"/>
  <c r="E178" i="33"/>
  <c r="C178" i="33"/>
  <c r="G178" i="33"/>
  <c r="F179" i="37"/>
  <c r="D179" i="37"/>
  <c r="H179" i="37"/>
  <c r="B180" i="37"/>
  <c r="C179" i="37"/>
  <c r="E179" i="37"/>
  <c r="G179" i="37"/>
  <c r="D179" i="35"/>
  <c r="H179" i="35"/>
  <c r="E179" i="35"/>
  <c r="G179" i="35"/>
  <c r="F179" i="35"/>
  <c r="B180" i="35"/>
  <c r="C179" i="35"/>
  <c r="E179" i="25"/>
  <c r="B180" i="25"/>
  <c r="C179" i="25"/>
  <c r="G179" i="25"/>
  <c r="D179" i="25"/>
  <c r="F179" i="25"/>
  <c r="H179" i="25"/>
  <c r="F178" i="28"/>
  <c r="D178" i="28"/>
  <c r="H178" i="28"/>
  <c r="B179" i="28"/>
  <c r="E178" i="28"/>
  <c r="C178" i="28"/>
  <c r="G178" i="28"/>
  <c r="E180" i="35"/>
  <c r="B181" i="35"/>
  <c r="C180" i="35"/>
  <c r="H180" i="35"/>
  <c r="F180" i="35"/>
  <c r="D180" i="35"/>
  <c r="G180" i="35"/>
  <c r="C180" i="37"/>
  <c r="G180" i="37"/>
  <c r="E180" i="37"/>
  <c r="B181" i="37"/>
  <c r="D180" i="37"/>
  <c r="F180" i="37"/>
  <c r="H180" i="37"/>
  <c r="C179" i="33"/>
  <c r="G179" i="33"/>
  <c r="E179" i="33"/>
  <c r="B180" i="33"/>
  <c r="F179" i="33"/>
  <c r="H179" i="33"/>
  <c r="D179" i="33"/>
  <c r="F180" i="25"/>
  <c r="D180" i="25"/>
  <c r="H180" i="25"/>
  <c r="C180" i="25"/>
  <c r="E180" i="25"/>
  <c r="G180" i="25"/>
  <c r="B181" i="25"/>
  <c r="C179" i="28"/>
  <c r="G179" i="28"/>
  <c r="E179" i="28"/>
  <c r="B180" i="28"/>
  <c r="F179" i="28"/>
  <c r="D179" i="28"/>
  <c r="H179" i="28"/>
  <c r="D180" i="28"/>
  <c r="H180" i="28"/>
  <c r="F180" i="28"/>
  <c r="C180" i="28"/>
  <c r="G180" i="28"/>
  <c r="E180" i="28"/>
  <c r="B181" i="28"/>
  <c r="C181" i="25"/>
  <c r="G181" i="25"/>
  <c r="E181" i="25"/>
  <c r="B182" i="25"/>
  <c r="D181" i="25"/>
  <c r="F181" i="25"/>
  <c r="H181" i="25"/>
  <c r="D180" i="33"/>
  <c r="H180" i="33"/>
  <c r="F180" i="33"/>
  <c r="C180" i="33"/>
  <c r="G180" i="33"/>
  <c r="E180" i="33"/>
  <c r="B181" i="33"/>
  <c r="F181" i="35"/>
  <c r="G181" i="35"/>
  <c r="D181" i="35"/>
  <c r="B182" i="35"/>
  <c r="C181" i="35"/>
  <c r="H181" i="35"/>
  <c r="E181" i="35"/>
  <c r="D181" i="37"/>
  <c r="H181" i="37"/>
  <c r="F181" i="37"/>
  <c r="C181" i="37"/>
  <c r="E181" i="37"/>
  <c r="G181" i="37"/>
  <c r="B182" i="37"/>
  <c r="E181" i="28"/>
  <c r="B182" i="28"/>
  <c r="C181" i="28"/>
  <c r="G181" i="28"/>
  <c r="D181" i="28"/>
  <c r="H181" i="28"/>
  <c r="F181" i="28"/>
  <c r="C182" i="35"/>
  <c r="G182" i="35"/>
  <c r="E182" i="35"/>
  <c r="H182" i="35"/>
  <c r="F182" i="35"/>
  <c r="B183" i="35"/>
  <c r="D182" i="35"/>
  <c r="E181" i="33"/>
  <c r="B182" i="33"/>
  <c r="C181" i="33"/>
  <c r="G181" i="33"/>
  <c r="D181" i="33"/>
  <c r="H181" i="33"/>
  <c r="F181" i="33"/>
  <c r="D182" i="25"/>
  <c r="H182" i="25"/>
  <c r="F182" i="25"/>
  <c r="E182" i="25"/>
  <c r="G182" i="25"/>
  <c r="B183" i="25"/>
  <c r="C182" i="25"/>
  <c r="E182" i="37"/>
  <c r="B183" i="37"/>
  <c r="C182" i="37"/>
  <c r="G182" i="37"/>
  <c r="D182" i="37"/>
  <c r="F182" i="37"/>
  <c r="H182" i="37"/>
  <c r="F183" i="37"/>
  <c r="D183" i="37"/>
  <c r="H183" i="37"/>
  <c r="E183" i="37"/>
  <c r="G183" i="37"/>
  <c r="B184" i="37"/>
  <c r="C183" i="37"/>
  <c r="F182" i="33"/>
  <c r="D182" i="33"/>
  <c r="H182" i="33"/>
  <c r="E182" i="33"/>
  <c r="B183" i="33"/>
  <c r="C182" i="33"/>
  <c r="G182" i="33"/>
  <c r="F182" i="28"/>
  <c r="D182" i="28"/>
  <c r="H182" i="28"/>
  <c r="E182" i="28"/>
  <c r="B183" i="28"/>
  <c r="C182" i="28"/>
  <c r="G182" i="28"/>
  <c r="D183" i="35"/>
  <c r="H183" i="35"/>
  <c r="C183" i="35"/>
  <c r="B184" i="35"/>
  <c r="F183" i="35"/>
  <c r="E183" i="35"/>
  <c r="G183" i="35"/>
  <c r="E183" i="25"/>
  <c r="B184" i="25"/>
  <c r="C183" i="25"/>
  <c r="G183" i="25"/>
  <c r="F183" i="25"/>
  <c r="H183" i="25"/>
  <c r="D183" i="25"/>
  <c r="C183" i="33"/>
  <c r="G183" i="33"/>
  <c r="E183" i="33"/>
  <c r="B184" i="33"/>
  <c r="F183" i="33"/>
  <c r="D183" i="33"/>
  <c r="H183" i="33"/>
  <c r="C184" i="37"/>
  <c r="G184" i="37"/>
  <c r="E184" i="37"/>
  <c r="B185" i="37"/>
  <c r="F184" i="37"/>
  <c r="H184" i="37"/>
  <c r="D184" i="37"/>
  <c r="C183" i="28"/>
  <c r="G183" i="28"/>
  <c r="E183" i="28"/>
  <c r="B184" i="28"/>
  <c r="F183" i="28"/>
  <c r="H183" i="28"/>
  <c r="D183" i="28"/>
  <c r="F184" i="25"/>
  <c r="D184" i="25"/>
  <c r="H184" i="25"/>
  <c r="G184" i="25"/>
  <c r="B185" i="25"/>
  <c r="C184" i="25"/>
  <c r="E184" i="25"/>
  <c r="E184" i="35"/>
  <c r="B185" i="35"/>
  <c r="G184" i="35"/>
  <c r="D184" i="35"/>
  <c r="C184" i="35"/>
  <c r="H184" i="35"/>
  <c r="F184" i="35"/>
  <c r="D184" i="28"/>
  <c r="H184" i="28"/>
  <c r="F184" i="28"/>
  <c r="G184" i="28"/>
  <c r="C184" i="28"/>
  <c r="E184" i="28"/>
  <c r="B185" i="28"/>
  <c r="C185" i="25"/>
  <c r="G185" i="25"/>
  <c r="E185" i="25"/>
  <c r="B186" i="25"/>
  <c r="H185" i="25"/>
  <c r="D185" i="25"/>
  <c r="F185" i="25"/>
  <c r="D184" i="33"/>
  <c r="H184" i="33"/>
  <c r="F184" i="33"/>
  <c r="G184" i="33"/>
  <c r="C184" i="33"/>
  <c r="E184" i="33"/>
  <c r="B185" i="33"/>
  <c r="F185" i="35"/>
  <c r="E185" i="35"/>
  <c r="C185" i="35"/>
  <c r="H185" i="35"/>
  <c r="G185" i="35"/>
  <c r="B186" i="35"/>
  <c r="D185" i="35"/>
  <c r="D185" i="37"/>
  <c r="H185" i="37"/>
  <c r="F185" i="37"/>
  <c r="G185" i="37"/>
  <c r="B186" i="37"/>
  <c r="C185" i="37"/>
  <c r="E185" i="37"/>
  <c r="C186" i="35"/>
  <c r="G186" i="35"/>
  <c r="D186" i="35"/>
  <c r="B187" i="35"/>
  <c r="F186" i="35"/>
  <c r="E186" i="35"/>
  <c r="H186" i="35"/>
  <c r="E186" i="37"/>
  <c r="B187" i="37"/>
  <c r="C186" i="37"/>
  <c r="G186" i="37"/>
  <c r="H186" i="37"/>
  <c r="D186" i="37"/>
  <c r="F186" i="37"/>
  <c r="E185" i="28"/>
  <c r="B186" i="28"/>
  <c r="C185" i="28"/>
  <c r="G185" i="28"/>
  <c r="H185" i="28"/>
  <c r="D185" i="28"/>
  <c r="F185" i="28"/>
  <c r="E185" i="33"/>
  <c r="B186" i="33"/>
  <c r="C185" i="33"/>
  <c r="G185" i="33"/>
  <c r="H185" i="33"/>
  <c r="D185" i="33"/>
  <c r="F185" i="33"/>
  <c r="D186" i="25"/>
  <c r="H186" i="25"/>
  <c r="F186" i="25"/>
  <c r="B187" i="25"/>
  <c r="C186" i="25"/>
  <c r="E186" i="25"/>
  <c r="G186" i="25"/>
  <c r="F186" i="28"/>
  <c r="D186" i="28"/>
  <c r="H186" i="28"/>
  <c r="B187" i="28"/>
  <c r="E186" i="28"/>
  <c r="C186" i="28"/>
  <c r="G186" i="28"/>
  <c r="D187" i="35"/>
  <c r="H187" i="35"/>
  <c r="G187" i="35"/>
  <c r="E187" i="35"/>
  <c r="C187" i="35"/>
  <c r="B188" i="35"/>
  <c r="F187" i="35"/>
  <c r="E187" i="25"/>
  <c r="B188" i="25"/>
  <c r="C187" i="25"/>
  <c r="G187" i="25"/>
  <c r="D187" i="25"/>
  <c r="F187" i="25"/>
  <c r="H187" i="25"/>
  <c r="F186" i="33"/>
  <c r="D186" i="33"/>
  <c r="H186" i="33"/>
  <c r="B187" i="33"/>
  <c r="E186" i="33"/>
  <c r="G186" i="33"/>
  <c r="C186" i="33"/>
  <c r="F187" i="37"/>
  <c r="D187" i="37"/>
  <c r="H187" i="37"/>
  <c r="B188" i="37"/>
  <c r="C187" i="37"/>
  <c r="E187" i="37"/>
  <c r="G187" i="37"/>
  <c r="C188" i="37"/>
  <c r="G188" i="37"/>
  <c r="E188" i="37"/>
  <c r="B189" i="37"/>
  <c r="D188" i="37"/>
  <c r="F188" i="37"/>
  <c r="H188" i="37"/>
  <c r="C187" i="33"/>
  <c r="G187" i="33"/>
  <c r="E187" i="33"/>
  <c r="B188" i="33"/>
  <c r="F187" i="33"/>
  <c r="H187" i="33"/>
  <c r="D187" i="33"/>
  <c r="F188" i="25"/>
  <c r="D188" i="25"/>
  <c r="H188" i="25"/>
  <c r="C188" i="25"/>
  <c r="E188" i="25"/>
  <c r="G188" i="25"/>
  <c r="B189" i="25"/>
  <c r="E188" i="35"/>
  <c r="B189" i="35"/>
  <c r="F188" i="35"/>
  <c r="C188" i="35"/>
  <c r="H188" i="35"/>
  <c r="G188" i="35"/>
  <c r="D188" i="35"/>
  <c r="C187" i="28"/>
  <c r="G187" i="28"/>
  <c r="E187" i="28"/>
  <c r="B188" i="28"/>
  <c r="F187" i="28"/>
  <c r="D187" i="28"/>
  <c r="H187" i="28"/>
  <c r="D189" i="37"/>
  <c r="H189" i="37"/>
  <c r="F189" i="37"/>
  <c r="C189" i="37"/>
  <c r="E189" i="37"/>
  <c r="G189" i="37"/>
  <c r="B190" i="37"/>
  <c r="D188" i="33"/>
  <c r="H188" i="33"/>
  <c r="F188" i="33"/>
  <c r="C188" i="33"/>
  <c r="G188" i="33"/>
  <c r="B189" i="33"/>
  <c r="E188" i="33"/>
  <c r="D188" i="28"/>
  <c r="H188" i="28"/>
  <c r="F188" i="28"/>
  <c r="C188" i="28"/>
  <c r="G188" i="28"/>
  <c r="E188" i="28"/>
  <c r="B189" i="28"/>
  <c r="F189" i="35"/>
  <c r="D189" i="35"/>
  <c r="B190" i="35"/>
  <c r="G189" i="35"/>
  <c r="E189" i="35"/>
  <c r="C189" i="35"/>
  <c r="H189" i="35"/>
  <c r="C189" i="25"/>
  <c r="G189" i="25"/>
  <c r="E189" i="25"/>
  <c r="B190" i="25"/>
  <c r="D189" i="25"/>
  <c r="F189" i="25"/>
  <c r="H189" i="25"/>
  <c r="D190" i="25"/>
  <c r="H190" i="25"/>
  <c r="F190" i="25"/>
  <c r="E190" i="25"/>
  <c r="G190" i="25"/>
  <c r="B191" i="25"/>
  <c r="C190" i="25"/>
  <c r="C190" i="35"/>
  <c r="G190" i="35"/>
  <c r="H190" i="35"/>
  <c r="E190" i="35"/>
  <c r="D190" i="35"/>
  <c r="B191" i="35"/>
  <c r="F190" i="35"/>
  <c r="E189" i="28"/>
  <c r="B190" i="28"/>
  <c r="C189" i="28"/>
  <c r="G189" i="28"/>
  <c r="D189" i="28"/>
  <c r="H189" i="28"/>
  <c r="F189" i="28"/>
  <c r="E190" i="37"/>
  <c r="B191" i="37"/>
  <c r="C190" i="37"/>
  <c r="G190" i="37"/>
  <c r="D190" i="37"/>
  <c r="F190" i="37"/>
  <c r="H190" i="37"/>
  <c r="E189" i="33"/>
  <c r="B190" i="33"/>
  <c r="C189" i="33"/>
  <c r="G189" i="33"/>
  <c r="D189" i="33"/>
  <c r="H189" i="33"/>
  <c r="F189" i="33"/>
  <c r="F191" i="37"/>
  <c r="D191" i="37"/>
  <c r="H191" i="37"/>
  <c r="E191" i="37"/>
  <c r="G191" i="37"/>
  <c r="B192" i="37"/>
  <c r="C191" i="37"/>
  <c r="F190" i="28"/>
  <c r="D190" i="28"/>
  <c r="H190" i="28"/>
  <c r="E190" i="28"/>
  <c r="B191" i="28"/>
  <c r="G190" i="28"/>
  <c r="C190" i="28"/>
  <c r="E191" i="25"/>
  <c r="B192" i="25"/>
  <c r="C191" i="25"/>
  <c r="G191" i="25"/>
  <c r="F191" i="25"/>
  <c r="H191" i="25"/>
  <c r="D191" i="25"/>
  <c r="F190" i="33"/>
  <c r="D190" i="33"/>
  <c r="H190" i="33"/>
  <c r="E190" i="33"/>
  <c r="B191" i="33"/>
  <c r="C190" i="33"/>
  <c r="G190" i="33"/>
  <c r="D191" i="35"/>
  <c r="H191" i="35"/>
  <c r="F191" i="35"/>
  <c r="C191" i="35"/>
  <c r="B192" i="35"/>
  <c r="G191" i="35"/>
  <c r="E191" i="35"/>
  <c r="F192" i="25"/>
  <c r="D192" i="25"/>
  <c r="H192" i="25"/>
  <c r="G192" i="25"/>
  <c r="B193" i="25"/>
  <c r="C192" i="25"/>
  <c r="E192" i="25"/>
  <c r="C191" i="28"/>
  <c r="G191" i="28"/>
  <c r="E191" i="28"/>
  <c r="B192" i="28"/>
  <c r="F191" i="28"/>
  <c r="D191" i="28"/>
  <c r="H191" i="28"/>
  <c r="E192" i="35"/>
  <c r="B193" i="35"/>
  <c r="D192" i="35"/>
  <c r="G192" i="35"/>
  <c r="F192" i="35"/>
  <c r="C192" i="35"/>
  <c r="H192" i="35"/>
  <c r="C191" i="33"/>
  <c r="G191" i="33"/>
  <c r="E191" i="33"/>
  <c r="B192" i="33"/>
  <c r="F191" i="33"/>
  <c r="D191" i="33"/>
  <c r="H191" i="33"/>
  <c r="C192" i="37"/>
  <c r="G192" i="37"/>
  <c r="E192" i="37"/>
  <c r="B193" i="37"/>
  <c r="F192" i="37"/>
  <c r="H192" i="37"/>
  <c r="D192" i="37"/>
  <c r="D192" i="33"/>
  <c r="H192" i="33"/>
  <c r="F192" i="33"/>
  <c r="G192" i="33"/>
  <c r="C192" i="33"/>
  <c r="E192" i="33"/>
  <c r="B193" i="33"/>
  <c r="D192" i="28"/>
  <c r="H192" i="28"/>
  <c r="F192" i="28"/>
  <c r="G192" i="28"/>
  <c r="C192" i="28"/>
  <c r="B193" i="28"/>
  <c r="E192" i="28"/>
  <c r="F193" i="35"/>
  <c r="C193" i="35"/>
  <c r="H193" i="35"/>
  <c r="E193" i="35"/>
  <c r="D193" i="35"/>
  <c r="B194" i="35"/>
  <c r="G193" i="35"/>
  <c r="D193" i="37"/>
  <c r="H193" i="37"/>
  <c r="F193" i="37"/>
  <c r="G193" i="37"/>
  <c r="B194" i="37"/>
  <c r="C193" i="37"/>
  <c r="E193" i="37"/>
  <c r="C193" i="25"/>
  <c r="G193" i="25"/>
  <c r="E193" i="25"/>
  <c r="B194" i="25"/>
  <c r="H193" i="25"/>
  <c r="D193" i="25"/>
  <c r="F193" i="25"/>
  <c r="D194" i="25"/>
  <c r="H194" i="25"/>
  <c r="F194" i="25"/>
  <c r="B195" i="25"/>
  <c r="C194" i="25"/>
  <c r="E194" i="25"/>
  <c r="G194" i="25"/>
  <c r="E194" i="37"/>
  <c r="B195" i="37"/>
  <c r="C194" i="37"/>
  <c r="G194" i="37"/>
  <c r="H194" i="37"/>
  <c r="D194" i="37"/>
  <c r="F194" i="37"/>
  <c r="C194" i="35"/>
  <c r="G194" i="35"/>
  <c r="F194" i="35"/>
  <c r="D194" i="35"/>
  <c r="B195" i="35"/>
  <c r="H194" i="35"/>
  <c r="E194" i="35"/>
  <c r="E193" i="28"/>
  <c r="B194" i="28"/>
  <c r="C193" i="28"/>
  <c r="G193" i="28"/>
  <c r="H193" i="28"/>
  <c r="D193" i="28"/>
  <c r="F193" i="28"/>
  <c r="E193" i="33"/>
  <c r="B194" i="33"/>
  <c r="C193" i="33"/>
  <c r="G193" i="33"/>
  <c r="H193" i="33"/>
  <c r="D193" i="33"/>
  <c r="F193" i="33"/>
  <c r="F194" i="33"/>
  <c r="D194" i="33"/>
  <c r="H194" i="33"/>
  <c r="B195" i="33"/>
  <c r="E194" i="33"/>
  <c r="G194" i="33"/>
  <c r="C194" i="33"/>
  <c r="F194" i="28"/>
  <c r="D194" i="28"/>
  <c r="H194" i="28"/>
  <c r="B195" i="28"/>
  <c r="E194" i="28"/>
  <c r="C194" i="28"/>
  <c r="G194" i="28"/>
  <c r="D195" i="35"/>
  <c r="H195" i="35"/>
  <c r="E195" i="35"/>
  <c r="G195" i="35"/>
  <c r="F195" i="35"/>
  <c r="C195" i="35"/>
  <c r="B196" i="35"/>
  <c r="F195" i="37"/>
  <c r="D195" i="37"/>
  <c r="H195" i="37"/>
  <c r="B196" i="37"/>
  <c r="C195" i="37"/>
  <c r="E195" i="37"/>
  <c r="G195" i="37"/>
  <c r="E195" i="25"/>
  <c r="B196" i="25"/>
  <c r="C195" i="25"/>
  <c r="G195" i="25"/>
  <c r="D195" i="25"/>
  <c r="F195" i="25"/>
  <c r="H195" i="25"/>
  <c r="C195" i="33"/>
  <c r="G195" i="33"/>
  <c r="E195" i="33"/>
  <c r="B196" i="33"/>
  <c r="F195" i="33"/>
  <c r="H195" i="33"/>
  <c r="D195" i="33"/>
  <c r="C196" i="37"/>
  <c r="G196" i="37"/>
  <c r="E196" i="37"/>
  <c r="B197" i="37"/>
  <c r="D196" i="37"/>
  <c r="F196" i="37"/>
  <c r="H196" i="37"/>
  <c r="C195" i="28"/>
  <c r="G195" i="28"/>
  <c r="E195" i="28"/>
  <c r="B196" i="28"/>
  <c r="F195" i="28"/>
  <c r="D195" i="28"/>
  <c r="H195" i="28"/>
  <c r="F196" i="25"/>
  <c r="D196" i="25"/>
  <c r="H196" i="25"/>
  <c r="C196" i="25"/>
  <c r="E196" i="25"/>
  <c r="G196" i="25"/>
  <c r="B197" i="25"/>
  <c r="E196" i="35"/>
  <c r="B197" i="35"/>
  <c r="C196" i="35"/>
  <c r="H196" i="35"/>
  <c r="F196" i="35"/>
  <c r="D196" i="35"/>
  <c r="G196" i="35"/>
  <c r="F197" i="35"/>
  <c r="G197" i="35"/>
  <c r="D197" i="35"/>
  <c r="B198" i="35"/>
  <c r="H197" i="35"/>
  <c r="C197" i="35"/>
  <c r="E197" i="35"/>
  <c r="C197" i="25"/>
  <c r="G197" i="25"/>
  <c r="E197" i="25"/>
  <c r="B198" i="25"/>
  <c r="D197" i="25"/>
  <c r="F197" i="25"/>
  <c r="H197" i="25"/>
  <c r="D197" i="37"/>
  <c r="H197" i="37"/>
  <c r="F197" i="37"/>
  <c r="C197" i="37"/>
  <c r="E197" i="37"/>
  <c r="G197" i="37"/>
  <c r="B198" i="37"/>
  <c r="D196" i="28"/>
  <c r="H196" i="28"/>
  <c r="F196" i="28"/>
  <c r="C196" i="28"/>
  <c r="G196" i="28"/>
  <c r="E196" i="28"/>
  <c r="B197" i="28"/>
  <c r="D196" i="33"/>
  <c r="H196" i="33"/>
  <c r="F196" i="33"/>
  <c r="C196" i="33"/>
  <c r="G196" i="33"/>
  <c r="B197" i="33"/>
  <c r="E196" i="33"/>
  <c r="C198" i="35"/>
  <c r="G198" i="35"/>
  <c r="E198" i="35"/>
  <c r="H198" i="35"/>
  <c r="F198" i="35"/>
  <c r="D198" i="35"/>
  <c r="B199" i="35"/>
  <c r="E198" i="37"/>
  <c r="B199" i="37"/>
  <c r="C198" i="37"/>
  <c r="G198" i="37"/>
  <c r="D198" i="37"/>
  <c r="F198" i="37"/>
  <c r="H198" i="37"/>
  <c r="E197" i="33"/>
  <c r="B198" i="33"/>
  <c r="C197" i="33"/>
  <c r="G197" i="33"/>
  <c r="D197" i="33"/>
  <c r="H197" i="33"/>
  <c r="F197" i="33"/>
  <c r="E197" i="28"/>
  <c r="B198" i="28"/>
  <c r="C197" i="28"/>
  <c r="G197" i="28"/>
  <c r="D197" i="28"/>
  <c r="H197" i="28"/>
  <c r="F197" i="28"/>
  <c r="D198" i="25"/>
  <c r="H198" i="25"/>
  <c r="F198" i="25"/>
  <c r="E198" i="25"/>
  <c r="G198" i="25"/>
  <c r="B199" i="25"/>
  <c r="C198" i="25"/>
  <c r="F198" i="33"/>
  <c r="D198" i="33"/>
  <c r="H198" i="33"/>
  <c r="E198" i="33"/>
  <c r="B199" i="33"/>
  <c r="C198" i="33"/>
  <c r="G198" i="33"/>
  <c r="F198" i="28"/>
  <c r="D198" i="28"/>
  <c r="H198" i="28"/>
  <c r="E198" i="28"/>
  <c r="B199" i="28"/>
  <c r="C198" i="28"/>
  <c r="G198" i="28"/>
  <c r="E199" i="25"/>
  <c r="B200" i="25"/>
  <c r="C199" i="25"/>
  <c r="G199" i="25"/>
  <c r="F199" i="25"/>
  <c r="H199" i="25"/>
  <c r="D199" i="25"/>
  <c r="F199" i="37"/>
  <c r="D199" i="37"/>
  <c r="H199" i="37"/>
  <c r="E199" i="37"/>
  <c r="G199" i="37"/>
  <c r="B200" i="37"/>
  <c r="C199" i="37"/>
  <c r="D199" i="35"/>
  <c r="H199" i="35"/>
  <c r="C199" i="35"/>
  <c r="B200" i="35"/>
  <c r="F199" i="35"/>
  <c r="E199" i="35"/>
  <c r="G199" i="35"/>
  <c r="C199" i="28"/>
  <c r="G199" i="28"/>
  <c r="E199" i="28"/>
  <c r="B200" i="28"/>
  <c r="F199" i="28"/>
  <c r="H199" i="28"/>
  <c r="D199" i="28"/>
  <c r="C200" i="37"/>
  <c r="G200" i="37"/>
  <c r="E200" i="37"/>
  <c r="B201" i="37"/>
  <c r="F200" i="37"/>
  <c r="H200" i="37"/>
  <c r="D200" i="37"/>
  <c r="E200" i="35"/>
  <c r="B201" i="35"/>
  <c r="G200" i="35"/>
  <c r="D200" i="35"/>
  <c r="H200" i="35"/>
  <c r="C200" i="35"/>
  <c r="F200" i="35"/>
  <c r="F200" i="25"/>
  <c r="D200" i="25"/>
  <c r="H200" i="25"/>
  <c r="G200" i="25"/>
  <c r="B201" i="25"/>
  <c r="C200" i="25"/>
  <c r="E200" i="25"/>
  <c r="C199" i="33"/>
  <c r="G199" i="33"/>
  <c r="E199" i="33"/>
  <c r="B200" i="33"/>
  <c r="F199" i="33"/>
  <c r="D199" i="33"/>
  <c r="H199" i="33"/>
  <c r="D200" i="28"/>
  <c r="H200" i="28"/>
  <c r="F200" i="28"/>
  <c r="G200" i="28"/>
  <c r="C200" i="28"/>
  <c r="E200" i="28"/>
  <c r="B201" i="28"/>
  <c r="D200" i="33"/>
  <c r="H200" i="33"/>
  <c r="F200" i="33"/>
  <c r="G200" i="33"/>
  <c r="C200" i="33"/>
  <c r="E200" i="33"/>
  <c r="B201" i="33"/>
  <c r="C201" i="25"/>
  <c r="G201" i="25"/>
  <c r="E201" i="25"/>
  <c r="B202" i="25"/>
  <c r="H201" i="25"/>
  <c r="D201" i="25"/>
  <c r="F201" i="25"/>
  <c r="F201" i="35"/>
  <c r="E201" i="35"/>
  <c r="C201" i="35"/>
  <c r="H201" i="35"/>
  <c r="G201" i="35"/>
  <c r="D201" i="35"/>
  <c r="B202" i="35"/>
  <c r="D201" i="37"/>
  <c r="H201" i="37"/>
  <c r="F201" i="37"/>
  <c r="G201" i="37"/>
  <c r="B202" i="37"/>
  <c r="C201" i="37"/>
  <c r="E201" i="37"/>
  <c r="C202" i="35"/>
  <c r="G202" i="35"/>
  <c r="D202" i="35"/>
  <c r="B203" i="35"/>
  <c r="F202" i="35"/>
  <c r="E202" i="35"/>
  <c r="H202" i="35"/>
  <c r="E202" i="37"/>
  <c r="B203" i="37"/>
  <c r="C202" i="37"/>
  <c r="G202" i="37"/>
  <c r="H202" i="37"/>
  <c r="D202" i="37"/>
  <c r="F202" i="37"/>
  <c r="D202" i="25"/>
  <c r="H202" i="25"/>
  <c r="F202" i="25"/>
  <c r="B203" i="25"/>
  <c r="C202" i="25"/>
  <c r="E202" i="25"/>
  <c r="G202" i="25"/>
  <c r="E201" i="33"/>
  <c r="B202" i="33"/>
  <c r="C201" i="33"/>
  <c r="G201" i="33"/>
  <c r="H201" i="33"/>
  <c r="D201" i="33"/>
  <c r="F201" i="33"/>
  <c r="E201" i="28"/>
  <c r="B202" i="28"/>
  <c r="C201" i="28"/>
  <c r="G201" i="28"/>
  <c r="H201" i="28"/>
  <c r="D201" i="28"/>
  <c r="F201" i="28"/>
  <c r="F203" i="37"/>
  <c r="D203" i="37"/>
  <c r="H203" i="37"/>
  <c r="B204" i="37"/>
  <c r="C203" i="37"/>
  <c r="E203" i="37"/>
  <c r="G203" i="37"/>
  <c r="D203" i="35"/>
  <c r="H203" i="35"/>
  <c r="G203" i="35"/>
  <c r="E203" i="35"/>
  <c r="B204" i="35"/>
  <c r="C203" i="35"/>
  <c r="F203" i="35"/>
  <c r="F202" i="33"/>
  <c r="D202" i="33"/>
  <c r="H202" i="33"/>
  <c r="B203" i="33"/>
  <c r="E202" i="33"/>
  <c r="G202" i="33"/>
  <c r="C202" i="33"/>
  <c r="F202" i="28"/>
  <c r="D202" i="28"/>
  <c r="H202" i="28"/>
  <c r="B203" i="28"/>
  <c r="E202" i="28"/>
  <c r="C202" i="28"/>
  <c r="G202" i="28"/>
  <c r="E203" i="25"/>
  <c r="B204" i="25"/>
  <c r="C203" i="25"/>
  <c r="G203" i="25"/>
  <c r="D203" i="25"/>
  <c r="F203" i="25"/>
  <c r="H203" i="25"/>
  <c r="F204" i="25"/>
  <c r="D204" i="25"/>
  <c r="H204" i="25"/>
  <c r="C204" i="25"/>
  <c r="E204" i="25"/>
  <c r="G204" i="25"/>
  <c r="B205" i="25"/>
  <c r="C203" i="28"/>
  <c r="G203" i="28"/>
  <c r="E203" i="28"/>
  <c r="B204" i="28"/>
  <c r="F203" i="28"/>
  <c r="D203" i="28"/>
  <c r="H203" i="28"/>
  <c r="C204" i="37"/>
  <c r="G204" i="37"/>
  <c r="E204" i="37"/>
  <c r="B205" i="37"/>
  <c r="D204" i="37"/>
  <c r="F204" i="37"/>
  <c r="H204" i="37"/>
  <c r="C203" i="33"/>
  <c r="G203" i="33"/>
  <c r="E203" i="33"/>
  <c r="B204" i="33"/>
  <c r="F203" i="33"/>
  <c r="H203" i="33"/>
  <c r="D203" i="33"/>
  <c r="E204" i="35"/>
  <c r="B205" i="35"/>
  <c r="F204" i="35"/>
  <c r="C204" i="35"/>
  <c r="H204" i="35"/>
  <c r="G204" i="35"/>
  <c r="D204" i="35"/>
  <c r="D205" i="37"/>
  <c r="H205" i="37"/>
  <c r="F205" i="37"/>
  <c r="C205" i="37"/>
  <c r="E205" i="37"/>
  <c r="G205" i="37"/>
  <c r="B206" i="37"/>
  <c r="D204" i="33"/>
  <c r="H204" i="33"/>
  <c r="F204" i="33"/>
  <c r="C204" i="33"/>
  <c r="G204" i="33"/>
  <c r="B205" i="33"/>
  <c r="E204" i="33"/>
  <c r="F205" i="35"/>
  <c r="D205" i="35"/>
  <c r="B206" i="35"/>
  <c r="G205" i="35"/>
  <c r="E205" i="35"/>
  <c r="C205" i="35"/>
  <c r="H205" i="35"/>
  <c r="C205" i="25"/>
  <c r="G205" i="25"/>
  <c r="E205" i="25"/>
  <c r="B206" i="25"/>
  <c r="D205" i="25"/>
  <c r="F205" i="25"/>
  <c r="H205" i="25"/>
  <c r="D204" i="28"/>
  <c r="H204" i="28"/>
  <c r="F204" i="28"/>
  <c r="C204" i="28"/>
  <c r="G204" i="28"/>
  <c r="E204" i="28"/>
  <c r="B205" i="28"/>
  <c r="E205" i="28"/>
  <c r="B206" i="28"/>
  <c r="C205" i="28"/>
  <c r="G205" i="28"/>
  <c r="D205" i="28"/>
  <c r="H205" i="28"/>
  <c r="F205" i="28"/>
  <c r="D206" i="25"/>
  <c r="H206" i="25"/>
  <c r="F206" i="25"/>
  <c r="E206" i="25"/>
  <c r="G206" i="25"/>
  <c r="B207" i="25"/>
  <c r="C206" i="25"/>
  <c r="C206" i="35"/>
  <c r="G206" i="35"/>
  <c r="H206" i="35"/>
  <c r="E206" i="35"/>
  <c r="B207" i="35"/>
  <c r="D206" i="35"/>
  <c r="F206" i="35"/>
  <c r="E205" i="33"/>
  <c r="B206" i="33"/>
  <c r="C205" i="33"/>
  <c r="G205" i="33"/>
  <c r="D205" i="33"/>
  <c r="H205" i="33"/>
  <c r="F205" i="33"/>
  <c r="E206" i="37"/>
  <c r="B207" i="37"/>
  <c r="C206" i="37"/>
  <c r="G206" i="37"/>
  <c r="D206" i="37"/>
  <c r="F206" i="37"/>
  <c r="H206" i="37"/>
  <c r="F207" i="37"/>
  <c r="D207" i="37"/>
  <c r="H207" i="37"/>
  <c r="E207" i="37"/>
  <c r="G207" i="37"/>
  <c r="B208" i="37"/>
  <c r="C207" i="37"/>
  <c r="F206" i="28"/>
  <c r="D206" i="28"/>
  <c r="H206" i="28"/>
  <c r="E206" i="28"/>
  <c r="B207" i="28"/>
  <c r="G206" i="28"/>
  <c r="C206" i="28"/>
  <c r="F206" i="33"/>
  <c r="D206" i="33"/>
  <c r="H206" i="33"/>
  <c r="E206" i="33"/>
  <c r="B207" i="33"/>
  <c r="C206" i="33"/>
  <c r="G206" i="33"/>
  <c r="D207" i="35"/>
  <c r="H207" i="35"/>
  <c r="F207" i="35"/>
  <c r="C207" i="35"/>
  <c r="B208" i="35"/>
  <c r="G207" i="35"/>
  <c r="E207" i="35"/>
  <c r="E207" i="25"/>
  <c r="B208" i="25"/>
  <c r="C207" i="25"/>
  <c r="G207" i="25"/>
  <c r="F207" i="25"/>
  <c r="H207" i="25"/>
  <c r="D207" i="25"/>
  <c r="C207" i="28"/>
  <c r="G207" i="28"/>
  <c r="E207" i="28"/>
  <c r="B208" i="28"/>
  <c r="F207" i="28"/>
  <c r="D207" i="28"/>
  <c r="H207" i="28"/>
  <c r="C207" i="33"/>
  <c r="G207" i="33"/>
  <c r="E207" i="33"/>
  <c r="B208" i="33"/>
  <c r="F207" i="33"/>
  <c r="D207" i="33"/>
  <c r="H207" i="33"/>
  <c r="C208" i="37"/>
  <c r="G208" i="37"/>
  <c r="E208" i="37"/>
  <c r="B209" i="37"/>
  <c r="F208" i="37"/>
  <c r="H208" i="37"/>
  <c r="D208" i="37"/>
  <c r="F208" i="25"/>
  <c r="D208" i="25"/>
  <c r="H208" i="25"/>
  <c r="G208" i="25"/>
  <c r="B209" i="25"/>
  <c r="C208" i="25"/>
  <c r="E208" i="25"/>
  <c r="E208" i="35"/>
  <c r="B209" i="35"/>
  <c r="D208" i="35"/>
  <c r="G208" i="35"/>
  <c r="F208" i="35"/>
  <c r="C208" i="35"/>
  <c r="H208" i="35"/>
  <c r="D208" i="28"/>
  <c r="H208" i="28"/>
  <c r="F208" i="28"/>
  <c r="G208" i="28"/>
  <c r="C208" i="28"/>
  <c r="B209" i="28"/>
  <c r="E208" i="28"/>
  <c r="D208" i="33"/>
  <c r="H208" i="33"/>
  <c r="F208" i="33"/>
  <c r="G208" i="33"/>
  <c r="C208" i="33"/>
  <c r="E208" i="33"/>
  <c r="B209" i="33"/>
  <c r="F209" i="35"/>
  <c r="C209" i="35"/>
  <c r="H209" i="35"/>
  <c r="E209" i="35"/>
  <c r="B210" i="35"/>
  <c r="D209" i="35"/>
  <c r="G209" i="35"/>
  <c r="C209" i="25"/>
  <c r="G209" i="25"/>
  <c r="E209" i="25"/>
  <c r="B210" i="25"/>
  <c r="H209" i="25"/>
  <c r="D209" i="25"/>
  <c r="F209" i="25"/>
  <c r="D209" i="37"/>
  <c r="H209" i="37"/>
  <c r="F209" i="37"/>
  <c r="G209" i="37"/>
  <c r="B210" i="37"/>
  <c r="C209" i="37"/>
  <c r="E209" i="37"/>
  <c r="E209" i="28"/>
  <c r="B210" i="28"/>
  <c r="C209" i="28"/>
  <c r="G209" i="28"/>
  <c r="H209" i="28"/>
  <c r="D209" i="28"/>
  <c r="F209" i="28"/>
  <c r="C210" i="35"/>
  <c r="G210" i="35"/>
  <c r="F210" i="35"/>
  <c r="D210" i="35"/>
  <c r="B211" i="35"/>
  <c r="H210" i="35"/>
  <c r="E210" i="35"/>
  <c r="E209" i="33"/>
  <c r="B210" i="33"/>
  <c r="C209" i="33"/>
  <c r="G209" i="33"/>
  <c r="H209" i="33"/>
  <c r="D209" i="33"/>
  <c r="F209" i="33"/>
  <c r="E210" i="37"/>
  <c r="B211" i="37"/>
  <c r="C210" i="37"/>
  <c r="G210" i="37"/>
  <c r="H210" i="37"/>
  <c r="D210" i="37"/>
  <c r="F210" i="37"/>
  <c r="D210" i="25"/>
  <c r="H210" i="25"/>
  <c r="F210" i="25"/>
  <c r="B211" i="25"/>
  <c r="C210" i="25"/>
  <c r="E210" i="25"/>
  <c r="G210" i="25"/>
  <c r="E211" i="25"/>
  <c r="B212" i="25"/>
  <c r="C211" i="25"/>
  <c r="G211" i="25"/>
  <c r="D211" i="25"/>
  <c r="F211" i="25"/>
  <c r="H211" i="25"/>
  <c r="F210" i="33"/>
  <c r="D210" i="33"/>
  <c r="H210" i="33"/>
  <c r="B211" i="33"/>
  <c r="E210" i="33"/>
  <c r="G210" i="33"/>
  <c r="C210" i="33"/>
  <c r="F211" i="37"/>
  <c r="D211" i="37"/>
  <c r="H211" i="37"/>
  <c r="B212" i="37"/>
  <c r="C211" i="37"/>
  <c r="E211" i="37"/>
  <c r="G211" i="37"/>
  <c r="D211" i="35"/>
  <c r="H211" i="35"/>
  <c r="E211" i="35"/>
  <c r="G211" i="35"/>
  <c r="F211" i="35"/>
  <c r="C211" i="35"/>
  <c r="B212" i="35"/>
  <c r="F210" i="28"/>
  <c r="D210" i="28"/>
  <c r="H210" i="28"/>
  <c r="B211" i="28"/>
  <c r="E210" i="28"/>
  <c r="C210" i="28"/>
  <c r="G210" i="28"/>
  <c r="C211" i="28"/>
  <c r="G211" i="28"/>
  <c r="E211" i="28"/>
  <c r="B212" i="28"/>
  <c r="F211" i="28"/>
  <c r="D211" i="28"/>
  <c r="H211" i="28"/>
  <c r="E212" i="35"/>
  <c r="B213" i="35"/>
  <c r="C212" i="35"/>
  <c r="H212" i="35"/>
  <c r="F212" i="35"/>
  <c r="D212" i="35"/>
  <c r="G212" i="35"/>
  <c r="F212" i="25"/>
  <c r="D212" i="25"/>
  <c r="H212" i="25"/>
  <c r="C212" i="25"/>
  <c r="E212" i="25"/>
  <c r="G212" i="25"/>
  <c r="B213" i="25"/>
  <c r="C212" i="37"/>
  <c r="G212" i="37"/>
  <c r="E212" i="37"/>
  <c r="B213" i="37"/>
  <c r="D212" i="37"/>
  <c r="F212" i="37"/>
  <c r="H212" i="37"/>
  <c r="C211" i="33"/>
  <c r="G211" i="33"/>
  <c r="E211" i="33"/>
  <c r="B212" i="33"/>
  <c r="F211" i="33"/>
  <c r="H211" i="33"/>
  <c r="D211" i="33"/>
  <c r="D213" i="37"/>
  <c r="H213" i="37"/>
  <c r="F213" i="37"/>
  <c r="C213" i="37"/>
  <c r="E213" i="37"/>
  <c r="G213" i="37"/>
  <c r="B214" i="37"/>
  <c r="D212" i="33"/>
  <c r="H212" i="33"/>
  <c r="F212" i="33"/>
  <c r="C212" i="33"/>
  <c r="G212" i="33"/>
  <c r="B213" i="33"/>
  <c r="E212" i="33"/>
  <c r="F213" i="35"/>
  <c r="G213" i="35"/>
  <c r="D213" i="35"/>
  <c r="B214" i="35"/>
  <c r="C213" i="35"/>
  <c r="H213" i="35"/>
  <c r="E213" i="35"/>
  <c r="D212" i="28"/>
  <c r="H212" i="28"/>
  <c r="F212" i="28"/>
  <c r="C212" i="28"/>
  <c r="G212" i="28"/>
  <c r="E212" i="28"/>
  <c r="B213" i="28"/>
  <c r="C213" i="25"/>
  <c r="G213" i="25"/>
  <c r="E213" i="25"/>
  <c r="B214" i="25"/>
  <c r="D213" i="25"/>
  <c r="F213" i="25"/>
  <c r="H213" i="25"/>
  <c r="C214" i="35"/>
  <c r="G214" i="35"/>
  <c r="E214" i="35"/>
  <c r="H214" i="35"/>
  <c r="F214" i="35"/>
  <c r="D214" i="35"/>
  <c r="B215" i="35"/>
  <c r="D214" i="25"/>
  <c r="H214" i="25"/>
  <c r="F214" i="25"/>
  <c r="E214" i="25"/>
  <c r="G214" i="25"/>
  <c r="B215" i="25"/>
  <c r="C214" i="25"/>
  <c r="E213" i="28"/>
  <c r="B214" i="28"/>
  <c r="C213" i="28"/>
  <c r="G213" i="28"/>
  <c r="D213" i="28"/>
  <c r="H213" i="28"/>
  <c r="F213" i="28"/>
  <c r="E214" i="37"/>
  <c r="B215" i="37"/>
  <c r="C214" i="37"/>
  <c r="G214" i="37"/>
  <c r="D214" i="37"/>
  <c r="F214" i="37"/>
  <c r="H214" i="37"/>
  <c r="E213" i="33"/>
  <c r="B214" i="33"/>
  <c r="C213" i="33"/>
  <c r="G213" i="33"/>
  <c r="D213" i="33"/>
  <c r="H213" i="33"/>
  <c r="F213" i="33"/>
  <c r="E215" i="25"/>
  <c r="B216" i="25"/>
  <c r="C215" i="25"/>
  <c r="G215" i="25"/>
  <c r="F215" i="25"/>
  <c r="H215" i="25"/>
  <c r="D215" i="25"/>
  <c r="D215" i="35"/>
  <c r="H215" i="35"/>
  <c r="C215" i="35"/>
  <c r="B216" i="35"/>
  <c r="F215" i="35"/>
  <c r="E215" i="35"/>
  <c r="G215" i="35"/>
  <c r="F215" i="37"/>
  <c r="D215" i="37"/>
  <c r="H215" i="37"/>
  <c r="E215" i="37"/>
  <c r="G215" i="37"/>
  <c r="B216" i="37"/>
  <c r="C215" i="37"/>
  <c r="F214" i="33"/>
  <c r="D214" i="33"/>
  <c r="H214" i="33"/>
  <c r="E214" i="33"/>
  <c r="B215" i="33"/>
  <c r="C214" i="33"/>
  <c r="G214" i="33"/>
  <c r="F214" i="28"/>
  <c r="D214" i="28"/>
  <c r="H214" i="28"/>
  <c r="E214" i="28"/>
  <c r="B215" i="28"/>
  <c r="C214" i="28"/>
  <c r="G214" i="28"/>
  <c r="F216" i="25"/>
  <c r="D216" i="25"/>
  <c r="H216" i="25"/>
  <c r="G216" i="25"/>
  <c r="B217" i="25"/>
  <c r="C216" i="25"/>
  <c r="E216" i="25"/>
  <c r="C216" i="37"/>
  <c r="G216" i="37"/>
  <c r="E216" i="37"/>
  <c r="B217" i="37"/>
  <c r="F216" i="37"/>
  <c r="H216" i="37"/>
  <c r="D216" i="37"/>
  <c r="C215" i="33"/>
  <c r="G215" i="33"/>
  <c r="E215" i="33"/>
  <c r="B216" i="33"/>
  <c r="F215" i="33"/>
  <c r="D215" i="33"/>
  <c r="H215" i="33"/>
  <c r="C215" i="28"/>
  <c r="G215" i="28"/>
  <c r="E215" i="28"/>
  <c r="B216" i="28"/>
  <c r="F215" i="28"/>
  <c r="H215" i="28"/>
  <c r="D215" i="28"/>
  <c r="E216" i="35"/>
  <c r="B217" i="35"/>
  <c r="G216" i="35"/>
  <c r="D216" i="35"/>
  <c r="C216" i="35"/>
  <c r="H216" i="35"/>
  <c r="F216" i="35"/>
  <c r="D216" i="28"/>
  <c r="H216" i="28"/>
  <c r="F216" i="28"/>
  <c r="G216" i="28"/>
  <c r="C216" i="28"/>
  <c r="E216" i="28"/>
  <c r="B217" i="28"/>
  <c r="D217" i="37"/>
  <c r="H217" i="37"/>
  <c r="F217" i="37"/>
  <c r="G217" i="37"/>
  <c r="B218" i="37"/>
  <c r="C217" i="37"/>
  <c r="E217" i="37"/>
  <c r="F217" i="35"/>
  <c r="E217" i="35"/>
  <c r="C217" i="35"/>
  <c r="H217" i="35"/>
  <c r="G217" i="35"/>
  <c r="D217" i="35"/>
  <c r="B218" i="35"/>
  <c r="D216" i="33"/>
  <c r="H216" i="33"/>
  <c r="F216" i="33"/>
  <c r="G216" i="33"/>
  <c r="C216" i="33"/>
  <c r="E216" i="33"/>
  <c r="B217" i="33"/>
  <c r="C217" i="25"/>
  <c r="G217" i="25"/>
  <c r="E217" i="25"/>
  <c r="B218" i="25"/>
  <c r="H217" i="25"/>
  <c r="D217" i="25"/>
  <c r="F217" i="25"/>
  <c r="E217" i="33"/>
  <c r="B218" i="33"/>
  <c r="C217" i="33"/>
  <c r="G217" i="33"/>
  <c r="H217" i="33"/>
  <c r="D217" i="33"/>
  <c r="F217" i="33"/>
  <c r="E218" i="37"/>
  <c r="B219" i="37"/>
  <c r="C218" i="37"/>
  <c r="G218" i="37"/>
  <c r="H218" i="37"/>
  <c r="D218" i="37"/>
  <c r="F218" i="37"/>
  <c r="E217" i="28"/>
  <c r="B218" i="28"/>
  <c r="C217" i="28"/>
  <c r="G217" i="28"/>
  <c r="H217" i="28"/>
  <c r="D217" i="28"/>
  <c r="F217" i="28"/>
  <c r="C218" i="35"/>
  <c r="G218" i="35"/>
  <c r="D218" i="35"/>
  <c r="B219" i="35"/>
  <c r="F218" i="35"/>
  <c r="E218" i="35"/>
  <c r="H218" i="35"/>
  <c r="D218" i="25"/>
  <c r="H218" i="25"/>
  <c r="F218" i="25"/>
  <c r="B219" i="25"/>
  <c r="C218" i="25"/>
  <c r="E218" i="25"/>
  <c r="G218" i="25"/>
  <c r="F218" i="28"/>
  <c r="D218" i="28"/>
  <c r="H218" i="28"/>
  <c r="B219" i="28"/>
  <c r="E218" i="28"/>
  <c r="C218" i="28"/>
  <c r="G218" i="28"/>
  <c r="E219" i="25"/>
  <c r="B220" i="25"/>
  <c r="C219" i="25"/>
  <c r="G219" i="25"/>
  <c r="D219" i="25"/>
  <c r="F219" i="25"/>
  <c r="H219" i="25"/>
  <c r="D219" i="35"/>
  <c r="H219" i="35"/>
  <c r="G219" i="35"/>
  <c r="E219" i="35"/>
  <c r="C219" i="35"/>
  <c r="B220" i="35"/>
  <c r="F219" i="35"/>
  <c r="F218" i="33"/>
  <c r="D218" i="33"/>
  <c r="H218" i="33"/>
  <c r="B219" i="33"/>
  <c r="E218" i="33"/>
  <c r="G218" i="33"/>
  <c r="C218" i="33"/>
  <c r="F219" i="37"/>
  <c r="D219" i="37"/>
  <c r="H219" i="37"/>
  <c r="B220" i="37"/>
  <c r="C219" i="37"/>
  <c r="E219" i="37"/>
  <c r="G219" i="37"/>
  <c r="C219" i="28"/>
  <c r="G219" i="28"/>
  <c r="E219" i="28"/>
  <c r="B220" i="28"/>
  <c r="F219" i="28"/>
  <c r="D219" i="28"/>
  <c r="H219" i="28"/>
  <c r="C220" i="37"/>
  <c r="G220" i="37"/>
  <c r="E220" i="37"/>
  <c r="B221" i="37"/>
  <c r="D220" i="37"/>
  <c r="F220" i="37"/>
  <c r="H220" i="37"/>
  <c r="E220" i="35"/>
  <c r="B221" i="35"/>
  <c r="F220" i="35"/>
  <c r="C220" i="35"/>
  <c r="H220" i="35"/>
  <c r="G220" i="35"/>
  <c r="D220" i="35"/>
  <c r="C219" i="33"/>
  <c r="G219" i="33"/>
  <c r="E219" i="33"/>
  <c r="B220" i="33"/>
  <c r="F219" i="33"/>
  <c r="H219" i="33"/>
  <c r="D219" i="33"/>
  <c r="F220" i="25"/>
  <c r="D220" i="25"/>
  <c r="H220" i="25"/>
  <c r="C220" i="25"/>
  <c r="E220" i="25"/>
  <c r="G220" i="25"/>
  <c r="B221" i="25"/>
  <c r="F221" i="35"/>
  <c r="D221" i="35"/>
  <c r="B222" i="35"/>
  <c r="G221" i="35"/>
  <c r="E221" i="35"/>
  <c r="C221" i="35"/>
  <c r="H221" i="35"/>
  <c r="D220" i="33"/>
  <c r="H220" i="33"/>
  <c r="F220" i="33"/>
  <c r="C220" i="33"/>
  <c r="G220" i="33"/>
  <c r="B221" i="33"/>
  <c r="E220" i="33"/>
  <c r="D221" i="37"/>
  <c r="H221" i="37"/>
  <c r="F221" i="37"/>
  <c r="C221" i="37"/>
  <c r="E221" i="37"/>
  <c r="G221" i="37"/>
  <c r="B222" i="37"/>
  <c r="D220" i="28"/>
  <c r="H220" i="28"/>
  <c r="F220" i="28"/>
  <c r="C220" i="28"/>
  <c r="G220" i="28"/>
  <c r="E220" i="28"/>
  <c r="B221" i="28"/>
  <c r="C221" i="25"/>
  <c r="G221" i="25"/>
  <c r="E221" i="25"/>
  <c r="B222" i="25"/>
  <c r="D221" i="25"/>
  <c r="F221" i="25"/>
  <c r="H221" i="25"/>
  <c r="D222" i="25"/>
  <c r="H222" i="25"/>
  <c r="F222" i="25"/>
  <c r="E222" i="25"/>
  <c r="G222" i="25"/>
  <c r="B223" i="25"/>
  <c r="C222" i="25"/>
  <c r="E221" i="28"/>
  <c r="B222" i="28"/>
  <c r="C221" i="28"/>
  <c r="G221" i="28"/>
  <c r="D221" i="28"/>
  <c r="H221" i="28"/>
  <c r="F221" i="28"/>
  <c r="C222" i="35"/>
  <c r="G222" i="35"/>
  <c r="H222" i="35"/>
  <c r="E222" i="35"/>
  <c r="D222" i="35"/>
  <c r="B223" i="35"/>
  <c r="F222" i="35"/>
  <c r="E222" i="37"/>
  <c r="B223" i="37"/>
  <c r="C222" i="37"/>
  <c r="G222" i="37"/>
  <c r="D222" i="37"/>
  <c r="F222" i="37"/>
  <c r="H222" i="37"/>
  <c r="E221" i="33"/>
  <c r="B222" i="33"/>
  <c r="C221" i="33"/>
  <c r="G221" i="33"/>
  <c r="D221" i="33"/>
  <c r="H221" i="33"/>
  <c r="F221" i="33"/>
  <c r="F222" i="33"/>
  <c r="D222" i="33"/>
  <c r="H222" i="33"/>
  <c r="E222" i="33"/>
  <c r="B223" i="33"/>
  <c r="C222" i="33"/>
  <c r="G222" i="33"/>
  <c r="D223" i="35"/>
  <c r="H223" i="35"/>
  <c r="F223" i="35"/>
  <c r="C223" i="35"/>
  <c r="B224" i="35"/>
  <c r="G223" i="35"/>
  <c r="E223" i="35"/>
  <c r="E223" i="25"/>
  <c r="B224" i="25"/>
  <c r="C223" i="25"/>
  <c r="G223" i="25"/>
  <c r="F223" i="25"/>
  <c r="H223" i="25"/>
  <c r="D223" i="25"/>
  <c r="F223" i="37"/>
  <c r="D223" i="37"/>
  <c r="H223" i="37"/>
  <c r="E223" i="37"/>
  <c r="G223" i="37"/>
  <c r="B224" i="37"/>
  <c r="C223" i="37"/>
  <c r="F222" i="28"/>
  <c r="D222" i="28"/>
  <c r="H222" i="28"/>
  <c r="E222" i="28"/>
  <c r="B223" i="28"/>
  <c r="G222" i="28"/>
  <c r="C222" i="28"/>
  <c r="F224" i="25"/>
  <c r="D224" i="25"/>
  <c r="H224" i="25"/>
  <c r="G224" i="25"/>
  <c r="B225" i="25"/>
  <c r="C224" i="25"/>
  <c r="E224" i="25"/>
  <c r="E224" i="35"/>
  <c r="B225" i="35"/>
  <c r="D224" i="35"/>
  <c r="G224" i="35"/>
  <c r="F224" i="35"/>
  <c r="C224" i="35"/>
  <c r="H224" i="35"/>
  <c r="C224" i="37"/>
  <c r="G224" i="37"/>
  <c r="E224" i="37"/>
  <c r="B225" i="37"/>
  <c r="F224" i="37"/>
  <c r="H224" i="37"/>
  <c r="D224" i="37"/>
  <c r="C223" i="28"/>
  <c r="G223" i="28"/>
  <c r="E223" i="28"/>
  <c r="B224" i="28"/>
  <c r="F223" i="28"/>
  <c r="D223" i="28"/>
  <c r="H223" i="28"/>
  <c r="C223" i="33"/>
  <c r="G223" i="33"/>
  <c r="E223" i="33"/>
  <c r="B224" i="33"/>
  <c r="F223" i="33"/>
  <c r="D223" i="33"/>
  <c r="H223" i="33"/>
  <c r="F225" i="35"/>
  <c r="C225" i="35"/>
  <c r="H225" i="35"/>
  <c r="E225" i="35"/>
  <c r="D225" i="35"/>
  <c r="B226" i="35"/>
  <c r="G225" i="35"/>
  <c r="C225" i="25"/>
  <c r="G225" i="25"/>
  <c r="E225" i="25"/>
  <c r="B226" i="25"/>
  <c r="H225" i="25"/>
  <c r="D225" i="25"/>
  <c r="F225" i="25"/>
  <c r="D225" i="37"/>
  <c r="H225" i="37"/>
  <c r="F225" i="37"/>
  <c r="G225" i="37"/>
  <c r="B226" i="37"/>
  <c r="C225" i="37"/>
  <c r="E225" i="37"/>
  <c r="D224" i="33"/>
  <c r="H224" i="33"/>
  <c r="F224" i="33"/>
  <c r="G224" i="33"/>
  <c r="C224" i="33"/>
  <c r="E224" i="33"/>
  <c r="B225" i="33"/>
  <c r="D224" i="28"/>
  <c r="H224" i="28"/>
  <c r="F224" i="28"/>
  <c r="G224" i="28"/>
  <c r="C224" i="28"/>
  <c r="B225" i="28"/>
  <c r="E224" i="28"/>
  <c r="E226" i="37"/>
  <c r="B227" i="37"/>
  <c r="C226" i="37"/>
  <c r="G226" i="37"/>
  <c r="H226" i="37"/>
  <c r="D226" i="37"/>
  <c r="F226" i="37"/>
  <c r="C226" i="35"/>
  <c r="G226" i="35"/>
  <c r="F226" i="35"/>
  <c r="D226" i="35"/>
  <c r="B227" i="35"/>
  <c r="H226" i="35"/>
  <c r="E226" i="35"/>
  <c r="D226" i="25"/>
  <c r="H226" i="25"/>
  <c r="F226" i="25"/>
  <c r="B227" i="25"/>
  <c r="C226" i="25"/>
  <c r="E226" i="25"/>
  <c r="G226" i="25"/>
  <c r="E225" i="28"/>
  <c r="B226" i="28"/>
  <c r="C225" i="28"/>
  <c r="G225" i="28"/>
  <c r="H225" i="28"/>
  <c r="D225" i="28"/>
  <c r="F225" i="28"/>
  <c r="E225" i="33"/>
  <c r="B226" i="33"/>
  <c r="C225" i="33"/>
  <c r="G225" i="33"/>
  <c r="H225" i="33"/>
  <c r="D225" i="33"/>
  <c r="F225" i="33"/>
  <c r="E227" i="25"/>
  <c r="B228" i="25"/>
  <c r="C227" i="25"/>
  <c r="G227" i="25"/>
  <c r="D227" i="25"/>
  <c r="F227" i="25"/>
  <c r="H227" i="25"/>
  <c r="F226" i="28"/>
  <c r="D226" i="28"/>
  <c r="H226" i="28"/>
  <c r="B227" i="28"/>
  <c r="E226" i="28"/>
  <c r="C226" i="28"/>
  <c r="G226" i="28"/>
  <c r="F227" i="37"/>
  <c r="D227" i="37"/>
  <c r="H227" i="37"/>
  <c r="B228" i="37"/>
  <c r="C227" i="37"/>
  <c r="E227" i="37"/>
  <c r="G227" i="37"/>
  <c r="D227" i="35"/>
  <c r="H227" i="35"/>
  <c r="E227" i="35"/>
  <c r="G227" i="35"/>
  <c r="F227" i="35"/>
  <c r="C227" i="35"/>
  <c r="B228" i="35"/>
  <c r="F226" i="33"/>
  <c r="D226" i="33"/>
  <c r="H226" i="33"/>
  <c r="B227" i="33"/>
  <c r="E226" i="33"/>
  <c r="G226" i="33"/>
  <c r="C226" i="33"/>
  <c r="C227" i="33"/>
  <c r="G227" i="33"/>
  <c r="E227" i="33"/>
  <c r="B228" i="33"/>
  <c r="F227" i="33"/>
  <c r="H227" i="33"/>
  <c r="D227" i="33"/>
  <c r="C227" i="28"/>
  <c r="G227" i="28"/>
  <c r="E227" i="28"/>
  <c r="B228" i="28"/>
  <c r="F227" i="28"/>
  <c r="D227" i="28"/>
  <c r="H227" i="28"/>
  <c r="C228" i="37"/>
  <c r="G228" i="37"/>
  <c r="E228" i="37"/>
  <c r="B229" i="37"/>
  <c r="D228" i="37"/>
  <c r="F228" i="37"/>
  <c r="H228" i="37"/>
  <c r="F228" i="25"/>
  <c r="D228" i="25"/>
  <c r="H228" i="25"/>
  <c r="C228" i="25"/>
  <c r="E228" i="25"/>
  <c r="G228" i="25"/>
  <c r="B229" i="25"/>
  <c r="E228" i="35"/>
  <c r="B229" i="35"/>
  <c r="C228" i="35"/>
  <c r="H228" i="35"/>
  <c r="F228" i="35"/>
  <c r="D228" i="35"/>
  <c r="G228" i="35"/>
  <c r="C229" i="25"/>
  <c r="G229" i="25"/>
  <c r="E229" i="25"/>
  <c r="B230" i="25"/>
  <c r="D229" i="25"/>
  <c r="F229" i="25"/>
  <c r="H229" i="25"/>
  <c r="D229" i="37"/>
  <c r="H229" i="37"/>
  <c r="F229" i="37"/>
  <c r="C229" i="37"/>
  <c r="E229" i="37"/>
  <c r="G229" i="37"/>
  <c r="B230" i="37"/>
  <c r="D228" i="33"/>
  <c r="H228" i="33"/>
  <c r="F228" i="33"/>
  <c r="C228" i="33"/>
  <c r="G228" i="33"/>
  <c r="B229" i="33"/>
  <c r="E228" i="33"/>
  <c r="D228" i="28"/>
  <c r="H228" i="28"/>
  <c r="F228" i="28"/>
  <c r="C228" i="28"/>
  <c r="G228" i="28"/>
  <c r="E228" i="28"/>
  <c r="B229" i="28"/>
  <c r="F229" i="35"/>
  <c r="G229" i="35"/>
  <c r="D229" i="35"/>
  <c r="B230" i="35"/>
  <c r="H229" i="35"/>
  <c r="C229" i="35"/>
  <c r="E229" i="35"/>
  <c r="D230" i="25"/>
  <c r="H230" i="25"/>
  <c r="F230" i="25"/>
  <c r="E230" i="25"/>
  <c r="G230" i="25"/>
  <c r="B231" i="25"/>
  <c r="C230" i="25"/>
  <c r="C230" i="35"/>
  <c r="G230" i="35"/>
  <c r="E230" i="35"/>
  <c r="H230" i="35"/>
  <c r="F230" i="35"/>
  <c r="D230" i="35"/>
  <c r="B231" i="35"/>
  <c r="E229" i="33"/>
  <c r="B230" i="33"/>
  <c r="C229" i="33"/>
  <c r="G229" i="33"/>
  <c r="D229" i="33"/>
  <c r="H229" i="33"/>
  <c r="F229" i="33"/>
  <c r="E230" i="37"/>
  <c r="B231" i="37"/>
  <c r="C230" i="37"/>
  <c r="G230" i="37"/>
  <c r="D230" i="37"/>
  <c r="F230" i="37"/>
  <c r="H230" i="37"/>
  <c r="E229" i="28"/>
  <c r="B230" i="28"/>
  <c r="C229" i="28"/>
  <c r="G229" i="28"/>
  <c r="D229" i="28"/>
  <c r="H229" i="28"/>
  <c r="F229" i="28"/>
  <c r="F230" i="28"/>
  <c r="D230" i="28"/>
  <c r="H230" i="28"/>
  <c r="E230" i="28"/>
  <c r="B231" i="28"/>
  <c r="C230" i="28"/>
  <c r="G230" i="28"/>
  <c r="F230" i="33"/>
  <c r="D230" i="33"/>
  <c r="H230" i="33"/>
  <c r="E230" i="33"/>
  <c r="B231" i="33"/>
  <c r="C230" i="33"/>
  <c r="G230" i="33"/>
  <c r="E231" i="25"/>
  <c r="B232" i="25"/>
  <c r="C231" i="25"/>
  <c r="G231" i="25"/>
  <c r="F231" i="25"/>
  <c r="H231" i="25"/>
  <c r="D231" i="25"/>
  <c r="F231" i="37"/>
  <c r="D231" i="37"/>
  <c r="H231" i="37"/>
  <c r="E231" i="37"/>
  <c r="G231" i="37"/>
  <c r="B232" i="37"/>
  <c r="C231" i="37"/>
  <c r="D231" i="35"/>
  <c r="H231" i="35"/>
  <c r="C231" i="35"/>
  <c r="B232" i="35"/>
  <c r="F231" i="35"/>
  <c r="E231" i="35"/>
  <c r="G231" i="35"/>
  <c r="E232" i="35"/>
  <c r="B233" i="35"/>
  <c r="G232" i="35"/>
  <c r="D232" i="35"/>
  <c r="H232" i="35"/>
  <c r="C232" i="35"/>
  <c r="F232" i="35"/>
  <c r="F232" i="25"/>
  <c r="D232" i="25"/>
  <c r="H232" i="25"/>
  <c r="G232" i="25"/>
  <c r="B233" i="25"/>
  <c r="C232" i="25"/>
  <c r="E232" i="25"/>
  <c r="C231" i="33"/>
  <c r="G231" i="33"/>
  <c r="E231" i="33"/>
  <c r="B232" i="33"/>
  <c r="F231" i="33"/>
  <c r="D231" i="33"/>
  <c r="H231" i="33"/>
  <c r="C232" i="37"/>
  <c r="G232" i="37"/>
  <c r="E232" i="37"/>
  <c r="B233" i="37"/>
  <c r="F232" i="37"/>
  <c r="H232" i="37"/>
  <c r="D232" i="37"/>
  <c r="C231" i="28"/>
  <c r="G231" i="28"/>
  <c r="E231" i="28"/>
  <c r="B232" i="28"/>
  <c r="F231" i="28"/>
  <c r="H231" i="28"/>
  <c r="D231" i="28"/>
  <c r="D233" i="37"/>
  <c r="H233" i="37"/>
  <c r="F233" i="37"/>
  <c r="G233" i="37"/>
  <c r="B234" i="37"/>
  <c r="C233" i="37"/>
  <c r="E233" i="37"/>
  <c r="E233" i="35"/>
  <c r="B234" i="35"/>
  <c r="C233" i="35"/>
  <c r="G233" i="35"/>
  <c r="F233" i="35"/>
  <c r="D233" i="35"/>
  <c r="H233" i="35"/>
  <c r="D232" i="33"/>
  <c r="H232" i="33"/>
  <c r="F232" i="33"/>
  <c r="G232" i="33"/>
  <c r="C232" i="33"/>
  <c r="E232" i="33"/>
  <c r="B233" i="33"/>
  <c r="C233" i="25"/>
  <c r="G233" i="25"/>
  <c r="E233" i="25"/>
  <c r="B234" i="25"/>
  <c r="H233" i="25"/>
  <c r="D233" i="25"/>
  <c r="F233" i="25"/>
  <c r="D232" i="28"/>
  <c r="H232" i="28"/>
  <c r="F232" i="28"/>
  <c r="G232" i="28"/>
  <c r="C232" i="28"/>
  <c r="E232" i="28"/>
  <c r="B233" i="28"/>
  <c r="E233" i="28"/>
  <c r="B234" i="28"/>
  <c r="C233" i="28"/>
  <c r="G233" i="28"/>
  <c r="H233" i="28"/>
  <c r="D233" i="28"/>
  <c r="F233" i="28"/>
  <c r="D234" i="25"/>
  <c r="H234" i="25"/>
  <c r="F234" i="25"/>
  <c r="B235" i="25"/>
  <c r="C234" i="25"/>
  <c r="E234" i="25"/>
  <c r="G234" i="25"/>
  <c r="E233" i="33"/>
  <c r="B234" i="33"/>
  <c r="C233" i="33"/>
  <c r="G233" i="33"/>
  <c r="H233" i="33"/>
  <c r="D233" i="33"/>
  <c r="F233" i="33"/>
  <c r="F234" i="35"/>
  <c r="D234" i="35"/>
  <c r="H234" i="35"/>
  <c r="C234" i="35"/>
  <c r="G234" i="35"/>
  <c r="E234" i="35"/>
  <c r="B235" i="35"/>
  <c r="E234" i="37"/>
  <c r="B235" i="37"/>
  <c r="C234" i="37"/>
  <c r="G234" i="37"/>
  <c r="H234" i="37"/>
  <c r="D234" i="37"/>
  <c r="F234" i="37"/>
  <c r="E235" i="25"/>
  <c r="B236" i="25"/>
  <c r="C235" i="25"/>
  <c r="G235" i="25"/>
  <c r="D235" i="25"/>
  <c r="F235" i="25"/>
  <c r="H235" i="25"/>
  <c r="F235" i="37"/>
  <c r="D235" i="37"/>
  <c r="H235" i="37"/>
  <c r="B236" i="37"/>
  <c r="C235" i="37"/>
  <c r="E235" i="37"/>
  <c r="G235" i="37"/>
  <c r="F234" i="28"/>
  <c r="D234" i="28"/>
  <c r="H234" i="28"/>
  <c r="B235" i="28"/>
  <c r="E234" i="28"/>
  <c r="C234" i="28"/>
  <c r="G234" i="28"/>
  <c r="C235" i="35"/>
  <c r="G235" i="35"/>
  <c r="E235" i="35"/>
  <c r="B236" i="35"/>
  <c r="D235" i="35"/>
  <c r="H235" i="35"/>
  <c r="F235" i="35"/>
  <c r="F234" i="33"/>
  <c r="D234" i="33"/>
  <c r="H234" i="33"/>
  <c r="B235" i="33"/>
  <c r="E234" i="33"/>
  <c r="G234" i="33"/>
  <c r="C234" i="33"/>
  <c r="C235" i="33"/>
  <c r="G235" i="33"/>
  <c r="E235" i="33"/>
  <c r="B236" i="33"/>
  <c r="F235" i="33"/>
  <c r="H235" i="33"/>
  <c r="D235" i="33"/>
  <c r="F236" i="25"/>
  <c r="D236" i="25"/>
  <c r="H236" i="25"/>
  <c r="C236" i="25"/>
  <c r="E236" i="25"/>
  <c r="G236" i="25"/>
  <c r="B237" i="25"/>
  <c r="C235" i="28"/>
  <c r="G235" i="28"/>
  <c r="E235" i="28"/>
  <c r="B236" i="28"/>
  <c r="F235" i="28"/>
  <c r="D235" i="28"/>
  <c r="H235" i="28"/>
  <c r="C236" i="37"/>
  <c r="G236" i="37"/>
  <c r="E236" i="37"/>
  <c r="B237" i="37"/>
  <c r="D236" i="37"/>
  <c r="F236" i="37"/>
  <c r="H236" i="37"/>
  <c r="D236" i="35"/>
  <c r="H236" i="35"/>
  <c r="F236" i="35"/>
  <c r="E236" i="35"/>
  <c r="B237" i="35"/>
  <c r="G236" i="35"/>
  <c r="C236" i="35"/>
  <c r="D236" i="28"/>
  <c r="H236" i="28"/>
  <c r="F236" i="28"/>
  <c r="C236" i="28"/>
  <c r="G236" i="28"/>
  <c r="E236" i="28"/>
  <c r="B237" i="28"/>
  <c r="D237" i="37"/>
  <c r="H237" i="37"/>
  <c r="F237" i="37"/>
  <c r="C237" i="37"/>
  <c r="E237" i="37"/>
  <c r="G237" i="37"/>
  <c r="B238" i="37"/>
  <c r="C237" i="25"/>
  <c r="G237" i="25"/>
  <c r="E237" i="25"/>
  <c r="B238" i="25"/>
  <c r="D237" i="25"/>
  <c r="F237" i="25"/>
  <c r="H237" i="25"/>
  <c r="D236" i="33"/>
  <c r="H236" i="33"/>
  <c r="F236" i="33"/>
  <c r="C236" i="33"/>
  <c r="G236" i="33"/>
  <c r="B237" i="33"/>
  <c r="E236" i="33"/>
  <c r="E237" i="35"/>
  <c r="B238" i="35"/>
  <c r="C237" i="35"/>
  <c r="G237" i="35"/>
  <c r="F237" i="35"/>
  <c r="D237" i="35"/>
  <c r="H237" i="35"/>
  <c r="E238" i="37"/>
  <c r="B239" i="37"/>
  <c r="C238" i="37"/>
  <c r="G238" i="37"/>
  <c r="D238" i="37"/>
  <c r="F238" i="37"/>
  <c r="H238" i="37"/>
  <c r="E237" i="28"/>
  <c r="B238" i="28"/>
  <c r="C237" i="28"/>
  <c r="G237" i="28"/>
  <c r="D237" i="28"/>
  <c r="H237" i="28"/>
  <c r="F237" i="28"/>
  <c r="F238" i="35"/>
  <c r="D238" i="35"/>
  <c r="H238" i="35"/>
  <c r="G238" i="35"/>
  <c r="C238" i="35"/>
  <c r="B239" i="35"/>
  <c r="E238" i="35"/>
  <c r="E237" i="33"/>
  <c r="B238" i="33"/>
  <c r="C237" i="33"/>
  <c r="G237" i="33"/>
  <c r="D237" i="33"/>
  <c r="H237" i="33"/>
  <c r="F237" i="33"/>
  <c r="D238" i="25"/>
  <c r="H238" i="25"/>
  <c r="F238" i="25"/>
  <c r="E238" i="25"/>
  <c r="G238" i="25"/>
  <c r="B239" i="25"/>
  <c r="C238" i="25"/>
  <c r="E239" i="25"/>
  <c r="B240" i="25"/>
  <c r="C239" i="25"/>
  <c r="G239" i="25"/>
  <c r="F239" i="25"/>
  <c r="H239" i="25"/>
  <c r="D239" i="25"/>
  <c r="F238" i="28"/>
  <c r="D238" i="28"/>
  <c r="H238" i="28"/>
  <c r="E238" i="28"/>
  <c r="B239" i="28"/>
  <c r="G238" i="28"/>
  <c r="C238" i="28"/>
  <c r="F238" i="33"/>
  <c r="D238" i="33"/>
  <c r="H238" i="33"/>
  <c r="E238" i="33"/>
  <c r="B239" i="33"/>
  <c r="C238" i="33"/>
  <c r="G238" i="33"/>
  <c r="F239" i="37"/>
  <c r="D239" i="37"/>
  <c r="H239" i="37"/>
  <c r="E239" i="37"/>
  <c r="G239" i="37"/>
  <c r="B240" i="37"/>
  <c r="C239" i="37"/>
  <c r="C239" i="35"/>
  <c r="G239" i="35"/>
  <c r="E239" i="35"/>
  <c r="B240" i="35"/>
  <c r="H239" i="35"/>
  <c r="D239" i="35"/>
  <c r="F239" i="35"/>
  <c r="F240" i="25"/>
  <c r="D240" i="25"/>
  <c r="H240" i="25"/>
  <c r="G240" i="25"/>
  <c r="B241" i="25"/>
  <c r="C240" i="25"/>
  <c r="E240" i="25"/>
  <c r="D240" i="35"/>
  <c r="H240" i="35"/>
  <c r="F240" i="35"/>
  <c r="B241" i="35"/>
  <c r="E240" i="35"/>
  <c r="C240" i="35"/>
  <c r="G240" i="35"/>
  <c r="C239" i="28"/>
  <c r="G239" i="28"/>
  <c r="E239" i="28"/>
  <c r="B240" i="28"/>
  <c r="F239" i="28"/>
  <c r="D239" i="28"/>
  <c r="H239" i="28"/>
  <c r="C240" i="37"/>
  <c r="G240" i="37"/>
  <c r="E240" i="37"/>
  <c r="B241" i="37"/>
  <c r="F240" i="37"/>
  <c r="H240" i="37"/>
  <c r="D240" i="37"/>
  <c r="C239" i="33"/>
  <c r="G239" i="33"/>
  <c r="E239" i="33"/>
  <c r="B240" i="33"/>
  <c r="F239" i="33"/>
  <c r="D239" i="33"/>
  <c r="H239" i="33"/>
  <c r="D241" i="37"/>
  <c r="H241" i="37"/>
  <c r="F241" i="37"/>
  <c r="G241" i="37"/>
  <c r="B242" i="37"/>
  <c r="C241" i="37"/>
  <c r="E241" i="37"/>
  <c r="E241" i="35"/>
  <c r="B242" i="35"/>
  <c r="C241" i="35"/>
  <c r="G241" i="35"/>
  <c r="F241" i="35"/>
  <c r="D241" i="35"/>
  <c r="H241" i="35"/>
  <c r="D240" i="33"/>
  <c r="H240" i="33"/>
  <c r="F240" i="33"/>
  <c r="G240" i="33"/>
  <c r="C240" i="33"/>
  <c r="E240" i="33"/>
  <c r="B241" i="33"/>
  <c r="D240" i="28"/>
  <c r="H240" i="28"/>
  <c r="F240" i="28"/>
  <c r="G240" i="28"/>
  <c r="C240" i="28"/>
  <c r="B241" i="28"/>
  <c r="E240" i="28"/>
  <c r="C241" i="25"/>
  <c r="G241" i="25"/>
  <c r="E241" i="25"/>
  <c r="B242" i="25"/>
  <c r="H241" i="25"/>
  <c r="D241" i="25"/>
  <c r="F241" i="25"/>
  <c r="E241" i="28"/>
  <c r="B242" i="28"/>
  <c r="C241" i="28"/>
  <c r="G241" i="28"/>
  <c r="H241" i="28"/>
  <c r="D241" i="28"/>
  <c r="F241" i="28"/>
  <c r="E241" i="33"/>
  <c r="B242" i="33"/>
  <c r="C241" i="33"/>
  <c r="G241" i="33"/>
  <c r="H241" i="33"/>
  <c r="D241" i="33"/>
  <c r="F241" i="33"/>
  <c r="D242" i="25"/>
  <c r="H242" i="25"/>
  <c r="F242" i="25"/>
  <c r="B243" i="25"/>
  <c r="C242" i="25"/>
  <c r="E242" i="25"/>
  <c r="G242" i="25"/>
  <c r="F242" i="35"/>
  <c r="D242" i="35"/>
  <c r="H242" i="35"/>
  <c r="C242" i="35"/>
  <c r="G242" i="35"/>
  <c r="E242" i="35"/>
  <c r="B243" i="35"/>
  <c r="E242" i="37"/>
  <c r="B243" i="37"/>
  <c r="C242" i="37"/>
  <c r="G242" i="37"/>
  <c r="H242" i="37"/>
  <c r="D242" i="37"/>
  <c r="F242" i="37"/>
  <c r="F243" i="37"/>
  <c r="D243" i="37"/>
  <c r="H243" i="37"/>
  <c r="B244" i="37"/>
  <c r="C243" i="37"/>
  <c r="E243" i="37"/>
  <c r="G243" i="37"/>
  <c r="C243" i="35"/>
  <c r="G243" i="35"/>
  <c r="E243" i="35"/>
  <c r="B244" i="35"/>
  <c r="D243" i="35"/>
  <c r="H243" i="35"/>
  <c r="F243" i="35"/>
  <c r="E243" i="25"/>
  <c r="B244" i="25"/>
  <c r="C243" i="25"/>
  <c r="G243" i="25"/>
  <c r="D243" i="25"/>
  <c r="F243" i="25"/>
  <c r="H243" i="25"/>
  <c r="F242" i="28"/>
  <c r="D242" i="28"/>
  <c r="H242" i="28"/>
  <c r="B243" i="28"/>
  <c r="E242" i="28"/>
  <c r="C242" i="28"/>
  <c r="G242" i="28"/>
  <c r="F242" i="33"/>
  <c r="D242" i="33"/>
  <c r="H242" i="33"/>
  <c r="B243" i="33"/>
  <c r="E242" i="33"/>
  <c r="G242" i="33"/>
  <c r="C242" i="33"/>
  <c r="F244" i="25"/>
  <c r="D244" i="25"/>
  <c r="H244" i="25"/>
  <c r="C244" i="25"/>
  <c r="E244" i="25"/>
  <c r="G244" i="25"/>
  <c r="B245" i="25"/>
  <c r="C244" i="37"/>
  <c r="G244" i="37"/>
  <c r="E244" i="37"/>
  <c r="B245" i="37"/>
  <c r="D244" i="37"/>
  <c r="F244" i="37"/>
  <c r="H244" i="37"/>
  <c r="C243" i="28"/>
  <c r="G243" i="28"/>
  <c r="E243" i="28"/>
  <c r="B244" i="28"/>
  <c r="F243" i="28"/>
  <c r="D243" i="28"/>
  <c r="H243" i="28"/>
  <c r="D244" i="35"/>
  <c r="H244" i="35"/>
  <c r="F244" i="35"/>
  <c r="E244" i="35"/>
  <c r="B245" i="35"/>
  <c r="C244" i="35"/>
  <c r="G244" i="35"/>
  <c r="C243" i="33"/>
  <c r="G243" i="33"/>
  <c r="E243" i="33"/>
  <c r="B244" i="33"/>
  <c r="F243" i="33"/>
  <c r="H243" i="33"/>
  <c r="D243" i="33"/>
  <c r="D244" i="33"/>
  <c r="H244" i="33"/>
  <c r="F244" i="33"/>
  <c r="C244" i="33"/>
  <c r="G244" i="33"/>
  <c r="B245" i="33"/>
  <c r="E244" i="33"/>
  <c r="E245" i="35"/>
  <c r="B246" i="35"/>
  <c r="C245" i="35"/>
  <c r="G245" i="35"/>
  <c r="F245" i="35"/>
  <c r="H245" i="35"/>
  <c r="D245" i="35"/>
  <c r="C245" i="25"/>
  <c r="G245" i="25"/>
  <c r="E245" i="25"/>
  <c r="B246" i="25"/>
  <c r="D245" i="25"/>
  <c r="F245" i="25"/>
  <c r="H245" i="25"/>
  <c r="D244" i="28"/>
  <c r="H244" i="28"/>
  <c r="F244" i="28"/>
  <c r="C244" i="28"/>
  <c r="G244" i="28"/>
  <c r="E244" i="28"/>
  <c r="B245" i="28"/>
  <c r="D245" i="37"/>
  <c r="H245" i="37"/>
  <c r="F245" i="37"/>
  <c r="C245" i="37"/>
  <c r="E245" i="37"/>
  <c r="G245" i="37"/>
  <c r="B246" i="37"/>
  <c r="E246" i="37"/>
  <c r="B247" i="37"/>
  <c r="C246" i="37"/>
  <c r="G246" i="37"/>
  <c r="D246" i="37"/>
  <c r="F246" i="37"/>
  <c r="H246" i="37"/>
  <c r="E245" i="28"/>
  <c r="B246" i="28"/>
  <c r="C245" i="28"/>
  <c r="G245" i="28"/>
  <c r="D245" i="28"/>
  <c r="H245" i="28"/>
  <c r="F245" i="28"/>
  <c r="D246" i="25"/>
  <c r="H246" i="25"/>
  <c r="F246" i="25"/>
  <c r="E246" i="25"/>
  <c r="G246" i="25"/>
  <c r="B247" i="25"/>
  <c r="C246" i="25"/>
  <c r="E245" i="33"/>
  <c r="B246" i="33"/>
  <c r="C245" i="33"/>
  <c r="G245" i="33"/>
  <c r="D245" i="33"/>
  <c r="H245" i="33"/>
  <c r="F245" i="33"/>
  <c r="F246" i="35"/>
  <c r="D246" i="35"/>
  <c r="H246" i="35"/>
  <c r="G246" i="35"/>
  <c r="C246" i="35"/>
  <c r="E246" i="35"/>
  <c r="B247" i="35"/>
  <c r="E247" i="25"/>
  <c r="B248" i="25"/>
  <c r="C247" i="25"/>
  <c r="G247" i="25"/>
  <c r="F247" i="25"/>
  <c r="H247" i="25"/>
  <c r="D247" i="25"/>
  <c r="F247" i="37"/>
  <c r="D247" i="37"/>
  <c r="H247" i="37"/>
  <c r="E247" i="37"/>
  <c r="G247" i="37"/>
  <c r="B248" i="37"/>
  <c r="C247" i="37"/>
  <c r="C247" i="35"/>
  <c r="G247" i="35"/>
  <c r="E247" i="35"/>
  <c r="B248" i="35"/>
  <c r="H247" i="35"/>
  <c r="D247" i="35"/>
  <c r="F247" i="35"/>
  <c r="F246" i="33"/>
  <c r="D246" i="33"/>
  <c r="H246" i="33"/>
  <c r="E246" i="33"/>
  <c r="B247" i="33"/>
  <c r="C246" i="33"/>
  <c r="G246" i="33"/>
  <c r="F246" i="28"/>
  <c r="D246" i="28"/>
  <c r="H246" i="28"/>
  <c r="E246" i="28"/>
  <c r="B247" i="28"/>
  <c r="C246" i="28"/>
  <c r="G246" i="28"/>
  <c r="C247" i="28"/>
  <c r="G247" i="28"/>
  <c r="E247" i="28"/>
  <c r="B248" i="28"/>
  <c r="F247" i="28"/>
  <c r="H247" i="28"/>
  <c r="D247" i="28"/>
  <c r="F248" i="25"/>
  <c r="D248" i="25"/>
  <c r="H248" i="25"/>
  <c r="G248" i="25"/>
  <c r="B249" i="25"/>
  <c r="C248" i="25"/>
  <c r="E248" i="25"/>
  <c r="C248" i="37"/>
  <c r="G248" i="37"/>
  <c r="E248" i="37"/>
  <c r="B249" i="37"/>
  <c r="F248" i="37"/>
  <c r="H248" i="37"/>
  <c r="D248" i="37"/>
  <c r="C247" i="33"/>
  <c r="G247" i="33"/>
  <c r="E247" i="33"/>
  <c r="B248" i="33"/>
  <c r="F247" i="33"/>
  <c r="D247" i="33"/>
  <c r="H247" i="33"/>
  <c r="D248" i="35"/>
  <c r="H248" i="35"/>
  <c r="F248" i="35"/>
  <c r="B249" i="35"/>
  <c r="E248" i="35"/>
  <c r="C248" i="35"/>
  <c r="G248" i="35"/>
  <c r="D248" i="28"/>
  <c r="H248" i="28"/>
  <c r="F248" i="28"/>
  <c r="G248" i="28"/>
  <c r="C248" i="28"/>
  <c r="E248" i="28"/>
  <c r="B249" i="28"/>
  <c r="D248" i="33"/>
  <c r="H248" i="33"/>
  <c r="F248" i="33"/>
  <c r="G248" i="33"/>
  <c r="C248" i="33"/>
  <c r="E248" i="33"/>
  <c r="B249" i="33"/>
  <c r="C249" i="25"/>
  <c r="G249" i="25"/>
  <c r="E249" i="25"/>
  <c r="B250" i="25"/>
  <c r="H249" i="25"/>
  <c r="D249" i="25"/>
  <c r="F249" i="25"/>
  <c r="E249" i="35"/>
  <c r="B250" i="35"/>
  <c r="C249" i="35"/>
  <c r="G249" i="35"/>
  <c r="F249" i="35"/>
  <c r="D249" i="35"/>
  <c r="H249" i="35"/>
  <c r="D249" i="37"/>
  <c r="H249" i="37"/>
  <c r="F249" i="37"/>
  <c r="G249" i="37"/>
  <c r="B250" i="37"/>
  <c r="C249" i="37"/>
  <c r="E249" i="37"/>
  <c r="D250" i="25"/>
  <c r="H250" i="25"/>
  <c r="F250" i="25"/>
  <c r="B251" i="25"/>
  <c r="C250" i="25"/>
  <c r="E250" i="25"/>
  <c r="G250" i="25"/>
  <c r="E249" i="28"/>
  <c r="B250" i="28"/>
  <c r="C249" i="28"/>
  <c r="G249" i="28"/>
  <c r="H249" i="28"/>
  <c r="D249" i="28"/>
  <c r="F249" i="28"/>
  <c r="F250" i="35"/>
  <c r="D250" i="35"/>
  <c r="H250" i="35"/>
  <c r="C250" i="35"/>
  <c r="G250" i="35"/>
  <c r="E250" i="35"/>
  <c r="B251" i="35"/>
  <c r="E249" i="33"/>
  <c r="B250" i="33"/>
  <c r="C249" i="33"/>
  <c r="G249" i="33"/>
  <c r="H249" i="33"/>
  <c r="D249" i="33"/>
  <c r="F249" i="33"/>
  <c r="E250" i="37"/>
  <c r="B251" i="37"/>
  <c r="C250" i="37"/>
  <c r="G250" i="37"/>
  <c r="H250" i="37"/>
  <c r="D250" i="37"/>
  <c r="F250" i="37"/>
  <c r="F251" i="37"/>
  <c r="D251" i="37"/>
  <c r="H251" i="37"/>
  <c r="B252" i="37"/>
  <c r="C251" i="37"/>
  <c r="E251" i="37"/>
  <c r="G251" i="37"/>
  <c r="E251" i="25"/>
  <c r="B252" i="25"/>
  <c r="C251" i="25"/>
  <c r="G251" i="25"/>
  <c r="D251" i="25"/>
  <c r="F251" i="25"/>
  <c r="H251" i="25"/>
  <c r="F250" i="33"/>
  <c r="D250" i="33"/>
  <c r="H250" i="33"/>
  <c r="B251" i="33"/>
  <c r="E250" i="33"/>
  <c r="G250" i="33"/>
  <c r="C250" i="33"/>
  <c r="F250" i="28"/>
  <c r="D250" i="28"/>
  <c r="H250" i="28"/>
  <c r="B251" i="28"/>
  <c r="E250" i="28"/>
  <c r="C250" i="28"/>
  <c r="G250" i="28"/>
  <c r="C251" i="35"/>
  <c r="G251" i="35"/>
  <c r="E251" i="35"/>
  <c r="B252" i="35"/>
  <c r="D251" i="35"/>
  <c r="H251" i="35"/>
  <c r="F251" i="35"/>
  <c r="C252" i="37"/>
  <c r="G252" i="37"/>
  <c r="E252" i="37"/>
  <c r="B253" i="37"/>
  <c r="D252" i="37"/>
  <c r="F252" i="37"/>
  <c r="H252" i="37"/>
  <c r="D252" i="35"/>
  <c r="H252" i="35"/>
  <c r="F252" i="35"/>
  <c r="E252" i="35"/>
  <c r="B253" i="35"/>
  <c r="G252" i="35"/>
  <c r="C252" i="35"/>
  <c r="C251" i="33"/>
  <c r="G251" i="33"/>
  <c r="E251" i="33"/>
  <c r="B252" i="33"/>
  <c r="F251" i="33"/>
  <c r="H251" i="33"/>
  <c r="D251" i="33"/>
  <c r="C251" i="28"/>
  <c r="G251" i="28"/>
  <c r="E251" i="28"/>
  <c r="B252" i="28"/>
  <c r="F251" i="28"/>
  <c r="D251" i="28"/>
  <c r="H251" i="28"/>
  <c r="F252" i="25"/>
  <c r="D252" i="25"/>
  <c r="H252" i="25"/>
  <c r="C252" i="25"/>
  <c r="E252" i="25"/>
  <c r="G252" i="25"/>
  <c r="B253" i="25"/>
  <c r="D252" i="33"/>
  <c r="H252" i="33"/>
  <c r="F252" i="33"/>
  <c r="C252" i="33"/>
  <c r="G252" i="33"/>
  <c r="B253" i="33"/>
  <c r="E252" i="33"/>
  <c r="E253" i="35"/>
  <c r="B254" i="35"/>
  <c r="C253" i="35"/>
  <c r="G253" i="35"/>
  <c r="F253" i="35"/>
  <c r="D253" i="35"/>
  <c r="H253" i="35"/>
  <c r="C253" i="25"/>
  <c r="G253" i="25"/>
  <c r="E253" i="25"/>
  <c r="B254" i="25"/>
  <c r="D253" i="25"/>
  <c r="F253" i="25"/>
  <c r="H253" i="25"/>
  <c r="D252" i="28"/>
  <c r="H252" i="28"/>
  <c r="F252" i="28"/>
  <c r="C252" i="28"/>
  <c r="G252" i="28"/>
  <c r="E252" i="28"/>
  <c r="B253" i="28"/>
  <c r="D253" i="37"/>
  <c r="H253" i="37"/>
  <c r="F253" i="37"/>
  <c r="C253" i="37"/>
  <c r="E253" i="37"/>
  <c r="G253" i="37"/>
  <c r="B254" i="37"/>
  <c r="D254" i="25"/>
  <c r="H254" i="25"/>
  <c r="F254" i="25"/>
  <c r="E254" i="25"/>
  <c r="G254" i="25"/>
  <c r="B255" i="25"/>
  <c r="C254" i="25"/>
  <c r="E253" i="33"/>
  <c r="B254" i="33"/>
  <c r="C253" i="33"/>
  <c r="G253" i="33"/>
  <c r="D253" i="33"/>
  <c r="H253" i="33"/>
  <c r="F253" i="33"/>
  <c r="E254" i="37"/>
  <c r="B255" i="37"/>
  <c r="C254" i="37"/>
  <c r="G254" i="37"/>
  <c r="D254" i="37"/>
  <c r="F254" i="37"/>
  <c r="H254" i="37"/>
  <c r="F254" i="35"/>
  <c r="D254" i="35"/>
  <c r="H254" i="35"/>
  <c r="G254" i="35"/>
  <c r="C254" i="35"/>
  <c r="B255" i="35"/>
  <c r="E254" i="35"/>
  <c r="E253" i="28"/>
  <c r="B254" i="28"/>
  <c r="C253" i="28"/>
  <c r="G253" i="28"/>
  <c r="D253" i="28"/>
  <c r="H253" i="28"/>
  <c r="F253" i="28"/>
  <c r="F254" i="28"/>
  <c r="D254" i="28"/>
  <c r="H254" i="28"/>
  <c r="E254" i="28"/>
  <c r="B255" i="28"/>
  <c r="G254" i="28"/>
  <c r="C254" i="28"/>
  <c r="F254" i="33"/>
  <c r="D254" i="33"/>
  <c r="H254" i="33"/>
  <c r="E254" i="33"/>
  <c r="B255" i="33"/>
  <c r="C254" i="33"/>
  <c r="G254" i="33"/>
  <c r="F255" i="37"/>
  <c r="D255" i="37"/>
  <c r="H255" i="37"/>
  <c r="E255" i="37"/>
  <c r="G255" i="37"/>
  <c r="B256" i="37"/>
  <c r="C255" i="37"/>
  <c r="E255" i="25"/>
  <c r="B256" i="25"/>
  <c r="C255" i="25"/>
  <c r="G255" i="25"/>
  <c r="F255" i="25"/>
  <c r="H255" i="25"/>
  <c r="D255" i="25"/>
  <c r="C255" i="35"/>
  <c r="G255" i="35"/>
  <c r="E255" i="35"/>
  <c r="B256" i="35"/>
  <c r="H255" i="35"/>
  <c r="D255" i="35"/>
  <c r="F255" i="35"/>
  <c r="F256" i="25"/>
  <c r="D256" i="25"/>
  <c r="H256" i="25"/>
  <c r="G256" i="25"/>
  <c r="B257" i="25"/>
  <c r="C256" i="25"/>
  <c r="E256" i="25"/>
  <c r="C256" i="37"/>
  <c r="G256" i="37"/>
  <c r="E256" i="37"/>
  <c r="B257" i="37"/>
  <c r="F256" i="37"/>
  <c r="H256" i="37"/>
  <c r="D256" i="37"/>
  <c r="C255" i="33"/>
  <c r="G255" i="33"/>
  <c r="E255" i="33"/>
  <c r="B256" i="33"/>
  <c r="F255" i="33"/>
  <c r="D255" i="33"/>
  <c r="H255" i="33"/>
  <c r="D256" i="35"/>
  <c r="H256" i="35"/>
  <c r="F256" i="35"/>
  <c r="B257" i="35"/>
  <c r="E256" i="35"/>
  <c r="C256" i="35"/>
  <c r="G256" i="35"/>
  <c r="C255" i="28"/>
  <c r="G255" i="28"/>
  <c r="E255" i="28"/>
  <c r="B256" i="28"/>
  <c r="F255" i="28"/>
  <c r="D255" i="28"/>
  <c r="H255" i="28"/>
  <c r="E257" i="35"/>
  <c r="B258" i="35"/>
  <c r="C257" i="35"/>
  <c r="G257" i="35"/>
  <c r="F257" i="35"/>
  <c r="D257" i="35"/>
  <c r="H257" i="35"/>
  <c r="D257" i="37"/>
  <c r="H257" i="37"/>
  <c r="F257" i="37"/>
  <c r="G257" i="37"/>
  <c r="B258" i="37"/>
  <c r="C257" i="37"/>
  <c r="E257" i="37"/>
  <c r="C257" i="25"/>
  <c r="G257" i="25"/>
  <c r="E257" i="25"/>
  <c r="B258" i="25"/>
  <c r="H257" i="25"/>
  <c r="D257" i="25"/>
  <c r="F257" i="25"/>
  <c r="D256" i="28"/>
  <c r="H256" i="28"/>
  <c r="F256" i="28"/>
  <c r="G256" i="28"/>
  <c r="C256" i="28"/>
  <c r="B257" i="28"/>
  <c r="E256" i="28"/>
  <c r="D256" i="33"/>
  <c r="H256" i="33"/>
  <c r="F256" i="33"/>
  <c r="G256" i="33"/>
  <c r="C256" i="33"/>
  <c r="E256" i="33"/>
  <c r="B257" i="33"/>
  <c r="D258" i="25"/>
  <c r="H258" i="25"/>
  <c r="F258" i="25"/>
  <c r="B259" i="25"/>
  <c r="C258" i="25"/>
  <c r="E258" i="25"/>
  <c r="G258" i="25"/>
  <c r="E258" i="37"/>
  <c r="B259" i="37"/>
  <c r="C258" i="37"/>
  <c r="G258" i="37"/>
  <c r="H258" i="37"/>
  <c r="D258" i="37"/>
  <c r="F258" i="37"/>
  <c r="F258" i="35"/>
  <c r="D258" i="35"/>
  <c r="H258" i="35"/>
  <c r="C258" i="35"/>
  <c r="G258" i="35"/>
  <c r="E258" i="35"/>
  <c r="B259" i="35"/>
  <c r="E257" i="33"/>
  <c r="B258" i="33"/>
  <c r="C257" i="33"/>
  <c r="G257" i="33"/>
  <c r="H257" i="33"/>
  <c r="D257" i="33"/>
  <c r="F257" i="33"/>
  <c r="E257" i="28"/>
  <c r="B258" i="28"/>
  <c r="C257" i="28"/>
  <c r="G257" i="28"/>
  <c r="H257" i="28"/>
  <c r="D257" i="28"/>
  <c r="F257" i="28"/>
  <c r="F258" i="28"/>
  <c r="D258" i="28"/>
  <c r="H258" i="28"/>
  <c r="B259" i="28"/>
  <c r="E258" i="28"/>
  <c r="C258" i="28"/>
  <c r="G258" i="28"/>
  <c r="F258" i="33"/>
  <c r="D258" i="33"/>
  <c r="H258" i="33"/>
  <c r="B259" i="33"/>
  <c r="E258" i="33"/>
  <c r="G258" i="33"/>
  <c r="C258" i="33"/>
  <c r="E259" i="25"/>
  <c r="B260" i="25"/>
  <c r="C259" i="25"/>
  <c r="G259" i="25"/>
  <c r="D259" i="25"/>
  <c r="F259" i="25"/>
  <c r="H259" i="25"/>
  <c r="C259" i="35"/>
  <c r="G259" i="35"/>
  <c r="E259" i="35"/>
  <c r="B260" i="35"/>
  <c r="D259" i="35"/>
  <c r="H259" i="35"/>
  <c r="F259" i="35"/>
  <c r="F259" i="37"/>
  <c r="D259" i="37"/>
  <c r="H259" i="37"/>
  <c r="B260" i="37"/>
  <c r="C259" i="37"/>
  <c r="E259" i="37"/>
  <c r="G259" i="37"/>
  <c r="D260" i="35"/>
  <c r="H260" i="35"/>
  <c r="F260" i="35"/>
  <c r="E260" i="35"/>
  <c r="B261" i="35"/>
  <c r="C260" i="35"/>
  <c r="G260" i="35"/>
  <c r="C259" i="28"/>
  <c r="G259" i="28"/>
  <c r="E259" i="28"/>
  <c r="B260" i="28"/>
  <c r="F259" i="28"/>
  <c r="D259" i="28"/>
  <c r="H259" i="28"/>
  <c r="C260" i="37"/>
  <c r="G260" i="37"/>
  <c r="E260" i="37"/>
  <c r="B261" i="37"/>
  <c r="D260" i="37"/>
  <c r="F260" i="37"/>
  <c r="H260" i="37"/>
  <c r="C259" i="33"/>
  <c r="G259" i="33"/>
  <c r="E259" i="33"/>
  <c r="B260" i="33"/>
  <c r="F259" i="33"/>
  <c r="H259" i="33"/>
  <c r="D259" i="33"/>
  <c r="F260" i="25"/>
  <c r="D260" i="25"/>
  <c r="H260" i="25"/>
  <c r="C260" i="25"/>
  <c r="E260" i="25"/>
  <c r="G260" i="25"/>
  <c r="B261" i="25"/>
  <c r="D261" i="37"/>
  <c r="H261" i="37"/>
  <c r="F261" i="37"/>
  <c r="C261" i="37"/>
  <c r="E261" i="37"/>
  <c r="G261" i="37"/>
  <c r="B262" i="37"/>
  <c r="D260" i="33"/>
  <c r="H260" i="33"/>
  <c r="F260" i="33"/>
  <c r="C260" i="33"/>
  <c r="G260" i="33"/>
  <c r="B261" i="33"/>
  <c r="E260" i="33"/>
  <c r="C261" i="25"/>
  <c r="G261" i="25"/>
  <c r="E261" i="25"/>
  <c r="B262" i="25"/>
  <c r="D261" i="25"/>
  <c r="F261" i="25"/>
  <c r="H261" i="25"/>
  <c r="D260" i="28"/>
  <c r="H260" i="28"/>
  <c r="F260" i="28"/>
  <c r="C260" i="28"/>
  <c r="G260" i="28"/>
  <c r="E260" i="28"/>
  <c r="B261" i="28"/>
  <c r="E261" i="35"/>
  <c r="B262" i="35"/>
  <c r="C261" i="35"/>
  <c r="G261" i="35"/>
  <c r="F261" i="35"/>
  <c r="H261" i="35"/>
  <c r="D261" i="35"/>
  <c r="F262" i="35"/>
  <c r="D262" i="35"/>
  <c r="H262" i="35"/>
  <c r="G262" i="35"/>
  <c r="C262" i="35"/>
  <c r="E262" i="35"/>
  <c r="B263" i="35"/>
  <c r="D262" i="25"/>
  <c r="H262" i="25"/>
  <c r="F262" i="25"/>
  <c r="E262" i="25"/>
  <c r="G262" i="25"/>
  <c r="B263" i="25"/>
  <c r="C262" i="25"/>
  <c r="E262" i="37"/>
  <c r="B263" i="37"/>
  <c r="C262" i="37"/>
  <c r="G262" i="37"/>
  <c r="D262" i="37"/>
  <c r="F262" i="37"/>
  <c r="H262" i="37"/>
  <c r="E261" i="28"/>
  <c r="B262" i="28"/>
  <c r="C261" i="28"/>
  <c r="G261" i="28"/>
  <c r="D261" i="28"/>
  <c r="H261" i="28"/>
  <c r="F261" i="28"/>
  <c r="E261" i="33"/>
  <c r="B262" i="33"/>
  <c r="C261" i="33"/>
  <c r="G261" i="33"/>
  <c r="D261" i="33"/>
  <c r="H261" i="33"/>
  <c r="F261" i="33"/>
  <c r="F262" i="33"/>
  <c r="D262" i="33"/>
  <c r="H262" i="33"/>
  <c r="E262" i="33"/>
  <c r="B263" i="33"/>
  <c r="C262" i="33"/>
  <c r="G262" i="33"/>
  <c r="C263" i="35"/>
  <c r="G263" i="35"/>
  <c r="E263" i="35"/>
  <c r="B264" i="35"/>
  <c r="H263" i="35"/>
  <c r="D263" i="35"/>
  <c r="F263" i="35"/>
  <c r="F262" i="28"/>
  <c r="D262" i="28"/>
  <c r="H262" i="28"/>
  <c r="E262" i="28"/>
  <c r="B263" i="28"/>
  <c r="C262" i="28"/>
  <c r="G262" i="28"/>
  <c r="F263" i="37"/>
  <c r="D263" i="37"/>
  <c r="H263" i="37"/>
  <c r="E263" i="37"/>
  <c r="G263" i="37"/>
  <c r="B264" i="37"/>
  <c r="C263" i="37"/>
  <c r="E263" i="25"/>
  <c r="B264" i="25"/>
  <c r="C263" i="25"/>
  <c r="G263" i="25"/>
  <c r="F263" i="25"/>
  <c r="H263" i="25"/>
  <c r="D263" i="25"/>
  <c r="F264" i="25"/>
  <c r="D264" i="25"/>
  <c r="H264" i="25"/>
  <c r="G264" i="25"/>
  <c r="B265" i="25"/>
  <c r="C264" i="25"/>
  <c r="E264" i="25"/>
  <c r="C263" i="33"/>
  <c r="G263" i="33"/>
  <c r="E263" i="33"/>
  <c r="B264" i="33"/>
  <c r="F263" i="33"/>
  <c r="D263" i="33"/>
  <c r="H263" i="33"/>
  <c r="C264" i="37"/>
  <c r="G264" i="37"/>
  <c r="E264" i="37"/>
  <c r="B265" i="37"/>
  <c r="F264" i="37"/>
  <c r="H264" i="37"/>
  <c r="D264" i="37"/>
  <c r="C263" i="28"/>
  <c r="G263" i="28"/>
  <c r="E263" i="28"/>
  <c r="B264" i="28"/>
  <c r="F263" i="28"/>
  <c r="H263" i="28"/>
  <c r="D263" i="28"/>
  <c r="D264" i="35"/>
  <c r="H264" i="35"/>
  <c r="F264" i="35"/>
  <c r="B265" i="35"/>
  <c r="E264" i="35"/>
  <c r="C264" i="35"/>
  <c r="G264" i="35"/>
  <c r="D264" i="28"/>
  <c r="H264" i="28"/>
  <c r="F264" i="28"/>
  <c r="G264" i="28"/>
  <c r="C264" i="28"/>
  <c r="E264" i="28"/>
  <c r="B265" i="28"/>
  <c r="E265" i="35"/>
  <c r="B266" i="35"/>
  <c r="C265" i="35"/>
  <c r="G265" i="35"/>
  <c r="F265" i="35"/>
  <c r="D265" i="35"/>
  <c r="H265" i="35"/>
  <c r="D264" i="33"/>
  <c r="H264" i="33"/>
  <c r="F264" i="33"/>
  <c r="G264" i="33"/>
  <c r="C264" i="33"/>
  <c r="E264" i="33"/>
  <c r="B265" i="33"/>
  <c r="D265" i="37"/>
  <c r="H265" i="37"/>
  <c r="F265" i="37"/>
  <c r="G265" i="37"/>
  <c r="B266" i="37"/>
  <c r="C265" i="37"/>
  <c r="E265" i="37"/>
  <c r="C265" i="25"/>
  <c r="G265" i="25"/>
  <c r="E265" i="25"/>
  <c r="B266" i="25"/>
  <c r="H265" i="25"/>
  <c r="D265" i="25"/>
  <c r="F265" i="25"/>
  <c r="E266" i="37"/>
  <c r="B267" i="37"/>
  <c r="C266" i="37"/>
  <c r="G266" i="37"/>
  <c r="H266" i="37"/>
  <c r="D266" i="37"/>
  <c r="F266" i="37"/>
  <c r="E265" i="33"/>
  <c r="B266" i="33"/>
  <c r="C265" i="33"/>
  <c r="G265" i="33"/>
  <c r="H265" i="33"/>
  <c r="D265" i="33"/>
  <c r="F265" i="33"/>
  <c r="F266" i="35"/>
  <c r="D266" i="35"/>
  <c r="H266" i="35"/>
  <c r="C266" i="35"/>
  <c r="G266" i="35"/>
  <c r="E266" i="35"/>
  <c r="B267" i="35"/>
  <c r="E265" i="28"/>
  <c r="B266" i="28"/>
  <c r="C265" i="28"/>
  <c r="G265" i="28"/>
  <c r="H265" i="28"/>
  <c r="D265" i="28"/>
  <c r="F265" i="28"/>
  <c r="D266" i="25"/>
  <c r="H266" i="25"/>
  <c r="F266" i="25"/>
  <c r="B267" i="25"/>
  <c r="C266" i="25"/>
  <c r="E266" i="25"/>
  <c r="G266" i="25"/>
  <c r="F266" i="33"/>
  <c r="D266" i="33"/>
  <c r="H266" i="33"/>
  <c r="B267" i="33"/>
  <c r="E266" i="33"/>
  <c r="G266" i="33"/>
  <c r="C266" i="33"/>
  <c r="F267" i="37"/>
  <c r="D267" i="37"/>
  <c r="H267" i="37"/>
  <c r="B268" i="37"/>
  <c r="C267" i="37"/>
  <c r="E267" i="37"/>
  <c r="G267" i="37"/>
  <c r="C267" i="35"/>
  <c r="G267" i="35"/>
  <c r="E267" i="35"/>
  <c r="B268" i="35"/>
  <c r="D267" i="35"/>
  <c r="H267" i="35"/>
  <c r="F267" i="35"/>
  <c r="E267" i="25"/>
  <c r="B268" i="25"/>
  <c r="C267" i="25"/>
  <c r="G267" i="25"/>
  <c r="D267" i="25"/>
  <c r="F267" i="25"/>
  <c r="H267" i="25"/>
  <c r="F266" i="28"/>
  <c r="D266" i="28"/>
  <c r="H266" i="28"/>
  <c r="B267" i="28"/>
  <c r="E266" i="28"/>
  <c r="C266" i="28"/>
  <c r="G266" i="28"/>
  <c r="D268" i="35"/>
  <c r="H268" i="35"/>
  <c r="F268" i="35"/>
  <c r="E268" i="35"/>
  <c r="B269" i="35"/>
  <c r="G268" i="35"/>
  <c r="C268" i="35"/>
  <c r="C268" i="37"/>
  <c r="G268" i="37"/>
  <c r="E268" i="37"/>
  <c r="B269" i="37"/>
  <c r="D268" i="37"/>
  <c r="F268" i="37"/>
  <c r="H268" i="37"/>
  <c r="C267" i="33"/>
  <c r="G267" i="33"/>
  <c r="E267" i="33"/>
  <c r="B268" i="33"/>
  <c r="F267" i="33"/>
  <c r="H267" i="33"/>
  <c r="D267" i="33"/>
  <c r="C267" i="28"/>
  <c r="G267" i="28"/>
  <c r="E267" i="28"/>
  <c r="B268" i="28"/>
  <c r="F267" i="28"/>
  <c r="D267" i="28"/>
  <c r="H267" i="28"/>
  <c r="F268" i="25"/>
  <c r="D268" i="25"/>
  <c r="H268" i="25"/>
  <c r="C268" i="25"/>
  <c r="E268" i="25"/>
  <c r="G268" i="25"/>
  <c r="B269" i="25"/>
  <c r="D268" i="28"/>
  <c r="H268" i="28"/>
  <c r="F268" i="28"/>
  <c r="C268" i="28"/>
  <c r="G268" i="28"/>
  <c r="E268" i="28"/>
  <c r="B269" i="28"/>
  <c r="D269" i="37"/>
  <c r="H269" i="37"/>
  <c r="F269" i="37"/>
  <c r="C269" i="37"/>
  <c r="E269" i="37"/>
  <c r="G269" i="37"/>
  <c r="B270" i="37"/>
  <c r="D268" i="33"/>
  <c r="H268" i="33"/>
  <c r="F268" i="33"/>
  <c r="C268" i="33"/>
  <c r="G268" i="33"/>
  <c r="B269" i="33"/>
  <c r="E268" i="33"/>
  <c r="C269" i="25"/>
  <c r="G269" i="25"/>
  <c r="E269" i="25"/>
  <c r="B270" i="25"/>
  <c r="D269" i="25"/>
  <c r="F269" i="25"/>
  <c r="H269" i="25"/>
  <c r="E269" i="35"/>
  <c r="B270" i="35"/>
  <c r="C269" i="35"/>
  <c r="G269" i="35"/>
  <c r="F269" i="35"/>
  <c r="D269" i="35"/>
  <c r="H269" i="35"/>
  <c r="F270" i="35"/>
  <c r="D270" i="35"/>
  <c r="H270" i="35"/>
  <c r="G270" i="35"/>
  <c r="C270" i="35"/>
  <c r="B271" i="35"/>
  <c r="E270" i="35"/>
  <c r="E269" i="33"/>
  <c r="B270" i="33"/>
  <c r="C269" i="33"/>
  <c r="G269" i="33"/>
  <c r="D269" i="33"/>
  <c r="H269" i="33"/>
  <c r="F269" i="33"/>
  <c r="E270" i="37"/>
  <c r="B271" i="37"/>
  <c r="C270" i="37"/>
  <c r="G270" i="37"/>
  <c r="D270" i="37"/>
  <c r="F270" i="37"/>
  <c r="H270" i="37"/>
  <c r="D270" i="25"/>
  <c r="H270" i="25"/>
  <c r="F270" i="25"/>
  <c r="E270" i="25"/>
  <c r="G270" i="25"/>
  <c r="B271" i="25"/>
  <c r="C270" i="25"/>
  <c r="E269" i="28"/>
  <c r="B270" i="28"/>
  <c r="C269" i="28"/>
  <c r="G269" i="28"/>
  <c r="D269" i="28"/>
  <c r="H269" i="28"/>
  <c r="F269" i="28"/>
  <c r="E271" i="25"/>
  <c r="B272" i="25"/>
  <c r="C271" i="25"/>
  <c r="G271" i="25"/>
  <c r="F271" i="25"/>
  <c r="H271" i="25"/>
  <c r="D271" i="25"/>
  <c r="F270" i="28"/>
  <c r="D270" i="28"/>
  <c r="H270" i="28"/>
  <c r="E270" i="28"/>
  <c r="B271" i="28"/>
  <c r="G270" i="28"/>
  <c r="C270" i="28"/>
  <c r="C271" i="35"/>
  <c r="G271" i="35"/>
  <c r="E271" i="35"/>
  <c r="B272" i="35"/>
  <c r="H271" i="35"/>
  <c r="D271" i="35"/>
  <c r="F271" i="35"/>
  <c r="F270" i="33"/>
  <c r="D270" i="33"/>
  <c r="H270" i="33"/>
  <c r="E270" i="33"/>
  <c r="B271" i="33"/>
  <c r="C270" i="33"/>
  <c r="G270" i="33"/>
  <c r="F271" i="37"/>
  <c r="D271" i="37"/>
  <c r="H271" i="37"/>
  <c r="E271" i="37"/>
  <c r="G271" i="37"/>
  <c r="B272" i="37"/>
  <c r="C271" i="37"/>
  <c r="C271" i="28"/>
  <c r="G271" i="28"/>
  <c r="E271" i="28"/>
  <c r="B272" i="28"/>
  <c r="F271" i="28"/>
  <c r="D271" i="28"/>
  <c r="H271" i="28"/>
  <c r="C272" i="37"/>
  <c r="G272" i="37"/>
  <c r="E272" i="37"/>
  <c r="B273" i="37"/>
  <c r="F272" i="37"/>
  <c r="H272" i="37"/>
  <c r="D272" i="37"/>
  <c r="C271" i="33"/>
  <c r="G271" i="33"/>
  <c r="E271" i="33"/>
  <c r="B272" i="33"/>
  <c r="F271" i="33"/>
  <c r="D271" i="33"/>
  <c r="H271" i="33"/>
  <c r="D272" i="35"/>
  <c r="H272" i="35"/>
  <c r="F272" i="35"/>
  <c r="B273" i="35"/>
  <c r="E272" i="35"/>
  <c r="C272" i="35"/>
  <c r="G272" i="35"/>
  <c r="F272" i="25"/>
  <c r="D272" i="25"/>
  <c r="H272" i="25"/>
  <c r="G272" i="25"/>
  <c r="B273" i="25"/>
  <c r="C272" i="25"/>
  <c r="E272" i="25"/>
  <c r="D272" i="28"/>
  <c r="H272" i="28"/>
  <c r="F272" i="28"/>
  <c r="G272" i="28"/>
  <c r="C272" i="28"/>
  <c r="B273" i="28"/>
  <c r="E272" i="28"/>
  <c r="D273" i="37"/>
  <c r="H273" i="37"/>
  <c r="F273" i="37"/>
  <c r="G273" i="37"/>
  <c r="B274" i="37"/>
  <c r="C273" i="37"/>
  <c r="E273" i="37"/>
  <c r="D272" i="33"/>
  <c r="H272" i="33"/>
  <c r="F272" i="33"/>
  <c r="G272" i="33"/>
  <c r="C272" i="33"/>
  <c r="E272" i="33"/>
  <c r="B273" i="33"/>
  <c r="C273" i="25"/>
  <c r="G273" i="25"/>
  <c r="E273" i="25"/>
  <c r="B274" i="25"/>
  <c r="H273" i="25"/>
  <c r="D273" i="25"/>
  <c r="F273" i="25"/>
  <c r="E273" i="35"/>
  <c r="B274" i="35"/>
  <c r="C273" i="35"/>
  <c r="G273" i="35"/>
  <c r="F273" i="35"/>
  <c r="D273" i="35"/>
  <c r="H273" i="35"/>
  <c r="E274" i="37"/>
  <c r="B275" i="37"/>
  <c r="C274" i="37"/>
  <c r="G274" i="37"/>
  <c r="H274" i="37"/>
  <c r="D274" i="37"/>
  <c r="F274" i="37"/>
  <c r="F274" i="35"/>
  <c r="D274" i="35"/>
  <c r="H274" i="35"/>
  <c r="C274" i="35"/>
  <c r="G274" i="35"/>
  <c r="E274" i="35"/>
  <c r="B275" i="35"/>
  <c r="E273" i="28"/>
  <c r="B274" i="28"/>
  <c r="C273" i="28"/>
  <c r="G273" i="28"/>
  <c r="H273" i="28"/>
  <c r="D273" i="28"/>
  <c r="F273" i="28"/>
  <c r="D274" i="25"/>
  <c r="H274" i="25"/>
  <c r="F274" i="25"/>
  <c r="B275" i="25"/>
  <c r="C274" i="25"/>
  <c r="E274" i="25"/>
  <c r="G274" i="25"/>
  <c r="E273" i="33"/>
  <c r="B274" i="33"/>
  <c r="C273" i="33"/>
  <c r="G273" i="33"/>
  <c r="H273" i="33"/>
  <c r="D273" i="33"/>
  <c r="F273" i="33"/>
  <c r="F274" i="28"/>
  <c r="D274" i="28"/>
  <c r="H274" i="28"/>
  <c r="B275" i="28"/>
  <c r="E274" i="28"/>
  <c r="C274" i="28"/>
  <c r="G274" i="28"/>
  <c r="F274" i="33"/>
  <c r="D274" i="33"/>
  <c r="H274" i="33"/>
  <c r="B275" i="33"/>
  <c r="E274" i="33"/>
  <c r="G274" i="33"/>
  <c r="C274" i="33"/>
  <c r="C275" i="35"/>
  <c r="G275" i="35"/>
  <c r="E275" i="35"/>
  <c r="B276" i="35"/>
  <c r="D275" i="35"/>
  <c r="H275" i="35"/>
  <c r="F275" i="35"/>
  <c r="F275" i="37"/>
  <c r="D275" i="37"/>
  <c r="H275" i="37"/>
  <c r="B276" i="37"/>
  <c r="C275" i="37"/>
  <c r="E275" i="37"/>
  <c r="G275" i="37"/>
  <c r="E275" i="25"/>
  <c r="B276" i="25"/>
  <c r="C275" i="25"/>
  <c r="G275" i="25"/>
  <c r="D275" i="25"/>
  <c r="F275" i="25"/>
  <c r="H275" i="25"/>
  <c r="C275" i="33"/>
  <c r="G275" i="33"/>
  <c r="E275" i="33"/>
  <c r="B276" i="33"/>
  <c r="F275" i="33"/>
  <c r="H275" i="33"/>
  <c r="D275" i="33"/>
  <c r="F276" i="25"/>
  <c r="D276" i="25"/>
  <c r="H276" i="25"/>
  <c r="C276" i="25"/>
  <c r="E276" i="25"/>
  <c r="G276" i="25"/>
  <c r="B277" i="25"/>
  <c r="D276" i="35"/>
  <c r="H276" i="35"/>
  <c r="F276" i="35"/>
  <c r="E276" i="35"/>
  <c r="B277" i="35"/>
  <c r="C276" i="35"/>
  <c r="G276" i="35"/>
  <c r="C275" i="28"/>
  <c r="G275" i="28"/>
  <c r="E275" i="28"/>
  <c r="B276" i="28"/>
  <c r="F275" i="28"/>
  <c r="D275" i="28"/>
  <c r="H275" i="28"/>
  <c r="C276" i="37"/>
  <c r="G276" i="37"/>
  <c r="E276" i="37"/>
  <c r="B277" i="37"/>
  <c r="D276" i="37"/>
  <c r="F276" i="37"/>
  <c r="H276" i="37"/>
  <c r="E277" i="35"/>
  <c r="B278" i="35"/>
  <c r="C277" i="35"/>
  <c r="G277" i="35"/>
  <c r="F277" i="35"/>
  <c r="H277" i="35"/>
  <c r="D277" i="35"/>
  <c r="C277" i="25"/>
  <c r="G277" i="25"/>
  <c r="E277" i="25"/>
  <c r="B278" i="25"/>
  <c r="D277" i="25"/>
  <c r="F277" i="25"/>
  <c r="H277" i="25"/>
  <c r="D277" i="37"/>
  <c r="H277" i="37"/>
  <c r="F277" i="37"/>
  <c r="C277" i="37"/>
  <c r="E277" i="37"/>
  <c r="G277" i="37"/>
  <c r="B278" i="37"/>
  <c r="D276" i="33"/>
  <c r="H276" i="33"/>
  <c r="F276" i="33"/>
  <c r="C276" i="33"/>
  <c r="G276" i="33"/>
  <c r="B277" i="33"/>
  <c r="E276" i="33"/>
  <c r="D276" i="28"/>
  <c r="H276" i="28"/>
  <c r="F276" i="28"/>
  <c r="C276" i="28"/>
  <c r="G276" i="28"/>
  <c r="E276" i="28"/>
  <c r="B277" i="28"/>
  <c r="E277" i="28"/>
  <c r="B278" i="28"/>
  <c r="C277" i="28"/>
  <c r="G277" i="28"/>
  <c r="D277" i="28"/>
  <c r="H277" i="28"/>
  <c r="F277" i="28"/>
  <c r="F278" i="35"/>
  <c r="D278" i="35"/>
  <c r="H278" i="35"/>
  <c r="G278" i="35"/>
  <c r="C278" i="35"/>
  <c r="E278" i="35"/>
  <c r="B279" i="35"/>
  <c r="E277" i="33"/>
  <c r="B278" i="33"/>
  <c r="C277" i="33"/>
  <c r="G277" i="33"/>
  <c r="D277" i="33"/>
  <c r="H277" i="33"/>
  <c r="F277" i="33"/>
  <c r="D278" i="25"/>
  <c r="H278" i="25"/>
  <c r="F278" i="25"/>
  <c r="E278" i="25"/>
  <c r="G278" i="25"/>
  <c r="B279" i="25"/>
  <c r="C278" i="25"/>
  <c r="E278" i="37"/>
  <c r="B279" i="37"/>
  <c r="C278" i="37"/>
  <c r="G278" i="37"/>
  <c r="D278" i="37"/>
  <c r="F278" i="37"/>
  <c r="H278" i="37"/>
  <c r="F278" i="33"/>
  <c r="D278" i="33"/>
  <c r="H278" i="33"/>
  <c r="E278" i="33"/>
  <c r="B279" i="33"/>
  <c r="C278" i="33"/>
  <c r="G278" i="33"/>
  <c r="E279" i="25"/>
  <c r="B280" i="25"/>
  <c r="C279" i="25"/>
  <c r="G279" i="25"/>
  <c r="F279" i="25"/>
  <c r="H279" i="25"/>
  <c r="D279" i="25"/>
  <c r="F279" i="37"/>
  <c r="D279" i="37"/>
  <c r="H279" i="37"/>
  <c r="E279" i="37"/>
  <c r="G279" i="37"/>
  <c r="B280" i="37"/>
  <c r="C279" i="37"/>
  <c r="C279" i="35"/>
  <c r="G279" i="35"/>
  <c r="E279" i="35"/>
  <c r="B280" i="35"/>
  <c r="H279" i="35"/>
  <c r="D279" i="35"/>
  <c r="F279" i="35"/>
  <c r="F278" i="28"/>
  <c r="D278" i="28"/>
  <c r="H278" i="28"/>
  <c r="E278" i="28"/>
  <c r="B279" i="28"/>
  <c r="C278" i="28"/>
  <c r="G278" i="28"/>
  <c r="C280" i="37"/>
  <c r="G280" i="37"/>
  <c r="E280" i="37"/>
  <c r="B281" i="37"/>
  <c r="F280" i="37"/>
  <c r="H280" i="37"/>
  <c r="D280" i="37"/>
  <c r="C279" i="28"/>
  <c r="G279" i="28"/>
  <c r="E279" i="28"/>
  <c r="B280" i="28"/>
  <c r="F279" i="28"/>
  <c r="H279" i="28"/>
  <c r="D279" i="28"/>
  <c r="D280" i="35"/>
  <c r="H280" i="35"/>
  <c r="F280" i="35"/>
  <c r="B281" i="35"/>
  <c r="E280" i="35"/>
  <c r="C280" i="35"/>
  <c r="G280" i="35"/>
  <c r="F280" i="25"/>
  <c r="D280" i="25"/>
  <c r="H280" i="25"/>
  <c r="G280" i="25"/>
  <c r="B281" i="25"/>
  <c r="C280" i="25"/>
  <c r="E280" i="25"/>
  <c r="C279" i="33"/>
  <c r="G279" i="33"/>
  <c r="E279" i="33"/>
  <c r="B280" i="33"/>
  <c r="F279" i="33"/>
  <c r="D279" i="33"/>
  <c r="H279" i="33"/>
  <c r="D281" i="37"/>
  <c r="H281" i="37"/>
  <c r="F281" i="37"/>
  <c r="G281" i="37"/>
  <c r="B282" i="37"/>
  <c r="C281" i="37"/>
  <c r="E281" i="37"/>
  <c r="D280" i="28"/>
  <c r="H280" i="28"/>
  <c r="F280" i="28"/>
  <c r="G280" i="28"/>
  <c r="C280" i="28"/>
  <c r="E280" i="28"/>
  <c r="B281" i="28"/>
  <c r="D280" i="33"/>
  <c r="H280" i="33"/>
  <c r="F280" i="33"/>
  <c r="G280" i="33"/>
  <c r="C280" i="33"/>
  <c r="E280" i="33"/>
  <c r="B281" i="33"/>
  <c r="C281" i="25"/>
  <c r="G281" i="25"/>
  <c r="E281" i="25"/>
  <c r="B282" i="25"/>
  <c r="H281" i="25"/>
  <c r="D281" i="25"/>
  <c r="F281" i="25"/>
  <c r="E281" i="35"/>
  <c r="B282" i="35"/>
  <c r="C281" i="35"/>
  <c r="G281" i="35"/>
  <c r="F281" i="35"/>
  <c r="D281" i="35"/>
  <c r="H281" i="35"/>
  <c r="F282" i="35"/>
  <c r="D282" i="35"/>
  <c r="H282" i="35"/>
  <c r="C282" i="35"/>
  <c r="G282" i="35"/>
  <c r="E282" i="35"/>
  <c r="B283" i="35"/>
  <c r="E281" i="28"/>
  <c r="B282" i="28"/>
  <c r="C281" i="28"/>
  <c r="G281" i="28"/>
  <c r="H281" i="28"/>
  <c r="D281" i="28"/>
  <c r="F281" i="28"/>
  <c r="D282" i="25"/>
  <c r="H282" i="25"/>
  <c r="F282" i="25"/>
  <c r="B283" i="25"/>
  <c r="C282" i="25"/>
  <c r="E282" i="25"/>
  <c r="G282" i="25"/>
  <c r="E281" i="33"/>
  <c r="B282" i="33"/>
  <c r="C281" i="33"/>
  <c r="G281" i="33"/>
  <c r="H281" i="33"/>
  <c r="D281" i="33"/>
  <c r="F281" i="33"/>
  <c r="E282" i="37"/>
  <c r="B283" i="37"/>
  <c r="C282" i="37"/>
  <c r="G282" i="37"/>
  <c r="H282" i="37"/>
  <c r="D282" i="37"/>
  <c r="F282" i="37"/>
  <c r="F282" i="33"/>
  <c r="D282" i="33"/>
  <c r="H282" i="33"/>
  <c r="B283" i="33"/>
  <c r="E282" i="33"/>
  <c r="G282" i="33"/>
  <c r="C282" i="33"/>
  <c r="C283" i="35"/>
  <c r="G283" i="35"/>
  <c r="E283" i="35"/>
  <c r="B284" i="35"/>
  <c r="D283" i="35"/>
  <c r="H283" i="35"/>
  <c r="F283" i="35"/>
  <c r="F283" i="37"/>
  <c r="D283" i="37"/>
  <c r="H283" i="37"/>
  <c r="B284" i="37"/>
  <c r="C283" i="37"/>
  <c r="E283" i="37"/>
  <c r="G283" i="37"/>
  <c r="E283" i="25"/>
  <c r="B284" i="25"/>
  <c r="C283" i="25"/>
  <c r="G283" i="25"/>
  <c r="D283" i="25"/>
  <c r="F283" i="25"/>
  <c r="H283" i="25"/>
  <c r="F282" i="28"/>
  <c r="D282" i="28"/>
  <c r="H282" i="28"/>
  <c r="B283" i="28"/>
  <c r="E282" i="28"/>
  <c r="C282" i="28"/>
  <c r="G282" i="28"/>
  <c r="C283" i="28"/>
  <c r="G283" i="28"/>
  <c r="E283" i="28"/>
  <c r="B284" i="28"/>
  <c r="F283" i="28"/>
  <c r="D283" i="28"/>
  <c r="H283" i="28"/>
  <c r="C283" i="33"/>
  <c r="G283" i="33"/>
  <c r="E283" i="33"/>
  <c r="B284" i="33"/>
  <c r="F283" i="33"/>
  <c r="H283" i="33"/>
  <c r="D283" i="33"/>
  <c r="F284" i="25"/>
  <c r="D284" i="25"/>
  <c r="H284" i="25"/>
  <c r="C284" i="25"/>
  <c r="E284" i="25"/>
  <c r="G284" i="25"/>
  <c r="B285" i="25"/>
  <c r="D284" i="35"/>
  <c r="H284" i="35"/>
  <c r="F284" i="35"/>
  <c r="E284" i="35"/>
  <c r="B285" i="35"/>
  <c r="G284" i="35"/>
  <c r="C284" i="35"/>
  <c r="C284" i="37"/>
  <c r="G284" i="37"/>
  <c r="E284" i="37"/>
  <c r="B285" i="37"/>
  <c r="D284" i="37"/>
  <c r="F284" i="37"/>
  <c r="H284" i="37"/>
  <c r="D285" i="37"/>
  <c r="H285" i="37"/>
  <c r="F285" i="37"/>
  <c r="C285" i="37"/>
  <c r="E285" i="37"/>
  <c r="G285" i="37"/>
  <c r="B286" i="37"/>
  <c r="D284" i="33"/>
  <c r="H284" i="33"/>
  <c r="F284" i="33"/>
  <c r="C284" i="33"/>
  <c r="G284" i="33"/>
  <c r="B285" i="33"/>
  <c r="E284" i="33"/>
  <c r="E285" i="35"/>
  <c r="B286" i="35"/>
  <c r="C285" i="35"/>
  <c r="G285" i="35"/>
  <c r="F285" i="35"/>
  <c r="D285" i="35"/>
  <c r="H285" i="35"/>
  <c r="D284" i="28"/>
  <c r="H284" i="28"/>
  <c r="F284" i="28"/>
  <c r="C284" i="28"/>
  <c r="G284" i="28"/>
  <c r="E284" i="28"/>
  <c r="B285" i="28"/>
  <c r="C285" i="25"/>
  <c r="G285" i="25"/>
  <c r="E285" i="25"/>
  <c r="B286" i="25"/>
  <c r="D285" i="25"/>
  <c r="F285" i="25"/>
  <c r="H285" i="25"/>
  <c r="E285" i="28"/>
  <c r="B286" i="28"/>
  <c r="C285" i="28"/>
  <c r="G285" i="28"/>
  <c r="D285" i="28"/>
  <c r="H285" i="28"/>
  <c r="F285" i="28"/>
  <c r="F286" i="35"/>
  <c r="D286" i="35"/>
  <c r="H286" i="35"/>
  <c r="G286" i="35"/>
  <c r="C286" i="35"/>
  <c r="B287" i="35"/>
  <c r="E286" i="35"/>
  <c r="E286" i="37"/>
  <c r="B287" i="37"/>
  <c r="C286" i="37"/>
  <c r="G286" i="37"/>
  <c r="D286" i="37"/>
  <c r="F286" i="37"/>
  <c r="H286" i="37"/>
  <c r="D286" i="25"/>
  <c r="H286" i="25"/>
  <c r="F286" i="25"/>
  <c r="E286" i="25"/>
  <c r="G286" i="25"/>
  <c r="B287" i="25"/>
  <c r="C286" i="25"/>
  <c r="E285" i="33"/>
  <c r="B286" i="33"/>
  <c r="C285" i="33"/>
  <c r="G285" i="33"/>
  <c r="D285" i="33"/>
  <c r="H285" i="33"/>
  <c r="F285" i="33"/>
  <c r="F287" i="37"/>
  <c r="D287" i="37"/>
  <c r="H287" i="37"/>
  <c r="E287" i="37"/>
  <c r="G287" i="37"/>
  <c r="B288" i="37"/>
  <c r="C287" i="37"/>
  <c r="E287" i="25"/>
  <c r="B288" i="25"/>
  <c r="C287" i="25"/>
  <c r="G287" i="25"/>
  <c r="F287" i="25"/>
  <c r="H287" i="25"/>
  <c r="D287" i="25"/>
  <c r="F286" i="33"/>
  <c r="D286" i="33"/>
  <c r="H286" i="33"/>
  <c r="E286" i="33"/>
  <c r="B287" i="33"/>
  <c r="C286" i="33"/>
  <c r="G286" i="33"/>
  <c r="F286" i="28"/>
  <c r="D286" i="28"/>
  <c r="H286" i="28"/>
  <c r="E286" i="28"/>
  <c r="B287" i="28"/>
  <c r="G286" i="28"/>
  <c r="C286" i="28"/>
  <c r="C287" i="35"/>
  <c r="G287" i="35"/>
  <c r="E287" i="35"/>
  <c r="B288" i="35"/>
  <c r="H287" i="35"/>
  <c r="D287" i="35"/>
  <c r="F287" i="35"/>
  <c r="D288" i="35"/>
  <c r="H288" i="35"/>
  <c r="F288" i="35"/>
  <c r="B289" i="35"/>
  <c r="E288" i="35"/>
  <c r="C288" i="35"/>
  <c r="G288" i="35"/>
  <c r="C287" i="33"/>
  <c r="G287" i="33"/>
  <c r="E287" i="33"/>
  <c r="B288" i="33"/>
  <c r="F287" i="33"/>
  <c r="D287" i="33"/>
  <c r="H287" i="33"/>
  <c r="C287" i="28"/>
  <c r="G287" i="28"/>
  <c r="E287" i="28"/>
  <c r="B288" i="28"/>
  <c r="F287" i="28"/>
  <c r="D287" i="28"/>
  <c r="H287" i="28"/>
  <c r="C288" i="37"/>
  <c r="G288" i="37"/>
  <c r="E288" i="37"/>
  <c r="B289" i="37"/>
  <c r="F288" i="37"/>
  <c r="H288" i="37"/>
  <c r="D288" i="37"/>
  <c r="F288" i="25"/>
  <c r="D288" i="25"/>
  <c r="H288" i="25"/>
  <c r="G288" i="25"/>
  <c r="B289" i="25"/>
  <c r="C288" i="25"/>
  <c r="E288" i="25"/>
  <c r="D288" i="33"/>
  <c r="H288" i="33"/>
  <c r="F288" i="33"/>
  <c r="G288" i="33"/>
  <c r="C288" i="33"/>
  <c r="E288" i="33"/>
  <c r="B289" i="33"/>
  <c r="D288" i="28"/>
  <c r="H288" i="28"/>
  <c r="F288" i="28"/>
  <c r="G288" i="28"/>
  <c r="C288" i="28"/>
  <c r="B289" i="28"/>
  <c r="E288" i="28"/>
  <c r="E289" i="35"/>
  <c r="B290" i="35"/>
  <c r="C289" i="35"/>
  <c r="G289" i="35"/>
  <c r="F289" i="35"/>
  <c r="D289" i="35"/>
  <c r="H289" i="35"/>
  <c r="C289" i="25"/>
  <c r="G289" i="25"/>
  <c r="E289" i="25"/>
  <c r="B290" i="25"/>
  <c r="H289" i="25"/>
  <c r="D289" i="25"/>
  <c r="F289" i="25"/>
  <c r="D289" i="37"/>
  <c r="H289" i="37"/>
  <c r="F289" i="37"/>
  <c r="G289" i="37"/>
  <c r="B290" i="37"/>
  <c r="C289" i="37"/>
  <c r="E289" i="37"/>
  <c r="F290" i="35"/>
  <c r="D290" i="35"/>
  <c r="H290" i="35"/>
  <c r="C290" i="35"/>
  <c r="G290" i="35"/>
  <c r="E290" i="35"/>
  <c r="B291" i="35"/>
  <c r="E289" i="33"/>
  <c r="B290" i="33"/>
  <c r="C289" i="33"/>
  <c r="G289" i="33"/>
  <c r="H289" i="33"/>
  <c r="D289" i="33"/>
  <c r="F289" i="33"/>
  <c r="E290" i="37"/>
  <c r="B291" i="37"/>
  <c r="C290" i="37"/>
  <c r="G290" i="37"/>
  <c r="H290" i="37"/>
  <c r="D290" i="37"/>
  <c r="F290" i="37"/>
  <c r="D290" i="25"/>
  <c r="H290" i="25"/>
  <c r="F290" i="25"/>
  <c r="B291" i="25"/>
  <c r="C290" i="25"/>
  <c r="E290" i="25"/>
  <c r="G290" i="25"/>
  <c r="E289" i="28"/>
  <c r="B290" i="28"/>
  <c r="C289" i="28"/>
  <c r="G289" i="28"/>
  <c r="H289" i="28"/>
  <c r="D289" i="28"/>
  <c r="F289" i="28"/>
  <c r="C291" i="35"/>
  <c r="G291" i="35"/>
  <c r="E291" i="35"/>
  <c r="B292" i="35"/>
  <c r="D291" i="35"/>
  <c r="H291" i="35"/>
  <c r="F291" i="35"/>
  <c r="F290" i="28"/>
  <c r="D290" i="28"/>
  <c r="H290" i="28"/>
  <c r="B291" i="28"/>
  <c r="E290" i="28"/>
  <c r="C290" i="28"/>
  <c r="G290" i="28"/>
  <c r="F291" i="37"/>
  <c r="D291" i="37"/>
  <c r="H291" i="37"/>
  <c r="B292" i="37"/>
  <c r="C291" i="37"/>
  <c r="E291" i="37"/>
  <c r="G291" i="37"/>
  <c r="E291" i="25"/>
  <c r="B292" i="25"/>
  <c r="C291" i="25"/>
  <c r="G291" i="25"/>
  <c r="D291" i="25"/>
  <c r="F291" i="25"/>
  <c r="H291" i="25"/>
  <c r="F290" i="33"/>
  <c r="D290" i="33"/>
  <c r="H290" i="33"/>
  <c r="B291" i="33"/>
  <c r="E290" i="33"/>
  <c r="G290" i="33"/>
  <c r="C290" i="33"/>
  <c r="C291" i="28"/>
  <c r="G291" i="28"/>
  <c r="E291" i="28"/>
  <c r="B292" i="28"/>
  <c r="F291" i="28"/>
  <c r="D291" i="28"/>
  <c r="H291" i="28"/>
  <c r="C292" i="37"/>
  <c r="G292" i="37"/>
  <c r="E292" i="37"/>
  <c r="B293" i="37"/>
  <c r="D292" i="37"/>
  <c r="F292" i="37"/>
  <c r="H292" i="37"/>
  <c r="C291" i="33"/>
  <c r="G291" i="33"/>
  <c r="E291" i="33"/>
  <c r="B292" i="33"/>
  <c r="F291" i="33"/>
  <c r="H291" i="33"/>
  <c r="D291" i="33"/>
  <c r="D292" i="35"/>
  <c r="H292" i="35"/>
  <c r="F292" i="35"/>
  <c r="E292" i="35"/>
  <c r="B293" i="35"/>
  <c r="C292" i="35"/>
  <c r="G292" i="35"/>
  <c r="F292" i="25"/>
  <c r="D292" i="25"/>
  <c r="H292" i="25"/>
  <c r="C292" i="25"/>
  <c r="E292" i="25"/>
  <c r="G292" i="25"/>
  <c r="B293" i="25"/>
  <c r="C293" i="25"/>
  <c r="G293" i="25"/>
  <c r="E293" i="25"/>
  <c r="B294" i="25"/>
  <c r="D293" i="25"/>
  <c r="F293" i="25"/>
  <c r="H293" i="25"/>
  <c r="D293" i="37"/>
  <c r="H293" i="37"/>
  <c r="F293" i="37"/>
  <c r="C293" i="37"/>
  <c r="E293" i="37"/>
  <c r="G293" i="37"/>
  <c r="B294" i="37"/>
  <c r="E293" i="35"/>
  <c r="B294" i="35"/>
  <c r="C293" i="35"/>
  <c r="G293" i="35"/>
  <c r="F293" i="35"/>
  <c r="H293" i="35"/>
  <c r="D293" i="35"/>
  <c r="D292" i="33"/>
  <c r="H292" i="33"/>
  <c r="F292" i="33"/>
  <c r="C292" i="33"/>
  <c r="G292" i="33"/>
  <c r="B293" i="33"/>
  <c r="E292" i="33"/>
  <c r="D292" i="28"/>
  <c r="H292" i="28"/>
  <c r="F292" i="28"/>
  <c r="C292" i="28"/>
  <c r="G292" i="28"/>
  <c r="E292" i="28"/>
  <c r="B293" i="28"/>
  <c r="E293" i="28"/>
  <c r="B294" i="28"/>
  <c r="C293" i="28"/>
  <c r="G293" i="28"/>
  <c r="D293" i="28"/>
  <c r="H293" i="28"/>
  <c r="F293" i="28"/>
  <c r="E293" i="33"/>
  <c r="B294" i="33"/>
  <c r="C293" i="33"/>
  <c r="G293" i="33"/>
  <c r="D293" i="33"/>
  <c r="H293" i="33"/>
  <c r="F293" i="33"/>
  <c r="E294" i="37"/>
  <c r="B295" i="37"/>
  <c r="C294" i="37"/>
  <c r="G294" i="37"/>
  <c r="D294" i="37"/>
  <c r="F294" i="37"/>
  <c r="H294" i="37"/>
  <c r="F294" i="35"/>
  <c r="D294" i="35"/>
  <c r="H294" i="35"/>
  <c r="G294" i="35"/>
  <c r="C294" i="35"/>
  <c r="E294" i="35"/>
  <c r="B295" i="35"/>
  <c r="D294" i="25"/>
  <c r="H294" i="25"/>
  <c r="F294" i="25"/>
  <c r="E294" i="25"/>
  <c r="G294" i="25"/>
  <c r="B295" i="25"/>
  <c r="C294" i="25"/>
  <c r="C295" i="35"/>
  <c r="G295" i="35"/>
  <c r="E295" i="35"/>
  <c r="B296" i="35"/>
  <c r="H295" i="35"/>
  <c r="D295" i="35"/>
  <c r="F295" i="35"/>
  <c r="E295" i="25"/>
  <c r="B296" i="25"/>
  <c r="C295" i="25"/>
  <c r="G295" i="25"/>
  <c r="F295" i="25"/>
  <c r="H295" i="25"/>
  <c r="D295" i="25"/>
  <c r="F294" i="28"/>
  <c r="D294" i="28"/>
  <c r="H294" i="28"/>
  <c r="E294" i="28"/>
  <c r="B295" i="28"/>
  <c r="C294" i="28"/>
  <c r="G294" i="28"/>
  <c r="F295" i="37"/>
  <c r="D295" i="37"/>
  <c r="H295" i="37"/>
  <c r="E295" i="37"/>
  <c r="G295" i="37"/>
  <c r="B296" i="37"/>
  <c r="C295" i="37"/>
  <c r="F294" i="33"/>
  <c r="D294" i="33"/>
  <c r="H294" i="33"/>
  <c r="E294" i="33"/>
  <c r="B295" i="33"/>
  <c r="C294" i="33"/>
  <c r="G294" i="33"/>
  <c r="C296" i="37"/>
  <c r="G296" i="37"/>
  <c r="E296" i="37"/>
  <c r="B297" i="37"/>
  <c r="F296" i="37"/>
  <c r="H296" i="37"/>
  <c r="D296" i="37"/>
  <c r="C295" i="28"/>
  <c r="G295" i="28"/>
  <c r="E295" i="28"/>
  <c r="B296" i="28"/>
  <c r="F295" i="28"/>
  <c r="H295" i="28"/>
  <c r="D295" i="28"/>
  <c r="D296" i="35"/>
  <c r="H296" i="35"/>
  <c r="F296" i="35"/>
  <c r="B297" i="35"/>
  <c r="E296" i="35"/>
  <c r="C296" i="35"/>
  <c r="G296" i="35"/>
  <c r="C295" i="33"/>
  <c r="G295" i="33"/>
  <c r="E295" i="33"/>
  <c r="B296" i="33"/>
  <c r="F295" i="33"/>
  <c r="D295" i="33"/>
  <c r="H295" i="33"/>
  <c r="F296" i="25"/>
  <c r="D296" i="25"/>
  <c r="H296" i="25"/>
  <c r="G296" i="25"/>
  <c r="B297" i="25"/>
  <c r="C296" i="25"/>
  <c r="E296" i="25"/>
  <c r="E297" i="35"/>
  <c r="B298" i="35"/>
  <c r="C297" i="35"/>
  <c r="G297" i="35"/>
  <c r="F297" i="35"/>
  <c r="D297" i="35"/>
  <c r="H297" i="35"/>
  <c r="C297" i="25"/>
  <c r="G297" i="25"/>
  <c r="E297" i="25"/>
  <c r="B298" i="25"/>
  <c r="H297" i="25"/>
  <c r="D297" i="25"/>
  <c r="F297" i="25"/>
  <c r="D296" i="33"/>
  <c r="H296" i="33"/>
  <c r="F296" i="33"/>
  <c r="G296" i="33"/>
  <c r="C296" i="33"/>
  <c r="E296" i="33"/>
  <c r="B297" i="33"/>
  <c r="D297" i="37"/>
  <c r="H297" i="37"/>
  <c r="F297" i="37"/>
  <c r="G297" i="37"/>
  <c r="B298" i="37"/>
  <c r="C297" i="37"/>
  <c r="E297" i="37"/>
  <c r="D296" i="28"/>
  <c r="H296" i="28"/>
  <c r="F296" i="28"/>
  <c r="G296" i="28"/>
  <c r="C296" i="28"/>
  <c r="E296" i="28"/>
  <c r="B297" i="28"/>
  <c r="E297" i="28"/>
  <c r="B298" i="28"/>
  <c r="C297" i="28"/>
  <c r="G297" i="28"/>
  <c r="H297" i="28"/>
  <c r="D297" i="28"/>
  <c r="F297" i="28"/>
  <c r="D298" i="25"/>
  <c r="H298" i="25"/>
  <c r="F298" i="25"/>
  <c r="B299" i="25"/>
  <c r="C298" i="25"/>
  <c r="E298" i="25"/>
  <c r="G298" i="25"/>
  <c r="E298" i="37"/>
  <c r="B299" i="37"/>
  <c r="C298" i="37"/>
  <c r="G298" i="37"/>
  <c r="H298" i="37"/>
  <c r="D298" i="37"/>
  <c r="F298" i="37"/>
  <c r="F298" i="35"/>
  <c r="D298" i="35"/>
  <c r="H298" i="35"/>
  <c r="C298" i="35"/>
  <c r="G298" i="35"/>
  <c r="E298" i="35"/>
  <c r="B299" i="35"/>
  <c r="E297" i="33"/>
  <c r="B298" i="33"/>
  <c r="C297" i="33"/>
  <c r="G297" i="33"/>
  <c r="H297" i="33"/>
  <c r="D297" i="33"/>
  <c r="F297" i="33"/>
  <c r="C299" i="35"/>
  <c r="G299" i="35"/>
  <c r="E299" i="35"/>
  <c r="B300" i="35"/>
  <c r="D299" i="35"/>
  <c r="H299" i="35"/>
  <c r="F299" i="35"/>
  <c r="F299" i="37"/>
  <c r="D299" i="37"/>
  <c r="H299" i="37"/>
  <c r="B300" i="37"/>
  <c r="C299" i="37"/>
  <c r="E299" i="37"/>
  <c r="G299" i="37"/>
  <c r="E299" i="25"/>
  <c r="B300" i="25"/>
  <c r="C299" i="25"/>
  <c r="G299" i="25"/>
  <c r="D299" i="25"/>
  <c r="F299" i="25"/>
  <c r="H299" i="25"/>
  <c r="F298" i="33"/>
  <c r="D298" i="33"/>
  <c r="H298" i="33"/>
  <c r="B299" i="33"/>
  <c r="E298" i="33"/>
  <c r="G298" i="33"/>
  <c r="C298" i="33"/>
  <c r="F298" i="28"/>
  <c r="D298" i="28"/>
  <c r="H298" i="28"/>
  <c r="B299" i="28"/>
  <c r="E298" i="28"/>
  <c r="C298" i="28"/>
  <c r="G298" i="28"/>
  <c r="C299" i="28"/>
  <c r="G299" i="28"/>
  <c r="E299" i="28"/>
  <c r="B300" i="28"/>
  <c r="F299" i="28"/>
  <c r="D299" i="28"/>
  <c r="H299" i="28"/>
  <c r="F300" i="25"/>
  <c r="D300" i="25"/>
  <c r="H300" i="25"/>
  <c r="C300" i="25"/>
  <c r="E300" i="25"/>
  <c r="G300" i="25"/>
  <c r="B301" i="25"/>
  <c r="D300" i="35"/>
  <c r="H300" i="35"/>
  <c r="F300" i="35"/>
  <c r="E300" i="35"/>
  <c r="B301" i="35"/>
  <c r="G300" i="35"/>
  <c r="C300" i="35"/>
  <c r="C300" i="37"/>
  <c r="G300" i="37"/>
  <c r="E300" i="37"/>
  <c r="B301" i="37"/>
  <c r="D300" i="37"/>
  <c r="F300" i="37"/>
  <c r="H300" i="37"/>
  <c r="C299" i="33"/>
  <c r="G299" i="33"/>
  <c r="E299" i="33"/>
  <c r="B300" i="33"/>
  <c r="F299" i="33"/>
  <c r="H299" i="33"/>
  <c r="D299" i="33"/>
  <c r="D300" i="33"/>
  <c r="H300" i="33"/>
  <c r="F300" i="33"/>
  <c r="C300" i="33"/>
  <c r="G300" i="33"/>
  <c r="B301" i="33"/>
  <c r="E300" i="33"/>
  <c r="D300" i="28"/>
  <c r="H300" i="28"/>
  <c r="F300" i="28"/>
  <c r="C300" i="28"/>
  <c r="G300" i="28"/>
  <c r="E300" i="28"/>
  <c r="B301" i="28"/>
  <c r="E301" i="35"/>
  <c r="B302" i="35"/>
  <c r="C301" i="35"/>
  <c r="G301" i="35"/>
  <c r="F301" i="35"/>
  <c r="D301" i="35"/>
  <c r="H301" i="35"/>
  <c r="C301" i="25"/>
  <c r="G301" i="25"/>
  <c r="E301" i="25"/>
  <c r="B302" i="25"/>
  <c r="D301" i="25"/>
  <c r="F301" i="25"/>
  <c r="H301" i="25"/>
  <c r="D301" i="37"/>
  <c r="H301" i="37"/>
  <c r="F301" i="37"/>
  <c r="C301" i="37"/>
  <c r="E301" i="37"/>
  <c r="G301" i="37"/>
  <c r="B302" i="37"/>
  <c r="F302" i="35"/>
  <c r="D302" i="35"/>
  <c r="H302" i="35"/>
  <c r="G302" i="35"/>
  <c r="C302" i="35"/>
  <c r="B303" i="35"/>
  <c r="E302" i="35"/>
  <c r="E302" i="37"/>
  <c r="B303" i="37"/>
  <c r="C302" i="37"/>
  <c r="G302" i="37"/>
  <c r="D302" i="37"/>
  <c r="F302" i="37"/>
  <c r="H302" i="37"/>
  <c r="E301" i="28"/>
  <c r="B302" i="28"/>
  <c r="C301" i="28"/>
  <c r="G301" i="28"/>
  <c r="D301" i="28"/>
  <c r="H301" i="28"/>
  <c r="F301" i="28"/>
  <c r="E301" i="33"/>
  <c r="B302" i="33"/>
  <c r="C301" i="33"/>
  <c r="G301" i="33"/>
  <c r="D301" i="33"/>
  <c r="H301" i="33"/>
  <c r="F301" i="33"/>
  <c r="D302" i="25"/>
  <c r="H302" i="25"/>
  <c r="F302" i="25"/>
  <c r="E302" i="25"/>
  <c r="G302" i="25"/>
  <c r="B303" i="25"/>
  <c r="C302" i="25"/>
  <c r="F302" i="28"/>
  <c r="D302" i="28"/>
  <c r="H302" i="28"/>
  <c r="E302" i="28"/>
  <c r="B303" i="28"/>
  <c r="G302" i="28"/>
  <c r="C302" i="28"/>
  <c r="F302" i="33"/>
  <c r="D302" i="33"/>
  <c r="H302" i="33"/>
  <c r="E302" i="33"/>
  <c r="B303" i="33"/>
  <c r="C302" i="33"/>
  <c r="G302" i="33"/>
  <c r="E303" i="25"/>
  <c r="B304" i="25"/>
  <c r="C303" i="25"/>
  <c r="G303" i="25"/>
  <c r="F303" i="25"/>
  <c r="H303" i="25"/>
  <c r="D303" i="25"/>
  <c r="C303" i="35"/>
  <c r="G303" i="35"/>
  <c r="E303" i="35"/>
  <c r="B304" i="35"/>
  <c r="H303" i="35"/>
  <c r="D303" i="35"/>
  <c r="F303" i="35"/>
  <c r="F303" i="37"/>
  <c r="D303" i="37"/>
  <c r="H303" i="37"/>
  <c r="E303" i="37"/>
  <c r="G303" i="37"/>
  <c r="B304" i="37"/>
  <c r="C303" i="37"/>
  <c r="F304" i="25"/>
  <c r="D304" i="25"/>
  <c r="H304" i="25"/>
  <c r="G304" i="25"/>
  <c r="B305" i="25"/>
  <c r="C304" i="25"/>
  <c r="E304" i="25"/>
  <c r="C303" i="33"/>
  <c r="G303" i="33"/>
  <c r="E303" i="33"/>
  <c r="B304" i="33"/>
  <c r="F303" i="33"/>
  <c r="D303" i="33"/>
  <c r="H303" i="33"/>
  <c r="C304" i="37"/>
  <c r="G304" i="37"/>
  <c r="E304" i="37"/>
  <c r="B305" i="37"/>
  <c r="F304" i="37"/>
  <c r="H304" i="37"/>
  <c r="D304" i="37"/>
  <c r="D304" i="35"/>
  <c r="H304" i="35"/>
  <c r="F304" i="35"/>
  <c r="B305" i="35"/>
  <c r="E304" i="35"/>
  <c r="C304" i="35"/>
  <c r="G304" i="35"/>
  <c r="C303" i="28"/>
  <c r="G303" i="28"/>
  <c r="E303" i="28"/>
  <c r="B304" i="28"/>
  <c r="F303" i="28"/>
  <c r="D303" i="28"/>
  <c r="H303" i="28"/>
  <c r="D304" i="28"/>
  <c r="H304" i="28"/>
  <c r="F304" i="28"/>
  <c r="G304" i="28"/>
  <c r="C304" i="28"/>
  <c r="B305" i="28"/>
  <c r="E304" i="28"/>
  <c r="D304" i="33"/>
  <c r="H304" i="33"/>
  <c r="F304" i="33"/>
  <c r="G304" i="33"/>
  <c r="C304" i="33"/>
  <c r="E304" i="33"/>
  <c r="B305" i="33"/>
  <c r="D305" i="37"/>
  <c r="H305" i="37"/>
  <c r="F305" i="37"/>
  <c r="G305" i="37"/>
  <c r="B306" i="37"/>
  <c r="C305" i="37"/>
  <c r="E305" i="37"/>
  <c r="E305" i="35"/>
  <c r="B306" i="35"/>
  <c r="C305" i="35"/>
  <c r="G305" i="35"/>
  <c r="F305" i="35"/>
  <c r="D305" i="35"/>
  <c r="H305" i="35"/>
  <c r="C305" i="25"/>
  <c r="G305" i="25"/>
  <c r="E305" i="25"/>
  <c r="B306" i="25"/>
  <c r="H305" i="25"/>
  <c r="D305" i="25"/>
  <c r="F305" i="25"/>
  <c r="F306" i="35"/>
  <c r="D306" i="35"/>
  <c r="H306" i="35"/>
  <c r="C306" i="35"/>
  <c r="G306" i="35"/>
  <c r="E306" i="35"/>
  <c r="B307" i="35"/>
  <c r="E306" i="37"/>
  <c r="B307" i="37"/>
  <c r="C306" i="37"/>
  <c r="G306" i="37"/>
  <c r="H306" i="37"/>
  <c r="D306" i="37"/>
  <c r="F306" i="37"/>
  <c r="D306" i="25"/>
  <c r="H306" i="25"/>
  <c r="F306" i="25"/>
  <c r="B307" i="25"/>
  <c r="C306" i="25"/>
  <c r="E306" i="25"/>
  <c r="G306" i="25"/>
  <c r="E305" i="33"/>
  <c r="B306" i="33"/>
  <c r="C305" i="33"/>
  <c r="G305" i="33"/>
  <c r="H305" i="33"/>
  <c r="D305" i="33"/>
  <c r="F305" i="33"/>
  <c r="E305" i="28"/>
  <c r="B306" i="28"/>
  <c r="C305" i="28"/>
  <c r="G305" i="28"/>
  <c r="H305" i="28"/>
  <c r="D305" i="28"/>
  <c r="F305" i="28"/>
  <c r="F306" i="33"/>
  <c r="D306" i="33"/>
  <c r="H306" i="33"/>
  <c r="B307" i="33"/>
  <c r="E306" i="33"/>
  <c r="G306" i="33"/>
  <c r="C306" i="33"/>
  <c r="C307" i="35"/>
  <c r="G307" i="35"/>
  <c r="E307" i="35"/>
  <c r="B308" i="35"/>
  <c r="D307" i="35"/>
  <c r="H307" i="35"/>
  <c r="F307" i="35"/>
  <c r="F306" i="28"/>
  <c r="D306" i="28"/>
  <c r="H306" i="28"/>
  <c r="B307" i="28"/>
  <c r="E306" i="28"/>
  <c r="C306" i="28"/>
  <c r="G306" i="28"/>
  <c r="E307" i="25"/>
  <c r="B308" i="25"/>
  <c r="C307" i="25"/>
  <c r="G307" i="25"/>
  <c r="D307" i="25"/>
  <c r="F307" i="25"/>
  <c r="H307" i="25"/>
  <c r="F307" i="37"/>
  <c r="D307" i="37"/>
  <c r="H307" i="37"/>
  <c r="B308" i="37"/>
  <c r="C307" i="37"/>
  <c r="E307" i="37"/>
  <c r="G307" i="37"/>
  <c r="C308" i="37"/>
  <c r="G308" i="37"/>
  <c r="E308" i="37"/>
  <c r="B309" i="37"/>
  <c r="D308" i="37"/>
  <c r="F308" i="37"/>
  <c r="H308" i="37"/>
  <c r="C307" i="33"/>
  <c r="G307" i="33"/>
  <c r="E307" i="33"/>
  <c r="B308" i="33"/>
  <c r="F307" i="33"/>
  <c r="H307" i="33"/>
  <c r="D307" i="33"/>
  <c r="F308" i="25"/>
  <c r="D308" i="25"/>
  <c r="H308" i="25"/>
  <c r="C308" i="25"/>
  <c r="E308" i="25"/>
  <c r="G308" i="25"/>
  <c r="B309" i="25"/>
  <c r="D308" i="35"/>
  <c r="H308" i="35"/>
  <c r="F308" i="35"/>
  <c r="E308" i="35"/>
  <c r="B309" i="35"/>
  <c r="C308" i="35"/>
  <c r="G308" i="35"/>
  <c r="C307" i="28"/>
  <c r="G307" i="28"/>
  <c r="E307" i="28"/>
  <c r="B308" i="28"/>
  <c r="F307" i="28"/>
  <c r="D307" i="28"/>
  <c r="H307" i="28"/>
  <c r="D308" i="28"/>
  <c r="H308" i="28"/>
  <c r="F308" i="28"/>
  <c r="C308" i="28"/>
  <c r="G308" i="28"/>
  <c r="E308" i="28"/>
  <c r="B309" i="28"/>
  <c r="D309" i="37"/>
  <c r="H309" i="37"/>
  <c r="F309" i="37"/>
  <c r="C309" i="37"/>
  <c r="E309" i="37"/>
  <c r="G309" i="37"/>
  <c r="B310" i="37"/>
  <c r="D308" i="33"/>
  <c r="H308" i="33"/>
  <c r="F308" i="33"/>
  <c r="C308" i="33"/>
  <c r="G308" i="33"/>
  <c r="B309" i="33"/>
  <c r="E308" i="33"/>
  <c r="E309" i="35"/>
  <c r="B310" i="35"/>
  <c r="C309" i="35"/>
  <c r="G309" i="35"/>
  <c r="F309" i="35"/>
  <c r="H309" i="35"/>
  <c r="D309" i="35"/>
  <c r="C309" i="25"/>
  <c r="G309" i="25"/>
  <c r="E309" i="25"/>
  <c r="B310" i="25"/>
  <c r="D309" i="25"/>
  <c r="F309" i="25"/>
  <c r="H309" i="25"/>
  <c r="D310" i="25"/>
  <c r="H310" i="25"/>
  <c r="F310" i="25"/>
  <c r="E310" i="25"/>
  <c r="G310" i="25"/>
  <c r="B311" i="25"/>
  <c r="C310" i="25"/>
  <c r="E309" i="33"/>
  <c r="B310" i="33"/>
  <c r="C309" i="33"/>
  <c r="G309" i="33"/>
  <c r="D309" i="33"/>
  <c r="H309" i="33"/>
  <c r="F309" i="33"/>
  <c r="F310" i="35"/>
  <c r="D310" i="35"/>
  <c r="H310" i="35"/>
  <c r="G310" i="35"/>
  <c r="C310" i="35"/>
  <c r="E310" i="35"/>
  <c r="B311" i="35"/>
  <c r="E309" i="28"/>
  <c r="B310" i="28"/>
  <c r="C309" i="28"/>
  <c r="G309" i="28"/>
  <c r="D309" i="28"/>
  <c r="H309" i="28"/>
  <c r="F309" i="28"/>
  <c r="E310" i="37"/>
  <c r="B311" i="37"/>
  <c r="C310" i="37"/>
  <c r="G310" i="37"/>
  <c r="D310" i="37"/>
  <c r="F310" i="37"/>
  <c r="H310" i="37"/>
  <c r="F310" i="28"/>
  <c r="D310" i="28"/>
  <c r="H310" i="28"/>
  <c r="E310" i="28"/>
  <c r="B311" i="28"/>
  <c r="C310" i="28"/>
  <c r="G310" i="28"/>
  <c r="F311" i="37"/>
  <c r="D311" i="37"/>
  <c r="H311" i="37"/>
  <c r="E311" i="37"/>
  <c r="G311" i="37"/>
  <c r="B312" i="37"/>
  <c r="C311" i="37"/>
  <c r="E311" i="25"/>
  <c r="B312" i="25"/>
  <c r="C311" i="25"/>
  <c r="G311" i="25"/>
  <c r="F311" i="25"/>
  <c r="H311" i="25"/>
  <c r="D311" i="25"/>
  <c r="C311" i="35"/>
  <c r="G311" i="35"/>
  <c r="E311" i="35"/>
  <c r="B312" i="35"/>
  <c r="H311" i="35"/>
  <c r="D311" i="35"/>
  <c r="F311" i="35"/>
  <c r="F310" i="33"/>
  <c r="D310" i="33"/>
  <c r="H310" i="33"/>
  <c r="E310" i="33"/>
  <c r="B311" i="33"/>
  <c r="C310" i="33"/>
  <c r="G310" i="33"/>
  <c r="F312" i="25"/>
  <c r="D312" i="25"/>
  <c r="H312" i="25"/>
  <c r="G312" i="25"/>
  <c r="B313" i="25"/>
  <c r="C312" i="25"/>
  <c r="E312" i="25"/>
  <c r="C311" i="33"/>
  <c r="G311" i="33"/>
  <c r="E311" i="33"/>
  <c r="B312" i="33"/>
  <c r="F311" i="33"/>
  <c r="D311" i="33"/>
  <c r="H311" i="33"/>
  <c r="D312" i="35"/>
  <c r="H312" i="35"/>
  <c r="F312" i="35"/>
  <c r="B313" i="35"/>
  <c r="E312" i="35"/>
  <c r="C312" i="35"/>
  <c r="G312" i="35"/>
  <c r="C312" i="37"/>
  <c r="G312" i="37"/>
  <c r="E312" i="37"/>
  <c r="B313" i="37"/>
  <c r="F312" i="37"/>
  <c r="H312" i="37"/>
  <c r="D312" i="37"/>
  <c r="C311" i="28"/>
  <c r="G311" i="28"/>
  <c r="E311" i="28"/>
  <c r="B312" i="28"/>
  <c r="F311" i="28"/>
  <c r="H311" i="28"/>
  <c r="D311" i="28"/>
  <c r="D312" i="28"/>
  <c r="H312" i="28"/>
  <c r="F312" i="28"/>
  <c r="G312" i="28"/>
  <c r="C312" i="28"/>
  <c r="E312" i="28"/>
  <c r="B313" i="28"/>
  <c r="D312" i="33"/>
  <c r="H312" i="33"/>
  <c r="F312" i="33"/>
  <c r="G312" i="33"/>
  <c r="C312" i="33"/>
  <c r="E312" i="33"/>
  <c r="B313" i="33"/>
  <c r="E313" i="35"/>
  <c r="B314" i="35"/>
  <c r="C313" i="35"/>
  <c r="G313" i="35"/>
  <c r="F313" i="35"/>
  <c r="D313" i="35"/>
  <c r="H313" i="35"/>
  <c r="D313" i="37"/>
  <c r="H313" i="37"/>
  <c r="F313" i="37"/>
  <c r="G313" i="37"/>
  <c r="B314" i="37"/>
  <c r="C313" i="37"/>
  <c r="E313" i="37"/>
  <c r="C313" i="25"/>
  <c r="G313" i="25"/>
  <c r="E313" i="25"/>
  <c r="B314" i="25"/>
  <c r="H313" i="25"/>
  <c r="D313" i="25"/>
  <c r="F313" i="25"/>
  <c r="F314" i="35"/>
  <c r="D314" i="35"/>
  <c r="H314" i="35"/>
  <c r="C314" i="35"/>
  <c r="G314" i="35"/>
  <c r="E314" i="35"/>
  <c r="B315" i="35"/>
  <c r="E313" i="28"/>
  <c r="B314" i="28"/>
  <c r="C313" i="28"/>
  <c r="G313" i="28"/>
  <c r="H313" i="28"/>
  <c r="D313" i="28"/>
  <c r="F313" i="28"/>
  <c r="D314" i="25"/>
  <c r="H314" i="25"/>
  <c r="F314" i="25"/>
  <c r="B315" i="25"/>
  <c r="C314" i="25"/>
  <c r="E314" i="25"/>
  <c r="G314" i="25"/>
  <c r="E314" i="37"/>
  <c r="B315" i="37"/>
  <c r="C314" i="37"/>
  <c r="G314" i="37"/>
  <c r="H314" i="37"/>
  <c r="D314" i="37"/>
  <c r="F314" i="37"/>
  <c r="E313" i="33"/>
  <c r="B314" i="33"/>
  <c r="C313" i="33"/>
  <c r="G313" i="33"/>
  <c r="H313" i="33"/>
  <c r="D313" i="33"/>
  <c r="F313" i="33"/>
  <c r="F315" i="37"/>
  <c r="D315" i="37"/>
  <c r="H315" i="37"/>
  <c r="B316" i="37"/>
  <c r="C315" i="37"/>
  <c r="E315" i="37"/>
  <c r="G315" i="37"/>
  <c r="C315" i="35"/>
  <c r="G315" i="35"/>
  <c r="E315" i="35"/>
  <c r="B316" i="35"/>
  <c r="D315" i="35"/>
  <c r="H315" i="35"/>
  <c r="F315" i="35"/>
  <c r="F314" i="33"/>
  <c r="D314" i="33"/>
  <c r="H314" i="33"/>
  <c r="B315" i="33"/>
  <c r="E314" i="33"/>
  <c r="G314" i="33"/>
  <c r="C314" i="33"/>
  <c r="E315" i="25"/>
  <c r="B316" i="25"/>
  <c r="C315" i="25"/>
  <c r="G315" i="25"/>
  <c r="D315" i="25"/>
  <c r="F315" i="25"/>
  <c r="H315" i="25"/>
  <c r="F314" i="28"/>
  <c r="D314" i="28"/>
  <c r="H314" i="28"/>
  <c r="B315" i="28"/>
  <c r="E314" i="28"/>
  <c r="C314" i="28"/>
  <c r="G314" i="28"/>
  <c r="C316" i="37"/>
  <c r="G316" i="37"/>
  <c r="E316" i="37"/>
  <c r="B317" i="37"/>
  <c r="D316" i="37"/>
  <c r="F316" i="37"/>
  <c r="H316" i="37"/>
  <c r="F316" i="25"/>
  <c r="D316" i="25"/>
  <c r="H316" i="25"/>
  <c r="C316" i="25"/>
  <c r="E316" i="25"/>
  <c r="G316" i="25"/>
  <c r="B317" i="25"/>
  <c r="D316" i="35"/>
  <c r="H316" i="35"/>
  <c r="F316" i="35"/>
  <c r="E316" i="35"/>
  <c r="B317" i="35"/>
  <c r="G316" i="35"/>
  <c r="C316" i="35"/>
  <c r="C315" i="28"/>
  <c r="G315" i="28"/>
  <c r="E315" i="28"/>
  <c r="B316" i="28"/>
  <c r="F315" i="28"/>
  <c r="D315" i="28"/>
  <c r="H315" i="28"/>
  <c r="C315" i="33"/>
  <c r="G315" i="33"/>
  <c r="E315" i="33"/>
  <c r="B316" i="33"/>
  <c r="F315" i="33"/>
  <c r="H315" i="33"/>
  <c r="D315" i="33"/>
  <c r="D317" i="37"/>
  <c r="H317" i="37"/>
  <c r="F317" i="37"/>
  <c r="C317" i="37"/>
  <c r="E317" i="37"/>
  <c r="G317" i="37"/>
  <c r="B318" i="37"/>
  <c r="E317" i="35"/>
  <c r="B318" i="35"/>
  <c r="C317" i="35"/>
  <c r="G317" i="35"/>
  <c r="F317" i="35"/>
  <c r="D317" i="35"/>
  <c r="H317" i="35"/>
  <c r="D316" i="33"/>
  <c r="H316" i="33"/>
  <c r="F316" i="33"/>
  <c r="C316" i="33"/>
  <c r="G316" i="33"/>
  <c r="B317" i="33"/>
  <c r="E316" i="33"/>
  <c r="C317" i="25"/>
  <c r="G317" i="25"/>
  <c r="E317" i="25"/>
  <c r="B318" i="25"/>
  <c r="D317" i="25"/>
  <c r="F317" i="25"/>
  <c r="H317" i="25"/>
  <c r="D316" i="28"/>
  <c r="H316" i="28"/>
  <c r="F316" i="28"/>
  <c r="C316" i="28"/>
  <c r="G316" i="28"/>
  <c r="E316" i="28"/>
  <c r="B317" i="28"/>
  <c r="E317" i="33"/>
  <c r="B318" i="33"/>
  <c r="C317" i="33"/>
  <c r="G317" i="33"/>
  <c r="D317" i="33"/>
  <c r="H317" i="33"/>
  <c r="F317" i="33"/>
  <c r="E317" i="28"/>
  <c r="B318" i="28"/>
  <c r="C317" i="28"/>
  <c r="G317" i="28"/>
  <c r="D317" i="28"/>
  <c r="H317" i="28"/>
  <c r="F317" i="28"/>
  <c r="E318" i="37"/>
  <c r="B319" i="37"/>
  <c r="C318" i="37"/>
  <c r="G318" i="37"/>
  <c r="D318" i="37"/>
  <c r="F318" i="37"/>
  <c r="H318" i="37"/>
  <c r="D318" i="25"/>
  <c r="H318" i="25"/>
  <c r="F318" i="25"/>
  <c r="E318" i="25"/>
  <c r="G318" i="25"/>
  <c r="B319" i="25"/>
  <c r="C318" i="25"/>
  <c r="F318" i="35"/>
  <c r="D318" i="35"/>
  <c r="H318" i="35"/>
  <c r="G318" i="35"/>
  <c r="C318" i="35"/>
  <c r="B319" i="35"/>
  <c r="E318" i="35"/>
  <c r="F319" i="37"/>
  <c r="D319" i="37"/>
  <c r="H319" i="37"/>
  <c r="E319" i="37"/>
  <c r="G319" i="37"/>
  <c r="B320" i="37"/>
  <c r="C319" i="37"/>
  <c r="E319" i="25"/>
  <c r="B320" i="25"/>
  <c r="C319" i="25"/>
  <c r="G319" i="25"/>
  <c r="F319" i="25"/>
  <c r="H319" i="25"/>
  <c r="D319" i="25"/>
  <c r="C319" i="35"/>
  <c r="G319" i="35"/>
  <c r="E319" i="35"/>
  <c r="B320" i="35"/>
  <c r="H319" i="35"/>
  <c r="D319" i="35"/>
  <c r="F319" i="35"/>
  <c r="F318" i="33"/>
  <c r="D318" i="33"/>
  <c r="H318" i="33"/>
  <c r="E318" i="33"/>
  <c r="B319" i="33"/>
  <c r="C318" i="33"/>
  <c r="G318" i="33"/>
  <c r="F318" i="28"/>
  <c r="D318" i="28"/>
  <c r="H318" i="28"/>
  <c r="E318" i="28"/>
  <c r="B319" i="28"/>
  <c r="G318" i="28"/>
  <c r="C318" i="28"/>
  <c r="C319" i="33"/>
  <c r="G319" i="33"/>
  <c r="E319" i="33"/>
  <c r="B320" i="33"/>
  <c r="F319" i="33"/>
  <c r="D319" i="33"/>
  <c r="H319" i="33"/>
  <c r="D320" i="35"/>
  <c r="H320" i="35"/>
  <c r="F320" i="35"/>
  <c r="B321" i="35"/>
  <c r="E320" i="35"/>
  <c r="C320" i="35"/>
  <c r="G320" i="35"/>
  <c r="C320" i="37"/>
  <c r="G320" i="37"/>
  <c r="E320" i="37"/>
  <c r="B321" i="37"/>
  <c r="F320" i="37"/>
  <c r="H320" i="37"/>
  <c r="D320" i="37"/>
  <c r="C319" i="28"/>
  <c r="G319" i="28"/>
  <c r="E319" i="28"/>
  <c r="B320" i="28"/>
  <c r="F319" i="28"/>
  <c r="D319" i="28"/>
  <c r="H319" i="28"/>
  <c r="F320" i="25"/>
  <c r="D320" i="25"/>
  <c r="H320" i="25"/>
  <c r="G320" i="25"/>
  <c r="B321" i="25"/>
  <c r="C320" i="25"/>
  <c r="E320" i="25"/>
  <c r="D320" i="33"/>
  <c r="H320" i="33"/>
  <c r="F320" i="33"/>
  <c r="G320" i="33"/>
  <c r="C320" i="33"/>
  <c r="E320" i="33"/>
  <c r="B321" i="33"/>
  <c r="E321" i="35"/>
  <c r="B322" i="35"/>
  <c r="C321" i="35"/>
  <c r="G321" i="35"/>
  <c r="F321" i="35"/>
  <c r="D321" i="35"/>
  <c r="H321" i="35"/>
  <c r="D321" i="37"/>
  <c r="H321" i="37"/>
  <c r="F321" i="37"/>
  <c r="G321" i="37"/>
  <c r="B322" i="37"/>
  <c r="C321" i="37"/>
  <c r="E321" i="37"/>
  <c r="C321" i="25"/>
  <c r="G321" i="25"/>
  <c r="E321" i="25"/>
  <c r="B322" i="25"/>
  <c r="H321" i="25"/>
  <c r="D321" i="25"/>
  <c r="F321" i="25"/>
  <c r="D320" i="28"/>
  <c r="H320" i="28"/>
  <c r="F320" i="28"/>
  <c r="G320" i="28"/>
  <c r="C320" i="28"/>
  <c r="B321" i="28"/>
  <c r="E320" i="28"/>
  <c r="E322" i="37"/>
  <c r="B323" i="37"/>
  <c r="C322" i="37"/>
  <c r="G322" i="37"/>
  <c r="H322" i="37"/>
  <c r="D322" i="37"/>
  <c r="F322" i="37"/>
  <c r="E321" i="33"/>
  <c r="B322" i="33"/>
  <c r="C321" i="33"/>
  <c r="G321" i="33"/>
  <c r="H321" i="33"/>
  <c r="D321" i="33"/>
  <c r="F321" i="33"/>
  <c r="E321" i="28"/>
  <c r="B322" i="28"/>
  <c r="C321" i="28"/>
  <c r="G321" i="28"/>
  <c r="H321" i="28"/>
  <c r="D321" i="28"/>
  <c r="F321" i="28"/>
  <c r="D322" i="25"/>
  <c r="H322" i="25"/>
  <c r="F322" i="25"/>
  <c r="B323" i="25"/>
  <c r="C322" i="25"/>
  <c r="E322" i="25"/>
  <c r="G322" i="25"/>
  <c r="F322" i="35"/>
  <c r="D322" i="35"/>
  <c r="H322" i="35"/>
  <c r="C322" i="35"/>
  <c r="G322" i="35"/>
  <c r="E322" i="35"/>
  <c r="B323" i="35"/>
  <c r="F322" i="28"/>
  <c r="D322" i="28"/>
  <c r="H322" i="28"/>
  <c r="B323" i="28"/>
  <c r="E322" i="28"/>
  <c r="C322" i="28"/>
  <c r="G322" i="28"/>
  <c r="C323" i="35"/>
  <c r="G323" i="35"/>
  <c r="E323" i="35"/>
  <c r="B324" i="35"/>
  <c r="D323" i="35"/>
  <c r="H323" i="35"/>
  <c r="F323" i="35"/>
  <c r="F323" i="37"/>
  <c r="D323" i="37"/>
  <c r="H323" i="37"/>
  <c r="B324" i="37"/>
  <c r="C323" i="37"/>
  <c r="E323" i="37"/>
  <c r="G323" i="37"/>
  <c r="E323" i="25"/>
  <c r="B324" i="25"/>
  <c r="C323" i="25"/>
  <c r="G323" i="25"/>
  <c r="D323" i="25"/>
  <c r="F323" i="25"/>
  <c r="H323" i="25"/>
  <c r="F322" i="33"/>
  <c r="D322" i="33"/>
  <c r="H322" i="33"/>
  <c r="B323" i="33"/>
  <c r="E322" i="33"/>
  <c r="G322" i="33"/>
  <c r="C322" i="33"/>
  <c r="C323" i="33"/>
  <c r="G323" i="33"/>
  <c r="E323" i="33"/>
  <c r="B324" i="33"/>
  <c r="F323" i="33"/>
  <c r="H323" i="33"/>
  <c r="D323" i="33"/>
  <c r="C323" i="28"/>
  <c r="G323" i="28"/>
  <c r="E323" i="28"/>
  <c r="B324" i="28"/>
  <c r="F323" i="28"/>
  <c r="D323" i="28"/>
  <c r="H323" i="28"/>
  <c r="F324" i="25"/>
  <c r="D324" i="25"/>
  <c r="H324" i="25"/>
  <c r="C324" i="25"/>
  <c r="E324" i="25"/>
  <c r="G324" i="25"/>
  <c r="B325" i="25"/>
  <c r="D324" i="35"/>
  <c r="H324" i="35"/>
  <c r="F324" i="35"/>
  <c r="E324" i="35"/>
  <c r="B325" i="35"/>
  <c r="C324" i="35"/>
  <c r="G324" i="35"/>
  <c r="C324" i="37"/>
  <c r="G324" i="37"/>
  <c r="E324" i="37"/>
  <c r="B325" i="37"/>
  <c r="D324" i="37"/>
  <c r="F324" i="37"/>
  <c r="H324" i="37"/>
  <c r="D325" i="37"/>
  <c r="H325" i="37"/>
  <c r="F325" i="37"/>
  <c r="C325" i="37"/>
  <c r="E325" i="37"/>
  <c r="G325" i="37"/>
  <c r="B326" i="37"/>
  <c r="D324" i="33"/>
  <c r="H324" i="33"/>
  <c r="F324" i="33"/>
  <c r="C324" i="33"/>
  <c r="G324" i="33"/>
  <c r="B325" i="33"/>
  <c r="E324" i="33"/>
  <c r="D324" i="28"/>
  <c r="H324" i="28"/>
  <c r="F324" i="28"/>
  <c r="C324" i="28"/>
  <c r="G324" i="28"/>
  <c r="E324" i="28"/>
  <c r="B325" i="28"/>
  <c r="E325" i="35"/>
  <c r="B326" i="35"/>
  <c r="C325" i="35"/>
  <c r="G325" i="35"/>
  <c r="F325" i="35"/>
  <c r="H325" i="35"/>
  <c r="D325" i="35"/>
  <c r="C325" i="25"/>
  <c r="G325" i="25"/>
  <c r="E325" i="25"/>
  <c r="B326" i="25"/>
  <c r="D325" i="25"/>
  <c r="F325" i="25"/>
  <c r="H325" i="25"/>
  <c r="D326" i="25"/>
  <c r="H326" i="25"/>
  <c r="F326" i="25"/>
  <c r="E326" i="25"/>
  <c r="G326" i="25"/>
  <c r="B327" i="25"/>
  <c r="C326" i="25"/>
  <c r="F326" i="35"/>
  <c r="D326" i="35"/>
  <c r="H326" i="35"/>
  <c r="G326" i="35"/>
  <c r="C326" i="35"/>
  <c r="E326" i="35"/>
  <c r="B327" i="35"/>
  <c r="E326" i="37"/>
  <c r="B327" i="37"/>
  <c r="C326" i="37"/>
  <c r="G326" i="37"/>
  <c r="D326" i="37"/>
  <c r="F326" i="37"/>
  <c r="H326" i="37"/>
  <c r="E325" i="28"/>
  <c r="B326" i="28"/>
  <c r="C325" i="28"/>
  <c r="G325" i="28"/>
  <c r="D325" i="28"/>
  <c r="H325" i="28"/>
  <c r="F325" i="28"/>
  <c r="E325" i="33"/>
  <c r="B326" i="33"/>
  <c r="C325" i="33"/>
  <c r="G325" i="33"/>
  <c r="D325" i="33"/>
  <c r="H325" i="33"/>
  <c r="F325" i="33"/>
  <c r="F326" i="33"/>
  <c r="D326" i="33"/>
  <c r="H326" i="33"/>
  <c r="E326" i="33"/>
  <c r="B327" i="33"/>
  <c r="C326" i="33"/>
  <c r="G326" i="33"/>
  <c r="C327" i="35"/>
  <c r="G327" i="35"/>
  <c r="E327" i="35"/>
  <c r="B328" i="35"/>
  <c r="H327" i="35"/>
  <c r="D327" i="35"/>
  <c r="F327" i="35"/>
  <c r="E327" i="25"/>
  <c r="B328" i="25"/>
  <c r="C327" i="25"/>
  <c r="G327" i="25"/>
  <c r="F327" i="25"/>
  <c r="H327" i="25"/>
  <c r="D327" i="25"/>
  <c r="F327" i="37"/>
  <c r="D327" i="37"/>
  <c r="H327" i="37"/>
  <c r="E327" i="37"/>
  <c r="G327" i="37"/>
  <c r="B328" i="37"/>
  <c r="C327" i="37"/>
  <c r="F326" i="28"/>
  <c r="D326" i="28"/>
  <c r="H326" i="28"/>
  <c r="E326" i="28"/>
  <c r="B327" i="28"/>
  <c r="C326" i="28"/>
  <c r="G326" i="28"/>
  <c r="F328" i="25"/>
  <c r="D328" i="25"/>
  <c r="H328" i="25"/>
  <c r="G328" i="25"/>
  <c r="B329" i="25"/>
  <c r="C328" i="25"/>
  <c r="E328" i="25"/>
  <c r="C328" i="37"/>
  <c r="G328" i="37"/>
  <c r="E328" i="37"/>
  <c r="B329" i="37"/>
  <c r="F328" i="37"/>
  <c r="H328" i="37"/>
  <c r="D328" i="37"/>
  <c r="D328" i="35"/>
  <c r="H328" i="35"/>
  <c r="F328" i="35"/>
  <c r="B329" i="35"/>
  <c r="E328" i="35"/>
  <c r="C328" i="35"/>
  <c r="G328" i="35"/>
  <c r="C327" i="28"/>
  <c r="G327" i="28"/>
  <c r="E327" i="28"/>
  <c r="B328" i="28"/>
  <c r="F327" i="28"/>
  <c r="H327" i="28"/>
  <c r="D327" i="28"/>
  <c r="C327" i="33"/>
  <c r="G327" i="33"/>
  <c r="E327" i="33"/>
  <c r="B328" i="33"/>
  <c r="F327" i="33"/>
  <c r="D327" i="33"/>
  <c r="H327" i="33"/>
  <c r="D329" i="37"/>
  <c r="H329" i="37"/>
  <c r="F329" i="37"/>
  <c r="G329" i="37"/>
  <c r="B330" i="37"/>
  <c r="C329" i="37"/>
  <c r="E329" i="37"/>
  <c r="E329" i="35"/>
  <c r="B330" i="35"/>
  <c r="C329" i="35"/>
  <c r="G329" i="35"/>
  <c r="F329" i="35"/>
  <c r="D329" i="35"/>
  <c r="H329" i="35"/>
  <c r="D328" i="33"/>
  <c r="H328" i="33"/>
  <c r="F328" i="33"/>
  <c r="G328" i="33"/>
  <c r="C328" i="33"/>
  <c r="E328" i="33"/>
  <c r="B329" i="33"/>
  <c r="D328" i="28"/>
  <c r="H328" i="28"/>
  <c r="F328" i="28"/>
  <c r="G328" i="28"/>
  <c r="C328" i="28"/>
  <c r="E328" i="28"/>
  <c r="B329" i="28"/>
  <c r="C329" i="25"/>
  <c r="G329" i="25"/>
  <c r="E329" i="25"/>
  <c r="B330" i="25"/>
  <c r="H329" i="25"/>
  <c r="D329" i="25"/>
  <c r="F329" i="25"/>
  <c r="E329" i="28"/>
  <c r="B330" i="28"/>
  <c r="C329" i="28"/>
  <c r="G329" i="28"/>
  <c r="H329" i="28"/>
  <c r="D329" i="28"/>
  <c r="F329" i="28"/>
  <c r="D330" i="25"/>
  <c r="H330" i="25"/>
  <c r="F330" i="25"/>
  <c r="B331" i="25"/>
  <c r="C330" i="25"/>
  <c r="E330" i="25"/>
  <c r="G330" i="25"/>
  <c r="E329" i="33"/>
  <c r="B330" i="33"/>
  <c r="C329" i="33"/>
  <c r="G329" i="33"/>
  <c r="H329" i="33"/>
  <c r="D329" i="33"/>
  <c r="F329" i="33"/>
  <c r="F330" i="35"/>
  <c r="D330" i="35"/>
  <c r="H330" i="35"/>
  <c r="C330" i="35"/>
  <c r="G330" i="35"/>
  <c r="E330" i="35"/>
  <c r="B331" i="35"/>
  <c r="E330" i="37"/>
  <c r="B331" i="37"/>
  <c r="C330" i="37"/>
  <c r="G330" i="37"/>
  <c r="H330" i="37"/>
  <c r="D330" i="37"/>
  <c r="F330" i="37"/>
  <c r="C331" i="35"/>
  <c r="G331" i="35"/>
  <c r="E331" i="35"/>
  <c r="B332" i="35"/>
  <c r="D331" i="35"/>
  <c r="H331" i="35"/>
  <c r="F331" i="35"/>
  <c r="E331" i="25"/>
  <c r="B332" i="25"/>
  <c r="C331" i="25"/>
  <c r="G331" i="25"/>
  <c r="D331" i="25"/>
  <c r="F331" i="25"/>
  <c r="H331" i="25"/>
  <c r="F331" i="37"/>
  <c r="D331" i="37"/>
  <c r="H331" i="37"/>
  <c r="B332" i="37"/>
  <c r="C331" i="37"/>
  <c r="E331" i="37"/>
  <c r="G331" i="37"/>
  <c r="F330" i="28"/>
  <c r="D330" i="28"/>
  <c r="H330" i="28"/>
  <c r="B331" i="28"/>
  <c r="E330" i="28"/>
  <c r="C330" i="28"/>
  <c r="G330" i="28"/>
  <c r="F330" i="33"/>
  <c r="D330" i="33"/>
  <c r="H330" i="33"/>
  <c r="B331" i="33"/>
  <c r="E330" i="33"/>
  <c r="G330" i="33"/>
  <c r="C330" i="33"/>
  <c r="C331" i="33"/>
  <c r="G331" i="33"/>
  <c r="E331" i="33"/>
  <c r="B332" i="33"/>
  <c r="F331" i="33"/>
  <c r="H331" i="33"/>
  <c r="D331" i="33"/>
  <c r="C332" i="37"/>
  <c r="G332" i="37"/>
  <c r="E332" i="37"/>
  <c r="B333" i="37"/>
  <c r="D332" i="37"/>
  <c r="F332" i="37"/>
  <c r="H332" i="37"/>
  <c r="D332" i="35"/>
  <c r="H332" i="35"/>
  <c r="F332" i="35"/>
  <c r="E332" i="35"/>
  <c r="B333" i="35"/>
  <c r="G332" i="35"/>
  <c r="C332" i="35"/>
  <c r="C331" i="28"/>
  <c r="G331" i="28"/>
  <c r="E331" i="28"/>
  <c r="B332" i="28"/>
  <c r="F331" i="28"/>
  <c r="D331" i="28"/>
  <c r="H331" i="28"/>
  <c r="F332" i="25"/>
  <c r="D332" i="25"/>
  <c r="H332" i="25"/>
  <c r="C332" i="25"/>
  <c r="E332" i="25"/>
  <c r="G332" i="25"/>
  <c r="B333" i="25"/>
  <c r="C333" i="25"/>
  <c r="G333" i="25"/>
  <c r="E333" i="25"/>
  <c r="B334" i="25"/>
  <c r="D333" i="25"/>
  <c r="F333" i="25"/>
  <c r="H333" i="25"/>
  <c r="E333" i="35"/>
  <c r="B334" i="35"/>
  <c r="C333" i="35"/>
  <c r="G333" i="35"/>
  <c r="F333" i="35"/>
  <c r="D333" i="35"/>
  <c r="H333" i="35"/>
  <c r="D333" i="37"/>
  <c r="H333" i="37"/>
  <c r="F333" i="37"/>
  <c r="C333" i="37"/>
  <c r="E333" i="37"/>
  <c r="G333" i="37"/>
  <c r="B334" i="37"/>
  <c r="D332" i="33"/>
  <c r="H332" i="33"/>
  <c r="F332" i="33"/>
  <c r="C332" i="33"/>
  <c r="G332" i="33"/>
  <c r="B333" i="33"/>
  <c r="E332" i="33"/>
  <c r="D332" i="28"/>
  <c r="H332" i="28"/>
  <c r="F332" i="28"/>
  <c r="C332" i="28"/>
  <c r="G332" i="28"/>
  <c r="E332" i="28"/>
  <c r="B333" i="28"/>
  <c r="D334" i="25"/>
  <c r="H334" i="25"/>
  <c r="F334" i="25"/>
  <c r="E334" i="25"/>
  <c r="G334" i="25"/>
  <c r="B335" i="25"/>
  <c r="C334" i="25"/>
  <c r="E333" i="28"/>
  <c r="B334" i="28"/>
  <c r="C333" i="28"/>
  <c r="G333" i="28"/>
  <c r="D333" i="28"/>
  <c r="H333" i="28"/>
  <c r="F333" i="28"/>
  <c r="E333" i="33"/>
  <c r="B334" i="33"/>
  <c r="C333" i="33"/>
  <c r="G333" i="33"/>
  <c r="D333" i="33"/>
  <c r="H333" i="33"/>
  <c r="F333" i="33"/>
  <c r="E334" i="37"/>
  <c r="B335" i="37"/>
  <c r="C334" i="37"/>
  <c r="G334" i="37"/>
  <c r="D334" i="37"/>
  <c r="F334" i="37"/>
  <c r="H334" i="37"/>
  <c r="F334" i="35"/>
  <c r="D334" i="35"/>
  <c r="H334" i="35"/>
  <c r="G334" i="35"/>
  <c r="C334" i="35"/>
  <c r="B335" i="35"/>
  <c r="E334" i="35"/>
  <c r="F334" i="33"/>
  <c r="D334" i="33"/>
  <c r="H334" i="33"/>
  <c r="E334" i="33"/>
  <c r="B335" i="33"/>
  <c r="C334" i="33"/>
  <c r="G334" i="33"/>
  <c r="F335" i="37"/>
  <c r="D335" i="37"/>
  <c r="H335" i="37"/>
  <c r="E335" i="37"/>
  <c r="G335" i="37"/>
  <c r="B336" i="37"/>
  <c r="C335" i="37"/>
  <c r="C335" i="35"/>
  <c r="G335" i="35"/>
  <c r="E335" i="35"/>
  <c r="B336" i="35"/>
  <c r="H335" i="35"/>
  <c r="D335" i="35"/>
  <c r="F335" i="35"/>
  <c r="E335" i="25"/>
  <c r="B336" i="25"/>
  <c r="C335" i="25"/>
  <c r="G335" i="25"/>
  <c r="F335" i="25"/>
  <c r="H335" i="25"/>
  <c r="D335" i="25"/>
  <c r="F334" i="28"/>
  <c r="D334" i="28"/>
  <c r="H334" i="28"/>
  <c r="E334" i="28"/>
  <c r="B335" i="28"/>
  <c r="G334" i="28"/>
  <c r="C334" i="28"/>
  <c r="F336" i="25"/>
  <c r="D336" i="25"/>
  <c r="H336" i="25"/>
  <c r="G336" i="25"/>
  <c r="B337" i="25"/>
  <c r="C336" i="25"/>
  <c r="E336" i="25"/>
  <c r="D336" i="35"/>
  <c r="H336" i="35"/>
  <c r="F336" i="35"/>
  <c r="B337" i="35"/>
  <c r="E336" i="35"/>
  <c r="C336" i="35"/>
  <c r="G336" i="35"/>
  <c r="C335" i="28"/>
  <c r="G335" i="28"/>
  <c r="E335" i="28"/>
  <c r="B336" i="28"/>
  <c r="F335" i="28"/>
  <c r="D335" i="28"/>
  <c r="H335" i="28"/>
  <c r="C336" i="37"/>
  <c r="G336" i="37"/>
  <c r="E336" i="37"/>
  <c r="B337" i="37"/>
  <c r="F336" i="37"/>
  <c r="H336" i="37"/>
  <c r="D336" i="37"/>
  <c r="C335" i="33"/>
  <c r="G335" i="33"/>
  <c r="E335" i="33"/>
  <c r="B336" i="33"/>
  <c r="F335" i="33"/>
  <c r="D335" i="33"/>
  <c r="H335" i="33"/>
  <c r="F336" i="33"/>
  <c r="E336" i="33"/>
  <c r="C336" i="33"/>
  <c r="H336" i="33"/>
  <c r="B337" i="33"/>
  <c r="D336" i="33"/>
  <c r="G336" i="33"/>
  <c r="E337" i="35"/>
  <c r="B338" i="35"/>
  <c r="C337" i="35"/>
  <c r="G337" i="35"/>
  <c r="F337" i="35"/>
  <c r="D337" i="35"/>
  <c r="H337" i="35"/>
  <c r="D336" i="28"/>
  <c r="H336" i="28"/>
  <c r="F336" i="28"/>
  <c r="G336" i="28"/>
  <c r="C336" i="28"/>
  <c r="B337" i="28"/>
  <c r="E336" i="28"/>
  <c r="D337" i="37"/>
  <c r="H337" i="37"/>
  <c r="F337" i="37"/>
  <c r="G337" i="37"/>
  <c r="B338" i="37"/>
  <c r="C337" i="37"/>
  <c r="E337" i="37"/>
  <c r="C337" i="25"/>
  <c r="G337" i="25"/>
  <c r="E337" i="25"/>
  <c r="B338" i="25"/>
  <c r="H337" i="25"/>
  <c r="D337" i="25"/>
  <c r="F337" i="25"/>
  <c r="E337" i="28"/>
  <c r="B338" i="28"/>
  <c r="C337" i="28"/>
  <c r="G337" i="28"/>
  <c r="H337" i="28"/>
  <c r="D337" i="28"/>
  <c r="F337" i="28"/>
  <c r="E338" i="37"/>
  <c r="B339" i="37"/>
  <c r="C338" i="37"/>
  <c r="G338" i="37"/>
  <c r="H338" i="37"/>
  <c r="D338" i="37"/>
  <c r="F338" i="37"/>
  <c r="D338" i="25"/>
  <c r="H338" i="25"/>
  <c r="F338" i="25"/>
  <c r="B339" i="25"/>
  <c r="C338" i="25"/>
  <c r="E338" i="25"/>
  <c r="G338" i="25"/>
  <c r="F338" i="35"/>
  <c r="D338" i="35"/>
  <c r="H338" i="35"/>
  <c r="C338" i="35"/>
  <c r="G338" i="35"/>
  <c r="E338" i="35"/>
  <c r="B339" i="35"/>
  <c r="C337" i="33"/>
  <c r="G337" i="33"/>
  <c r="D337" i="33"/>
  <c r="B338" i="33"/>
  <c r="F337" i="33"/>
  <c r="H337" i="33"/>
  <c r="E337" i="33"/>
  <c r="D338" i="33"/>
  <c r="H338" i="33"/>
  <c r="G338" i="33"/>
  <c r="E338" i="33"/>
  <c r="F338" i="33"/>
  <c r="C338" i="33"/>
  <c r="B339" i="33"/>
  <c r="E339" i="25"/>
  <c r="B340" i="25"/>
  <c r="C339" i="25"/>
  <c r="G339" i="25"/>
  <c r="D339" i="25"/>
  <c r="F339" i="25"/>
  <c r="H339" i="25"/>
  <c r="F338" i="28"/>
  <c r="D338" i="28"/>
  <c r="H338" i="28"/>
  <c r="B339" i="28"/>
  <c r="E338" i="28"/>
  <c r="C338" i="28"/>
  <c r="G338" i="28"/>
  <c r="C339" i="35"/>
  <c r="G339" i="35"/>
  <c r="E339" i="35"/>
  <c r="B340" i="35"/>
  <c r="D339" i="35"/>
  <c r="H339" i="35"/>
  <c r="F339" i="35"/>
  <c r="F339" i="37"/>
  <c r="D339" i="37"/>
  <c r="H339" i="37"/>
  <c r="B340" i="37"/>
  <c r="C339" i="37"/>
  <c r="E339" i="37"/>
  <c r="G339" i="37"/>
  <c r="E339" i="33"/>
  <c r="B340" i="33"/>
  <c r="F339" i="33"/>
  <c r="C339" i="33"/>
  <c r="H339" i="33"/>
  <c r="D339" i="33"/>
  <c r="G339" i="33"/>
  <c r="C339" i="28"/>
  <c r="G339" i="28"/>
  <c r="E339" i="28"/>
  <c r="B340" i="28"/>
  <c r="F339" i="28"/>
  <c r="D339" i="28"/>
  <c r="H339" i="28"/>
  <c r="C340" i="37"/>
  <c r="G340" i="37"/>
  <c r="E340" i="37"/>
  <c r="B341" i="37"/>
  <c r="D340" i="37"/>
  <c r="F340" i="37"/>
  <c r="H340" i="37"/>
  <c r="D340" i="35"/>
  <c r="H340" i="35"/>
  <c r="F340" i="35"/>
  <c r="E340" i="35"/>
  <c r="B341" i="35"/>
  <c r="C340" i="35"/>
  <c r="G340" i="35"/>
  <c r="F340" i="25"/>
  <c r="D340" i="25"/>
  <c r="H340" i="25"/>
  <c r="C340" i="25"/>
  <c r="E340" i="25"/>
  <c r="G340" i="25"/>
  <c r="B341" i="25"/>
  <c r="C341" i="25"/>
  <c r="G341" i="25"/>
  <c r="E341" i="25"/>
  <c r="B342" i="25"/>
  <c r="D341" i="25"/>
  <c r="F341" i="25"/>
  <c r="H341" i="25"/>
  <c r="E341" i="35"/>
  <c r="B342" i="35"/>
  <c r="C341" i="35"/>
  <c r="G341" i="35"/>
  <c r="F341" i="35"/>
  <c r="H341" i="35"/>
  <c r="D341" i="35"/>
  <c r="D341" i="37"/>
  <c r="H341" i="37"/>
  <c r="F341" i="37"/>
  <c r="C341" i="37"/>
  <c r="E341" i="37"/>
  <c r="G341" i="37"/>
  <c r="B342" i="37"/>
  <c r="F340" i="33"/>
  <c r="D340" i="33"/>
  <c r="B341" i="33"/>
  <c r="G340" i="33"/>
  <c r="C340" i="33"/>
  <c r="H340" i="33"/>
  <c r="E340" i="33"/>
  <c r="D340" i="28"/>
  <c r="H340" i="28"/>
  <c r="F340" i="28"/>
  <c r="C340" i="28"/>
  <c r="G340" i="28"/>
  <c r="E340" i="28"/>
  <c r="B341" i="28"/>
  <c r="C341" i="33"/>
  <c r="G341" i="33"/>
  <c r="H341" i="33"/>
  <c r="E341" i="33"/>
  <c r="F341" i="33"/>
  <c r="D341" i="33"/>
  <c r="B342" i="33"/>
  <c r="D342" i="25"/>
  <c r="H342" i="25"/>
  <c r="F342" i="25"/>
  <c r="E342" i="25"/>
  <c r="G342" i="25"/>
  <c r="B343" i="25"/>
  <c r="C342" i="25"/>
  <c r="E341" i="28"/>
  <c r="B342" i="28"/>
  <c r="C341" i="28"/>
  <c r="G341" i="28"/>
  <c r="D341" i="28"/>
  <c r="H341" i="28"/>
  <c r="F341" i="28"/>
  <c r="E342" i="37"/>
  <c r="B343" i="37"/>
  <c r="C342" i="37"/>
  <c r="G342" i="37"/>
  <c r="D342" i="37"/>
  <c r="F342" i="37"/>
  <c r="H342" i="37"/>
  <c r="F342" i="35"/>
  <c r="D342" i="35"/>
  <c r="H342" i="35"/>
  <c r="G342" i="35"/>
  <c r="C342" i="35"/>
  <c r="E342" i="35"/>
  <c r="B343" i="35"/>
  <c r="F342" i="28"/>
  <c r="D342" i="28"/>
  <c r="H342" i="28"/>
  <c r="E342" i="28"/>
  <c r="B343" i="28"/>
  <c r="C342" i="28"/>
  <c r="G342" i="28"/>
  <c r="C343" i="35"/>
  <c r="G343" i="35"/>
  <c r="E343" i="35"/>
  <c r="B344" i="35"/>
  <c r="H343" i="35"/>
  <c r="D343" i="35"/>
  <c r="F343" i="35"/>
  <c r="F343" i="37"/>
  <c r="D343" i="37"/>
  <c r="H343" i="37"/>
  <c r="E343" i="37"/>
  <c r="G343" i="37"/>
  <c r="B344" i="37"/>
  <c r="C343" i="37"/>
  <c r="D342" i="33"/>
  <c r="H342" i="33"/>
  <c r="F342" i="33"/>
  <c r="C342" i="33"/>
  <c r="B343" i="33"/>
  <c r="E342" i="33"/>
  <c r="G342" i="33"/>
  <c r="E343" i="25"/>
  <c r="B344" i="25"/>
  <c r="C343" i="25"/>
  <c r="G343" i="25"/>
  <c r="F343" i="25"/>
  <c r="H343" i="25"/>
  <c r="D343" i="25"/>
  <c r="F344" i="25"/>
  <c r="D344" i="25"/>
  <c r="H344" i="25"/>
  <c r="G344" i="25"/>
  <c r="B345" i="25"/>
  <c r="C344" i="25"/>
  <c r="E344" i="25"/>
  <c r="E343" i="33"/>
  <c r="B344" i="33"/>
  <c r="D343" i="33"/>
  <c r="G343" i="33"/>
  <c r="C343" i="33"/>
  <c r="H343" i="33"/>
  <c r="F343" i="33"/>
  <c r="C343" i="28"/>
  <c r="G343" i="28"/>
  <c r="E343" i="28"/>
  <c r="B344" i="28"/>
  <c r="F343" i="28"/>
  <c r="H343" i="28"/>
  <c r="D343" i="28"/>
  <c r="C344" i="37"/>
  <c r="G344" i="37"/>
  <c r="E344" i="37"/>
  <c r="B345" i="37"/>
  <c r="F344" i="37"/>
  <c r="H344" i="37"/>
  <c r="D344" i="37"/>
  <c r="D344" i="35"/>
  <c r="H344" i="35"/>
  <c r="F344" i="35"/>
  <c r="B345" i="35"/>
  <c r="E344" i="35"/>
  <c r="C344" i="35"/>
  <c r="G344" i="35"/>
  <c r="D344" i="28"/>
  <c r="H344" i="28"/>
  <c r="F344" i="28"/>
  <c r="G344" i="28"/>
  <c r="C344" i="28"/>
  <c r="E344" i="28"/>
  <c r="B345" i="28"/>
  <c r="D345" i="37"/>
  <c r="H345" i="37"/>
  <c r="F345" i="37"/>
  <c r="G345" i="37"/>
  <c r="B346" i="37"/>
  <c r="C345" i="37"/>
  <c r="E345" i="37"/>
  <c r="F344" i="33"/>
  <c r="C344" i="33"/>
  <c r="H344" i="33"/>
  <c r="E344" i="33"/>
  <c r="G344" i="33"/>
  <c r="D344" i="33"/>
  <c r="B345" i="33"/>
  <c r="C345" i="25"/>
  <c r="G345" i="25"/>
  <c r="E345" i="25"/>
  <c r="B346" i="25"/>
  <c r="H345" i="25"/>
  <c r="D345" i="25"/>
  <c r="F345" i="25"/>
  <c r="E345" i="35"/>
  <c r="B346" i="35"/>
  <c r="C345" i="35"/>
  <c r="G345" i="35"/>
  <c r="F345" i="35"/>
  <c r="D345" i="35"/>
  <c r="H345" i="35"/>
  <c r="F346" i="35"/>
  <c r="D346" i="35"/>
  <c r="H346" i="35"/>
  <c r="C346" i="35"/>
  <c r="G346" i="35"/>
  <c r="E346" i="35"/>
  <c r="B347" i="35"/>
  <c r="D346" i="25"/>
  <c r="H346" i="25"/>
  <c r="F346" i="25"/>
  <c r="B347" i="25"/>
  <c r="C346" i="25"/>
  <c r="E346" i="25"/>
  <c r="G346" i="25"/>
  <c r="C345" i="33"/>
  <c r="G345" i="33"/>
  <c r="F345" i="33"/>
  <c r="D345" i="33"/>
  <c r="B346" i="33"/>
  <c r="E345" i="33"/>
  <c r="H345" i="33"/>
  <c r="E346" i="37"/>
  <c r="B347" i="37"/>
  <c r="C346" i="37"/>
  <c r="G346" i="37"/>
  <c r="H346" i="37"/>
  <c r="D346" i="37"/>
  <c r="F346" i="37"/>
  <c r="E345" i="28"/>
  <c r="B346" i="28"/>
  <c r="C345" i="28"/>
  <c r="G345" i="28"/>
  <c r="H345" i="28"/>
  <c r="D345" i="28"/>
  <c r="F345" i="28"/>
  <c r="F346" i="28"/>
  <c r="D346" i="28"/>
  <c r="H346" i="28"/>
  <c r="B347" i="28"/>
  <c r="E346" i="28"/>
  <c r="C346" i="28"/>
  <c r="G346" i="28"/>
  <c r="F347" i="37"/>
  <c r="D347" i="37"/>
  <c r="H347" i="37"/>
  <c r="B348" i="37"/>
  <c r="C347" i="37"/>
  <c r="E347" i="37"/>
  <c r="G347" i="37"/>
  <c r="D346" i="33"/>
  <c r="H346" i="33"/>
  <c r="E346" i="33"/>
  <c r="G346" i="33"/>
  <c r="C346" i="33"/>
  <c r="B347" i="33"/>
  <c r="F346" i="33"/>
  <c r="E347" i="25"/>
  <c r="B348" i="25"/>
  <c r="C347" i="25"/>
  <c r="G347" i="25"/>
  <c r="D347" i="25"/>
  <c r="F347" i="25"/>
  <c r="H347" i="25"/>
  <c r="C347" i="35"/>
  <c r="G347" i="35"/>
  <c r="E347" i="35"/>
  <c r="B348" i="35"/>
  <c r="D347" i="35"/>
  <c r="H347" i="35"/>
  <c r="F347" i="35"/>
  <c r="D348" i="35"/>
  <c r="H348" i="35"/>
  <c r="F348" i="35"/>
  <c r="E348" i="35"/>
  <c r="B349" i="35"/>
  <c r="G348" i="35"/>
  <c r="C348" i="35"/>
  <c r="E347" i="33"/>
  <c r="B348" i="33"/>
  <c r="C347" i="33"/>
  <c r="H347" i="33"/>
  <c r="F347" i="33"/>
  <c r="G347" i="33"/>
  <c r="D347" i="33"/>
  <c r="C347" i="28"/>
  <c r="G347" i="28"/>
  <c r="E347" i="28"/>
  <c r="B348" i="28"/>
  <c r="F347" i="28"/>
  <c r="D347" i="28"/>
  <c r="H347" i="28"/>
  <c r="F348" i="25"/>
  <c r="D348" i="25"/>
  <c r="H348" i="25"/>
  <c r="C348" i="25"/>
  <c r="E348" i="25"/>
  <c r="G348" i="25"/>
  <c r="B349" i="25"/>
  <c r="C348" i="37"/>
  <c r="G348" i="37"/>
  <c r="E348" i="37"/>
  <c r="B349" i="37"/>
  <c r="D348" i="37"/>
  <c r="F348" i="37"/>
  <c r="H348" i="37"/>
  <c r="D348" i="28"/>
  <c r="H348" i="28"/>
  <c r="F348" i="28"/>
  <c r="C348" i="28"/>
  <c r="G348" i="28"/>
  <c r="E348" i="28"/>
  <c r="B349" i="28"/>
  <c r="F348" i="33"/>
  <c r="G348" i="33"/>
  <c r="D348" i="33"/>
  <c r="B349" i="33"/>
  <c r="E348" i="33"/>
  <c r="C348" i="33"/>
  <c r="H348" i="33"/>
  <c r="E349" i="35"/>
  <c r="B350" i="35"/>
  <c r="C349" i="35"/>
  <c r="G349" i="35"/>
  <c r="F349" i="35"/>
  <c r="D349" i="35"/>
  <c r="H349" i="35"/>
  <c r="D349" i="37"/>
  <c r="H349" i="37"/>
  <c r="F349" i="37"/>
  <c r="C349" i="37"/>
  <c r="E349" i="37"/>
  <c r="G349" i="37"/>
  <c r="B350" i="37"/>
  <c r="C349" i="25"/>
  <c r="G349" i="25"/>
  <c r="E349" i="25"/>
  <c r="B350" i="25"/>
  <c r="D349" i="25"/>
  <c r="F349" i="25"/>
  <c r="H349" i="25"/>
  <c r="D350" i="25"/>
  <c r="H350" i="25"/>
  <c r="F350" i="25"/>
  <c r="E350" i="25"/>
  <c r="G350" i="25"/>
  <c r="B351" i="25"/>
  <c r="C350" i="25"/>
  <c r="E350" i="37"/>
  <c r="B351" i="37"/>
  <c r="C350" i="37"/>
  <c r="G350" i="37"/>
  <c r="D350" i="37"/>
  <c r="F350" i="37"/>
  <c r="H350" i="37"/>
  <c r="F350" i="35"/>
  <c r="D350" i="35"/>
  <c r="H350" i="35"/>
  <c r="G350" i="35"/>
  <c r="C350" i="35"/>
  <c r="B351" i="35"/>
  <c r="E350" i="35"/>
  <c r="C349" i="33"/>
  <c r="G349" i="33"/>
  <c r="E349" i="33"/>
  <c r="H349" i="33"/>
  <c r="D349" i="33"/>
  <c r="B350" i="33"/>
  <c r="F349" i="33"/>
  <c r="E349" i="28"/>
  <c r="B350" i="28"/>
  <c r="C349" i="28"/>
  <c r="G349" i="28"/>
  <c r="D349" i="28"/>
  <c r="H349" i="28"/>
  <c r="F349" i="28"/>
  <c r="F350" i="28"/>
  <c r="D350" i="28"/>
  <c r="H350" i="28"/>
  <c r="E350" i="28"/>
  <c r="B351" i="28"/>
  <c r="G350" i="28"/>
  <c r="C350" i="28"/>
  <c r="E351" i="25"/>
  <c r="B352" i="25"/>
  <c r="C351" i="25"/>
  <c r="G351" i="25"/>
  <c r="F351" i="25"/>
  <c r="H351" i="25"/>
  <c r="D351" i="25"/>
  <c r="F351" i="37"/>
  <c r="D351" i="37"/>
  <c r="H351" i="37"/>
  <c r="E351" i="37"/>
  <c r="G351" i="37"/>
  <c r="B352" i="37"/>
  <c r="C351" i="37"/>
  <c r="C351" i="35"/>
  <c r="G351" i="35"/>
  <c r="E351" i="35"/>
  <c r="B352" i="35"/>
  <c r="H351" i="35"/>
  <c r="D351" i="35"/>
  <c r="F351" i="35"/>
  <c r="D350" i="33"/>
  <c r="H350" i="33"/>
  <c r="C350" i="33"/>
  <c r="B351" i="33"/>
  <c r="F350" i="33"/>
  <c r="G350" i="33"/>
  <c r="E350" i="33"/>
  <c r="D352" i="35"/>
  <c r="H352" i="35"/>
  <c r="F352" i="35"/>
  <c r="B353" i="35"/>
  <c r="E352" i="35"/>
  <c r="C352" i="35"/>
  <c r="G352" i="35"/>
  <c r="F352" i="25"/>
  <c r="D352" i="25"/>
  <c r="H352" i="25"/>
  <c r="G352" i="25"/>
  <c r="B353" i="25"/>
  <c r="C352" i="25"/>
  <c r="E352" i="25"/>
  <c r="C351" i="28"/>
  <c r="G351" i="28"/>
  <c r="E351" i="28"/>
  <c r="B352" i="28"/>
  <c r="F351" i="28"/>
  <c r="D351" i="28"/>
  <c r="H351" i="28"/>
  <c r="E351" i="33"/>
  <c r="B352" i="33"/>
  <c r="G351" i="33"/>
  <c r="D351" i="33"/>
  <c r="F351" i="33"/>
  <c r="C351" i="33"/>
  <c r="H351" i="33"/>
  <c r="C352" i="37"/>
  <c r="G352" i="37"/>
  <c r="E352" i="37"/>
  <c r="B353" i="37"/>
  <c r="F352" i="37"/>
  <c r="H352" i="37"/>
  <c r="D352" i="37"/>
  <c r="D352" i="28"/>
  <c r="H352" i="28"/>
  <c r="F352" i="28"/>
  <c r="G352" i="28"/>
  <c r="C352" i="28"/>
  <c r="B353" i="28"/>
  <c r="E352" i="28"/>
  <c r="D353" i="37"/>
  <c r="H353" i="37"/>
  <c r="F353" i="37"/>
  <c r="G353" i="37"/>
  <c r="B354" i="37"/>
  <c r="C353" i="37"/>
  <c r="E353" i="37"/>
  <c r="C353" i="25"/>
  <c r="G353" i="25"/>
  <c r="E353" i="25"/>
  <c r="B354" i="25"/>
  <c r="H353" i="25"/>
  <c r="D353" i="25"/>
  <c r="F353" i="25"/>
  <c r="E353" i="35"/>
  <c r="B354" i="35"/>
  <c r="C353" i="35"/>
  <c r="G353" i="35"/>
  <c r="F353" i="35"/>
  <c r="D353" i="35"/>
  <c r="H353" i="35"/>
  <c r="F352" i="33"/>
  <c r="E352" i="33"/>
  <c r="C352" i="33"/>
  <c r="H352" i="33"/>
  <c r="D352" i="33"/>
  <c r="B353" i="33"/>
  <c r="G352" i="33"/>
  <c r="C353" i="33"/>
  <c r="G353" i="33"/>
  <c r="D353" i="33"/>
  <c r="B354" i="33"/>
  <c r="F353" i="33"/>
  <c r="H353" i="33"/>
  <c r="E353" i="33"/>
  <c r="D354" i="25"/>
  <c r="H354" i="25"/>
  <c r="F354" i="25"/>
  <c r="B355" i="25"/>
  <c r="C354" i="25"/>
  <c r="E354" i="25"/>
  <c r="G354" i="25"/>
  <c r="E353" i="28"/>
  <c r="B354" i="28"/>
  <c r="C353" i="28"/>
  <c r="G353" i="28"/>
  <c r="H353" i="28"/>
  <c r="D353" i="28"/>
  <c r="F353" i="28"/>
  <c r="E354" i="37"/>
  <c r="B355" i="37"/>
  <c r="C354" i="37"/>
  <c r="G354" i="37"/>
  <c r="H354" i="37"/>
  <c r="D354" i="37"/>
  <c r="F354" i="37"/>
  <c r="F354" i="35"/>
  <c r="D354" i="35"/>
  <c r="H354" i="35"/>
  <c r="C354" i="35"/>
  <c r="G354" i="35"/>
  <c r="E354" i="35"/>
  <c r="B355" i="35"/>
  <c r="F354" i="28"/>
  <c r="D354" i="28"/>
  <c r="H354" i="28"/>
  <c r="B355" i="28"/>
  <c r="E354" i="28"/>
  <c r="C354" i="28"/>
  <c r="G354" i="28"/>
  <c r="D354" i="33"/>
  <c r="H354" i="33"/>
  <c r="G354" i="33"/>
  <c r="E354" i="33"/>
  <c r="F354" i="33"/>
  <c r="C354" i="33"/>
  <c r="B355" i="33"/>
  <c r="C355" i="35"/>
  <c r="G355" i="35"/>
  <c r="E355" i="35"/>
  <c r="B356" i="35"/>
  <c r="D355" i="35"/>
  <c r="H355" i="35"/>
  <c r="F355" i="35"/>
  <c r="F355" i="37"/>
  <c r="D355" i="37"/>
  <c r="H355" i="37"/>
  <c r="B356" i="37"/>
  <c r="C355" i="37"/>
  <c r="E355" i="37"/>
  <c r="G355" i="37"/>
  <c r="E355" i="25"/>
  <c r="B356" i="25"/>
  <c r="C355" i="25"/>
  <c r="G355" i="25"/>
  <c r="D355" i="25"/>
  <c r="F355" i="25"/>
  <c r="H355" i="25"/>
  <c r="F356" i="25"/>
  <c r="D356" i="25"/>
  <c r="H356" i="25"/>
  <c r="C356" i="25"/>
  <c r="E356" i="25"/>
  <c r="G356" i="25"/>
  <c r="B357" i="25"/>
  <c r="D356" i="35"/>
  <c r="H356" i="35"/>
  <c r="F356" i="35"/>
  <c r="E356" i="35"/>
  <c r="B357" i="35"/>
  <c r="C356" i="35"/>
  <c r="G356" i="35"/>
  <c r="E355" i="33"/>
  <c r="B356" i="33"/>
  <c r="F355" i="33"/>
  <c r="C355" i="33"/>
  <c r="H355" i="33"/>
  <c r="D355" i="33"/>
  <c r="G355" i="33"/>
  <c r="C356" i="37"/>
  <c r="G356" i="37"/>
  <c r="E356" i="37"/>
  <c r="B357" i="37"/>
  <c r="D356" i="37"/>
  <c r="F356" i="37"/>
  <c r="H356" i="37"/>
  <c r="C355" i="28"/>
  <c r="G355" i="28"/>
  <c r="E355" i="28"/>
  <c r="B356" i="28"/>
  <c r="F355" i="28"/>
  <c r="D355" i="28"/>
  <c r="H355" i="28"/>
  <c r="D357" i="37"/>
  <c r="H357" i="37"/>
  <c r="F357" i="37"/>
  <c r="C357" i="37"/>
  <c r="E357" i="37"/>
  <c r="G357" i="37"/>
  <c r="B358" i="37"/>
  <c r="D356" i="28"/>
  <c r="H356" i="28"/>
  <c r="F356" i="28"/>
  <c r="C356" i="28"/>
  <c r="G356" i="28"/>
  <c r="E356" i="28"/>
  <c r="B357" i="28"/>
  <c r="F356" i="33"/>
  <c r="D356" i="33"/>
  <c r="B357" i="33"/>
  <c r="G356" i="33"/>
  <c r="H356" i="33"/>
  <c r="C356" i="33"/>
  <c r="E356" i="33"/>
  <c r="E357" i="35"/>
  <c r="B358" i="35"/>
  <c r="C357" i="35"/>
  <c r="G357" i="35"/>
  <c r="F357" i="35"/>
  <c r="H357" i="35"/>
  <c r="D357" i="35"/>
  <c r="C357" i="25"/>
  <c r="G357" i="25"/>
  <c r="E357" i="25"/>
  <c r="B358" i="25"/>
  <c r="D357" i="25"/>
  <c r="F357" i="25"/>
  <c r="H357" i="25"/>
  <c r="E357" i="28"/>
  <c r="B358" i="28"/>
  <c r="C357" i="28"/>
  <c r="G357" i="28"/>
  <c r="D357" i="28"/>
  <c r="H357" i="28"/>
  <c r="F357" i="28"/>
  <c r="C357" i="33"/>
  <c r="G357" i="33"/>
  <c r="H357" i="33"/>
  <c r="E357" i="33"/>
  <c r="F357" i="33"/>
  <c r="D357" i="33"/>
  <c r="B358" i="33"/>
  <c r="D358" i="25"/>
  <c r="H358" i="25"/>
  <c r="F358" i="25"/>
  <c r="E358" i="25"/>
  <c r="G358" i="25"/>
  <c r="B359" i="25"/>
  <c r="C358" i="25"/>
  <c r="F358" i="35"/>
  <c r="D358" i="35"/>
  <c r="H358" i="35"/>
  <c r="G358" i="35"/>
  <c r="C358" i="35"/>
  <c r="E358" i="35"/>
  <c r="B359" i="35"/>
  <c r="E358" i="37"/>
  <c r="B359" i="37"/>
  <c r="C358" i="37"/>
  <c r="G358" i="37"/>
  <c r="D358" i="37"/>
  <c r="F358" i="37"/>
  <c r="H358" i="37"/>
  <c r="F359" i="37"/>
  <c r="D359" i="37"/>
  <c r="H359" i="37"/>
  <c r="E359" i="37"/>
  <c r="G359" i="37"/>
  <c r="B360" i="37"/>
  <c r="C359" i="37"/>
  <c r="D358" i="33"/>
  <c r="H358" i="33"/>
  <c r="F358" i="33"/>
  <c r="C358" i="33"/>
  <c r="B359" i="33"/>
  <c r="E358" i="33"/>
  <c r="G358" i="33"/>
  <c r="F358" i="28"/>
  <c r="D358" i="28"/>
  <c r="H358" i="28"/>
  <c r="E358" i="28"/>
  <c r="B359" i="28"/>
  <c r="C358" i="28"/>
  <c r="G358" i="28"/>
  <c r="C359" i="35"/>
  <c r="G359" i="35"/>
  <c r="E359" i="35"/>
  <c r="B360" i="35"/>
  <c r="H359" i="35"/>
  <c r="D359" i="35"/>
  <c r="F359" i="35"/>
  <c r="E359" i="25"/>
  <c r="B360" i="25"/>
  <c r="C359" i="25"/>
  <c r="G359" i="25"/>
  <c r="F359" i="25"/>
  <c r="H359" i="25"/>
  <c r="D359" i="25"/>
  <c r="F360" i="25"/>
  <c r="D360" i="25"/>
  <c r="H360" i="25"/>
  <c r="G360" i="25"/>
  <c r="B361" i="25"/>
  <c r="C360" i="25"/>
  <c r="E360" i="25"/>
  <c r="C360" i="37"/>
  <c r="G360" i="37"/>
  <c r="E360" i="37"/>
  <c r="B361" i="37"/>
  <c r="F360" i="37"/>
  <c r="H360" i="37"/>
  <c r="D360" i="37"/>
  <c r="D360" i="35"/>
  <c r="H360" i="35"/>
  <c r="F360" i="35"/>
  <c r="B361" i="35"/>
  <c r="E360" i="35"/>
  <c r="C360" i="35"/>
  <c r="G360" i="35"/>
  <c r="E359" i="33"/>
  <c r="B360" i="33"/>
  <c r="D359" i="33"/>
  <c r="G359" i="33"/>
  <c r="H359" i="33"/>
  <c r="C359" i="33"/>
  <c r="F359" i="33"/>
  <c r="C359" i="28"/>
  <c r="G359" i="28"/>
  <c r="E359" i="28"/>
  <c r="B360" i="28"/>
  <c r="F359" i="28"/>
  <c r="H359" i="28"/>
  <c r="D359" i="28"/>
  <c r="E361" i="35"/>
  <c r="B362" i="35"/>
  <c r="C361" i="35"/>
  <c r="G361" i="35"/>
  <c r="F361" i="35"/>
  <c r="D361" i="35"/>
  <c r="H361" i="35"/>
  <c r="C361" i="25"/>
  <c r="G361" i="25"/>
  <c r="E361" i="25"/>
  <c r="B362" i="25"/>
  <c r="H361" i="25"/>
  <c r="D361" i="25"/>
  <c r="F361" i="25"/>
  <c r="D360" i="28"/>
  <c r="H360" i="28"/>
  <c r="F360" i="28"/>
  <c r="G360" i="28"/>
  <c r="C360" i="28"/>
  <c r="E360" i="28"/>
  <c r="B361" i="28"/>
  <c r="F360" i="33"/>
  <c r="C360" i="33"/>
  <c r="H360" i="33"/>
  <c r="E360" i="33"/>
  <c r="G360" i="33"/>
  <c r="D360" i="33"/>
  <c r="B361" i="33"/>
  <c r="D361" i="37"/>
  <c r="H361" i="37"/>
  <c r="F361" i="37"/>
  <c r="G361" i="37"/>
  <c r="B362" i="37"/>
  <c r="C361" i="37"/>
  <c r="E361" i="37"/>
  <c r="F362" i="35"/>
  <c r="D362" i="35"/>
  <c r="H362" i="35"/>
  <c r="C362" i="35"/>
  <c r="G362" i="35"/>
  <c r="E362" i="35"/>
  <c r="B363" i="35"/>
  <c r="E362" i="37"/>
  <c r="B363" i="37"/>
  <c r="C362" i="37"/>
  <c r="G362" i="37"/>
  <c r="H362" i="37"/>
  <c r="D362" i="37"/>
  <c r="F362" i="37"/>
  <c r="E361" i="28"/>
  <c r="B362" i="28"/>
  <c r="C361" i="28"/>
  <c r="G361" i="28"/>
  <c r="H361" i="28"/>
  <c r="D361" i="28"/>
  <c r="F361" i="28"/>
  <c r="C361" i="33"/>
  <c r="G361" i="33"/>
  <c r="F361" i="33"/>
  <c r="D361" i="33"/>
  <c r="B362" i="33"/>
  <c r="E361" i="33"/>
  <c r="H361" i="33"/>
  <c r="D362" i="25"/>
  <c r="H362" i="25"/>
  <c r="F362" i="25"/>
  <c r="B363" i="25"/>
  <c r="C362" i="25"/>
  <c r="E362" i="25"/>
  <c r="G362" i="25"/>
  <c r="D362" i="33"/>
  <c r="H362" i="33"/>
  <c r="E362" i="33"/>
  <c r="G362" i="33"/>
  <c r="B363" i="33"/>
  <c r="C362" i="33"/>
  <c r="F362" i="33"/>
  <c r="F363" i="37"/>
  <c r="D363" i="37"/>
  <c r="H363" i="37"/>
  <c r="B364" i="37"/>
  <c r="C363" i="37"/>
  <c r="E363" i="37"/>
  <c r="G363" i="37"/>
  <c r="E363" i="25"/>
  <c r="B364" i="25"/>
  <c r="C363" i="25"/>
  <c r="G363" i="25"/>
  <c r="D363" i="25"/>
  <c r="F363" i="25"/>
  <c r="H363" i="25"/>
  <c r="F362" i="28"/>
  <c r="D362" i="28"/>
  <c r="H362" i="28"/>
  <c r="B363" i="28"/>
  <c r="E362" i="28"/>
  <c r="C362" i="28"/>
  <c r="G362" i="28"/>
  <c r="C363" i="35"/>
  <c r="G363" i="35"/>
  <c r="E363" i="35"/>
  <c r="B364" i="35"/>
  <c r="D363" i="35"/>
  <c r="H363" i="35"/>
  <c r="F363" i="35"/>
  <c r="C363" i="28"/>
  <c r="G363" i="28"/>
  <c r="E363" i="28"/>
  <c r="B364" i="28"/>
  <c r="F363" i="28"/>
  <c r="D363" i="28"/>
  <c r="H363" i="28"/>
  <c r="E363" i="33"/>
  <c r="B364" i="33"/>
  <c r="C363" i="33"/>
  <c r="H363" i="33"/>
  <c r="F363" i="33"/>
  <c r="G363" i="33"/>
  <c r="D363" i="33"/>
  <c r="D364" i="35"/>
  <c r="H364" i="35"/>
  <c r="F364" i="35"/>
  <c r="E364" i="35"/>
  <c r="B365" i="35"/>
  <c r="G364" i="35"/>
  <c r="C364" i="35"/>
  <c r="F364" i="25"/>
  <c r="D364" i="25"/>
  <c r="H364" i="25"/>
  <c r="C364" i="25"/>
  <c r="E364" i="25"/>
  <c r="G364" i="25"/>
  <c r="B365" i="25"/>
  <c r="C364" i="37"/>
  <c r="G364" i="37"/>
  <c r="E364" i="37"/>
  <c r="B365" i="37"/>
  <c r="D364" i="37"/>
  <c r="F364" i="37"/>
  <c r="H364" i="37"/>
  <c r="F364" i="33"/>
  <c r="G364" i="33"/>
  <c r="D364" i="33"/>
  <c r="B365" i="33"/>
  <c r="E364" i="33"/>
  <c r="H364" i="33"/>
  <c r="C364" i="33"/>
  <c r="D365" i="37"/>
  <c r="H365" i="37"/>
  <c r="F365" i="37"/>
  <c r="C365" i="37"/>
  <c r="E365" i="37"/>
  <c r="G365" i="37"/>
  <c r="B366" i="37"/>
  <c r="C365" i="25"/>
  <c r="G365" i="25"/>
  <c r="E365" i="25"/>
  <c r="B366" i="25"/>
  <c r="D365" i="25"/>
  <c r="F365" i="25"/>
  <c r="H365" i="25"/>
  <c r="D364" i="28"/>
  <c r="H364" i="28"/>
  <c r="F364" i="28"/>
  <c r="C364" i="28"/>
  <c r="G364" i="28"/>
  <c r="E364" i="28"/>
  <c r="B365" i="28"/>
  <c r="E365" i="35"/>
  <c r="B366" i="35"/>
  <c r="C365" i="35"/>
  <c r="G365" i="35"/>
  <c r="F365" i="35"/>
  <c r="D365" i="35"/>
  <c r="H365" i="35"/>
  <c r="F366" i="35"/>
  <c r="D366" i="35"/>
  <c r="H366" i="35"/>
  <c r="G366" i="35"/>
  <c r="C366" i="35"/>
  <c r="B367" i="35"/>
  <c r="E366" i="35"/>
  <c r="D366" i="25"/>
  <c r="H366" i="25"/>
  <c r="F366" i="25"/>
  <c r="E366" i="25"/>
  <c r="G366" i="25"/>
  <c r="B367" i="25"/>
  <c r="C366" i="25"/>
  <c r="E366" i="37"/>
  <c r="B367" i="37"/>
  <c r="C366" i="37"/>
  <c r="G366" i="37"/>
  <c r="D366" i="37"/>
  <c r="F366" i="37"/>
  <c r="H366" i="37"/>
  <c r="E365" i="28"/>
  <c r="B366" i="28"/>
  <c r="C365" i="28"/>
  <c r="G365" i="28"/>
  <c r="D365" i="28"/>
  <c r="H365" i="28"/>
  <c r="F365" i="28"/>
  <c r="C365" i="33"/>
  <c r="G365" i="33"/>
  <c r="E365" i="33"/>
  <c r="H365" i="33"/>
  <c r="B366" i="33"/>
  <c r="D365" i="33"/>
  <c r="F365" i="33"/>
  <c r="C367" i="35"/>
  <c r="G367" i="35"/>
  <c r="E367" i="35"/>
  <c r="B368" i="35"/>
  <c r="H367" i="35"/>
  <c r="D367" i="35"/>
  <c r="F367" i="35"/>
  <c r="D366" i="33"/>
  <c r="H366" i="33"/>
  <c r="C366" i="33"/>
  <c r="B367" i="33"/>
  <c r="F366" i="33"/>
  <c r="G366" i="33"/>
  <c r="E366" i="33"/>
  <c r="E367" i="25"/>
  <c r="B368" i="25"/>
  <c r="C367" i="25"/>
  <c r="G367" i="25"/>
  <c r="F367" i="25"/>
  <c r="H367" i="25"/>
  <c r="D367" i="25"/>
  <c r="F367" i="37"/>
  <c r="D367" i="37"/>
  <c r="H367" i="37"/>
  <c r="E367" i="37"/>
  <c r="G367" i="37"/>
  <c r="B368" i="37"/>
  <c r="C367" i="37"/>
  <c r="F366" i="28"/>
  <c r="D366" i="28"/>
  <c r="H366" i="28"/>
  <c r="E366" i="28"/>
  <c r="B367" i="28"/>
  <c r="G366" i="28"/>
  <c r="C366" i="28"/>
  <c r="C367" i="28"/>
  <c r="G367" i="28"/>
  <c r="E367" i="28"/>
  <c r="B368" i="28"/>
  <c r="F367" i="28"/>
  <c r="D367" i="28"/>
  <c r="H367" i="28"/>
  <c r="F368" i="25"/>
  <c r="D368" i="25"/>
  <c r="H368" i="25"/>
  <c r="G368" i="25"/>
  <c r="B369" i="25"/>
  <c r="C368" i="25"/>
  <c r="E368" i="25"/>
  <c r="D368" i="35"/>
  <c r="H368" i="35"/>
  <c r="F368" i="35"/>
  <c r="B369" i="35"/>
  <c r="E368" i="35"/>
  <c r="C368" i="35"/>
  <c r="G368" i="35"/>
  <c r="C368" i="37"/>
  <c r="G368" i="37"/>
  <c r="E368" i="37"/>
  <c r="B369" i="37"/>
  <c r="F368" i="37"/>
  <c r="H368" i="37"/>
  <c r="D368" i="37"/>
  <c r="E367" i="33"/>
  <c r="B368" i="33"/>
  <c r="G367" i="33"/>
  <c r="D367" i="33"/>
  <c r="F367" i="33"/>
  <c r="H367" i="33"/>
  <c r="C367" i="33"/>
  <c r="F368" i="33"/>
  <c r="E368" i="33"/>
  <c r="C368" i="33"/>
  <c r="H368" i="33"/>
  <c r="B369" i="33"/>
  <c r="D368" i="33"/>
  <c r="G368" i="33"/>
  <c r="E369" i="35"/>
  <c r="B370" i="35"/>
  <c r="C369" i="35"/>
  <c r="G369" i="35"/>
  <c r="F369" i="35"/>
  <c r="D369" i="35"/>
  <c r="H369" i="35"/>
  <c r="D369" i="37"/>
  <c r="H369" i="37"/>
  <c r="F369" i="37"/>
  <c r="G369" i="37"/>
  <c r="B370" i="37"/>
  <c r="C369" i="37"/>
  <c r="E369" i="37"/>
  <c r="C369" i="25"/>
  <c r="G369" i="25"/>
  <c r="E369" i="25"/>
  <c r="B370" i="25"/>
  <c r="H369" i="25"/>
  <c r="D369" i="25"/>
  <c r="F369" i="25"/>
  <c r="D368" i="28"/>
  <c r="H368" i="28"/>
  <c r="F368" i="28"/>
  <c r="G368" i="28"/>
  <c r="C368" i="28"/>
  <c r="B369" i="28"/>
  <c r="E368" i="28"/>
  <c r="E369" i="28"/>
  <c r="B370" i="28"/>
  <c r="C369" i="28"/>
  <c r="G369" i="28"/>
  <c r="H369" i="28"/>
  <c r="D369" i="28"/>
  <c r="F369" i="28"/>
  <c r="D370" i="25"/>
  <c r="H370" i="25"/>
  <c r="F370" i="25"/>
  <c r="B371" i="25"/>
  <c r="C370" i="25"/>
  <c r="E370" i="25"/>
  <c r="G370" i="25"/>
  <c r="F370" i="35"/>
  <c r="D370" i="35"/>
  <c r="H370" i="35"/>
  <c r="C370" i="35"/>
  <c r="G370" i="35"/>
  <c r="E370" i="35"/>
  <c r="B371" i="35"/>
  <c r="C369" i="33"/>
  <c r="G369" i="33"/>
  <c r="D369" i="33"/>
  <c r="B370" i="33"/>
  <c r="F369" i="33"/>
  <c r="H369" i="33"/>
  <c r="E369" i="33"/>
  <c r="E370" i="37"/>
  <c r="B371" i="37"/>
  <c r="C370" i="37"/>
  <c r="G370" i="37"/>
  <c r="H370" i="37"/>
  <c r="D370" i="37"/>
  <c r="F370" i="37"/>
  <c r="F371" i="37"/>
  <c r="D371" i="37"/>
  <c r="H371" i="37"/>
  <c r="C371" i="37"/>
  <c r="E371" i="37"/>
  <c r="G371" i="37"/>
  <c r="F370" i="28"/>
  <c r="D370" i="28"/>
  <c r="H370" i="28"/>
  <c r="B371" i="28"/>
  <c r="E370" i="28"/>
  <c r="C370" i="28"/>
  <c r="G370" i="28"/>
  <c r="D370" i="33"/>
  <c r="H370" i="33"/>
  <c r="G370" i="33"/>
  <c r="E370" i="33"/>
  <c r="F370" i="33"/>
  <c r="B371" i="33"/>
  <c r="C370" i="33"/>
  <c r="C371" i="35"/>
  <c r="G371" i="35"/>
  <c r="E371" i="35"/>
  <c r="D371" i="35"/>
  <c r="H371" i="35"/>
  <c r="F371" i="35"/>
  <c r="E371" i="25"/>
  <c r="C371" i="25"/>
  <c r="G371" i="25"/>
  <c r="D371" i="25"/>
  <c r="F371" i="25"/>
  <c r="H371" i="25"/>
  <c r="E371" i="33"/>
  <c r="F371" i="33"/>
  <c r="C371" i="33"/>
  <c r="H371" i="33"/>
  <c r="D371" i="33"/>
  <c r="G371" i="33"/>
  <c r="C371" i="28"/>
  <c r="G371" i="28"/>
  <c r="E371" i="28"/>
  <c r="F371" i="28"/>
  <c r="D371" i="28"/>
  <c r="H371" i="28"/>
  <c r="B129" i="46"/>
  <c r="Q69" i="29"/>
  <c r="V81" i="34"/>
  <c r="S100" i="34"/>
  <c r="Q100" i="34"/>
  <c r="P100" i="34"/>
  <c r="X102" i="34"/>
  <c r="W105" i="34"/>
  <c r="T94" i="34"/>
  <c r="K93" i="34"/>
  <c r="M93" i="34"/>
  <c r="T93" i="34"/>
  <c r="W76" i="29"/>
  <c r="X77" i="29"/>
  <c r="Y100" i="34"/>
  <c r="U100" i="34"/>
  <c r="V105" i="34"/>
  <c r="R69" i="29"/>
  <c r="S93" i="34"/>
  <c r="R93" i="34"/>
  <c r="I131" i="6"/>
  <c r="J26" i="29"/>
  <c r="E131" i="6"/>
  <c r="S104" i="6"/>
  <c r="S103" i="6"/>
  <c r="S91" i="6"/>
  <c r="S106" i="6"/>
  <c r="H124" i="6"/>
  <c r="G131" i="6"/>
  <c r="H26" i="29"/>
  <c r="T82" i="34"/>
  <c r="S102" i="6"/>
  <c r="S94" i="6"/>
  <c r="S107" i="6"/>
  <c r="F122" i="6"/>
  <c r="S89" i="6"/>
  <c r="S97" i="6"/>
  <c r="Y103" i="34"/>
  <c r="S103" i="34"/>
  <c r="U103" i="34"/>
  <c r="V103" i="34"/>
  <c r="X103" i="34"/>
  <c r="X69" i="29"/>
  <c r="S97" i="34"/>
  <c r="V75" i="29"/>
  <c r="Y75" i="29"/>
  <c r="Y72" i="29"/>
  <c r="U72" i="29"/>
  <c r="S72" i="29"/>
  <c r="Y87" i="34"/>
  <c r="Y108" i="34"/>
  <c r="D27" i="34"/>
  <c r="T103" i="34"/>
  <c r="R72" i="29"/>
  <c r="T72" i="29"/>
  <c r="T70" i="29"/>
  <c r="Y70" i="29"/>
  <c r="S70" i="29"/>
  <c r="R70" i="29"/>
  <c r="X70" i="29"/>
  <c r="O98" i="34"/>
  <c r="R98" i="34"/>
  <c r="Q98" i="34"/>
  <c r="X98" i="34"/>
  <c r="V97" i="34"/>
  <c r="Q97" i="34"/>
  <c r="O97" i="34"/>
  <c r="R97" i="34"/>
  <c r="X97" i="34"/>
  <c r="W97" i="34"/>
  <c r="E19" i="27"/>
  <c r="V76" i="29"/>
  <c r="X76" i="29"/>
  <c r="Y69" i="29"/>
  <c r="T69" i="29"/>
  <c r="S69" i="29"/>
  <c r="U69" i="29"/>
  <c r="P69" i="29"/>
  <c r="V69" i="29"/>
  <c r="L94" i="34"/>
  <c r="Q94" i="34"/>
  <c r="P97" i="34"/>
  <c r="W103" i="34"/>
  <c r="Y104" i="34"/>
  <c r="V104" i="34"/>
  <c r="W104" i="34"/>
  <c r="T104" i="34"/>
  <c r="M94" i="34"/>
  <c r="U75" i="29"/>
  <c r="W69" i="29"/>
  <c r="U97" i="34"/>
  <c r="N97" i="34"/>
  <c r="X107" i="34"/>
  <c r="Y107" i="34"/>
  <c r="V72" i="29"/>
  <c r="X72" i="29"/>
  <c r="X83" i="34"/>
  <c r="V83" i="34"/>
  <c r="Y83" i="34"/>
  <c r="U83" i="34"/>
  <c r="F23" i="27"/>
  <c r="H23" i="27"/>
  <c r="E16" i="27"/>
  <c r="L17" i="1"/>
  <c r="S101" i="34"/>
  <c r="Y101" i="34"/>
  <c r="R101" i="34"/>
  <c r="X101" i="34"/>
  <c r="T101" i="34"/>
  <c r="W101" i="34"/>
  <c r="Q101" i="34"/>
  <c r="U101" i="34"/>
  <c r="W84" i="34"/>
  <c r="X84" i="34"/>
  <c r="Y84" i="34"/>
  <c r="G19" i="27"/>
  <c r="L96" i="34"/>
  <c r="R96" i="34"/>
  <c r="U96" i="34"/>
  <c r="P96" i="34"/>
  <c r="V96" i="34"/>
  <c r="S96" i="34"/>
  <c r="N96" i="34"/>
  <c r="W96" i="34"/>
  <c r="T96" i="34"/>
  <c r="O96" i="34"/>
  <c r="M96" i="34"/>
  <c r="S95" i="34"/>
  <c r="L95" i="34"/>
  <c r="N95" i="34"/>
  <c r="M95" i="34"/>
  <c r="T95" i="34"/>
  <c r="R95" i="34"/>
  <c r="O95" i="34"/>
  <c r="V95" i="34"/>
  <c r="K95" i="34"/>
  <c r="P95" i="34"/>
  <c r="Q95" i="34"/>
  <c r="V71" i="29"/>
  <c r="Q71" i="29"/>
  <c r="T71" i="29"/>
  <c r="R71" i="29"/>
  <c r="U71" i="29"/>
  <c r="X71" i="29"/>
  <c r="Y71" i="29"/>
  <c r="S71" i="29"/>
  <c r="W71" i="29"/>
  <c r="Y102" i="34"/>
  <c r="S102" i="34"/>
  <c r="U102" i="34"/>
  <c r="T102" i="34"/>
  <c r="S17" i="42"/>
  <c r="S17" i="1"/>
  <c r="U73" i="29"/>
  <c r="W73" i="29"/>
  <c r="Y73" i="29"/>
  <c r="V73" i="29"/>
  <c r="S73" i="29"/>
  <c r="X73" i="29"/>
  <c r="U68" i="29"/>
  <c r="R68" i="29"/>
  <c r="W68" i="29"/>
  <c r="Y68" i="29"/>
  <c r="V68" i="29"/>
  <c r="T68" i="29"/>
  <c r="Q68" i="29"/>
  <c r="S68" i="29"/>
  <c r="O68" i="29"/>
  <c r="V102" i="34"/>
  <c r="Y98" i="34"/>
  <c r="T98" i="34"/>
  <c r="N98" i="34"/>
  <c r="U98" i="34"/>
  <c r="W98" i="34"/>
  <c r="V98" i="34"/>
  <c r="U17" i="42"/>
  <c r="U17" i="1"/>
  <c r="M17" i="42"/>
  <c r="M17" i="1"/>
  <c r="E14" i="27"/>
  <c r="E12" i="27"/>
  <c r="F12" i="27"/>
  <c r="E10" i="27"/>
  <c r="E5" i="27"/>
  <c r="W75" i="29"/>
  <c r="X75" i="29"/>
  <c r="W85" i="34"/>
  <c r="X85" i="34"/>
  <c r="S81" i="34"/>
  <c r="W81" i="34"/>
  <c r="T81" i="34"/>
  <c r="X81" i="34"/>
  <c r="O94" i="34"/>
  <c r="U94" i="34"/>
  <c r="R94" i="34"/>
  <c r="S94" i="34"/>
  <c r="P94" i="34"/>
  <c r="J94" i="34"/>
  <c r="BC7" i="43"/>
  <c r="BC9" i="43"/>
  <c r="BN7" i="43"/>
  <c r="BN9" i="43"/>
  <c r="D4" i="43"/>
  <c r="D6" i="43"/>
  <c r="V7" i="43"/>
  <c r="V10" i="43"/>
  <c r="I20" i="43"/>
  <c r="AR7" i="43"/>
  <c r="AR9" i="43"/>
  <c r="AY15" i="43"/>
  <c r="F20" i="43"/>
  <c r="AN15" i="43"/>
  <c r="E20" i="43"/>
  <c r="AG7" i="43"/>
  <c r="AG10" i="43"/>
  <c r="B130" i="46"/>
  <c r="I26" i="29"/>
  <c r="F26" i="29"/>
  <c r="W67" i="29"/>
  <c r="P67" i="29"/>
  <c r="O67" i="29"/>
  <c r="V67" i="29"/>
  <c r="U67" i="29"/>
  <c r="G12" i="27"/>
  <c r="E4" i="43"/>
  <c r="J20" i="43"/>
  <c r="E6" i="43"/>
  <c r="F4" i="43"/>
  <c r="B131" i="46"/>
  <c r="Q63" i="29"/>
  <c r="S63" i="29"/>
  <c r="R63" i="29"/>
  <c r="M63" i="29"/>
  <c r="T63" i="29"/>
  <c r="L63" i="29"/>
  <c r="K64" i="29"/>
  <c r="O64" i="29"/>
  <c r="L64" i="29"/>
  <c r="M64" i="29"/>
  <c r="S64" i="29"/>
  <c r="U64" i="29"/>
  <c r="F6" i="43"/>
  <c r="G15" i="43"/>
  <c r="G4" i="43"/>
  <c r="B132" i="46"/>
  <c r="H4" i="43"/>
  <c r="G6" i="43"/>
  <c r="B23" i="43"/>
  <c r="B133" i="46"/>
  <c r="E132" i="46"/>
  <c r="G132" i="46"/>
  <c r="H132" i="46"/>
  <c r="C132" i="46"/>
  <c r="F132" i="46"/>
  <c r="H6" i="43"/>
  <c r="I4" i="43"/>
  <c r="G133" i="46"/>
  <c r="F133" i="46"/>
  <c r="H133" i="46"/>
  <c r="C133" i="46"/>
  <c r="B134" i="46"/>
  <c r="J4" i="43"/>
  <c r="I6" i="43"/>
  <c r="H134" i="46"/>
  <c r="D134" i="46"/>
  <c r="E134" i="46"/>
  <c r="F134" i="46"/>
  <c r="B135" i="46"/>
  <c r="G134" i="46"/>
  <c r="C134" i="46"/>
  <c r="K4" i="43"/>
  <c r="K6" i="43"/>
  <c r="J6" i="43"/>
  <c r="B136" i="46"/>
  <c r="E135" i="46"/>
  <c r="H135" i="46"/>
  <c r="C135" i="46"/>
  <c r="G135" i="46"/>
  <c r="D135" i="46"/>
  <c r="F135" i="46"/>
  <c r="K5" i="43"/>
  <c r="R15" i="43"/>
  <c r="C20" i="43"/>
  <c r="K7" i="43"/>
  <c r="K8" i="43"/>
  <c r="F136" i="46"/>
  <c r="G136" i="46"/>
  <c r="H136" i="46"/>
  <c r="C136" i="46"/>
  <c r="E136" i="46"/>
  <c r="B137" i="46"/>
  <c r="D136" i="46"/>
  <c r="G137" i="46"/>
  <c r="C137" i="46"/>
  <c r="D137" i="46"/>
  <c r="F137" i="46"/>
  <c r="B138" i="46"/>
  <c r="H137" i="46"/>
  <c r="H138" i="46"/>
  <c r="D138" i="46"/>
  <c r="B139" i="46"/>
  <c r="C138" i="46"/>
  <c r="G138" i="46"/>
  <c r="E138" i="46"/>
  <c r="F138" i="46"/>
  <c r="B140" i="46"/>
  <c r="E139" i="46"/>
  <c r="G139" i="46"/>
  <c r="H139" i="46"/>
  <c r="C139" i="46"/>
  <c r="F139" i="46"/>
  <c r="D139" i="46"/>
  <c r="F140" i="46"/>
  <c r="E140" i="46"/>
  <c r="D140" i="46"/>
  <c r="G140" i="46"/>
  <c r="B141" i="46"/>
  <c r="H140" i="46"/>
  <c r="C140" i="46"/>
  <c r="G141" i="46"/>
  <c r="C141" i="46"/>
  <c r="B142" i="46"/>
  <c r="D141" i="46"/>
  <c r="H141" i="46"/>
  <c r="E141" i="46"/>
  <c r="F141" i="46"/>
  <c r="H142" i="46"/>
  <c r="D142" i="46"/>
  <c r="G142" i="46"/>
  <c r="B143" i="46"/>
  <c r="C142" i="46"/>
  <c r="F142" i="46"/>
  <c r="E142" i="46"/>
  <c r="B144" i="46"/>
  <c r="E143" i="46"/>
  <c r="F143" i="46"/>
  <c r="D143" i="46"/>
  <c r="G143" i="46"/>
  <c r="H143" i="46"/>
  <c r="C143" i="46"/>
  <c r="F144" i="46"/>
  <c r="B145" i="46"/>
  <c r="D144" i="46"/>
  <c r="H144" i="46"/>
  <c r="E144" i="46"/>
  <c r="C144" i="46"/>
  <c r="G144" i="46"/>
  <c r="G145" i="46"/>
  <c r="C145" i="46"/>
  <c r="H145" i="46"/>
  <c r="F145" i="46"/>
  <c r="B146" i="46"/>
  <c r="D145" i="46"/>
  <c r="E145" i="46"/>
  <c r="H146" i="46"/>
  <c r="D146" i="46"/>
  <c r="F146" i="46"/>
  <c r="G146" i="46"/>
  <c r="E146" i="46"/>
  <c r="B147" i="46"/>
  <c r="C146" i="46"/>
  <c r="B148" i="46"/>
  <c r="E147" i="46"/>
  <c r="D147" i="46"/>
  <c r="C147" i="46"/>
  <c r="F147" i="46"/>
  <c r="H147" i="46"/>
  <c r="G147" i="46"/>
  <c r="F148" i="46"/>
  <c r="H148" i="46"/>
  <c r="C148" i="46"/>
  <c r="G148" i="46"/>
  <c r="B149" i="46"/>
  <c r="D148" i="46"/>
  <c r="E148" i="46"/>
  <c r="G149" i="46"/>
  <c r="C149" i="46"/>
  <c r="F149" i="46"/>
  <c r="H149" i="46"/>
  <c r="E149" i="46"/>
  <c r="B150" i="46"/>
  <c r="D149" i="46"/>
  <c r="G150" i="46"/>
  <c r="C150" i="46"/>
  <c r="H150" i="46"/>
  <c r="D150" i="46"/>
  <c r="F150" i="46"/>
  <c r="E150" i="46"/>
  <c r="B151" i="46"/>
  <c r="H151" i="46"/>
  <c r="D151" i="46"/>
  <c r="B152" i="46"/>
  <c r="E151" i="46"/>
  <c r="G151" i="46"/>
  <c r="F151" i="46"/>
  <c r="C151" i="46"/>
  <c r="B153" i="46"/>
  <c r="E152" i="46"/>
  <c r="F152" i="46"/>
  <c r="H152" i="46"/>
  <c r="G152" i="46"/>
  <c r="C152" i="46"/>
  <c r="D152" i="46"/>
  <c r="F153" i="46"/>
  <c r="G153" i="46"/>
  <c r="C153" i="46"/>
  <c r="B154" i="46"/>
  <c r="D153" i="46"/>
  <c r="H153" i="46"/>
  <c r="E153" i="46"/>
  <c r="G154" i="46"/>
  <c r="C154" i="46"/>
  <c r="H154" i="46"/>
  <c r="D154" i="46"/>
  <c r="B155" i="46"/>
  <c r="E154" i="46"/>
  <c r="F154" i="46"/>
  <c r="H155" i="46"/>
  <c r="D155" i="46"/>
  <c r="B156" i="46"/>
  <c r="E155" i="46"/>
  <c r="C155" i="46"/>
  <c r="F155" i="46"/>
  <c r="G155" i="46"/>
  <c r="B157" i="46"/>
  <c r="E156" i="46"/>
  <c r="F156" i="46"/>
  <c r="D156" i="46"/>
  <c r="G156" i="46"/>
  <c r="C156" i="46"/>
  <c r="H156" i="46"/>
  <c r="F157" i="46"/>
  <c r="G157" i="46"/>
  <c r="C157" i="46"/>
  <c r="E157" i="46"/>
  <c r="D157" i="46"/>
  <c r="H157" i="46"/>
  <c r="B158" i="46"/>
  <c r="G158" i="46"/>
  <c r="C158" i="46"/>
  <c r="H158" i="46"/>
  <c r="D158" i="46"/>
  <c r="F158" i="46"/>
  <c r="B159" i="46"/>
  <c r="E158" i="46"/>
  <c r="H159" i="46"/>
  <c r="D159" i="46"/>
  <c r="B160" i="46"/>
  <c r="E159" i="46"/>
  <c r="G159" i="46"/>
  <c r="F159" i="46"/>
  <c r="C159" i="46"/>
  <c r="B161" i="46"/>
  <c r="E160" i="46"/>
  <c r="F160" i="46"/>
  <c r="H160" i="46"/>
  <c r="C160" i="46"/>
  <c r="G160" i="46"/>
  <c r="D160" i="46"/>
  <c r="F161" i="46"/>
  <c r="G161" i="46"/>
  <c r="C161" i="46"/>
  <c r="B162" i="46"/>
  <c r="H161" i="46"/>
  <c r="D161" i="46"/>
  <c r="E161" i="46"/>
  <c r="G162" i="46"/>
  <c r="C162" i="46"/>
  <c r="H162" i="46"/>
  <c r="D162" i="46"/>
  <c r="E162" i="46"/>
  <c r="B163" i="46"/>
  <c r="F162" i="46"/>
  <c r="H163" i="46"/>
  <c r="D163" i="46"/>
  <c r="B164" i="46"/>
  <c r="E163" i="46"/>
  <c r="C163" i="46"/>
  <c r="F163" i="46"/>
  <c r="G163" i="46"/>
  <c r="B165" i="46"/>
  <c r="E164" i="46"/>
  <c r="F164" i="46"/>
  <c r="D164" i="46"/>
  <c r="C164" i="46"/>
  <c r="G164" i="46"/>
  <c r="H164" i="46"/>
  <c r="F165" i="46"/>
  <c r="G165" i="46"/>
  <c r="C165" i="46"/>
  <c r="E165" i="46"/>
  <c r="H165" i="46"/>
  <c r="D165" i="46"/>
  <c r="B166" i="46"/>
  <c r="G166" i="46"/>
  <c r="C166" i="46"/>
  <c r="H166" i="46"/>
  <c r="D166" i="46"/>
  <c r="F166" i="46"/>
  <c r="E166" i="46"/>
  <c r="B167" i="46"/>
  <c r="H167" i="46"/>
  <c r="D167" i="46"/>
  <c r="B168" i="46"/>
  <c r="E167" i="46"/>
  <c r="G167" i="46"/>
  <c r="F167" i="46"/>
  <c r="C167" i="46"/>
  <c r="B169" i="46"/>
  <c r="E168" i="46"/>
  <c r="F168" i="46"/>
  <c r="H168" i="46"/>
  <c r="G168" i="46"/>
  <c r="C168" i="46"/>
  <c r="D168" i="46"/>
  <c r="F169" i="46"/>
  <c r="G169" i="46"/>
  <c r="C169" i="46"/>
  <c r="B170" i="46"/>
  <c r="D169" i="46"/>
  <c r="H169" i="46"/>
  <c r="E169" i="46"/>
  <c r="G170" i="46"/>
  <c r="C170" i="46"/>
  <c r="H170" i="46"/>
  <c r="D170" i="46"/>
  <c r="B171" i="46"/>
  <c r="E170" i="46"/>
  <c r="F170" i="46"/>
  <c r="H171" i="46"/>
  <c r="D171" i="46"/>
  <c r="B172" i="46"/>
  <c r="E171" i="46"/>
  <c r="C171" i="46"/>
  <c r="F171" i="46"/>
  <c r="G171" i="46"/>
  <c r="B173" i="46"/>
  <c r="E172" i="46"/>
  <c r="F172" i="46"/>
  <c r="D172" i="46"/>
  <c r="G172" i="46"/>
  <c r="C172" i="46"/>
  <c r="H172" i="46"/>
  <c r="F173" i="46"/>
  <c r="G173" i="46"/>
  <c r="C173" i="46"/>
  <c r="E173" i="46"/>
  <c r="D173" i="46"/>
  <c r="H173" i="46"/>
  <c r="B174" i="46"/>
  <c r="G174" i="46"/>
  <c r="C174" i="46"/>
  <c r="H174" i="46"/>
  <c r="D174" i="46"/>
  <c r="F174" i="46"/>
  <c r="B175" i="46"/>
  <c r="E174" i="46"/>
  <c r="H175" i="46"/>
  <c r="D175" i="46"/>
  <c r="B176" i="46"/>
  <c r="E175" i="46"/>
  <c r="G175" i="46"/>
  <c r="F175" i="46"/>
  <c r="C175" i="46"/>
  <c r="B177" i="46"/>
  <c r="E176" i="46"/>
  <c r="F176" i="46"/>
  <c r="H176" i="46"/>
  <c r="C176" i="46"/>
  <c r="G176" i="46"/>
  <c r="D176" i="46"/>
  <c r="F177" i="46"/>
  <c r="G177" i="46"/>
  <c r="C177" i="46"/>
  <c r="B178" i="46"/>
  <c r="H177" i="46"/>
  <c r="D177" i="46"/>
  <c r="E177" i="46"/>
  <c r="H178" i="46"/>
  <c r="G178" i="46"/>
  <c r="C178" i="46"/>
  <c r="B179" i="46"/>
  <c r="D178" i="46"/>
  <c r="E178" i="46"/>
  <c r="F178" i="46"/>
  <c r="B180" i="46"/>
  <c r="E179" i="46"/>
  <c r="F179" i="46"/>
  <c r="G179" i="46"/>
  <c r="D179" i="46"/>
  <c r="H179" i="46"/>
  <c r="C179" i="46"/>
  <c r="F180" i="46"/>
  <c r="B181" i="46"/>
  <c r="D180" i="46"/>
  <c r="E180" i="46"/>
  <c r="H180" i="46"/>
  <c r="G180" i="46"/>
  <c r="C180" i="46"/>
  <c r="G181" i="46"/>
  <c r="C181" i="46"/>
  <c r="H181" i="46"/>
  <c r="B182" i="46"/>
  <c r="D181" i="46"/>
  <c r="E181" i="46"/>
  <c r="F181" i="46"/>
  <c r="H182" i="46"/>
  <c r="D182" i="46"/>
  <c r="F182" i="46"/>
  <c r="G182" i="46"/>
  <c r="E182" i="46"/>
  <c r="B183" i="46"/>
  <c r="C182" i="46"/>
  <c r="B184" i="46"/>
  <c r="E183" i="46"/>
  <c r="D183" i="46"/>
  <c r="F183" i="46"/>
  <c r="H183" i="46"/>
  <c r="G183" i="46"/>
  <c r="C183" i="46"/>
  <c r="F184" i="46"/>
  <c r="H184" i="46"/>
  <c r="C184" i="46"/>
  <c r="B185" i="46"/>
  <c r="D184" i="46"/>
  <c r="E184" i="46"/>
  <c r="G184" i="46"/>
  <c r="G185" i="46"/>
  <c r="C185" i="46"/>
  <c r="F185" i="46"/>
  <c r="H185" i="46"/>
  <c r="E185" i="46"/>
  <c r="B186" i="46"/>
  <c r="D185" i="46"/>
  <c r="H186" i="46"/>
  <c r="D186" i="46"/>
  <c r="E186" i="46"/>
  <c r="F186" i="46"/>
  <c r="B187" i="46"/>
  <c r="G186" i="46"/>
  <c r="C186" i="46"/>
  <c r="B188" i="46"/>
  <c r="E187" i="46"/>
  <c r="H187" i="46"/>
  <c r="C187" i="46"/>
  <c r="D187" i="46"/>
  <c r="F187" i="46"/>
  <c r="G187" i="46"/>
  <c r="F188" i="46"/>
  <c r="G188" i="46"/>
  <c r="H188" i="46"/>
  <c r="C188" i="46"/>
  <c r="E188" i="46"/>
  <c r="B189" i="46"/>
  <c r="D188" i="46"/>
  <c r="G189" i="46"/>
  <c r="C189" i="46"/>
  <c r="E189" i="46"/>
  <c r="F189" i="46"/>
  <c r="B190" i="46"/>
  <c r="H189" i="46"/>
  <c r="D189" i="46"/>
  <c r="H190" i="46"/>
  <c r="D190" i="46"/>
  <c r="B191" i="46"/>
  <c r="C190" i="46"/>
  <c r="E190" i="46"/>
  <c r="F190" i="46"/>
  <c r="G190" i="46"/>
  <c r="B192" i="46"/>
  <c r="E191" i="46"/>
  <c r="G191" i="46"/>
  <c r="H191" i="46"/>
  <c r="C191" i="46"/>
  <c r="F191" i="46"/>
  <c r="D191" i="46"/>
  <c r="F192" i="46"/>
  <c r="E192" i="46"/>
  <c r="G192" i="46"/>
  <c r="B193" i="46"/>
  <c r="H192" i="46"/>
  <c r="C192" i="46"/>
  <c r="D192" i="46"/>
  <c r="G193" i="46"/>
  <c r="C193" i="46"/>
  <c r="B194" i="46"/>
  <c r="D193" i="46"/>
  <c r="E193" i="46"/>
  <c r="F193" i="46"/>
  <c r="H193" i="46"/>
  <c r="H194" i="46"/>
  <c r="D194" i="46"/>
  <c r="G194" i="46"/>
  <c r="B195" i="46"/>
  <c r="C194" i="46"/>
  <c r="F194" i="46"/>
  <c r="E194" i="46"/>
  <c r="B196" i="46"/>
  <c r="E195" i="46"/>
  <c r="F195" i="46"/>
  <c r="G195" i="46"/>
  <c r="H195" i="46"/>
  <c r="C195" i="46"/>
  <c r="D195" i="46"/>
  <c r="F196" i="46"/>
  <c r="B197" i="46"/>
  <c r="D196" i="46"/>
  <c r="E196" i="46"/>
  <c r="C196" i="46"/>
  <c r="G196" i="46"/>
  <c r="H196" i="46"/>
  <c r="G197" i="46"/>
  <c r="C197" i="46"/>
  <c r="H197" i="46"/>
  <c r="B198" i="46"/>
  <c r="D197" i="46"/>
  <c r="F197" i="46"/>
  <c r="E197" i="46"/>
  <c r="H198" i="46"/>
  <c r="D198" i="46"/>
  <c r="F198" i="46"/>
  <c r="G198" i="46"/>
  <c r="B199" i="46"/>
  <c r="C198" i="46"/>
  <c r="E198" i="46"/>
  <c r="B200" i="46"/>
  <c r="E199" i="46"/>
  <c r="D199" i="46"/>
  <c r="F199" i="46"/>
  <c r="C199" i="46"/>
  <c r="G199" i="46"/>
  <c r="H199" i="46"/>
  <c r="F200" i="46"/>
  <c r="H200" i="46"/>
  <c r="C200" i="46"/>
  <c r="B201" i="46"/>
  <c r="D200" i="46"/>
  <c r="G200" i="46"/>
  <c r="E200" i="46"/>
  <c r="G201" i="46"/>
  <c r="C201" i="46"/>
  <c r="F201" i="46"/>
  <c r="H201" i="46"/>
  <c r="B202" i="46"/>
  <c r="D201" i="46"/>
  <c r="E201" i="46"/>
  <c r="H202" i="46"/>
  <c r="D202" i="46"/>
  <c r="E202" i="46"/>
  <c r="F202" i="46"/>
  <c r="C202" i="46"/>
  <c r="G202" i="46"/>
  <c r="B203" i="46"/>
  <c r="G203" i="46"/>
  <c r="E203" i="46"/>
  <c r="B204" i="46"/>
  <c r="C203" i="46"/>
  <c r="D203" i="46"/>
  <c r="H203" i="46"/>
  <c r="F203" i="46"/>
  <c r="H204" i="46"/>
  <c r="D204" i="46"/>
  <c r="B205" i="46"/>
  <c r="C204" i="46"/>
  <c r="E204" i="46"/>
  <c r="F204" i="46"/>
  <c r="G204" i="46"/>
  <c r="B206" i="46"/>
  <c r="E205" i="46"/>
  <c r="G205" i="46"/>
  <c r="C205" i="46"/>
  <c r="D205" i="46"/>
  <c r="H205" i="46"/>
  <c r="F205" i="46"/>
  <c r="F206" i="46"/>
  <c r="E206" i="46"/>
  <c r="B207" i="46"/>
  <c r="C206" i="46"/>
  <c r="D206" i="46"/>
  <c r="G206" i="46"/>
  <c r="H206" i="46"/>
  <c r="G207" i="46"/>
  <c r="C207" i="46"/>
  <c r="B208" i="46"/>
  <c r="D207" i="46"/>
  <c r="E207" i="46"/>
  <c r="H207" i="46"/>
  <c r="F207" i="46"/>
  <c r="H208" i="46"/>
  <c r="D208" i="46"/>
  <c r="G208" i="46"/>
  <c r="C208" i="46"/>
  <c r="E208" i="46"/>
  <c r="F208" i="46"/>
  <c r="B209" i="46"/>
  <c r="B210" i="46"/>
  <c r="E209" i="46"/>
  <c r="F209" i="46"/>
  <c r="C209" i="46"/>
  <c r="D209" i="46"/>
  <c r="H209" i="46"/>
  <c r="G209" i="46"/>
  <c r="F210" i="46"/>
  <c r="B211" i="46"/>
  <c r="D210" i="46"/>
  <c r="C210" i="46"/>
  <c r="E210" i="46"/>
  <c r="G210" i="46"/>
  <c r="H210" i="46"/>
  <c r="G211" i="46"/>
  <c r="C211" i="46"/>
  <c r="H211" i="46"/>
  <c r="D211" i="46"/>
  <c r="E211" i="46"/>
  <c r="B212" i="46"/>
  <c r="F211" i="46"/>
  <c r="H212" i="46"/>
  <c r="D212" i="46"/>
  <c r="F212" i="46"/>
  <c r="C212" i="46"/>
  <c r="E212" i="46"/>
  <c r="G212" i="46"/>
  <c r="B213" i="46"/>
  <c r="B214" i="46"/>
  <c r="E213" i="46"/>
  <c r="D213" i="46"/>
  <c r="C213" i="46"/>
  <c r="F213" i="46"/>
  <c r="H213" i="46"/>
  <c r="G213" i="46"/>
  <c r="F214" i="46"/>
  <c r="H214" i="46"/>
  <c r="C214" i="46"/>
  <c r="D214" i="46"/>
  <c r="E214" i="46"/>
  <c r="G214" i="46"/>
  <c r="B215" i="46"/>
  <c r="G215" i="46"/>
  <c r="C215" i="46"/>
  <c r="F215" i="46"/>
  <c r="D215" i="46"/>
  <c r="E215" i="46"/>
  <c r="B216" i="46"/>
  <c r="H215" i="46"/>
  <c r="H216" i="46"/>
  <c r="D216" i="46"/>
  <c r="E216" i="46"/>
  <c r="C216" i="46"/>
  <c r="F216" i="46"/>
  <c r="G216" i="46"/>
  <c r="B217" i="46"/>
  <c r="B218" i="46"/>
  <c r="E217" i="46"/>
  <c r="H217" i="46"/>
  <c r="C217" i="46"/>
  <c r="D217" i="46"/>
  <c r="F217" i="46"/>
  <c r="G217" i="46"/>
  <c r="F218" i="46"/>
  <c r="G218" i="46"/>
  <c r="D218" i="46"/>
  <c r="E218" i="46"/>
  <c r="C218" i="46"/>
  <c r="H218" i="46"/>
  <c r="B219" i="46"/>
  <c r="G219" i="46"/>
  <c r="C219" i="46"/>
  <c r="E219" i="46"/>
  <c r="D219" i="46"/>
  <c r="F219" i="46"/>
  <c r="B220" i="46"/>
  <c r="H219" i="46"/>
  <c r="H220" i="46"/>
  <c r="D220" i="46"/>
  <c r="B221" i="46"/>
  <c r="C220" i="46"/>
  <c r="E220" i="46"/>
  <c r="F220" i="46"/>
  <c r="G220" i="46"/>
  <c r="B222" i="46"/>
  <c r="E221" i="46"/>
  <c r="G221" i="46"/>
  <c r="D221" i="46"/>
  <c r="F221" i="46"/>
  <c r="H221" i="46"/>
  <c r="C221" i="46"/>
  <c r="F222" i="46"/>
  <c r="E222" i="46"/>
  <c r="D222" i="46"/>
  <c r="G222" i="46"/>
  <c r="C222" i="46"/>
  <c r="H222" i="46"/>
  <c r="B223" i="46"/>
  <c r="G223" i="46"/>
  <c r="C223" i="46"/>
  <c r="B224" i="46"/>
  <c r="D223" i="46"/>
  <c r="E223" i="46"/>
  <c r="F223" i="46"/>
  <c r="H223" i="46"/>
  <c r="H224" i="46"/>
  <c r="D224" i="46"/>
  <c r="G224" i="46"/>
  <c r="E224" i="46"/>
  <c r="F224" i="46"/>
  <c r="C224" i="46"/>
  <c r="B225" i="46"/>
  <c r="B226" i="46"/>
  <c r="E225" i="46"/>
  <c r="F225" i="46"/>
  <c r="D225" i="46"/>
  <c r="G225" i="46"/>
  <c r="H225" i="46"/>
  <c r="C225" i="46"/>
  <c r="F226" i="46"/>
  <c r="B227" i="46"/>
  <c r="D226" i="46"/>
  <c r="E226" i="46"/>
  <c r="G226" i="46"/>
  <c r="C226" i="46"/>
  <c r="H226" i="46"/>
  <c r="G227" i="46"/>
  <c r="C227" i="46"/>
  <c r="H227" i="46"/>
  <c r="E227" i="46"/>
  <c r="F227" i="46"/>
  <c r="B228" i="46"/>
  <c r="D227" i="46"/>
  <c r="H228" i="46"/>
  <c r="D228" i="46"/>
  <c r="F228" i="46"/>
  <c r="E228" i="46"/>
  <c r="G228" i="46"/>
  <c r="C228" i="46"/>
  <c r="B229" i="46"/>
  <c r="B230" i="46"/>
  <c r="E229" i="46"/>
  <c r="D229" i="46"/>
  <c r="F229" i="46"/>
  <c r="G229" i="46"/>
  <c r="H229" i="46"/>
  <c r="C229" i="46"/>
  <c r="F230" i="46"/>
  <c r="H230" i="46"/>
  <c r="C230" i="46"/>
  <c r="E230" i="46"/>
  <c r="G230" i="46"/>
  <c r="D230" i="46"/>
  <c r="B231" i="46"/>
  <c r="G231" i="46"/>
  <c r="C231" i="46"/>
  <c r="F231" i="46"/>
  <c r="E231" i="46"/>
  <c r="H231" i="46"/>
  <c r="B232" i="46"/>
  <c r="D231" i="46"/>
  <c r="H232" i="46"/>
  <c r="D232" i="46"/>
  <c r="E232" i="46"/>
  <c r="F232" i="46"/>
  <c r="G232" i="46"/>
  <c r="C232" i="46"/>
  <c r="B233" i="46"/>
  <c r="B234" i="46"/>
  <c r="E233" i="46"/>
  <c r="H233" i="46"/>
  <c r="C233" i="46"/>
  <c r="F233" i="46"/>
  <c r="G233" i="46"/>
  <c r="D233" i="46"/>
  <c r="F234" i="46"/>
  <c r="G234" i="46"/>
  <c r="E234" i="46"/>
  <c r="H234" i="46"/>
  <c r="D234" i="46"/>
  <c r="C234" i="46"/>
  <c r="B235" i="46"/>
  <c r="G235" i="46"/>
  <c r="C235" i="46"/>
  <c r="E235" i="46"/>
  <c r="F235" i="46"/>
  <c r="H235" i="46"/>
  <c r="B236" i="46"/>
  <c r="D235" i="46"/>
  <c r="H236" i="46"/>
  <c r="D236" i="46"/>
  <c r="B237" i="46"/>
  <c r="C236" i="46"/>
  <c r="F236" i="46"/>
  <c r="G236" i="46"/>
  <c r="E236" i="46"/>
  <c r="B238" i="46"/>
  <c r="E237" i="46"/>
  <c r="G237" i="46"/>
  <c r="F237" i="46"/>
  <c r="H237" i="46"/>
  <c r="C237" i="46"/>
  <c r="D237" i="46"/>
  <c r="F238" i="46"/>
  <c r="E238" i="46"/>
  <c r="G238" i="46"/>
  <c r="H238" i="46"/>
  <c r="D238" i="46"/>
  <c r="C238" i="46"/>
  <c r="B239" i="46"/>
  <c r="G239" i="46"/>
  <c r="C239" i="46"/>
  <c r="B240" i="46"/>
  <c r="D239" i="46"/>
  <c r="F239" i="46"/>
  <c r="H239" i="46"/>
  <c r="E239" i="46"/>
  <c r="H240" i="46"/>
  <c r="D240" i="46"/>
  <c r="G240" i="46"/>
  <c r="F240" i="46"/>
  <c r="B241" i="46"/>
  <c r="E240" i="46"/>
  <c r="C240" i="46"/>
  <c r="B242" i="46"/>
  <c r="E241" i="46"/>
  <c r="F241" i="46"/>
  <c r="G241" i="46"/>
  <c r="H241" i="46"/>
  <c r="C241" i="46"/>
  <c r="D241" i="46"/>
  <c r="F242" i="46"/>
  <c r="B243" i="46"/>
  <c r="D242" i="46"/>
  <c r="G242" i="46"/>
  <c r="H242" i="46"/>
  <c r="E242" i="46"/>
  <c r="C242" i="46"/>
  <c r="G243" i="46"/>
  <c r="C243" i="46"/>
  <c r="H243" i="46"/>
  <c r="F243" i="46"/>
  <c r="B244" i="46"/>
  <c r="D243" i="46"/>
  <c r="E243" i="46"/>
  <c r="H244" i="46"/>
  <c r="D244" i="46"/>
  <c r="F244" i="46"/>
  <c r="G244" i="46"/>
  <c r="B245" i="46"/>
  <c r="E244" i="46"/>
  <c r="C244" i="46"/>
  <c r="B246" i="46"/>
  <c r="E245" i="46"/>
  <c r="D245" i="46"/>
  <c r="G245" i="46"/>
  <c r="H245" i="46"/>
  <c r="C245" i="46"/>
  <c r="F245" i="46"/>
  <c r="F246" i="46"/>
  <c r="H246" i="46"/>
  <c r="C246" i="46"/>
  <c r="G246" i="46"/>
  <c r="B247" i="46"/>
  <c r="E246" i="46"/>
  <c r="D246" i="46"/>
  <c r="G247" i="46"/>
  <c r="C247" i="46"/>
  <c r="F247" i="46"/>
  <c r="H247" i="46"/>
  <c r="B248" i="46"/>
  <c r="D247" i="46"/>
  <c r="E247" i="46"/>
  <c r="H248" i="46"/>
  <c r="D248" i="46"/>
  <c r="E248" i="46"/>
  <c r="G248" i="46"/>
  <c r="B249" i="46"/>
  <c r="F248" i="46"/>
  <c r="C248" i="46"/>
  <c r="B250" i="46"/>
  <c r="E249" i="46"/>
  <c r="H249" i="46"/>
  <c r="C249" i="46"/>
  <c r="G249" i="46"/>
  <c r="D249" i="46"/>
  <c r="F249" i="46"/>
  <c r="F250" i="46"/>
  <c r="G250" i="46"/>
  <c r="H250" i="46"/>
  <c r="B251" i="46"/>
  <c r="C250" i="46"/>
  <c r="E250" i="46"/>
  <c r="D250" i="46"/>
  <c r="G251" i="46"/>
  <c r="C251" i="46"/>
  <c r="F251" i="46"/>
  <c r="E251" i="46"/>
  <c r="B252" i="46"/>
  <c r="D251" i="46"/>
  <c r="H251" i="46"/>
  <c r="H252" i="46"/>
  <c r="D252" i="46"/>
  <c r="E252" i="46"/>
  <c r="F252" i="46"/>
  <c r="C252" i="46"/>
  <c r="B253" i="46"/>
  <c r="G252" i="46"/>
  <c r="B254" i="46"/>
  <c r="E253" i="46"/>
  <c r="H253" i="46"/>
  <c r="C253" i="46"/>
  <c r="F253" i="46"/>
  <c r="D253" i="46"/>
  <c r="G253" i="46"/>
  <c r="F254" i="46"/>
  <c r="G254" i="46"/>
  <c r="E254" i="46"/>
  <c r="H254" i="46"/>
  <c r="B255" i="46"/>
  <c r="C254" i="46"/>
  <c r="D254" i="46"/>
  <c r="G255" i="46"/>
  <c r="C255" i="46"/>
  <c r="E255" i="46"/>
  <c r="F255" i="46"/>
  <c r="B256" i="46"/>
  <c r="H255" i="46"/>
  <c r="D255" i="46"/>
  <c r="H256" i="46"/>
  <c r="D256" i="46"/>
  <c r="B257" i="46"/>
  <c r="C256" i="46"/>
  <c r="F256" i="46"/>
  <c r="E256" i="46"/>
  <c r="G256" i="46"/>
  <c r="B258" i="46"/>
  <c r="E257" i="46"/>
  <c r="G257" i="46"/>
  <c r="F257" i="46"/>
  <c r="D257" i="46"/>
  <c r="H257" i="46"/>
  <c r="C257" i="46"/>
  <c r="F258" i="46"/>
  <c r="E258" i="46"/>
  <c r="G258" i="46"/>
  <c r="H258" i="46"/>
  <c r="B259" i="46"/>
  <c r="D258" i="46"/>
  <c r="C258" i="46"/>
  <c r="G259" i="46"/>
  <c r="C259" i="46"/>
  <c r="B260" i="46"/>
  <c r="D259" i="46"/>
  <c r="F259" i="46"/>
  <c r="E259" i="46"/>
  <c r="H259" i="46"/>
  <c r="H260" i="46"/>
  <c r="D260" i="46"/>
  <c r="G260" i="46"/>
  <c r="F260" i="46"/>
  <c r="C260" i="46"/>
  <c r="E260" i="46"/>
  <c r="B261" i="46"/>
  <c r="B262" i="46"/>
  <c r="E261" i="46"/>
  <c r="F261" i="46"/>
  <c r="G261" i="46"/>
  <c r="D261" i="46"/>
  <c r="H261" i="46"/>
  <c r="C261" i="46"/>
  <c r="F262" i="46"/>
  <c r="B263" i="46"/>
  <c r="D262" i="46"/>
  <c r="G262" i="46"/>
  <c r="H262" i="46"/>
  <c r="C262" i="46"/>
  <c r="E262" i="46"/>
  <c r="F263" i="46"/>
  <c r="H263" i="46"/>
  <c r="C263" i="46"/>
  <c r="B264" i="46"/>
  <c r="G263" i="46"/>
  <c r="D263" i="46"/>
  <c r="E263" i="46"/>
  <c r="G264" i="46"/>
  <c r="C264" i="46"/>
  <c r="F264" i="46"/>
  <c r="B265" i="46"/>
  <c r="E264" i="46"/>
  <c r="H264" i="46"/>
  <c r="D264" i="46"/>
  <c r="H265" i="46"/>
  <c r="D265" i="46"/>
  <c r="E265" i="46"/>
  <c r="B266" i="46"/>
  <c r="C265" i="46"/>
  <c r="F265" i="46"/>
  <c r="G265" i="46"/>
  <c r="B267" i="46"/>
  <c r="E266" i="46"/>
  <c r="H266" i="46"/>
  <c r="C266" i="46"/>
  <c r="F266" i="46"/>
  <c r="D266" i="46"/>
  <c r="G266" i="46"/>
  <c r="F267" i="46"/>
  <c r="G267" i="46"/>
  <c r="B268" i="46"/>
  <c r="C267" i="46"/>
  <c r="H267" i="46"/>
  <c r="E267" i="46"/>
  <c r="D267" i="46"/>
  <c r="G268" i="46"/>
  <c r="C268" i="46"/>
  <c r="E268" i="46"/>
  <c r="B269" i="46"/>
  <c r="D268" i="46"/>
  <c r="F268" i="46"/>
  <c r="H268" i="46"/>
  <c r="H269" i="46"/>
  <c r="D269" i="46"/>
  <c r="B270" i="46"/>
  <c r="C269" i="46"/>
  <c r="E269" i="46"/>
  <c r="G269" i="46"/>
  <c r="F269" i="46"/>
  <c r="B271" i="46"/>
  <c r="E270" i="46"/>
  <c r="G270" i="46"/>
  <c r="C270" i="46"/>
  <c r="F270" i="46"/>
  <c r="D270" i="46"/>
  <c r="H270" i="46"/>
  <c r="F271" i="46"/>
  <c r="E271" i="46"/>
  <c r="B272" i="46"/>
  <c r="C271" i="46"/>
  <c r="H271" i="46"/>
  <c r="G271" i="46"/>
  <c r="D271" i="46"/>
  <c r="G272" i="46"/>
  <c r="C272" i="46"/>
  <c r="B273" i="46"/>
  <c r="D272" i="46"/>
  <c r="E272" i="46"/>
  <c r="F272" i="46"/>
  <c r="H272" i="46"/>
  <c r="H273" i="46"/>
  <c r="D273" i="46"/>
  <c r="G273" i="46"/>
  <c r="C273" i="46"/>
  <c r="E273" i="46"/>
  <c r="F273" i="46"/>
  <c r="B274" i="46"/>
  <c r="B275" i="46"/>
  <c r="E274" i="46"/>
  <c r="F274" i="46"/>
  <c r="C274" i="46"/>
  <c r="G274" i="46"/>
  <c r="H274" i="46"/>
  <c r="D274" i="46"/>
  <c r="F275" i="46"/>
  <c r="B276" i="46"/>
  <c r="D275" i="46"/>
  <c r="C275" i="46"/>
  <c r="H275" i="46"/>
  <c r="E275" i="46"/>
  <c r="G275" i="46"/>
  <c r="G276" i="46"/>
  <c r="C276" i="46"/>
  <c r="H276" i="46"/>
  <c r="D276" i="46"/>
  <c r="B277" i="46"/>
  <c r="E276" i="46"/>
  <c r="F276" i="46"/>
  <c r="H277" i="46"/>
  <c r="D277" i="46"/>
  <c r="F277" i="46"/>
  <c r="C277" i="46"/>
  <c r="E277" i="46"/>
  <c r="G277" i="46"/>
  <c r="B278" i="46"/>
  <c r="B279" i="46"/>
  <c r="E278" i="46"/>
  <c r="D278" i="46"/>
  <c r="C278" i="46"/>
  <c r="G278" i="46"/>
  <c r="H278" i="46"/>
  <c r="F278" i="46"/>
  <c r="F279" i="46"/>
  <c r="H279" i="46"/>
  <c r="C279" i="46"/>
  <c r="D279" i="46"/>
  <c r="B280" i="46"/>
  <c r="E279" i="46"/>
  <c r="G279" i="46"/>
  <c r="G280" i="46"/>
  <c r="C280" i="46"/>
  <c r="F280" i="46"/>
  <c r="D280" i="46"/>
  <c r="H280" i="46"/>
  <c r="B281" i="46"/>
  <c r="E280" i="46"/>
  <c r="H281" i="46"/>
  <c r="D281" i="46"/>
  <c r="E281" i="46"/>
  <c r="C281" i="46"/>
  <c r="F281" i="46"/>
  <c r="B282" i="46"/>
  <c r="G281" i="46"/>
  <c r="B283" i="46"/>
  <c r="E282" i="46"/>
  <c r="H282" i="46"/>
  <c r="C282" i="46"/>
  <c r="D282" i="46"/>
  <c r="G282" i="46"/>
  <c r="F282" i="46"/>
  <c r="F283" i="46"/>
  <c r="G283" i="46"/>
  <c r="D283" i="46"/>
  <c r="B284" i="46"/>
  <c r="C283" i="46"/>
  <c r="E283" i="46"/>
  <c r="H283" i="46"/>
  <c r="G284" i="46"/>
  <c r="C284" i="46"/>
  <c r="E284" i="46"/>
  <c r="D284" i="46"/>
  <c r="F284" i="46"/>
  <c r="H284" i="46"/>
  <c r="B285" i="46"/>
  <c r="H285" i="46"/>
  <c r="D285" i="46"/>
  <c r="B286" i="46"/>
  <c r="C285" i="46"/>
  <c r="E285" i="46"/>
  <c r="F285" i="46"/>
  <c r="G285" i="46"/>
  <c r="B287" i="46"/>
  <c r="E286" i="46"/>
  <c r="G286" i="46"/>
  <c r="D286" i="46"/>
  <c r="H286" i="46"/>
  <c r="C286" i="46"/>
  <c r="F286" i="46"/>
  <c r="F287" i="46"/>
  <c r="E287" i="46"/>
  <c r="D287" i="46"/>
  <c r="B288" i="46"/>
  <c r="H287" i="46"/>
  <c r="C287" i="46"/>
  <c r="G287" i="46"/>
  <c r="G288" i="46"/>
  <c r="C288" i="46"/>
  <c r="B289" i="46"/>
  <c r="D288" i="46"/>
  <c r="E288" i="46"/>
  <c r="F288" i="46"/>
  <c r="H288" i="46"/>
  <c r="H289" i="46"/>
  <c r="D289" i="46"/>
  <c r="G289" i="46"/>
  <c r="E289" i="46"/>
  <c r="C289" i="46"/>
  <c r="F289" i="46"/>
  <c r="B290" i="46"/>
  <c r="B291" i="46"/>
  <c r="E290" i="46"/>
  <c r="F290" i="46"/>
  <c r="D290" i="46"/>
  <c r="G290" i="46"/>
  <c r="H290" i="46"/>
  <c r="C290" i="46"/>
  <c r="F291" i="46"/>
  <c r="E291" i="46"/>
  <c r="B292" i="46"/>
  <c r="D291" i="46"/>
  <c r="G291" i="46"/>
  <c r="C291" i="46"/>
  <c r="H291" i="46"/>
  <c r="G292" i="46"/>
  <c r="C292" i="46"/>
  <c r="B293" i="46"/>
  <c r="D292" i="46"/>
  <c r="H292" i="46"/>
  <c r="E292" i="46"/>
  <c r="F292" i="46"/>
  <c r="H293" i="46"/>
  <c r="D293" i="46"/>
  <c r="G293" i="46"/>
  <c r="F293" i="46"/>
  <c r="C293" i="46"/>
  <c r="B294" i="46"/>
  <c r="E293" i="46"/>
  <c r="B295" i="46"/>
  <c r="E294" i="46"/>
  <c r="F294" i="46"/>
  <c r="D294" i="46"/>
  <c r="G294" i="46"/>
  <c r="C294" i="46"/>
  <c r="H294" i="46"/>
  <c r="F295" i="46"/>
  <c r="B296" i="46"/>
  <c r="D295" i="46"/>
  <c r="H295" i="46"/>
  <c r="C295" i="46"/>
  <c r="E295" i="46"/>
  <c r="G295" i="46"/>
  <c r="G296" i="46"/>
  <c r="C296" i="46"/>
  <c r="H296" i="46"/>
  <c r="F296" i="46"/>
  <c r="D296" i="46"/>
  <c r="E296" i="46"/>
  <c r="B297" i="46"/>
  <c r="H297" i="46"/>
  <c r="D297" i="46"/>
  <c r="F297" i="46"/>
  <c r="E297" i="46"/>
  <c r="G297" i="46"/>
  <c r="B298" i="46"/>
  <c r="C297" i="46"/>
  <c r="B299" i="46"/>
  <c r="E298" i="46"/>
  <c r="D298" i="46"/>
  <c r="H298" i="46"/>
  <c r="C298" i="46"/>
  <c r="F298" i="46"/>
  <c r="G298" i="46"/>
  <c r="F299" i="46"/>
  <c r="H299" i="46"/>
  <c r="C299" i="46"/>
  <c r="G299" i="46"/>
  <c r="D299" i="46"/>
  <c r="E299" i="46"/>
  <c r="B300" i="46"/>
  <c r="G300" i="46"/>
  <c r="C300" i="46"/>
  <c r="F300" i="46"/>
  <c r="E300" i="46"/>
  <c r="H300" i="46"/>
  <c r="D300" i="46"/>
  <c r="B301" i="46"/>
  <c r="H301" i="46"/>
  <c r="D301" i="46"/>
  <c r="E301" i="46"/>
  <c r="B302" i="46"/>
  <c r="C301" i="46"/>
  <c r="G301" i="46"/>
  <c r="F301" i="46"/>
  <c r="B303" i="46"/>
  <c r="E302" i="46"/>
  <c r="H302" i="46"/>
  <c r="C302" i="46"/>
  <c r="G302" i="46"/>
  <c r="D302" i="46"/>
  <c r="F302" i="46"/>
  <c r="F303" i="46"/>
  <c r="G303" i="46"/>
  <c r="E303" i="46"/>
  <c r="H303" i="46"/>
  <c r="C303" i="46"/>
  <c r="D303" i="46"/>
  <c r="B304" i="46"/>
  <c r="G304" i="46"/>
  <c r="C304" i="46"/>
  <c r="E304" i="46"/>
  <c r="B305" i="46"/>
  <c r="D304" i="46"/>
  <c r="F304" i="46"/>
  <c r="H304" i="46"/>
  <c r="H305" i="46"/>
  <c r="D305" i="46"/>
  <c r="B306" i="46"/>
  <c r="C305" i="46"/>
  <c r="G305" i="46"/>
  <c r="E305" i="46"/>
  <c r="F305" i="46"/>
  <c r="B307" i="46"/>
  <c r="E306" i="46"/>
  <c r="G306" i="46"/>
  <c r="F306" i="46"/>
  <c r="H306" i="46"/>
  <c r="D306" i="46"/>
  <c r="C306" i="46"/>
  <c r="F307" i="46"/>
  <c r="E307" i="46"/>
  <c r="B308" i="46"/>
  <c r="D307" i="46"/>
  <c r="C307" i="46"/>
  <c r="G307" i="46"/>
  <c r="H307" i="46"/>
  <c r="G308" i="46"/>
  <c r="C308" i="46"/>
  <c r="B309" i="46"/>
  <c r="D308" i="46"/>
  <c r="H308" i="46"/>
  <c r="E308" i="46"/>
  <c r="F308" i="46"/>
  <c r="H309" i="46"/>
  <c r="D309" i="46"/>
  <c r="G309" i="46"/>
  <c r="F309" i="46"/>
  <c r="B310" i="46"/>
  <c r="C309" i="46"/>
  <c r="E309" i="46"/>
  <c r="B311" i="46"/>
  <c r="E310" i="46"/>
  <c r="F310" i="46"/>
  <c r="D310" i="46"/>
  <c r="G310" i="46"/>
  <c r="H310" i="46"/>
  <c r="C310" i="46"/>
  <c r="F311" i="46"/>
  <c r="B312" i="46"/>
  <c r="D311" i="46"/>
  <c r="H311" i="46"/>
  <c r="C311" i="46"/>
  <c r="E311" i="46"/>
  <c r="G311" i="46"/>
  <c r="G312" i="46"/>
  <c r="C312" i="46"/>
  <c r="H312" i="46"/>
  <c r="F312" i="46"/>
  <c r="B313" i="46"/>
  <c r="E312" i="46"/>
  <c r="D312" i="46"/>
  <c r="H313" i="46"/>
  <c r="D313" i="46"/>
  <c r="F313" i="46"/>
  <c r="E313" i="46"/>
  <c r="C313" i="46"/>
  <c r="B314" i="46"/>
  <c r="G313" i="46"/>
  <c r="B315" i="46"/>
  <c r="E314" i="46"/>
  <c r="D314" i="46"/>
  <c r="H314" i="46"/>
  <c r="C314" i="46"/>
  <c r="F314" i="46"/>
  <c r="G314" i="46"/>
  <c r="F315" i="46"/>
  <c r="H315" i="46"/>
  <c r="C315" i="46"/>
  <c r="G315" i="46"/>
  <c r="B316" i="46"/>
  <c r="D315" i="46"/>
  <c r="E315" i="46"/>
  <c r="G316" i="46"/>
  <c r="C316" i="46"/>
  <c r="F316" i="46"/>
  <c r="E316" i="46"/>
  <c r="H316" i="46"/>
  <c r="B317" i="46"/>
  <c r="D316" i="46"/>
  <c r="H317" i="46"/>
  <c r="D317" i="46"/>
  <c r="E317" i="46"/>
  <c r="B318" i="46"/>
  <c r="C317" i="46"/>
  <c r="F317" i="46"/>
  <c r="G317" i="46"/>
  <c r="B319" i="46"/>
  <c r="E318" i="46"/>
  <c r="H318" i="46"/>
  <c r="C318" i="46"/>
  <c r="G318" i="46"/>
  <c r="F318" i="46"/>
  <c r="D318" i="46"/>
  <c r="F319" i="46"/>
  <c r="G319" i="46"/>
  <c r="E319" i="46"/>
  <c r="C319" i="46"/>
  <c r="D319" i="46"/>
  <c r="H319" i="46"/>
  <c r="B320" i="46"/>
  <c r="G320" i="46"/>
  <c r="C320" i="46"/>
  <c r="E320" i="46"/>
  <c r="B321" i="46"/>
  <c r="D320" i="46"/>
  <c r="F320" i="46"/>
  <c r="H320" i="46"/>
  <c r="H321" i="46"/>
  <c r="D321" i="46"/>
  <c r="B322" i="46"/>
  <c r="C321" i="46"/>
  <c r="G321" i="46"/>
  <c r="E321" i="46"/>
  <c r="F321" i="46"/>
  <c r="B323" i="46"/>
  <c r="E322" i="46"/>
  <c r="G322" i="46"/>
  <c r="F322" i="46"/>
  <c r="C322" i="46"/>
  <c r="H322" i="46"/>
  <c r="D322" i="46"/>
  <c r="F323" i="46"/>
  <c r="E323" i="46"/>
  <c r="B324" i="46"/>
  <c r="D323" i="46"/>
  <c r="G323" i="46"/>
  <c r="C323" i="46"/>
  <c r="H323" i="46"/>
  <c r="H324" i="46"/>
  <c r="D324" i="46"/>
  <c r="B325" i="46"/>
  <c r="C324" i="46"/>
  <c r="E324" i="46"/>
  <c r="G324" i="46"/>
  <c r="F324" i="46"/>
  <c r="B326" i="46"/>
  <c r="E325" i="46"/>
  <c r="G325" i="46"/>
  <c r="D325" i="46"/>
  <c r="C325" i="46"/>
  <c r="F325" i="46"/>
  <c r="H325" i="46"/>
  <c r="F326" i="46"/>
  <c r="E326" i="46"/>
  <c r="D326" i="46"/>
  <c r="B327" i="46"/>
  <c r="C326" i="46"/>
  <c r="H326" i="46"/>
  <c r="G326" i="46"/>
  <c r="G327" i="46"/>
  <c r="C327" i="46"/>
  <c r="B328" i="46"/>
  <c r="D327" i="46"/>
  <c r="E327" i="46"/>
  <c r="F327" i="46"/>
  <c r="H327" i="46"/>
  <c r="H328" i="46"/>
  <c r="D328" i="46"/>
  <c r="G328" i="46"/>
  <c r="E328" i="46"/>
  <c r="C328" i="46"/>
  <c r="F328" i="46"/>
  <c r="B329" i="46"/>
  <c r="B330" i="46"/>
  <c r="E329" i="46"/>
  <c r="F329" i="46"/>
  <c r="D329" i="46"/>
  <c r="C329" i="46"/>
  <c r="G329" i="46"/>
  <c r="H329" i="46"/>
  <c r="F330" i="46"/>
  <c r="B331" i="46"/>
  <c r="D330" i="46"/>
  <c r="E330" i="46"/>
  <c r="C330" i="46"/>
  <c r="G330" i="46"/>
  <c r="H330" i="46"/>
  <c r="G331" i="46"/>
  <c r="C331" i="46"/>
  <c r="H331" i="46"/>
  <c r="E331" i="46"/>
  <c r="D331" i="46"/>
  <c r="F331" i="46"/>
  <c r="B332" i="46"/>
  <c r="H332" i="46"/>
  <c r="D332" i="46"/>
  <c r="F332" i="46"/>
  <c r="E332" i="46"/>
  <c r="C332" i="46"/>
  <c r="B333" i="46"/>
  <c r="G332" i="46"/>
  <c r="B334" i="46"/>
  <c r="E333" i="46"/>
  <c r="D333" i="46"/>
  <c r="F333" i="46"/>
  <c r="C333" i="46"/>
  <c r="G333" i="46"/>
  <c r="H333" i="46"/>
  <c r="F334" i="46"/>
  <c r="H334" i="46"/>
  <c r="C334" i="46"/>
  <c r="E334" i="46"/>
  <c r="D334" i="46"/>
  <c r="G334" i="46"/>
  <c r="B335" i="46"/>
  <c r="G335" i="46"/>
  <c r="C335" i="46"/>
  <c r="F335" i="46"/>
  <c r="E335" i="46"/>
  <c r="D335" i="46"/>
  <c r="H335" i="46"/>
  <c r="B336" i="46"/>
  <c r="H336" i="46"/>
  <c r="D336" i="46"/>
  <c r="E336" i="46"/>
  <c r="F336" i="46"/>
  <c r="C336" i="46"/>
  <c r="G336" i="46"/>
  <c r="B337" i="46"/>
  <c r="B338" i="46"/>
  <c r="E337" i="46"/>
  <c r="H337" i="46"/>
  <c r="C337" i="46"/>
  <c r="F337" i="46"/>
  <c r="D337" i="46"/>
  <c r="G337" i="46"/>
  <c r="F338" i="46"/>
  <c r="G338" i="46"/>
  <c r="E338" i="46"/>
  <c r="D338" i="46"/>
  <c r="H338" i="46"/>
  <c r="B339" i="46"/>
  <c r="C338" i="46"/>
  <c r="G339" i="46"/>
  <c r="C339" i="46"/>
  <c r="E339" i="46"/>
  <c r="F339" i="46"/>
  <c r="D339" i="46"/>
  <c r="H339" i="46"/>
  <c r="B340" i="46"/>
  <c r="H340" i="46"/>
  <c r="D340" i="46"/>
  <c r="B341" i="46"/>
  <c r="C340" i="46"/>
  <c r="F340" i="46"/>
  <c r="E340" i="46"/>
  <c r="G340" i="46"/>
  <c r="B342" i="46"/>
  <c r="E341" i="46"/>
  <c r="G341" i="46"/>
  <c r="F341" i="46"/>
  <c r="D341" i="46"/>
  <c r="H341" i="46"/>
  <c r="C341" i="46"/>
  <c r="F342" i="46"/>
  <c r="E342" i="46"/>
  <c r="G342" i="46"/>
  <c r="D342" i="46"/>
  <c r="C342" i="46"/>
  <c r="B343" i="46"/>
  <c r="H342" i="46"/>
  <c r="G343" i="46"/>
  <c r="C343" i="46"/>
  <c r="B344" i="46"/>
  <c r="D343" i="46"/>
  <c r="F343" i="46"/>
  <c r="E343" i="46"/>
  <c r="H343" i="46"/>
  <c r="H344" i="46"/>
  <c r="D344" i="46"/>
  <c r="G344" i="46"/>
  <c r="F344" i="46"/>
  <c r="E344" i="46"/>
  <c r="C344" i="46"/>
  <c r="B345" i="46"/>
  <c r="B346" i="46"/>
  <c r="E345" i="46"/>
  <c r="F345" i="46"/>
  <c r="G345" i="46"/>
  <c r="D345" i="46"/>
  <c r="H345" i="46"/>
  <c r="C345" i="46"/>
  <c r="F346" i="46"/>
  <c r="B347" i="46"/>
  <c r="D346" i="46"/>
  <c r="G346" i="46"/>
  <c r="E346" i="46"/>
  <c r="H346" i="46"/>
  <c r="C346" i="46"/>
  <c r="G347" i="46"/>
  <c r="C347" i="46"/>
  <c r="H347" i="46"/>
  <c r="F347" i="46"/>
  <c r="E347" i="46"/>
  <c r="B348" i="46"/>
  <c r="D347" i="46"/>
  <c r="H348" i="46"/>
  <c r="D348" i="46"/>
  <c r="F348" i="46"/>
  <c r="G348" i="46"/>
  <c r="E348" i="46"/>
  <c r="B349" i="46"/>
  <c r="C348" i="46"/>
  <c r="B350" i="46"/>
  <c r="E349" i="46"/>
  <c r="D349" i="46"/>
  <c r="G349" i="46"/>
  <c r="F349" i="46"/>
  <c r="H349" i="46"/>
  <c r="C349" i="46"/>
  <c r="F350" i="46"/>
  <c r="H350" i="46"/>
  <c r="C350" i="46"/>
  <c r="G350" i="46"/>
  <c r="E350" i="46"/>
  <c r="D350" i="46"/>
  <c r="B351" i="46"/>
  <c r="G351" i="46"/>
  <c r="C351" i="46"/>
  <c r="F351" i="46"/>
  <c r="H351" i="46"/>
  <c r="E351" i="46"/>
  <c r="B352" i="46"/>
  <c r="D351" i="46"/>
  <c r="H352" i="46"/>
  <c r="D352" i="46"/>
  <c r="E352" i="46"/>
  <c r="G352" i="46"/>
  <c r="F352" i="46"/>
  <c r="C352" i="46"/>
  <c r="B353" i="46"/>
  <c r="B354" i="46"/>
  <c r="E353" i="46"/>
  <c r="H353" i="46"/>
  <c r="C353" i="46"/>
  <c r="G353" i="46"/>
  <c r="F353" i="46"/>
  <c r="D353" i="46"/>
  <c r="F354" i="46"/>
  <c r="H354" i="46"/>
  <c r="C354" i="46"/>
  <c r="G354" i="46"/>
  <c r="B355" i="46"/>
  <c r="D354" i="46"/>
  <c r="E354" i="46"/>
  <c r="G355" i="46"/>
  <c r="C355" i="46"/>
  <c r="F355" i="46"/>
  <c r="E355" i="46"/>
  <c r="D355" i="46"/>
  <c r="H355" i="46"/>
  <c r="B356" i="46"/>
  <c r="H356" i="46"/>
  <c r="D356" i="46"/>
  <c r="E356" i="46"/>
  <c r="B357" i="46"/>
  <c r="C356" i="46"/>
  <c r="G356" i="46"/>
  <c r="F356" i="46"/>
  <c r="B358" i="46"/>
  <c r="E357" i="46"/>
  <c r="H357" i="46"/>
  <c r="C357" i="46"/>
  <c r="G357" i="46"/>
  <c r="D357" i="46"/>
  <c r="F357" i="46"/>
  <c r="F358" i="46"/>
  <c r="G358" i="46"/>
  <c r="E358" i="46"/>
  <c r="D358" i="46"/>
  <c r="C358" i="46"/>
  <c r="B359" i="46"/>
  <c r="H358" i="46"/>
  <c r="G359" i="46"/>
  <c r="C359" i="46"/>
  <c r="E359" i="46"/>
  <c r="B360" i="46"/>
  <c r="D359" i="46"/>
  <c r="H359" i="46"/>
  <c r="F359" i="46"/>
  <c r="H360" i="46"/>
  <c r="D360" i="46"/>
  <c r="B361" i="46"/>
  <c r="C360" i="46"/>
  <c r="G360" i="46"/>
  <c r="E360" i="46"/>
  <c r="F360" i="46"/>
  <c r="B362" i="46"/>
  <c r="E361" i="46"/>
  <c r="G361" i="46"/>
  <c r="F361" i="46"/>
  <c r="D361" i="46"/>
  <c r="C361" i="46"/>
  <c r="H361" i="46"/>
  <c r="F362" i="46"/>
  <c r="E362" i="46"/>
  <c r="B363" i="46"/>
  <c r="D362" i="46"/>
  <c r="H362" i="46"/>
  <c r="G362" i="46"/>
  <c r="C362" i="46"/>
  <c r="G363" i="46"/>
  <c r="C363" i="46"/>
  <c r="B364" i="46"/>
  <c r="D363" i="46"/>
  <c r="H363" i="46"/>
  <c r="E363" i="46"/>
  <c r="F363" i="46"/>
  <c r="H364" i="46"/>
  <c r="D364" i="46"/>
  <c r="G364" i="46"/>
  <c r="F364" i="46"/>
  <c r="E364" i="46"/>
  <c r="C364" i="46"/>
  <c r="B365" i="46"/>
  <c r="B366" i="46"/>
  <c r="E365" i="46"/>
  <c r="F365" i="46"/>
  <c r="D365" i="46"/>
  <c r="H365" i="46"/>
  <c r="G365" i="46"/>
  <c r="C365" i="46"/>
  <c r="F366" i="46"/>
  <c r="B367" i="46"/>
  <c r="D366" i="46"/>
  <c r="H366" i="46"/>
  <c r="C366" i="46"/>
  <c r="E366" i="46"/>
  <c r="G366" i="46"/>
  <c r="G367" i="46"/>
  <c r="C367" i="46"/>
  <c r="H367" i="46"/>
  <c r="F367" i="46"/>
  <c r="E367" i="46"/>
  <c r="D367" i="46"/>
  <c r="B368" i="46"/>
  <c r="H368" i="46"/>
  <c r="D368" i="46"/>
  <c r="F368" i="46"/>
  <c r="E368" i="46"/>
  <c r="B369" i="46"/>
  <c r="G368" i="46"/>
  <c r="C368" i="46"/>
  <c r="B370" i="46"/>
  <c r="E369" i="46"/>
  <c r="D369" i="46"/>
  <c r="H369" i="46"/>
  <c r="C369" i="46"/>
  <c r="F369" i="46"/>
  <c r="G369" i="46"/>
  <c r="F370" i="46"/>
  <c r="H370" i="46"/>
  <c r="C370" i="46"/>
  <c r="G370" i="46"/>
  <c r="E370" i="46"/>
  <c r="D370" i="46"/>
  <c r="B371" i="46"/>
  <c r="G371" i="46"/>
  <c r="C371" i="46"/>
  <c r="F371" i="46"/>
  <c r="E371" i="46"/>
  <c r="H371" i="46"/>
  <c r="D371" i="46"/>
  <c r="AI43" i="45"/>
  <c r="C74" i="44"/>
  <c r="C75" i="44"/>
  <c r="C85" i="44"/>
  <c r="CM20" i="45"/>
  <c r="CM43" i="45"/>
  <c r="BS20" i="45"/>
  <c r="BS43" i="45"/>
  <c r="AW20" i="45"/>
  <c r="AW43" i="45"/>
  <c r="S20" i="45"/>
  <c r="S43" i="45"/>
  <c r="BB20" i="45"/>
  <c r="BB43" i="45"/>
  <c r="W20" i="45"/>
  <c r="W43" i="45"/>
  <c r="N20" i="45"/>
  <c r="N43" i="45"/>
  <c r="AN20" i="45"/>
  <c r="AN43" i="45"/>
  <c r="BJ20" i="45"/>
  <c r="BJ43" i="45"/>
  <c r="CC20" i="45"/>
  <c r="CC43" i="45"/>
  <c r="CW20" i="45"/>
  <c r="CW43" i="45"/>
  <c r="B23" i="36"/>
  <c r="Z22" i="47"/>
  <c r="AC7" i="47"/>
  <c r="F12" i="28"/>
  <c r="DC5" i="45"/>
  <c r="DC28" i="45"/>
  <c r="DC52" i="45"/>
  <c r="DC75" i="45"/>
  <c r="DC98" i="45"/>
  <c r="DC99" i="45"/>
  <c r="DC120" i="45"/>
  <c r="CY5" i="45"/>
  <c r="CY28" i="45"/>
  <c r="CY52" i="45"/>
  <c r="CY75" i="45"/>
  <c r="CY98" i="45"/>
  <c r="CY99" i="45"/>
  <c r="CY120" i="45"/>
  <c r="CU5" i="45"/>
  <c r="CU28" i="45"/>
  <c r="CU52" i="45"/>
  <c r="CU75" i="45"/>
  <c r="CU98" i="45"/>
  <c r="CU99" i="45"/>
  <c r="CU120" i="45"/>
  <c r="CQ5" i="45"/>
  <c r="CQ28" i="45"/>
  <c r="CQ52" i="45"/>
  <c r="CQ75" i="45"/>
  <c r="CQ98" i="45"/>
  <c r="CQ99" i="45"/>
  <c r="CQ120" i="45"/>
  <c r="CM5" i="45"/>
  <c r="CM28" i="45"/>
  <c r="CM52" i="45"/>
  <c r="CM75" i="45"/>
  <c r="CM98" i="45"/>
  <c r="CM99" i="45"/>
  <c r="CM120" i="45"/>
  <c r="CI5" i="45"/>
  <c r="CI28" i="45"/>
  <c r="CI52" i="45"/>
  <c r="CI75" i="45"/>
  <c r="CI98" i="45"/>
  <c r="CI99" i="45"/>
  <c r="CI120" i="45"/>
  <c r="CA5" i="45"/>
  <c r="CA28" i="45"/>
  <c r="CA52" i="45"/>
  <c r="CA75" i="45"/>
  <c r="CA98" i="45"/>
  <c r="CA99" i="45"/>
  <c r="CA120" i="45"/>
  <c r="BW5" i="45"/>
  <c r="BW28" i="45"/>
  <c r="BW52" i="45"/>
  <c r="BW75" i="45"/>
  <c r="BW98" i="45"/>
  <c r="BW99" i="45"/>
  <c r="BW120" i="45"/>
  <c r="BS5" i="45"/>
  <c r="BS28" i="45"/>
  <c r="BS52" i="45"/>
  <c r="BS75" i="45"/>
  <c r="BS98" i="45"/>
  <c r="BS99" i="45"/>
  <c r="BS120" i="45"/>
  <c r="BK5" i="45"/>
  <c r="BK28" i="45"/>
  <c r="BK52" i="45"/>
  <c r="BK75" i="45"/>
  <c r="BK98" i="45"/>
  <c r="BK99" i="45"/>
  <c r="BK120" i="45"/>
  <c r="BG5" i="45"/>
  <c r="BG28" i="45"/>
  <c r="BG52" i="45"/>
  <c r="BG75" i="45"/>
  <c r="BG98" i="45"/>
  <c r="BG99" i="45"/>
  <c r="BG120" i="45"/>
  <c r="BC5" i="45"/>
  <c r="BC28" i="45"/>
  <c r="BC52" i="45"/>
  <c r="BC75" i="45"/>
  <c r="BC98" i="45"/>
  <c r="BC99" i="45"/>
  <c r="BC120" i="45"/>
  <c r="AU5" i="45"/>
  <c r="AU28" i="45"/>
  <c r="AU52" i="45"/>
  <c r="AU75" i="45"/>
  <c r="AU98" i="45"/>
  <c r="AU99" i="45"/>
  <c r="AU120" i="45"/>
  <c r="AQ5" i="45"/>
  <c r="AQ28" i="45"/>
  <c r="AQ52" i="45"/>
  <c r="AQ75" i="45"/>
  <c r="AQ98" i="45"/>
  <c r="AQ99" i="45"/>
  <c r="AQ120" i="45"/>
  <c r="AI5" i="45"/>
  <c r="AI28" i="45"/>
  <c r="AI52" i="45"/>
  <c r="AI75" i="45"/>
  <c r="AI98" i="45"/>
  <c r="AI99" i="45"/>
  <c r="AI120" i="45"/>
  <c r="AE5" i="45"/>
  <c r="AE28" i="45"/>
  <c r="AE52" i="45"/>
  <c r="AE75" i="45"/>
  <c r="AE98" i="45"/>
  <c r="AE99" i="45"/>
  <c r="AE120" i="45"/>
  <c r="AA5" i="45"/>
  <c r="AA28" i="45"/>
  <c r="AA52" i="45"/>
  <c r="AA75" i="45"/>
  <c r="AA98" i="45"/>
  <c r="AA99" i="45"/>
  <c r="AA120" i="45"/>
  <c r="W5" i="45"/>
  <c r="W28" i="45"/>
  <c r="W52" i="45"/>
  <c r="W75" i="45"/>
  <c r="W98" i="45"/>
  <c r="W99" i="45"/>
  <c r="W120" i="45"/>
  <c r="S5" i="45"/>
  <c r="S28" i="45"/>
  <c r="S52" i="45"/>
  <c r="S75" i="45"/>
  <c r="S98" i="45"/>
  <c r="S99" i="45"/>
  <c r="S120" i="45"/>
  <c r="K5" i="45"/>
  <c r="K28" i="45"/>
  <c r="K52" i="45"/>
  <c r="K75" i="45"/>
  <c r="K98" i="45"/>
  <c r="K99" i="45"/>
  <c r="K120" i="45"/>
  <c r="DF4" i="45"/>
  <c r="DF27" i="45"/>
  <c r="DF51" i="45"/>
  <c r="DF74" i="45"/>
  <c r="DF97" i="45"/>
  <c r="CX4" i="45"/>
  <c r="CX27" i="45"/>
  <c r="CX51" i="45"/>
  <c r="CX74" i="45"/>
  <c r="CX97" i="45"/>
  <c r="CP4" i="45"/>
  <c r="CP27" i="45"/>
  <c r="CP51" i="45"/>
  <c r="CP74" i="45"/>
  <c r="CP97" i="45"/>
  <c r="CL4" i="45"/>
  <c r="CL27" i="45"/>
  <c r="CL51" i="45"/>
  <c r="CL74" i="45"/>
  <c r="CL97" i="45"/>
  <c r="CH4" i="45"/>
  <c r="CH27" i="45"/>
  <c r="CH51" i="45"/>
  <c r="CH74" i="45"/>
  <c r="CH97" i="45"/>
  <c r="CD4" i="45"/>
  <c r="CD27" i="45"/>
  <c r="CD51" i="45"/>
  <c r="CD74" i="45"/>
  <c r="CD97" i="45"/>
  <c r="BV4" i="45"/>
  <c r="BV27" i="45"/>
  <c r="BV51" i="45"/>
  <c r="BV74" i="45"/>
  <c r="BV97" i="45"/>
  <c r="BR4" i="45"/>
  <c r="BR27" i="45"/>
  <c r="BR51" i="45"/>
  <c r="BR74" i="45"/>
  <c r="BR97" i="45"/>
  <c r="BN4" i="45"/>
  <c r="BN27" i="45"/>
  <c r="BN51" i="45"/>
  <c r="BN74" i="45"/>
  <c r="BN97" i="45"/>
  <c r="BF4" i="45"/>
  <c r="BF27" i="45"/>
  <c r="BF51" i="45"/>
  <c r="BF74" i="45"/>
  <c r="BF97" i="45"/>
  <c r="BB4" i="45"/>
  <c r="BB27" i="45"/>
  <c r="BB51" i="45"/>
  <c r="BB74" i="45"/>
  <c r="BB97" i="45"/>
  <c r="AX4" i="45"/>
  <c r="AX27" i="45"/>
  <c r="AX51" i="45"/>
  <c r="AX74" i="45"/>
  <c r="AX97" i="45"/>
  <c r="AT4" i="45"/>
  <c r="AT27" i="45"/>
  <c r="AT51" i="45"/>
  <c r="AT74" i="45"/>
  <c r="AT97" i="45"/>
  <c r="AL4" i="45"/>
  <c r="AL27" i="45"/>
  <c r="AL51" i="45"/>
  <c r="AL74" i="45"/>
  <c r="AL97" i="45"/>
  <c r="AD4" i="45"/>
  <c r="AD27" i="45"/>
  <c r="AD51" i="45"/>
  <c r="AD74" i="45"/>
  <c r="AD97" i="45"/>
  <c r="Z4" i="45"/>
  <c r="Z27" i="45"/>
  <c r="Z51" i="45"/>
  <c r="Z74" i="45"/>
  <c r="Z97" i="45"/>
  <c r="V4" i="45"/>
  <c r="V27" i="45"/>
  <c r="V51" i="45"/>
  <c r="V74" i="45"/>
  <c r="V97" i="45"/>
  <c r="R4" i="45"/>
  <c r="R27" i="45"/>
  <c r="R51" i="45"/>
  <c r="R74" i="45"/>
  <c r="R97" i="45"/>
  <c r="J4" i="45"/>
  <c r="J27" i="45"/>
  <c r="J51" i="45"/>
  <c r="J74" i="45"/>
  <c r="J97" i="45"/>
  <c r="F4" i="45"/>
  <c r="F27" i="45"/>
  <c r="F51" i="45"/>
  <c r="F74" i="45"/>
  <c r="F97" i="45"/>
  <c r="DF5" i="45"/>
  <c r="DF28" i="45"/>
  <c r="DF52" i="45"/>
  <c r="DF75" i="45"/>
  <c r="DF98" i="45"/>
  <c r="DF99" i="45"/>
  <c r="DF120" i="45"/>
  <c r="CX5" i="45"/>
  <c r="CX28" i="45"/>
  <c r="CX52" i="45"/>
  <c r="CX75" i="45"/>
  <c r="CX98" i="45"/>
  <c r="CX99" i="45"/>
  <c r="CX120" i="45"/>
  <c r="CP5" i="45"/>
  <c r="CP28" i="45"/>
  <c r="CP52" i="45"/>
  <c r="CP75" i="45"/>
  <c r="CP98" i="45"/>
  <c r="CP99" i="45"/>
  <c r="CP120" i="45"/>
  <c r="CH5" i="45"/>
  <c r="CH28" i="45"/>
  <c r="CH52" i="45"/>
  <c r="CH75" i="45"/>
  <c r="CH98" i="45"/>
  <c r="CH99" i="45"/>
  <c r="CH120" i="45"/>
  <c r="BZ5" i="45"/>
  <c r="BZ28" i="45"/>
  <c r="BZ52" i="45"/>
  <c r="BZ75" i="45"/>
  <c r="BZ98" i="45"/>
  <c r="BZ99" i="45"/>
  <c r="BZ120" i="45"/>
  <c r="BV5" i="45"/>
  <c r="BV28" i="45"/>
  <c r="BV52" i="45"/>
  <c r="BV75" i="45"/>
  <c r="BV98" i="45"/>
  <c r="BV99" i="45"/>
  <c r="BV120" i="45"/>
  <c r="BN5" i="45"/>
  <c r="BN28" i="45"/>
  <c r="BN52" i="45"/>
  <c r="BN75" i="45"/>
  <c r="BN98" i="45"/>
  <c r="BN99" i="45"/>
  <c r="BN120" i="45"/>
  <c r="BJ5" i="45"/>
  <c r="BJ28" i="45"/>
  <c r="BJ52" i="45"/>
  <c r="BJ75" i="45"/>
  <c r="BJ98" i="45"/>
  <c r="BJ99" i="45"/>
  <c r="BJ120" i="45"/>
  <c r="BB5" i="45"/>
  <c r="BB28" i="45"/>
  <c r="BB52" i="45"/>
  <c r="BB75" i="45"/>
  <c r="BB98" i="45"/>
  <c r="BB99" i="45"/>
  <c r="BB120" i="45"/>
  <c r="AX5" i="45"/>
  <c r="AX28" i="45"/>
  <c r="AX52" i="45"/>
  <c r="AX75" i="45"/>
  <c r="AX98" i="45"/>
  <c r="AX99" i="45"/>
  <c r="AX120" i="45"/>
  <c r="AP5" i="45"/>
  <c r="AP28" i="45"/>
  <c r="AP52" i="45"/>
  <c r="AP75" i="45"/>
  <c r="AP98" i="45"/>
  <c r="AP99" i="45"/>
  <c r="AP120" i="45"/>
  <c r="AL5" i="45"/>
  <c r="AL28" i="45"/>
  <c r="AL52" i="45"/>
  <c r="AL75" i="45"/>
  <c r="AL98" i="45"/>
  <c r="AL99" i="45"/>
  <c r="AL120" i="45"/>
  <c r="AD5" i="45"/>
  <c r="AD28" i="45"/>
  <c r="AD52" i="45"/>
  <c r="AD75" i="45"/>
  <c r="AD98" i="45"/>
  <c r="AD99" i="45"/>
  <c r="AD120" i="45"/>
  <c r="Z5" i="45"/>
  <c r="Z28" i="45"/>
  <c r="Z52" i="45"/>
  <c r="Z75" i="45"/>
  <c r="Z98" i="45"/>
  <c r="Z99" i="45"/>
  <c r="Z120" i="45"/>
  <c r="R5" i="45"/>
  <c r="R28" i="45"/>
  <c r="R52" i="45"/>
  <c r="R75" i="45"/>
  <c r="R98" i="45"/>
  <c r="R99" i="45"/>
  <c r="R120" i="45"/>
  <c r="N5" i="45"/>
  <c r="N28" i="45"/>
  <c r="N52" i="45"/>
  <c r="N75" i="45"/>
  <c r="N98" i="45"/>
  <c r="N99" i="45"/>
  <c r="N120" i="45"/>
  <c r="J5" i="45"/>
  <c r="J28" i="45"/>
  <c r="J52" i="45"/>
  <c r="J75" i="45"/>
  <c r="J98" i="45"/>
  <c r="J99" i="45"/>
  <c r="J120" i="45"/>
  <c r="F5" i="45"/>
  <c r="F28" i="45"/>
  <c r="F52" i="45"/>
  <c r="F75" i="45"/>
  <c r="F98" i="45"/>
  <c r="F99" i="45"/>
  <c r="F120" i="45"/>
  <c r="DE4" i="45"/>
  <c r="DE27" i="45"/>
  <c r="DE51" i="45"/>
  <c r="DE74" i="45"/>
  <c r="DE97" i="45"/>
  <c r="CW4" i="45"/>
  <c r="CW27" i="45"/>
  <c r="CW51" i="45"/>
  <c r="CW74" i="45"/>
  <c r="CW97" i="45"/>
  <c r="CS4" i="45"/>
  <c r="CS27" i="45"/>
  <c r="CS51" i="45"/>
  <c r="CS74" i="45"/>
  <c r="CS97" i="45"/>
  <c r="CO4" i="45"/>
  <c r="CO27" i="45"/>
  <c r="CO51" i="45"/>
  <c r="CO74" i="45"/>
  <c r="CO97" i="45"/>
  <c r="CG4" i="45"/>
  <c r="CG27" i="45"/>
  <c r="CG51" i="45"/>
  <c r="CG74" i="45"/>
  <c r="CG97" i="45"/>
  <c r="CC4" i="45"/>
  <c r="CC27" i="45"/>
  <c r="CC51" i="45"/>
  <c r="CC74" i="45"/>
  <c r="CC97" i="45"/>
  <c r="BY4" i="45"/>
  <c r="BY27" i="45"/>
  <c r="BY51" i="45"/>
  <c r="BY74" i="45"/>
  <c r="BY97" i="45"/>
  <c r="BQ4" i="45"/>
  <c r="BQ27" i="45"/>
  <c r="BQ51" i="45"/>
  <c r="BQ74" i="45"/>
  <c r="BQ97" i="45"/>
  <c r="BM4" i="45"/>
  <c r="BM27" i="45"/>
  <c r="BM51" i="45"/>
  <c r="BM74" i="45"/>
  <c r="BM97" i="45"/>
  <c r="BI4" i="45"/>
  <c r="BI27" i="45"/>
  <c r="BI51" i="45"/>
  <c r="BI74" i="45"/>
  <c r="BI97" i="45"/>
  <c r="BA4" i="45"/>
  <c r="BA27" i="45"/>
  <c r="BA51" i="45"/>
  <c r="BA74" i="45"/>
  <c r="BA97" i="45"/>
  <c r="AW4" i="45"/>
  <c r="AW27" i="45"/>
  <c r="AW51" i="45"/>
  <c r="AW74" i="45"/>
  <c r="AW97" i="45"/>
  <c r="AS4" i="45"/>
  <c r="AS27" i="45"/>
  <c r="AS51" i="45"/>
  <c r="AS74" i="45"/>
  <c r="AS97" i="45"/>
  <c r="AK4" i="45"/>
  <c r="AK27" i="45"/>
  <c r="AK51" i="45"/>
  <c r="AK74" i="45"/>
  <c r="AK97" i="45"/>
  <c r="AG4" i="45"/>
  <c r="AG27" i="45"/>
  <c r="AG51" i="45"/>
  <c r="AG74" i="45"/>
  <c r="AG97" i="45"/>
  <c r="AC4" i="45"/>
  <c r="AC27" i="45"/>
  <c r="AC51" i="45"/>
  <c r="AC74" i="45"/>
  <c r="AC97" i="45"/>
  <c r="U4" i="45"/>
  <c r="U27" i="45"/>
  <c r="U51" i="45"/>
  <c r="U74" i="45"/>
  <c r="U97" i="45"/>
  <c r="Q4" i="45"/>
  <c r="Q27" i="45"/>
  <c r="Q51" i="45"/>
  <c r="Q74" i="45"/>
  <c r="Q97" i="45"/>
  <c r="I4" i="45"/>
  <c r="I27" i="45"/>
  <c r="I51" i="45"/>
  <c r="I74" i="45"/>
  <c r="I97" i="45"/>
  <c r="E4" i="45"/>
  <c r="E27" i="45"/>
  <c r="E51" i="45"/>
  <c r="E74" i="45"/>
  <c r="E97" i="45"/>
  <c r="DE5" i="45"/>
  <c r="DE28" i="45"/>
  <c r="DE52" i="45"/>
  <c r="DE75" i="45"/>
  <c r="DE98" i="45"/>
  <c r="DE99" i="45"/>
  <c r="DE120" i="45"/>
  <c r="CW5" i="45"/>
  <c r="CW28" i="45"/>
  <c r="CW52" i="45"/>
  <c r="CW75" i="45"/>
  <c r="CW98" i="45"/>
  <c r="CW99" i="45"/>
  <c r="CW120" i="45"/>
  <c r="CO5" i="45"/>
  <c r="CO28" i="45"/>
  <c r="CO52" i="45"/>
  <c r="CO75" i="45"/>
  <c r="CO98" i="45"/>
  <c r="CO99" i="45"/>
  <c r="CO120" i="45"/>
  <c r="BY5" i="45"/>
  <c r="BY28" i="45"/>
  <c r="BY52" i="45"/>
  <c r="BY75" i="45"/>
  <c r="BY98" i="45"/>
  <c r="BY99" i="45"/>
  <c r="BY120" i="45"/>
  <c r="BQ5" i="45"/>
  <c r="BQ28" i="45"/>
  <c r="BQ52" i="45"/>
  <c r="BQ75" i="45"/>
  <c r="BQ98" i="45"/>
  <c r="BQ99" i="45"/>
  <c r="BQ120" i="45"/>
  <c r="BA5" i="45"/>
  <c r="BA28" i="45"/>
  <c r="BA52" i="45"/>
  <c r="BA75" i="45"/>
  <c r="BA98" i="45"/>
  <c r="BA99" i="45"/>
  <c r="BA120" i="45"/>
  <c r="AS5" i="45"/>
  <c r="AS28" i="45"/>
  <c r="AS52" i="45"/>
  <c r="AS75" i="45"/>
  <c r="AS98" i="45"/>
  <c r="AS99" i="45"/>
  <c r="AS120" i="45"/>
  <c r="AK5" i="45"/>
  <c r="AK28" i="45"/>
  <c r="AK52" i="45"/>
  <c r="AK75" i="45"/>
  <c r="AK98" i="45"/>
  <c r="AK99" i="45"/>
  <c r="AK120" i="45"/>
  <c r="U5" i="45"/>
  <c r="U28" i="45"/>
  <c r="U52" i="45"/>
  <c r="U75" i="45"/>
  <c r="U98" i="45"/>
  <c r="U99" i="45"/>
  <c r="U120" i="45"/>
  <c r="M5" i="45"/>
  <c r="M28" i="45"/>
  <c r="M52" i="45"/>
  <c r="M75" i="45"/>
  <c r="M98" i="45"/>
  <c r="M99" i="45"/>
  <c r="M120" i="45"/>
  <c r="E5" i="45"/>
  <c r="E28" i="45"/>
  <c r="E52" i="45"/>
  <c r="E75" i="45"/>
  <c r="E98" i="45"/>
  <c r="E99" i="45"/>
  <c r="E120" i="45"/>
  <c r="CR4" i="45"/>
  <c r="CR27" i="45"/>
  <c r="CR51" i="45"/>
  <c r="CR74" i="45"/>
  <c r="CR97" i="45"/>
  <c r="CJ4" i="45"/>
  <c r="CJ27" i="45"/>
  <c r="CJ51" i="45"/>
  <c r="CJ74" i="45"/>
  <c r="CJ97" i="45"/>
  <c r="CB4" i="45"/>
  <c r="CB27" i="45"/>
  <c r="CB51" i="45"/>
  <c r="CB74" i="45"/>
  <c r="CB97" i="45"/>
  <c r="BL4" i="45"/>
  <c r="BL27" i="45"/>
  <c r="BL51" i="45"/>
  <c r="BL74" i="45"/>
  <c r="BL97" i="45"/>
  <c r="BD4" i="45"/>
  <c r="BD27" i="45"/>
  <c r="BD51" i="45"/>
  <c r="BD74" i="45"/>
  <c r="BD97" i="45"/>
  <c r="AV4" i="45"/>
  <c r="AV27" i="45"/>
  <c r="AV51" i="45"/>
  <c r="AV74" i="45"/>
  <c r="AV97" i="45"/>
  <c r="AF4" i="45"/>
  <c r="AF27" i="45"/>
  <c r="AF51" i="45"/>
  <c r="AF74" i="45"/>
  <c r="AF97" i="45"/>
  <c r="X4" i="45"/>
  <c r="X27" i="45"/>
  <c r="X51" i="45"/>
  <c r="X74" i="45"/>
  <c r="X97" i="45"/>
  <c r="P4" i="45"/>
  <c r="P27" i="45"/>
  <c r="P51" i="45"/>
  <c r="P74" i="45"/>
  <c r="P97" i="45"/>
  <c r="DD5" i="45"/>
  <c r="DD28" i="45"/>
  <c r="DD52" i="45"/>
  <c r="DD75" i="45"/>
  <c r="DD98" i="45"/>
  <c r="DD99" i="45"/>
  <c r="DD120" i="45"/>
  <c r="CN5" i="45"/>
  <c r="CN28" i="45"/>
  <c r="CN52" i="45"/>
  <c r="CN75" i="45"/>
  <c r="CN98" i="45"/>
  <c r="CN99" i="45"/>
  <c r="CN120" i="45"/>
  <c r="CF5" i="45"/>
  <c r="CF28" i="45"/>
  <c r="CF52" i="45"/>
  <c r="CF75" i="45"/>
  <c r="CF98" i="45"/>
  <c r="CF99" i="45"/>
  <c r="CF120" i="45"/>
  <c r="BX5" i="45"/>
  <c r="BX28" i="45"/>
  <c r="BX52" i="45"/>
  <c r="BX75" i="45"/>
  <c r="BX98" i="45"/>
  <c r="BX99" i="45"/>
  <c r="BX120" i="45"/>
  <c r="BH5" i="45"/>
  <c r="BH28" i="45"/>
  <c r="BH52" i="45"/>
  <c r="BH75" i="45"/>
  <c r="BH98" i="45"/>
  <c r="BH99" i="45"/>
  <c r="BH120" i="45"/>
  <c r="AZ5" i="45"/>
  <c r="AZ28" i="45"/>
  <c r="AZ52" i="45"/>
  <c r="AZ75" i="45"/>
  <c r="AZ98" i="45"/>
  <c r="AZ99" i="45"/>
  <c r="AZ120" i="45"/>
  <c r="AR5" i="45"/>
  <c r="AR28" i="45"/>
  <c r="AR52" i="45"/>
  <c r="AR75" i="45"/>
  <c r="AR98" i="45"/>
  <c r="AR99" i="45"/>
  <c r="AR120" i="45"/>
  <c r="AB5" i="45"/>
  <c r="AB28" i="45"/>
  <c r="AB52" i="45"/>
  <c r="AB75" i="45"/>
  <c r="AB98" i="45"/>
  <c r="AB99" i="45"/>
  <c r="AB120" i="45"/>
  <c r="T5" i="45"/>
  <c r="T28" i="45"/>
  <c r="T52" i="45"/>
  <c r="T75" i="45"/>
  <c r="T98" i="45"/>
  <c r="T99" i="45"/>
  <c r="T120" i="45"/>
  <c r="L5" i="45"/>
  <c r="L28" i="45"/>
  <c r="L52" i="45"/>
  <c r="L75" i="45"/>
  <c r="L98" i="45"/>
  <c r="L99" i="45"/>
  <c r="L120" i="45"/>
  <c r="D5" i="45"/>
  <c r="D28" i="45"/>
  <c r="D52" i="45"/>
  <c r="D75" i="45"/>
  <c r="D98" i="45"/>
  <c r="D99" i="45"/>
  <c r="D120" i="45"/>
  <c r="CY4" i="45"/>
  <c r="CY27" i="45"/>
  <c r="CY51" i="45"/>
  <c r="CY74" i="45"/>
  <c r="CY97" i="45"/>
  <c r="CQ4" i="45"/>
  <c r="CQ27" i="45"/>
  <c r="CQ51" i="45"/>
  <c r="CQ74" i="45"/>
  <c r="CQ97" i="45"/>
  <c r="CI4" i="45"/>
  <c r="CI27" i="45"/>
  <c r="CI51" i="45"/>
  <c r="CI74" i="45"/>
  <c r="CI97" i="45"/>
  <c r="CA4" i="45"/>
  <c r="CA27" i="45"/>
  <c r="CA51" i="45"/>
  <c r="CA74" i="45"/>
  <c r="CA97" i="45"/>
  <c r="BS4" i="45"/>
  <c r="BS27" i="45"/>
  <c r="BS51" i="45"/>
  <c r="BS74" i="45"/>
  <c r="BS97" i="45"/>
  <c r="BK4" i="45"/>
  <c r="BK27" i="45"/>
  <c r="BK51" i="45"/>
  <c r="BK74" i="45"/>
  <c r="BK97" i="45"/>
  <c r="BC4" i="45"/>
  <c r="BC27" i="45"/>
  <c r="BC51" i="45"/>
  <c r="BC74" i="45"/>
  <c r="BC97" i="45"/>
  <c r="AU4" i="45"/>
  <c r="AU27" i="45"/>
  <c r="AU51" i="45"/>
  <c r="AU74" i="45"/>
  <c r="AU97" i="45"/>
  <c r="AM4" i="45"/>
  <c r="AM27" i="45"/>
  <c r="AM51" i="45"/>
  <c r="AM74" i="45"/>
  <c r="AM97" i="45"/>
  <c r="AE4" i="45"/>
  <c r="AE27" i="45"/>
  <c r="AE51" i="45"/>
  <c r="AE74" i="45"/>
  <c r="AE97" i="45"/>
  <c r="W4" i="45"/>
  <c r="W27" i="45"/>
  <c r="W51" i="45"/>
  <c r="W74" i="45"/>
  <c r="W97" i="45"/>
  <c r="O4" i="45"/>
  <c r="O27" i="45"/>
  <c r="O51" i="45"/>
  <c r="O74" i="45"/>
  <c r="O97" i="45"/>
  <c r="G4" i="45"/>
  <c r="G27" i="45"/>
  <c r="G51" i="45"/>
  <c r="G74" i="45"/>
  <c r="G97" i="45"/>
  <c r="CS5" i="45"/>
  <c r="CS28" i="45"/>
  <c r="CS52" i="45"/>
  <c r="CS75" i="45"/>
  <c r="CS98" i="45"/>
  <c r="CS99" i="45"/>
  <c r="CS120" i="45"/>
  <c r="CC5" i="45"/>
  <c r="CC28" i="45"/>
  <c r="CC52" i="45"/>
  <c r="CC75" i="45"/>
  <c r="CC98" i="45"/>
  <c r="CC99" i="45"/>
  <c r="CC120" i="45"/>
  <c r="BM5" i="45"/>
  <c r="BM28" i="45"/>
  <c r="BM52" i="45"/>
  <c r="BM75" i="45"/>
  <c r="BM98" i="45"/>
  <c r="BM99" i="45"/>
  <c r="BM120" i="45"/>
  <c r="AG5" i="45"/>
  <c r="AG28" i="45"/>
  <c r="AG52" i="45"/>
  <c r="AG75" i="45"/>
  <c r="AG98" i="45"/>
  <c r="AG99" i="45"/>
  <c r="AG120" i="45"/>
  <c r="Q5" i="45"/>
  <c r="Q28" i="45"/>
  <c r="Q52" i="45"/>
  <c r="Q75" i="45"/>
  <c r="Q98" i="45"/>
  <c r="Q99" i="45"/>
  <c r="Q120" i="45"/>
  <c r="DD4" i="45"/>
  <c r="DD27" i="45"/>
  <c r="DD51" i="45"/>
  <c r="DD74" i="45"/>
  <c r="DD97" i="45"/>
  <c r="BX4" i="45"/>
  <c r="BX27" i="45"/>
  <c r="BX51" i="45"/>
  <c r="BX74" i="45"/>
  <c r="BX97" i="45"/>
  <c r="BH4" i="45"/>
  <c r="BH27" i="45"/>
  <c r="BH51" i="45"/>
  <c r="BH74" i="45"/>
  <c r="BH97" i="45"/>
  <c r="AR4" i="45"/>
  <c r="AR27" i="45"/>
  <c r="AR51" i="45"/>
  <c r="AR74" i="45"/>
  <c r="AR97" i="45"/>
  <c r="AB4" i="45"/>
  <c r="AB27" i="45"/>
  <c r="AB51" i="45"/>
  <c r="AB74" i="45"/>
  <c r="AB97" i="45"/>
  <c r="L4" i="45"/>
  <c r="L27" i="45"/>
  <c r="L51" i="45"/>
  <c r="L74" i="45"/>
  <c r="L97" i="45"/>
  <c r="CR5" i="45"/>
  <c r="CR28" i="45"/>
  <c r="CR52" i="45"/>
  <c r="CR75" i="45"/>
  <c r="CR98" i="45"/>
  <c r="CR99" i="45"/>
  <c r="CR120" i="45"/>
  <c r="CB5" i="45"/>
  <c r="CB28" i="45"/>
  <c r="CB52" i="45"/>
  <c r="CB75" i="45"/>
  <c r="CB98" i="45"/>
  <c r="CB99" i="45"/>
  <c r="CB120" i="45"/>
  <c r="BL5" i="45"/>
  <c r="BL28" i="45"/>
  <c r="BL52" i="45"/>
  <c r="BL75" i="45"/>
  <c r="BL98" i="45"/>
  <c r="BL99" i="45"/>
  <c r="BL120" i="45"/>
  <c r="AV5" i="45"/>
  <c r="AV28" i="45"/>
  <c r="AV52" i="45"/>
  <c r="AV75" i="45"/>
  <c r="AV98" i="45"/>
  <c r="AV99" i="45"/>
  <c r="AV120" i="45"/>
  <c r="AF5" i="45"/>
  <c r="AF28" i="45"/>
  <c r="AF52" i="45"/>
  <c r="AF75" i="45"/>
  <c r="AF98" i="45"/>
  <c r="AF99" i="45"/>
  <c r="AF120" i="45"/>
  <c r="P5" i="45"/>
  <c r="P28" i="45"/>
  <c r="P52" i="45"/>
  <c r="P75" i="45"/>
  <c r="P98" i="45"/>
  <c r="P99" i="45"/>
  <c r="P120" i="45"/>
  <c r="DC4" i="45"/>
  <c r="DC27" i="45"/>
  <c r="DC51" i="45"/>
  <c r="DC74" i="45"/>
  <c r="DC97" i="45"/>
  <c r="CM4" i="45"/>
  <c r="CM27" i="45"/>
  <c r="CM51" i="45"/>
  <c r="CM74" i="45"/>
  <c r="CM97" i="45"/>
  <c r="BW4" i="45"/>
  <c r="BW27" i="45"/>
  <c r="BW51" i="45"/>
  <c r="BW74" i="45"/>
  <c r="BW97" i="45"/>
  <c r="BG4" i="45"/>
  <c r="BG27" i="45"/>
  <c r="BG51" i="45"/>
  <c r="BG74" i="45"/>
  <c r="BG97" i="45"/>
  <c r="AQ4" i="45"/>
  <c r="AQ27" i="45"/>
  <c r="AQ51" i="45"/>
  <c r="AQ74" i="45"/>
  <c r="AQ97" i="45"/>
  <c r="AA4" i="45"/>
  <c r="AA27" i="45"/>
  <c r="AA51" i="45"/>
  <c r="AA74" i="45"/>
  <c r="AA97" i="45"/>
  <c r="K4" i="45"/>
  <c r="K27" i="45"/>
  <c r="K51" i="45"/>
  <c r="K74" i="45"/>
  <c r="K97" i="45"/>
  <c r="DA5" i="45"/>
  <c r="DA28" i="45"/>
  <c r="DA52" i="45"/>
  <c r="DA75" i="45"/>
  <c r="DA98" i="45"/>
  <c r="DA99" i="45"/>
  <c r="DA120" i="45"/>
  <c r="BU5" i="45"/>
  <c r="BU28" i="45"/>
  <c r="BU52" i="45"/>
  <c r="BU75" i="45"/>
  <c r="BU98" i="45"/>
  <c r="BU99" i="45"/>
  <c r="BU120" i="45"/>
  <c r="AO5" i="45"/>
  <c r="AO28" i="45"/>
  <c r="AO52" i="45"/>
  <c r="AO75" i="45"/>
  <c r="AO98" i="45"/>
  <c r="AO99" i="45"/>
  <c r="AO120" i="45"/>
  <c r="I5" i="45"/>
  <c r="I28" i="45"/>
  <c r="I52" i="45"/>
  <c r="I75" i="45"/>
  <c r="I98" i="45"/>
  <c r="I99" i="45"/>
  <c r="I120" i="45"/>
  <c r="CF4" i="45"/>
  <c r="CF27" i="45"/>
  <c r="CF51" i="45"/>
  <c r="CF74" i="45"/>
  <c r="CF97" i="45"/>
  <c r="AZ4" i="45"/>
  <c r="AZ27" i="45"/>
  <c r="AZ51" i="45"/>
  <c r="AZ74" i="45"/>
  <c r="AZ97" i="45"/>
  <c r="T4" i="45"/>
  <c r="T27" i="45"/>
  <c r="T51" i="45"/>
  <c r="T74" i="45"/>
  <c r="T97" i="45"/>
  <c r="D76" i="44"/>
  <c r="CZ5" i="45"/>
  <c r="CZ28" i="45"/>
  <c r="CZ52" i="45"/>
  <c r="CZ75" i="45"/>
  <c r="CZ98" i="45"/>
  <c r="CZ99" i="45"/>
  <c r="CZ120" i="45"/>
  <c r="BT5" i="45"/>
  <c r="BT28" i="45"/>
  <c r="BT52" i="45"/>
  <c r="BT75" i="45"/>
  <c r="BT98" i="45"/>
  <c r="BT99" i="45"/>
  <c r="BT120" i="45"/>
  <c r="AN5" i="45"/>
  <c r="AN28" i="45"/>
  <c r="AN52" i="45"/>
  <c r="AN75" i="45"/>
  <c r="AN98" i="45"/>
  <c r="AN99" i="45"/>
  <c r="AN120" i="45"/>
  <c r="H5" i="45"/>
  <c r="H28" i="45"/>
  <c r="H52" i="45"/>
  <c r="H75" i="45"/>
  <c r="H98" i="45"/>
  <c r="H99" i="45"/>
  <c r="H120" i="45"/>
  <c r="CE4" i="45"/>
  <c r="CE27" i="45"/>
  <c r="CE51" i="45"/>
  <c r="CE74" i="45"/>
  <c r="CE97" i="45"/>
  <c r="AY4" i="45"/>
  <c r="AY27" i="45"/>
  <c r="AY51" i="45"/>
  <c r="AY74" i="45"/>
  <c r="AY97" i="45"/>
  <c r="S4" i="45"/>
  <c r="S27" i="45"/>
  <c r="S51" i="45"/>
  <c r="S74" i="45"/>
  <c r="S97" i="45"/>
  <c r="BE5" i="45"/>
  <c r="BE28" i="45"/>
  <c r="BE52" i="45"/>
  <c r="BE75" i="45"/>
  <c r="BE98" i="45"/>
  <c r="BE99" i="45"/>
  <c r="BE120" i="45"/>
  <c r="CV4" i="45"/>
  <c r="CV27" i="45"/>
  <c r="CV51" i="45"/>
  <c r="CV74" i="45"/>
  <c r="CV97" i="45"/>
  <c r="AJ4" i="45"/>
  <c r="AJ27" i="45"/>
  <c r="AJ51" i="45"/>
  <c r="AJ74" i="45"/>
  <c r="AJ97" i="45"/>
  <c r="C79" i="44"/>
  <c r="D87" i="44"/>
  <c r="D77" i="44"/>
  <c r="D88" i="44"/>
  <c r="D81" i="44"/>
  <c r="C72" i="44"/>
  <c r="D79" i="44"/>
  <c r="BD5" i="45"/>
  <c r="BD28" i="45"/>
  <c r="BD52" i="45"/>
  <c r="BD75" i="45"/>
  <c r="BD98" i="45"/>
  <c r="BD99" i="45"/>
  <c r="BD120" i="45"/>
  <c r="CU4" i="45"/>
  <c r="CU27" i="45"/>
  <c r="CU51" i="45"/>
  <c r="CU74" i="45"/>
  <c r="CU97" i="45"/>
  <c r="AI4" i="45"/>
  <c r="AI27" i="45"/>
  <c r="AI51" i="45"/>
  <c r="AI74" i="45"/>
  <c r="AI97" i="45"/>
  <c r="C83" i="44"/>
  <c r="C77" i="44"/>
  <c r="C86" i="44"/>
  <c r="D75" i="44"/>
  <c r="C78" i="44"/>
  <c r="C81" i="44"/>
  <c r="C73" i="44"/>
  <c r="D4" i="45"/>
  <c r="D27" i="45"/>
  <c r="D51" i="45"/>
  <c r="D74" i="45"/>
  <c r="D97" i="45"/>
  <c r="Y5" i="45"/>
  <c r="Y28" i="45"/>
  <c r="Y52" i="45"/>
  <c r="Y75" i="45"/>
  <c r="Y98" i="45"/>
  <c r="Y99" i="45"/>
  <c r="Y120" i="45"/>
  <c r="C82" i="44"/>
  <c r="D83" i="44"/>
  <c r="C71" i="44"/>
  <c r="C4" i="45"/>
  <c r="C27" i="45"/>
  <c r="C51" i="45"/>
  <c r="C74" i="45"/>
  <c r="C97" i="45"/>
  <c r="BO4" i="45"/>
  <c r="BO27" i="45"/>
  <c r="BO51" i="45"/>
  <c r="BO74" i="45"/>
  <c r="BO97" i="45"/>
  <c r="CJ5" i="45"/>
  <c r="CJ28" i="45"/>
  <c r="CJ52" i="45"/>
  <c r="CJ75" i="45"/>
  <c r="CJ98" i="45"/>
  <c r="CJ99" i="45"/>
  <c r="CJ120" i="45"/>
  <c r="C87" i="44"/>
  <c r="C88" i="44"/>
  <c r="D74" i="44"/>
  <c r="D86" i="44"/>
  <c r="D85" i="44"/>
  <c r="BP4" i="45"/>
  <c r="BP27" i="45"/>
  <c r="BP51" i="45"/>
  <c r="BP74" i="45"/>
  <c r="BP97" i="45"/>
  <c r="CK5" i="45"/>
  <c r="CK28" i="45"/>
  <c r="CK52" i="45"/>
  <c r="CK75" i="45"/>
  <c r="CK98" i="45"/>
  <c r="CK99" i="45"/>
  <c r="CK120" i="45"/>
  <c r="C26" i="43"/>
  <c r="D24" i="43"/>
  <c r="C23" i="43"/>
  <c r="D26" i="43"/>
  <c r="D23" i="43"/>
  <c r="E24" i="43"/>
  <c r="E26" i="43"/>
  <c r="F24" i="43"/>
  <c r="E23" i="43"/>
  <c r="F26" i="43"/>
  <c r="G24" i="43"/>
  <c r="F23" i="43"/>
  <c r="G26" i="43"/>
  <c r="H24" i="43"/>
  <c r="G23" i="43"/>
  <c r="H26" i="43"/>
  <c r="I24" i="43"/>
  <c r="H23" i="43"/>
  <c r="I26" i="43"/>
  <c r="I21" i="43"/>
  <c r="J24" i="43"/>
  <c r="I23" i="43"/>
  <c r="J26" i="43"/>
  <c r="J21" i="43"/>
  <c r="J23" i="43"/>
  <c r="F12" i="46"/>
  <c r="AE24" i="47"/>
  <c r="E42" i="36"/>
  <c r="AH14" i="47"/>
  <c r="AH22" i="47"/>
  <c r="AH24" i="47"/>
  <c r="D78" i="44"/>
  <c r="D72" i="44"/>
  <c r="CE5" i="45"/>
  <c r="CE28" i="45"/>
  <c r="CE52" i="45"/>
  <c r="CE75" i="45"/>
  <c r="CE98" i="45"/>
  <c r="CE99" i="45"/>
  <c r="CE120" i="45"/>
  <c r="BO5" i="45"/>
  <c r="BO28" i="45"/>
  <c r="BO52" i="45"/>
  <c r="BO75" i="45"/>
  <c r="BO98" i="45"/>
  <c r="BO99" i="45"/>
  <c r="BO120" i="45"/>
  <c r="AY5" i="45"/>
  <c r="AY28" i="45"/>
  <c r="AY52" i="45"/>
  <c r="AY75" i="45"/>
  <c r="AY98" i="45"/>
  <c r="AY99" i="45"/>
  <c r="AY120" i="45"/>
  <c r="AM5" i="45"/>
  <c r="AM28" i="45"/>
  <c r="AM52" i="45"/>
  <c r="AM75" i="45"/>
  <c r="AM98" i="45"/>
  <c r="AM99" i="45"/>
  <c r="AM120" i="45"/>
  <c r="O5" i="45"/>
  <c r="O28" i="45"/>
  <c r="O52" i="45"/>
  <c r="O75" i="45"/>
  <c r="O98" i="45"/>
  <c r="O99" i="45"/>
  <c r="O120" i="45"/>
  <c r="G5" i="45"/>
  <c r="G28" i="45"/>
  <c r="G52" i="45"/>
  <c r="G75" i="45"/>
  <c r="G98" i="45"/>
  <c r="G99" i="45"/>
  <c r="G120" i="45"/>
  <c r="DB4" i="45"/>
  <c r="DB27" i="45"/>
  <c r="DB51" i="45"/>
  <c r="DB74" i="45"/>
  <c r="DB97" i="45"/>
  <c r="CT4" i="45"/>
  <c r="CT27" i="45"/>
  <c r="CT51" i="45"/>
  <c r="CT74" i="45"/>
  <c r="CT97" i="45"/>
  <c r="BZ4" i="45"/>
  <c r="BZ27" i="45"/>
  <c r="BZ51" i="45"/>
  <c r="BZ74" i="45"/>
  <c r="BZ97" i="45"/>
  <c r="BJ4" i="45"/>
  <c r="BJ27" i="45"/>
  <c r="BJ51" i="45"/>
  <c r="BJ74" i="45"/>
  <c r="BJ97" i="45"/>
  <c r="AP4" i="45"/>
  <c r="AP27" i="45"/>
  <c r="AP51" i="45"/>
  <c r="AP74" i="45"/>
  <c r="AP97" i="45"/>
  <c r="AH4" i="45"/>
  <c r="AH27" i="45"/>
  <c r="AH51" i="45"/>
  <c r="AH74" i="45"/>
  <c r="AH97" i="45"/>
  <c r="N4" i="45"/>
  <c r="N27" i="45"/>
  <c r="N51" i="45"/>
  <c r="N74" i="45"/>
  <c r="N97" i="45"/>
  <c r="DB5" i="45"/>
  <c r="DB28" i="45"/>
  <c r="DB52" i="45"/>
  <c r="DB75" i="45"/>
  <c r="DB98" i="45"/>
  <c r="DB99" i="45"/>
  <c r="DB120" i="45"/>
  <c r="CT5" i="45"/>
  <c r="CT28" i="45"/>
  <c r="CT52" i="45"/>
  <c r="CT75" i="45"/>
  <c r="CT98" i="45"/>
  <c r="CT99" i="45"/>
  <c r="CT120" i="45"/>
  <c r="CL5" i="45"/>
  <c r="CL28" i="45"/>
  <c r="CL52" i="45"/>
  <c r="CL75" i="45"/>
  <c r="CL98" i="45"/>
  <c r="CL99" i="45"/>
  <c r="CL120" i="45"/>
  <c r="CD5" i="45"/>
  <c r="CD28" i="45"/>
  <c r="CD52" i="45"/>
  <c r="CD75" i="45"/>
  <c r="CD98" i="45"/>
  <c r="CD99" i="45"/>
  <c r="CD120" i="45"/>
  <c r="BR5" i="45"/>
  <c r="BR28" i="45"/>
  <c r="BR52" i="45"/>
  <c r="BR75" i="45"/>
  <c r="BR98" i="45"/>
  <c r="BR99" i="45"/>
  <c r="BR120" i="45"/>
  <c r="BF5" i="45"/>
  <c r="BF28" i="45"/>
  <c r="BF52" i="45"/>
  <c r="BF75" i="45"/>
  <c r="BF98" i="45"/>
  <c r="BF99" i="45"/>
  <c r="BF120" i="45"/>
  <c r="AT5" i="45"/>
  <c r="AT28" i="45"/>
  <c r="AT52" i="45"/>
  <c r="AT75" i="45"/>
  <c r="AT98" i="45"/>
  <c r="AT99" i="45"/>
  <c r="AT120" i="45"/>
  <c r="AH5" i="45"/>
  <c r="AH28" i="45"/>
  <c r="AH52" i="45"/>
  <c r="AH75" i="45"/>
  <c r="AH98" i="45"/>
  <c r="AH99" i="45"/>
  <c r="AH120" i="45"/>
  <c r="V5" i="45"/>
  <c r="V28" i="45"/>
  <c r="V52" i="45"/>
  <c r="V75" i="45"/>
  <c r="V98" i="45"/>
  <c r="V99" i="45"/>
  <c r="V120" i="45"/>
  <c r="DA4" i="45"/>
  <c r="DA27" i="45"/>
  <c r="DA51" i="45"/>
  <c r="DA74" i="45"/>
  <c r="DA97" i="45"/>
  <c r="CK4" i="45"/>
  <c r="CK27" i="45"/>
  <c r="CK51" i="45"/>
  <c r="CK74" i="45"/>
  <c r="CK97" i="45"/>
  <c r="BU4" i="45"/>
  <c r="BU27" i="45"/>
  <c r="BU51" i="45"/>
  <c r="BU74" i="45"/>
  <c r="BU97" i="45"/>
  <c r="BE4" i="45"/>
  <c r="BE27" i="45"/>
  <c r="BE51" i="45"/>
  <c r="BE74" i="45"/>
  <c r="BE97" i="45"/>
  <c r="AO4" i="45"/>
  <c r="AO27" i="45"/>
  <c r="AO51" i="45"/>
  <c r="AO74" i="45"/>
  <c r="AO97" i="45"/>
  <c r="Y4" i="45"/>
  <c r="Y27" i="45"/>
  <c r="Y51" i="45"/>
  <c r="Y74" i="45"/>
  <c r="Y97" i="45"/>
  <c r="M4" i="45"/>
  <c r="M27" i="45"/>
  <c r="M51" i="45"/>
  <c r="M74" i="45"/>
  <c r="M97" i="45"/>
  <c r="CG5" i="45"/>
  <c r="CG28" i="45"/>
  <c r="CG52" i="45"/>
  <c r="CG75" i="45"/>
  <c r="CG98" i="45"/>
  <c r="CG99" i="45"/>
  <c r="CG120" i="45"/>
  <c r="BI5" i="45"/>
  <c r="BI28" i="45"/>
  <c r="BI52" i="45"/>
  <c r="BI75" i="45"/>
  <c r="BI98" i="45"/>
  <c r="BI99" i="45"/>
  <c r="BI120" i="45"/>
  <c r="AC5" i="45"/>
  <c r="AC28" i="45"/>
  <c r="AC52" i="45"/>
  <c r="AC75" i="45"/>
  <c r="AC98" i="45"/>
  <c r="AC99" i="45"/>
  <c r="AC120" i="45"/>
  <c r="CZ4" i="45"/>
  <c r="CZ27" i="45"/>
  <c r="CZ51" i="45"/>
  <c r="CZ74" i="45"/>
  <c r="CZ97" i="45"/>
  <c r="BT4" i="45"/>
  <c r="BT27" i="45"/>
  <c r="BT51" i="45"/>
  <c r="BT74" i="45"/>
  <c r="BT97" i="45"/>
  <c r="AN4" i="45"/>
  <c r="AN27" i="45"/>
  <c r="AN51" i="45"/>
  <c r="AN74" i="45"/>
  <c r="AN97" i="45"/>
  <c r="H4" i="45"/>
  <c r="H27" i="45"/>
  <c r="H51" i="45"/>
  <c r="H74" i="45"/>
  <c r="H97" i="45"/>
  <c r="CV5" i="45"/>
  <c r="CV28" i="45"/>
  <c r="CV52" i="45"/>
  <c r="CV75" i="45"/>
  <c r="CV98" i="45"/>
  <c r="CV99" i="45"/>
  <c r="CV120" i="45"/>
  <c r="BP5" i="45"/>
  <c r="BP28" i="45"/>
  <c r="BP52" i="45"/>
  <c r="BP75" i="45"/>
  <c r="BP98" i="45"/>
  <c r="BP99" i="45"/>
  <c r="BP120" i="45"/>
  <c r="AJ5" i="45"/>
  <c r="AJ28" i="45"/>
  <c r="AJ52" i="45"/>
  <c r="AJ75" i="45"/>
  <c r="AJ98" i="45"/>
  <c r="AJ99" i="45"/>
  <c r="AJ120" i="45"/>
  <c r="AW5" i="45"/>
  <c r="AW28" i="45"/>
  <c r="AW52" i="45"/>
  <c r="AW75" i="45"/>
  <c r="AW98" i="45"/>
  <c r="AW99" i="45"/>
  <c r="AW120" i="45"/>
  <c r="CN4" i="45"/>
  <c r="CN27" i="45"/>
  <c r="CN51" i="45"/>
  <c r="CN74" i="45"/>
  <c r="CN97" i="45"/>
  <c r="D82" i="44"/>
  <c r="C76" i="44"/>
  <c r="D71" i="44"/>
  <c r="C5" i="45"/>
  <c r="C28" i="45"/>
  <c r="C52" i="45"/>
  <c r="C75" i="45"/>
  <c r="C98" i="45"/>
  <c r="C99" i="45"/>
  <c r="C120" i="45"/>
  <c r="B84" i="44"/>
  <c r="B80" i="44"/>
  <c r="X5" i="45"/>
  <c r="X28" i="45"/>
  <c r="X52" i="45"/>
  <c r="X75" i="45"/>
  <c r="X98" i="45"/>
  <c r="X99" i="45"/>
  <c r="X120" i="45"/>
  <c r="V18" i="45"/>
  <c r="V41" i="45"/>
  <c r="BT18" i="45"/>
  <c r="BT41" i="45"/>
  <c r="BH18" i="45"/>
  <c r="BH41" i="45"/>
  <c r="AE18" i="45"/>
  <c r="AE41" i="45"/>
  <c r="L18" i="45"/>
  <c r="L41" i="45"/>
  <c r="H18" i="45"/>
  <c r="H41" i="45"/>
  <c r="BP18" i="45"/>
  <c r="BP41" i="45"/>
  <c r="W18" i="45"/>
  <c r="W41" i="45"/>
  <c r="G18" i="45"/>
  <c r="G41" i="45"/>
  <c r="AJ18" i="45"/>
  <c r="AJ41" i="45"/>
  <c r="AG18" i="45"/>
  <c r="AG41" i="45"/>
  <c r="BI18" i="45"/>
  <c r="BI41" i="45"/>
  <c r="AY18" i="45"/>
  <c r="AY41" i="45"/>
  <c r="T18" i="45"/>
  <c r="T41" i="45"/>
  <c r="CZ18" i="45"/>
  <c r="CZ41" i="45"/>
  <c r="BG18" i="45"/>
  <c r="BG41" i="45"/>
  <c r="K18" i="45"/>
  <c r="K41" i="45"/>
  <c r="CM18" i="45"/>
  <c r="CM41" i="45"/>
  <c r="BJ18" i="45"/>
  <c r="BJ41" i="45"/>
  <c r="CZ10" i="45"/>
  <c r="CZ33" i="45"/>
  <c r="AD10" i="45"/>
  <c r="BI10" i="45"/>
  <c r="BI33" i="45"/>
  <c r="BU18" i="45"/>
  <c r="BU41" i="45"/>
  <c r="M18" i="45"/>
  <c r="M41" i="45"/>
  <c r="S10" i="45"/>
  <c r="BK10" i="45"/>
  <c r="BK33" i="45"/>
  <c r="AX18" i="45"/>
  <c r="AX41" i="45"/>
  <c r="CW10" i="45"/>
  <c r="CW33" i="45"/>
  <c r="DC10" i="45"/>
  <c r="DC33" i="45"/>
  <c r="BE18" i="45"/>
  <c r="BE41" i="45"/>
  <c r="BE21" i="45"/>
  <c r="I21" i="45"/>
  <c r="CL7" i="45"/>
  <c r="CL30" i="45"/>
  <c r="AM7" i="45"/>
  <c r="AM30" i="45"/>
  <c r="T7" i="45"/>
  <c r="AB7" i="45"/>
  <c r="AB30" i="45"/>
  <c r="CI7" i="45"/>
  <c r="CI30" i="45"/>
  <c r="C7" i="45"/>
  <c r="CP7" i="45"/>
  <c r="CP30" i="45"/>
  <c r="Y7" i="45"/>
  <c r="Y30" i="45"/>
  <c r="AR7" i="45"/>
  <c r="AR30" i="45"/>
  <c r="BU7" i="45"/>
  <c r="BU30" i="45"/>
  <c r="A30" i="45"/>
  <c r="A54" i="45"/>
  <c r="A77" i="45"/>
  <c r="A101" i="45"/>
  <c r="CQ21" i="45"/>
  <c r="CQ44" i="45"/>
  <c r="B25" i="36"/>
  <c r="B22" i="36"/>
  <c r="C20" i="19"/>
  <c r="C32" i="19"/>
  <c r="C38" i="19"/>
  <c r="D6" i="21"/>
  <c r="D33" i="36"/>
  <c r="D44" i="36"/>
  <c r="CG17" i="45"/>
  <c r="CG40" i="45"/>
  <c r="CX17" i="45"/>
  <c r="CX40" i="45"/>
  <c r="AT17" i="45"/>
  <c r="AT40" i="45"/>
  <c r="CF17" i="45"/>
  <c r="CF40" i="45"/>
  <c r="AH17" i="45"/>
  <c r="AH40" i="45"/>
  <c r="CZ17" i="45"/>
  <c r="CZ40" i="45"/>
  <c r="AE17" i="45"/>
  <c r="AE40" i="45"/>
  <c r="BR17" i="45"/>
  <c r="BR40" i="45"/>
  <c r="CP17" i="45"/>
  <c r="CP40" i="45"/>
  <c r="BQ20" i="45"/>
  <c r="BQ43" i="45"/>
  <c r="CL20" i="45"/>
  <c r="CL43" i="45"/>
  <c r="AZ20" i="45"/>
  <c r="AZ43" i="45"/>
  <c r="A43" i="45"/>
  <c r="A67" i="45"/>
  <c r="A90" i="45"/>
  <c r="A114" i="45"/>
  <c r="CN20" i="45"/>
  <c r="CN43" i="45"/>
  <c r="BT20" i="45"/>
  <c r="BT43" i="45"/>
  <c r="BD20" i="45"/>
  <c r="BD43" i="45"/>
  <c r="AJ20" i="45"/>
  <c r="AJ43" i="45"/>
  <c r="T20" i="45"/>
  <c r="DA20" i="45"/>
  <c r="DA43" i="45"/>
  <c r="CG20" i="45"/>
  <c r="CG43" i="45"/>
  <c r="BN20" i="45"/>
  <c r="BN43" i="45"/>
  <c r="AX20" i="45"/>
  <c r="AX43" i="45"/>
  <c r="AE20" i="45"/>
  <c r="AE43" i="45"/>
  <c r="L20" i="45"/>
  <c r="CV20" i="45"/>
  <c r="CV43" i="45"/>
  <c r="BK20" i="45"/>
  <c r="BK43" i="45"/>
  <c r="Y20" i="45"/>
  <c r="Y43" i="45"/>
  <c r="CS20" i="45"/>
  <c r="CS43" i="45"/>
  <c r="BH20" i="45"/>
  <c r="BH43" i="45"/>
  <c r="X20" i="45"/>
  <c r="BR20" i="45"/>
  <c r="BR43" i="45"/>
  <c r="CH20" i="45"/>
  <c r="CH43" i="45"/>
  <c r="P20" i="45"/>
  <c r="DC20" i="45"/>
  <c r="DC43" i="45"/>
  <c r="E108" i="5"/>
  <c r="E109" i="5"/>
  <c r="J108" i="5"/>
  <c r="J109" i="5"/>
  <c r="N108" i="5"/>
  <c r="N109" i="5"/>
  <c r="S108" i="5"/>
  <c r="S109" i="5"/>
  <c r="P108" i="5"/>
  <c r="P109" i="5"/>
  <c r="AN15" i="45"/>
  <c r="AN38" i="45"/>
  <c r="CN15" i="45"/>
  <c r="CN38" i="45"/>
  <c r="BW15" i="45"/>
  <c r="BW38" i="45"/>
  <c r="Q26" i="34"/>
  <c r="P145" i="6"/>
  <c r="O23" i="21"/>
  <c r="T80" i="34"/>
  <c r="W80" i="34"/>
  <c r="U80" i="34"/>
  <c r="Y80" i="34"/>
  <c r="S80" i="34"/>
  <c r="R80" i="34"/>
  <c r="V80" i="34"/>
  <c r="X80" i="34"/>
  <c r="H12" i="27"/>
  <c r="F13" i="46"/>
  <c r="C84" i="44"/>
  <c r="CF19" i="45"/>
  <c r="CF42" i="45"/>
  <c r="D84" i="44"/>
  <c r="AC19" i="45"/>
  <c r="AC42" i="45"/>
  <c r="F14" i="46"/>
  <c r="F15" i="46"/>
  <c r="F16" i="46"/>
  <c r="F17" i="46"/>
  <c r="F18" i="46"/>
  <c r="F19" i="46"/>
  <c r="F20" i="46"/>
  <c r="F21" i="46"/>
  <c r="F22" i="46"/>
  <c r="F23" i="46"/>
  <c r="F24" i="46"/>
  <c r="F25" i="46"/>
  <c r="F26" i="46"/>
  <c r="F27" i="46"/>
  <c r="F28" i="46"/>
  <c r="F29" i="46"/>
  <c r="F30" i="46"/>
  <c r="F31" i="46"/>
  <c r="F32" i="46"/>
  <c r="F33" i="46"/>
  <c r="F34" i="46"/>
  <c r="F35" i="46"/>
  <c r="AU15" i="45"/>
  <c r="AU38" i="45"/>
  <c r="BH15" i="45"/>
  <c r="BH38" i="45"/>
  <c r="BO15" i="45"/>
  <c r="BO38" i="45"/>
  <c r="DE15" i="45"/>
  <c r="DE38" i="45"/>
  <c r="G15" i="45"/>
  <c r="G38" i="45"/>
  <c r="Z15" i="45"/>
  <c r="Z38" i="45"/>
  <c r="D80" i="44"/>
  <c r="DC15" i="45"/>
  <c r="DC38" i="45"/>
  <c r="C15" i="45"/>
  <c r="E15" i="45"/>
  <c r="E38" i="45"/>
  <c r="C80" i="44"/>
  <c r="B44" i="45"/>
  <c r="B68" i="45"/>
  <c r="B91" i="45"/>
  <c r="B115" i="45"/>
  <c r="B40" i="45"/>
  <c r="B64" i="45"/>
  <c r="B87" i="45"/>
  <c r="B111" i="45"/>
  <c r="B36" i="45"/>
  <c r="B60" i="45"/>
  <c r="B83" i="45"/>
  <c r="B107" i="45"/>
  <c r="B56" i="45"/>
  <c r="B79" i="45"/>
  <c r="B103" i="45"/>
  <c r="H5" i="27"/>
  <c r="G5" i="27"/>
  <c r="H8" i="27"/>
  <c r="F5" i="27"/>
  <c r="F19" i="27"/>
  <c r="H19" i="27"/>
  <c r="B36" i="26"/>
  <c r="B32" i="26"/>
  <c r="F32" i="26"/>
  <c r="B38" i="26"/>
  <c r="J57" i="5"/>
  <c r="K57" i="5"/>
  <c r="L57" i="5"/>
  <c r="M57" i="5"/>
  <c r="N57" i="5"/>
  <c r="O57" i="5"/>
  <c r="P57" i="5"/>
  <c r="Q57" i="5"/>
  <c r="R57" i="5"/>
  <c r="S57" i="5"/>
  <c r="T57" i="5"/>
  <c r="U57" i="5"/>
  <c r="V57" i="5"/>
  <c r="W57" i="5"/>
  <c r="X57" i="5"/>
  <c r="AA19" i="45"/>
  <c r="AA42" i="45"/>
  <c r="BW17" i="45"/>
  <c r="BW40" i="45"/>
  <c r="N17" i="45"/>
  <c r="N40" i="45"/>
  <c r="L17" i="45"/>
  <c r="L40" i="45"/>
  <c r="BL7" i="45"/>
  <c r="BL30" i="45"/>
  <c r="DF7" i="45"/>
  <c r="DF30" i="45"/>
  <c r="CJ17" i="45"/>
  <c r="CJ40" i="45"/>
  <c r="AI17" i="45"/>
  <c r="AI40" i="45"/>
  <c r="D17" i="45"/>
  <c r="D40" i="45"/>
  <c r="CD7" i="45"/>
  <c r="CD30" i="45"/>
  <c r="AY7" i="45"/>
  <c r="AY30" i="45"/>
  <c r="L7" i="45"/>
  <c r="L30" i="45"/>
  <c r="BJ17" i="45"/>
  <c r="BJ40" i="45"/>
  <c r="CV17" i="45"/>
  <c r="CV40" i="45"/>
  <c r="AJ17" i="45"/>
  <c r="AJ40" i="45"/>
  <c r="AX17" i="45"/>
  <c r="AX40" i="45"/>
  <c r="CE17" i="45"/>
  <c r="CE40" i="45"/>
  <c r="DD7" i="45"/>
  <c r="DD30" i="45"/>
  <c r="AZ7" i="45"/>
  <c r="AZ30" i="45"/>
  <c r="BG7" i="45"/>
  <c r="BG30" i="45"/>
  <c r="H7" i="45"/>
  <c r="H30" i="45"/>
  <c r="CQ7" i="45"/>
  <c r="CQ30" i="45"/>
  <c r="N7" i="45"/>
  <c r="N30" i="45"/>
  <c r="AI7" i="45"/>
  <c r="BZ7" i="45"/>
  <c r="BZ30" i="45"/>
  <c r="BG17" i="45"/>
  <c r="BG40" i="45"/>
  <c r="DF17" i="45"/>
  <c r="DF40" i="45"/>
  <c r="AQ17" i="45"/>
  <c r="AQ40" i="45"/>
  <c r="P17" i="45"/>
  <c r="P40" i="45"/>
  <c r="BO17" i="45"/>
  <c r="BO40" i="45"/>
  <c r="E17" i="45"/>
  <c r="E40" i="45"/>
  <c r="CI23" i="45"/>
  <c r="CI46" i="45"/>
  <c r="BL23" i="45"/>
  <c r="BL46" i="45"/>
  <c r="I23" i="45"/>
  <c r="I46" i="45"/>
  <c r="DF23" i="45"/>
  <c r="DF46" i="45"/>
  <c r="AO19" i="45"/>
  <c r="AO42" i="45"/>
  <c r="AV7" i="45"/>
  <c r="AV30" i="45"/>
  <c r="AM17" i="45"/>
  <c r="AM40" i="45"/>
  <c r="BK17" i="45"/>
  <c r="BK40" i="45"/>
  <c r="CK17" i="45"/>
  <c r="CK40" i="45"/>
  <c r="G7" i="45"/>
  <c r="G30" i="45"/>
  <c r="AO7" i="45"/>
  <c r="R7" i="45"/>
  <c r="CU17" i="45"/>
  <c r="CU40" i="45"/>
  <c r="AP17" i="45"/>
  <c r="AP40" i="45"/>
  <c r="R17" i="45"/>
  <c r="R40" i="45"/>
  <c r="CO7" i="45"/>
  <c r="CO30" i="45"/>
  <c r="CH7" i="45"/>
  <c r="CH30" i="45"/>
  <c r="BI7" i="45"/>
  <c r="BI30" i="45"/>
  <c r="BC7" i="45"/>
  <c r="BC30" i="45"/>
  <c r="AD7" i="45"/>
  <c r="AD30" i="45"/>
  <c r="S7" i="45"/>
  <c r="S30" i="45"/>
  <c r="T17" i="45"/>
  <c r="T40" i="45"/>
  <c r="AR17" i="45"/>
  <c r="AR40" i="45"/>
  <c r="CL17" i="45"/>
  <c r="CL40" i="45"/>
  <c r="G23" i="45"/>
  <c r="G46" i="45"/>
  <c r="BA17" i="45"/>
  <c r="BA40" i="45"/>
  <c r="BW9" i="45"/>
  <c r="BW32" i="45"/>
  <c r="A32" i="45"/>
  <c r="A56" i="45"/>
  <c r="A79" i="45"/>
  <c r="A103" i="45"/>
  <c r="CV9" i="45"/>
  <c r="CV32" i="45"/>
  <c r="CN9" i="45"/>
  <c r="CN32" i="45"/>
  <c r="BU9" i="45"/>
  <c r="BU32" i="45"/>
  <c r="BF9" i="45"/>
  <c r="BF32" i="45"/>
  <c r="DE9" i="45"/>
  <c r="DE32" i="45"/>
  <c r="CP9" i="45"/>
  <c r="CP32" i="45"/>
  <c r="AW9" i="45"/>
  <c r="AW32" i="45"/>
  <c r="AE9" i="45"/>
  <c r="AE32" i="45"/>
  <c r="P9" i="45"/>
  <c r="P32" i="45"/>
  <c r="BO9" i="45"/>
  <c r="BO32" i="45"/>
  <c r="AL9" i="45"/>
  <c r="AL32" i="45"/>
  <c r="D9" i="45"/>
  <c r="D32" i="45"/>
  <c r="J9" i="45"/>
  <c r="J32" i="45"/>
  <c r="BM9" i="45"/>
  <c r="BM32" i="45"/>
  <c r="AO9" i="45"/>
  <c r="AO32" i="45"/>
  <c r="CZ9" i="45"/>
  <c r="CZ32" i="45"/>
  <c r="BY9" i="45"/>
  <c r="BY32" i="45"/>
  <c r="BR9" i="45"/>
  <c r="BR32" i="45"/>
  <c r="AU9" i="45"/>
  <c r="AU32" i="45"/>
  <c r="AN9" i="45"/>
  <c r="AN32" i="45"/>
  <c r="CU9" i="45"/>
  <c r="CU32" i="45"/>
  <c r="CA9" i="45"/>
  <c r="CA32" i="45"/>
  <c r="X9" i="45"/>
  <c r="X32" i="45"/>
  <c r="E9" i="45"/>
  <c r="E32" i="45"/>
  <c r="BK9" i="45"/>
  <c r="BK32" i="45"/>
  <c r="BE9" i="45"/>
  <c r="BE32" i="45"/>
  <c r="U9" i="45"/>
  <c r="U32" i="45"/>
  <c r="AF9" i="45"/>
  <c r="AF32" i="45"/>
  <c r="R9" i="45"/>
  <c r="R32" i="45"/>
  <c r="F12" i="33"/>
  <c r="L15" i="7"/>
  <c r="M23" i="7"/>
  <c r="R17" i="1"/>
  <c r="U10" i="7"/>
  <c r="G10" i="7"/>
  <c r="H24" i="7"/>
  <c r="K17" i="42"/>
  <c r="W28" i="9"/>
  <c r="N10" i="7"/>
  <c r="O22" i="7"/>
  <c r="O62" i="2"/>
  <c r="M28" i="9"/>
  <c r="Z173" i="2"/>
  <c r="X172" i="2"/>
  <c r="T173" i="2"/>
  <c r="R28" i="9"/>
  <c r="L172" i="2"/>
  <c r="J173" i="2"/>
  <c r="G28" i="9"/>
  <c r="M21" i="42"/>
  <c r="M21" i="1"/>
  <c r="R12" i="41"/>
  <c r="R15" i="41"/>
  <c r="R19" i="41"/>
  <c r="G21" i="1"/>
  <c r="L12" i="39"/>
  <c r="L15" i="39"/>
  <c r="L19" i="39"/>
  <c r="G21" i="42"/>
  <c r="O21" i="42"/>
  <c r="O21" i="1"/>
  <c r="D21" i="1"/>
  <c r="I12" i="41"/>
  <c r="I15" i="41"/>
  <c r="I19" i="41"/>
  <c r="D21" i="42"/>
  <c r="W108" i="5"/>
  <c r="W109" i="5"/>
  <c r="V21" i="1"/>
  <c r="X23" i="19"/>
  <c r="G108" i="5"/>
  <c r="G109" i="5"/>
  <c r="F21" i="1"/>
  <c r="K12" i="39"/>
  <c r="K15" i="39"/>
  <c r="K19" i="39"/>
  <c r="V108" i="5"/>
  <c r="V109" i="5"/>
  <c r="U21" i="1"/>
  <c r="W23" i="19"/>
  <c r="M108" i="5"/>
  <c r="M109" i="5"/>
  <c r="S173" i="2"/>
  <c r="D50" i="5"/>
  <c r="B20" i="42"/>
  <c r="B20" i="1"/>
  <c r="D18" i="19"/>
  <c r="D108" i="5"/>
  <c r="D109" i="5"/>
  <c r="O108" i="5"/>
  <c r="O109" i="5"/>
  <c r="F108" i="5"/>
  <c r="F109" i="5"/>
  <c r="E21" i="1"/>
  <c r="R108" i="5"/>
  <c r="R109" i="5"/>
  <c r="I108" i="5"/>
  <c r="I109" i="5"/>
  <c r="H21" i="42"/>
  <c r="T108" i="5"/>
  <c r="T109" i="5"/>
  <c r="S21" i="42"/>
  <c r="V17" i="42"/>
  <c r="V10" i="7"/>
  <c r="W24" i="7"/>
  <c r="M10" i="7"/>
  <c r="AA9" i="9"/>
  <c r="U108" i="5"/>
  <c r="U109" i="5"/>
  <c r="T21" i="1"/>
  <c r="P173" i="2"/>
  <c r="H28" i="9"/>
  <c r="L108" i="5"/>
  <c r="L109" i="5"/>
  <c r="K108" i="5"/>
  <c r="K109" i="5"/>
  <c r="J21" i="1"/>
  <c r="C108" i="5"/>
  <c r="C109" i="5"/>
  <c r="B21" i="1"/>
  <c r="Q108" i="5"/>
  <c r="Q109" i="5"/>
  <c r="P21" i="42"/>
  <c r="P17" i="42"/>
  <c r="I21" i="1"/>
  <c r="N12" i="41"/>
  <c r="N15" i="41"/>
  <c r="N19" i="41"/>
  <c r="I21" i="42"/>
  <c r="V21" i="42"/>
  <c r="C21" i="42"/>
  <c r="E21" i="42"/>
  <c r="T21" i="42"/>
  <c r="R21" i="1"/>
  <c r="W12" i="41"/>
  <c r="W15" i="41"/>
  <c r="W19" i="41"/>
  <c r="R21" i="42"/>
  <c r="K12" i="41"/>
  <c r="K15" i="41"/>
  <c r="K19" i="41"/>
  <c r="P21" i="1"/>
  <c r="F21" i="42"/>
  <c r="E41" i="23"/>
  <c r="E44" i="23"/>
  <c r="G152" i="2"/>
  <c r="Q41" i="23"/>
  <c r="M41" i="23"/>
  <c r="M44" i="23"/>
  <c r="T39" i="23"/>
  <c r="V147" i="2"/>
  <c r="P39" i="23"/>
  <c r="L94" i="3"/>
  <c r="I9" i="3"/>
  <c r="I16" i="3"/>
  <c r="V16" i="3"/>
  <c r="D137" i="2"/>
  <c r="D144" i="2"/>
  <c r="D139" i="2"/>
  <c r="C38" i="3"/>
  <c r="V107" i="2"/>
  <c r="V108" i="2"/>
  <c r="V109" i="2"/>
  <c r="V103" i="2"/>
  <c r="H94" i="3"/>
  <c r="W107" i="2"/>
  <c r="W108" i="2"/>
  <c r="W109" i="2"/>
  <c r="W103" i="2"/>
  <c r="P103" i="2"/>
  <c r="W132" i="2"/>
  <c r="W138" i="2"/>
  <c r="W137" i="2"/>
  <c r="U107" i="2"/>
  <c r="U108" i="2"/>
  <c r="U109" i="2"/>
  <c r="U132" i="2"/>
  <c r="U138" i="2"/>
  <c r="U103" i="2"/>
  <c r="G107" i="3"/>
  <c r="P15" i="3"/>
  <c r="P93" i="5"/>
  <c r="P97" i="5"/>
  <c r="P15" i="42"/>
  <c r="L107" i="2"/>
  <c r="L108" i="2"/>
  <c r="L109" i="2"/>
  <c r="V93" i="5"/>
  <c r="V97" i="5"/>
  <c r="V15" i="42"/>
  <c r="G155" i="2"/>
  <c r="J103" i="2"/>
  <c r="S94" i="3"/>
  <c r="T16" i="3"/>
  <c r="T15" i="3"/>
  <c r="S15" i="3"/>
  <c r="C114" i="3"/>
  <c r="C119" i="3"/>
  <c r="C120" i="3"/>
  <c r="I106" i="2"/>
  <c r="D16" i="3"/>
  <c r="O132" i="2"/>
  <c r="O138" i="2"/>
  <c r="O136" i="2"/>
  <c r="O142" i="2"/>
  <c r="I132" i="2"/>
  <c r="I138" i="2"/>
  <c r="F39" i="23"/>
  <c r="F41" i="23"/>
  <c r="F44" i="23"/>
  <c r="H147" i="2"/>
  <c r="E93" i="5"/>
  <c r="E95" i="5"/>
  <c r="D136" i="2"/>
  <c r="D142" i="2"/>
  <c r="L93" i="5"/>
  <c r="L97" i="5"/>
  <c r="L15" i="42"/>
  <c r="F103" i="2"/>
  <c r="F132" i="2"/>
  <c r="F138" i="2"/>
  <c r="M22" i="3"/>
  <c r="M15" i="3"/>
  <c r="O145" i="2"/>
  <c r="R136" i="2"/>
  <c r="R142" i="2"/>
  <c r="R137" i="2"/>
  <c r="R145" i="2"/>
  <c r="V137" i="2"/>
  <c r="V136" i="2"/>
  <c r="V142" i="2"/>
  <c r="D107" i="3"/>
  <c r="T137" i="2"/>
  <c r="T144" i="2"/>
  <c r="T136" i="2"/>
  <c r="T142" i="2"/>
  <c r="N107" i="3"/>
  <c r="K94" i="3"/>
  <c r="Q107" i="3"/>
  <c r="J107" i="3"/>
  <c r="O151" i="2"/>
  <c r="O148" i="2"/>
  <c r="R169" i="2"/>
  <c r="R103" i="2"/>
  <c r="D107" i="2"/>
  <c r="G160" i="2"/>
  <c r="G161" i="2"/>
  <c r="G153" i="2"/>
  <c r="J176" i="2"/>
  <c r="G151" i="2"/>
  <c r="G148" i="2"/>
  <c r="J169" i="2"/>
  <c r="D103" i="2"/>
  <c r="K16" i="3"/>
  <c r="K22" i="3"/>
  <c r="Q152" i="2"/>
  <c r="T176" i="2"/>
  <c r="Q151" i="2"/>
  <c r="Q148" i="2"/>
  <c r="T169" i="2"/>
  <c r="O14" i="42"/>
  <c r="O19" i="42"/>
  <c r="O19" i="1"/>
  <c r="Q14" i="19"/>
  <c r="G97" i="5"/>
  <c r="G15" i="42"/>
  <c r="C13" i="26"/>
  <c r="C27" i="26"/>
  <c r="K59" i="19"/>
  <c r="B14" i="42"/>
  <c r="B93" i="5"/>
  <c r="Q93" i="5"/>
  <c r="Q97" i="5"/>
  <c r="Q15" i="42"/>
  <c r="Q65" i="42"/>
  <c r="Q71" i="42"/>
  <c r="J9" i="3"/>
  <c r="J16" i="3"/>
  <c r="J22" i="3"/>
  <c r="F9" i="3"/>
  <c r="F16" i="3"/>
  <c r="P152" i="2"/>
  <c r="P153" i="2"/>
  <c r="G14" i="42"/>
  <c r="N41" i="23"/>
  <c r="N44" i="23"/>
  <c r="J147" i="2"/>
  <c r="J160" i="2"/>
  <c r="S39" i="23"/>
  <c r="S41" i="23"/>
  <c r="U147" i="2"/>
  <c r="U151" i="2"/>
  <c r="U148" i="2"/>
  <c r="X169" i="2"/>
  <c r="O41" i="23"/>
  <c r="C14" i="42"/>
  <c r="C14" i="1"/>
  <c r="J14" i="42"/>
  <c r="J14" i="1"/>
  <c r="N94" i="3"/>
  <c r="I86" i="5"/>
  <c r="J86" i="5"/>
  <c r="K86" i="5"/>
  <c r="L86" i="5"/>
  <c r="M86" i="5"/>
  <c r="N86" i="5"/>
  <c r="O86" i="5"/>
  <c r="P86" i="5"/>
  <c r="Q86" i="5"/>
  <c r="R86" i="5"/>
  <c r="S86" i="5"/>
  <c r="T86" i="5"/>
  <c r="U86" i="5"/>
  <c r="V86" i="5"/>
  <c r="W86" i="5"/>
  <c r="X86" i="5"/>
  <c r="T62" i="2"/>
  <c r="K10" i="7"/>
  <c r="L24" i="7"/>
  <c r="L52" i="7"/>
  <c r="D23" i="19"/>
  <c r="G12" i="41"/>
  <c r="G15" i="41"/>
  <c r="G19" i="41"/>
  <c r="W16" i="9"/>
  <c r="W18" i="9"/>
  <c r="V22" i="7"/>
  <c r="P10" i="7"/>
  <c r="Q34" i="7"/>
  <c r="Q36" i="7"/>
  <c r="Q52" i="7"/>
  <c r="S169" i="2"/>
  <c r="S177" i="2"/>
  <c r="O10" i="42"/>
  <c r="I10" i="7"/>
  <c r="J52" i="7"/>
  <c r="I52" i="7"/>
  <c r="H10" i="7"/>
  <c r="I22" i="7"/>
  <c r="G35" i="7"/>
  <c r="G23" i="7"/>
  <c r="F15" i="7"/>
  <c r="G24" i="7"/>
  <c r="G22" i="7"/>
  <c r="G62" i="2"/>
  <c r="H16" i="9"/>
  <c r="H18" i="9"/>
  <c r="Z28" i="9"/>
  <c r="T34" i="7"/>
  <c r="T36" i="7"/>
  <c r="X28" i="9"/>
  <c r="R172" i="2"/>
  <c r="H35" i="7"/>
  <c r="J28" i="9"/>
  <c r="V173" i="2"/>
  <c r="Y173" i="2"/>
  <c r="N28" i="9"/>
  <c r="O23" i="19"/>
  <c r="O17" i="1"/>
  <c r="V28" i="9"/>
  <c r="Q10" i="7"/>
  <c r="R22" i="7"/>
  <c r="R62" i="2"/>
  <c r="L28" i="9"/>
  <c r="J172" i="2"/>
  <c r="R173" i="2"/>
  <c r="R178" i="2"/>
  <c r="Z172" i="2"/>
  <c r="L173" i="2"/>
  <c r="T172" i="2"/>
  <c r="F23" i="19"/>
  <c r="Q15" i="7"/>
  <c r="R34" i="7"/>
  <c r="R24" i="7"/>
  <c r="V34" i="7"/>
  <c r="V36" i="7"/>
  <c r="U15" i="7"/>
  <c r="V35" i="7"/>
  <c r="V24" i="7"/>
  <c r="N16" i="9"/>
  <c r="N18" i="9"/>
  <c r="M34" i="7"/>
  <c r="M36" i="7"/>
  <c r="M22" i="7"/>
  <c r="H23" i="19"/>
  <c r="Q17" i="42"/>
  <c r="R35" i="7"/>
  <c r="V172" i="2"/>
  <c r="O24" i="7"/>
  <c r="M24" i="7"/>
  <c r="P172" i="2"/>
  <c r="E17" i="1"/>
  <c r="W172" i="2"/>
  <c r="W173" i="2"/>
  <c r="U172" i="2"/>
  <c r="U173" i="2"/>
  <c r="Q172" i="2"/>
  <c r="Q28" i="9"/>
  <c r="Q173" i="2"/>
  <c r="S16" i="9"/>
  <c r="S18" i="9"/>
  <c r="T17" i="1"/>
  <c r="T17" i="42"/>
  <c r="V23" i="7"/>
  <c r="X52" i="7"/>
  <c r="W10" i="7"/>
  <c r="X23" i="7"/>
  <c r="P72" i="2"/>
  <c r="S15" i="7"/>
  <c r="T35" i="7"/>
  <c r="T24" i="7"/>
  <c r="R23" i="7"/>
  <c r="M35" i="7"/>
  <c r="J10" i="7"/>
  <c r="G15" i="7"/>
  <c r="D44" i="7"/>
  <c r="W44" i="7"/>
  <c r="X173" i="2"/>
  <c r="D52" i="7"/>
  <c r="F169" i="2"/>
  <c r="C10" i="7"/>
  <c r="S28" i="9"/>
  <c r="T10" i="7"/>
  <c r="U52" i="7"/>
  <c r="X16" i="9"/>
  <c r="X18" i="9"/>
  <c r="V15" i="7"/>
  <c r="W23" i="7"/>
  <c r="W35" i="7"/>
  <c r="K23" i="19"/>
  <c r="N12" i="39"/>
  <c r="N15" i="39"/>
  <c r="N19" i="39"/>
  <c r="V62" i="2"/>
  <c r="F238" i="2"/>
  <c r="G12" i="39"/>
  <c r="G15" i="39"/>
  <c r="G19" i="39"/>
  <c r="L12" i="41"/>
  <c r="L15" i="41"/>
  <c r="L19" i="41"/>
  <c r="X22" i="7"/>
  <c r="S52" i="7"/>
  <c r="O35" i="7"/>
  <c r="O23" i="7"/>
  <c r="O34" i="7"/>
  <c r="P52" i="7"/>
  <c r="O10" i="7"/>
  <c r="S22" i="7"/>
  <c r="S34" i="7"/>
  <c r="S35" i="7"/>
  <c r="S23" i="7"/>
  <c r="R15" i="7"/>
  <c r="R16" i="9"/>
  <c r="R18" i="9"/>
  <c r="O44" i="7"/>
  <c r="E44" i="7"/>
  <c r="U44" i="7"/>
  <c r="N44" i="7"/>
  <c r="H44" i="7"/>
  <c r="AF57" i="7"/>
  <c r="C44" i="7"/>
  <c r="S44" i="7"/>
  <c r="I44" i="7"/>
  <c r="E52" i="7"/>
  <c r="V44" i="7"/>
  <c r="P44" i="7"/>
  <c r="T44" i="7"/>
  <c r="K44" i="7"/>
  <c r="Q44" i="7"/>
  <c r="R44" i="7"/>
  <c r="G44" i="7"/>
  <c r="M44" i="7"/>
  <c r="J44" i="7"/>
  <c r="D10" i="7"/>
  <c r="F44" i="7"/>
  <c r="H173" i="2"/>
  <c r="H178" i="2"/>
  <c r="H172" i="2"/>
  <c r="E10" i="7"/>
  <c r="F52" i="7"/>
  <c r="N173" i="2"/>
  <c r="N172" i="2"/>
  <c r="N17" i="42"/>
  <c r="N17" i="1"/>
  <c r="S172" i="2"/>
  <c r="O173" i="2"/>
  <c r="O172" i="2"/>
  <c r="M172" i="2"/>
  <c r="M173" i="2"/>
  <c r="K173" i="2"/>
  <c r="K172" i="2"/>
  <c r="I172" i="2"/>
  <c r="I28" i="9"/>
  <c r="I173" i="2"/>
  <c r="G173" i="2"/>
  <c r="G172" i="2"/>
  <c r="K15" i="7"/>
  <c r="F28" i="9"/>
  <c r="F173" i="2"/>
  <c r="H15" i="7"/>
  <c r="I23" i="7"/>
  <c r="J17" i="42"/>
  <c r="J17" i="1"/>
  <c r="H34" i="7"/>
  <c r="E25" i="29"/>
  <c r="E21" i="29"/>
  <c r="E22" i="29"/>
  <c r="G34" i="7"/>
  <c r="G36" i="7"/>
  <c r="E25" i="10"/>
  <c r="E21" i="10"/>
  <c r="E22" i="10"/>
  <c r="H22" i="7"/>
  <c r="H62" i="2"/>
  <c r="M16" i="9"/>
  <c r="M18" i="9"/>
  <c r="Q35" i="7"/>
  <c r="P16" i="9"/>
  <c r="P18" i="9"/>
  <c r="H23" i="7"/>
  <c r="H72" i="2"/>
  <c r="B21" i="42"/>
  <c r="S21" i="1"/>
  <c r="X12" i="41"/>
  <c r="X15" i="41"/>
  <c r="X19" i="41"/>
  <c r="L23" i="7"/>
  <c r="P15" i="7"/>
  <c r="X170" i="2"/>
  <c r="N15" i="7"/>
  <c r="I16" i="9"/>
  <c r="I18" i="9"/>
  <c r="X109" i="5"/>
  <c r="O12" i="41"/>
  <c r="O15" i="41"/>
  <c r="O19" i="41"/>
  <c r="L23" i="19"/>
  <c r="H21" i="1"/>
  <c r="M12" i="41"/>
  <c r="M15" i="41"/>
  <c r="M19" i="41"/>
  <c r="U21" i="42"/>
  <c r="K21" i="42"/>
  <c r="K21" i="1"/>
  <c r="Q23" i="19"/>
  <c r="T12" i="41"/>
  <c r="T15" i="41"/>
  <c r="T19" i="41"/>
  <c r="I23" i="19"/>
  <c r="W34" i="7"/>
  <c r="J21" i="42"/>
  <c r="C21" i="1"/>
  <c r="N35" i="7"/>
  <c r="O16" i="9"/>
  <c r="O18" i="9"/>
  <c r="M15" i="7"/>
  <c r="N34" i="7"/>
  <c r="N22" i="7"/>
  <c r="N23" i="7"/>
  <c r="J72" i="2"/>
  <c r="N24" i="7"/>
  <c r="V170" i="2"/>
  <c r="I12" i="39"/>
  <c r="I15" i="39"/>
  <c r="I19" i="39"/>
  <c r="Q21" i="1"/>
  <c r="Q21" i="42"/>
  <c r="W22" i="7"/>
  <c r="L110" i="5"/>
  <c r="N21" i="42"/>
  <c r="N21" i="1"/>
  <c r="L21" i="42"/>
  <c r="L21" i="1"/>
  <c r="G23" i="19"/>
  <c r="J12" i="39"/>
  <c r="J15" i="39"/>
  <c r="J19" i="39"/>
  <c r="U23" i="19"/>
  <c r="O12" i="39"/>
  <c r="O15" i="39"/>
  <c r="O19" i="39"/>
  <c r="J12" i="41"/>
  <c r="J15" i="41"/>
  <c r="J19" i="41"/>
  <c r="U12" i="41"/>
  <c r="U15" i="41"/>
  <c r="U19" i="41"/>
  <c r="R23" i="19"/>
  <c r="T23" i="19"/>
  <c r="Y12" i="41"/>
  <c r="Y15" i="41"/>
  <c r="Y19" i="41"/>
  <c r="V23" i="19"/>
  <c r="W152" i="2"/>
  <c r="W153" i="2"/>
  <c r="Z176" i="2"/>
  <c r="W151" i="2"/>
  <c r="W148" i="2"/>
  <c r="Z169" i="2"/>
  <c r="U41" i="23"/>
  <c r="U44" i="23"/>
  <c r="O137" i="2"/>
  <c r="Q15" i="3"/>
  <c r="Q22" i="3"/>
  <c r="S151" i="2"/>
  <c r="S148" i="2"/>
  <c r="V169" i="2"/>
  <c r="T41" i="23"/>
  <c r="T44" i="23"/>
  <c r="D135" i="2"/>
  <c r="D141" i="2"/>
  <c r="D145" i="2"/>
  <c r="D146" i="2"/>
  <c r="S93" i="5"/>
  <c r="S97" i="5"/>
  <c r="S15" i="42"/>
  <c r="S15" i="1"/>
  <c r="S14" i="42"/>
  <c r="H160" i="2"/>
  <c r="U136" i="2"/>
  <c r="U142" i="2"/>
  <c r="U137" i="2"/>
  <c r="U145" i="2"/>
  <c r="J161" i="2"/>
  <c r="J151" i="2"/>
  <c r="J148" i="2"/>
  <c r="M169" i="2"/>
  <c r="J152" i="2"/>
  <c r="J153" i="2"/>
  <c r="K15" i="3"/>
  <c r="R144" i="2"/>
  <c r="R146" i="2"/>
  <c r="R135" i="2"/>
  <c r="R141" i="2"/>
  <c r="R143" i="2"/>
  <c r="R139" i="2"/>
  <c r="S44" i="23"/>
  <c r="S176" i="2"/>
  <c r="V144" i="2"/>
  <c r="V146" i="2"/>
  <c r="N93" i="5"/>
  <c r="N97" i="5"/>
  <c r="N15" i="42"/>
  <c r="N14" i="42"/>
  <c r="U152" i="2"/>
  <c r="U153" i="2"/>
  <c r="X176" i="2"/>
  <c r="O139" i="2"/>
  <c r="J15" i="3"/>
  <c r="C22" i="3"/>
  <c r="T139" i="2"/>
  <c r="T146" i="2"/>
  <c r="T135" i="2"/>
  <c r="T141" i="2"/>
  <c r="F137" i="2"/>
  <c r="F144" i="2"/>
  <c r="F136" i="2"/>
  <c r="F142" i="2"/>
  <c r="F145" i="2"/>
  <c r="I24" i="7"/>
  <c r="J16" i="9"/>
  <c r="J18" i="9"/>
  <c r="I34" i="7"/>
  <c r="I36" i="7"/>
  <c r="K16" i="9"/>
  <c r="K18" i="9"/>
  <c r="J22" i="7"/>
  <c r="J24" i="7"/>
  <c r="J23" i="7"/>
  <c r="J35" i="7"/>
  <c r="J34" i="7"/>
  <c r="I15" i="7"/>
  <c r="I35" i="7"/>
  <c r="G72" i="2"/>
  <c r="Q23" i="7"/>
  <c r="Q24" i="7"/>
  <c r="Q22" i="7"/>
  <c r="L34" i="7"/>
  <c r="L22" i="7"/>
  <c r="L35" i="7"/>
  <c r="C15" i="7"/>
  <c r="D35" i="7"/>
  <c r="D24" i="7"/>
  <c r="D22" i="7"/>
  <c r="D34" i="7"/>
  <c r="D23" i="7"/>
  <c r="E16" i="9"/>
  <c r="E18" i="9"/>
  <c r="N72" i="2"/>
  <c r="O170" i="2"/>
  <c r="L16" i="9"/>
  <c r="L18" i="9"/>
  <c r="J15" i="7"/>
  <c r="K24" i="7"/>
  <c r="K23" i="7"/>
  <c r="K34" i="7"/>
  <c r="K22" i="7"/>
  <c r="K35" i="7"/>
  <c r="R72" i="2"/>
  <c r="M62" i="2"/>
  <c r="T170" i="2"/>
  <c r="R36" i="7"/>
  <c r="X34" i="7"/>
  <c r="Y16" i="9"/>
  <c r="Y18" i="9"/>
  <c r="W15" i="7"/>
  <c r="X24" i="7"/>
  <c r="S170" i="2"/>
  <c r="X35" i="7"/>
  <c r="I62" i="2"/>
  <c r="X62" i="2"/>
  <c r="I72" i="2"/>
  <c r="F34" i="7"/>
  <c r="F22" i="7"/>
  <c r="G16" i="9"/>
  <c r="G18" i="9"/>
  <c r="E15" i="7"/>
  <c r="F24" i="7"/>
  <c r="F35" i="7"/>
  <c r="F23" i="7"/>
  <c r="S62" i="2"/>
  <c r="K72" i="2"/>
  <c r="W36" i="7"/>
  <c r="Y170" i="2"/>
  <c r="I170" i="2"/>
  <c r="F16" i="9"/>
  <c r="F18" i="9"/>
  <c r="E23" i="7"/>
  <c r="E24" i="7"/>
  <c r="E34" i="7"/>
  <c r="D15" i="7"/>
  <c r="D16" i="7"/>
  <c r="E35" i="7"/>
  <c r="E22" i="7"/>
  <c r="O72" i="2"/>
  <c r="O36" i="7"/>
  <c r="Q170" i="2"/>
  <c r="T72" i="2"/>
  <c r="W62" i="2"/>
  <c r="H36" i="7"/>
  <c r="J170" i="2"/>
  <c r="H59" i="7"/>
  <c r="X59" i="7"/>
  <c r="R59" i="7"/>
  <c r="E59" i="7"/>
  <c r="G59" i="7"/>
  <c r="L59" i="7"/>
  <c r="F59" i="7"/>
  <c r="V59" i="7"/>
  <c r="M59" i="7"/>
  <c r="W59" i="7"/>
  <c r="W37" i="7"/>
  <c r="T59" i="7"/>
  <c r="Q59" i="7"/>
  <c r="S59" i="7"/>
  <c r="P59" i="7"/>
  <c r="I59" i="7"/>
  <c r="K59" i="7"/>
  <c r="J59" i="7"/>
  <c r="N59" i="7"/>
  <c r="U59" i="7"/>
  <c r="O59" i="7"/>
  <c r="O37" i="7"/>
  <c r="D59" i="7"/>
  <c r="U170" i="2"/>
  <c r="S36" i="7"/>
  <c r="P24" i="7"/>
  <c r="P34" i="7"/>
  <c r="P35" i="7"/>
  <c r="P37" i="7"/>
  <c r="P22" i="7"/>
  <c r="Q16" i="9"/>
  <c r="Q18" i="9"/>
  <c r="P23" i="7"/>
  <c r="O15" i="7"/>
  <c r="S72" i="2"/>
  <c r="U24" i="7"/>
  <c r="U34" i="7"/>
  <c r="V16" i="9"/>
  <c r="V18" i="9"/>
  <c r="U22" i="7"/>
  <c r="U23" i="7"/>
  <c r="T15" i="7"/>
  <c r="U35" i="7"/>
  <c r="K170" i="2"/>
  <c r="I37" i="7"/>
  <c r="N62" i="2"/>
  <c r="P12" i="41"/>
  <c r="P15" i="41"/>
  <c r="P19" i="41"/>
  <c r="P12" i="39"/>
  <c r="P15" i="39"/>
  <c r="P19" i="39"/>
  <c r="M23" i="19"/>
  <c r="P23" i="19"/>
  <c r="S12" i="41"/>
  <c r="S15" i="41"/>
  <c r="S19" i="41"/>
  <c r="P170" i="2"/>
  <c r="N36" i="7"/>
  <c r="H12" i="41"/>
  <c r="H15" i="41"/>
  <c r="H19" i="41"/>
  <c r="H12" i="39"/>
  <c r="H15" i="39"/>
  <c r="H19" i="39"/>
  <c r="E23" i="19"/>
  <c r="S23" i="19"/>
  <c r="V12" i="41"/>
  <c r="V15" i="41"/>
  <c r="V19" i="41"/>
  <c r="Q12" i="41"/>
  <c r="Q15" i="41"/>
  <c r="Q19" i="41"/>
  <c r="N23" i="19"/>
  <c r="J23" i="19"/>
  <c r="M12" i="39"/>
  <c r="M15" i="39"/>
  <c r="M19" i="39"/>
  <c r="M176" i="2"/>
  <c r="U144" i="2"/>
  <c r="U146" i="2"/>
  <c r="R253" i="2"/>
  <c r="R254" i="2"/>
  <c r="R256" i="2"/>
  <c r="F139" i="2"/>
  <c r="F135" i="2"/>
  <c r="F141" i="2"/>
  <c r="F143" i="2"/>
  <c r="L62" i="2"/>
  <c r="M72" i="2"/>
  <c r="J36" i="7"/>
  <c r="L170" i="2"/>
  <c r="X37" i="7"/>
  <c r="Q62" i="2"/>
  <c r="J62" i="2"/>
  <c r="L36" i="7"/>
  <c r="N170" i="2"/>
  <c r="K62" i="2"/>
  <c r="K36" i="7"/>
  <c r="M170" i="2"/>
  <c r="D36" i="7"/>
  <c r="F172" i="2"/>
  <c r="F170" i="2"/>
  <c r="X36" i="7"/>
  <c r="Z170" i="2"/>
  <c r="Z177" i="2"/>
  <c r="V10" i="1"/>
  <c r="X7" i="19"/>
  <c r="D62" i="2"/>
  <c r="F37" i="7"/>
  <c r="W170" i="2"/>
  <c r="U36" i="7"/>
  <c r="F171" i="2"/>
  <c r="F29" i="9"/>
  <c r="F175" i="2"/>
  <c r="F178" i="2"/>
  <c r="D37" i="7"/>
  <c r="F174" i="2"/>
  <c r="L174" i="2"/>
  <c r="L171" i="2"/>
  <c r="L175" i="2"/>
  <c r="L29" i="9"/>
  <c r="J37" i="7"/>
  <c r="U175" i="2"/>
  <c r="U171" i="2"/>
  <c r="U174" i="2"/>
  <c r="U29" i="9"/>
  <c r="O174" i="2"/>
  <c r="O178" i="2"/>
  <c r="O171" i="2"/>
  <c r="O175" i="2"/>
  <c r="M37" i="7"/>
  <c r="O29" i="9"/>
  <c r="I174" i="2"/>
  <c r="G37" i="7"/>
  <c r="I171" i="2"/>
  <c r="I175" i="2"/>
  <c r="I29" i="9"/>
  <c r="J175" i="2"/>
  <c r="J174" i="2"/>
  <c r="J171" i="2"/>
  <c r="H37" i="7"/>
  <c r="J29" i="9"/>
  <c r="E62" i="2"/>
  <c r="F62" i="2"/>
  <c r="Q72" i="2"/>
  <c r="L72" i="2"/>
  <c r="P36" i="7"/>
  <c r="R170" i="2"/>
  <c r="Q175" i="2"/>
  <c r="Q174" i="2"/>
  <c r="Q29" i="9"/>
  <c r="Q171" i="2"/>
  <c r="M175" i="2"/>
  <c r="M174" i="2"/>
  <c r="M178" i="2"/>
  <c r="M171" i="2"/>
  <c r="M29" i="9"/>
  <c r="K37" i="7"/>
  <c r="S29" i="9"/>
  <c r="S171" i="2"/>
  <c r="S175" i="2"/>
  <c r="S174" i="2"/>
  <c r="X174" i="2"/>
  <c r="X178" i="2"/>
  <c r="X175" i="2"/>
  <c r="V37" i="7"/>
  <c r="X171" i="2"/>
  <c r="X29" i="9"/>
  <c r="G174" i="2"/>
  <c r="G29" i="9"/>
  <c r="G175" i="2"/>
  <c r="G171" i="2"/>
  <c r="C57" i="42"/>
  <c r="C57" i="1"/>
  <c r="E37" i="7"/>
  <c r="E72" i="2"/>
  <c r="F36" i="7"/>
  <c r="H170" i="2"/>
  <c r="U62" i="2"/>
  <c r="W174" i="2"/>
  <c r="W175" i="2"/>
  <c r="W178" i="2"/>
  <c r="W171" i="2"/>
  <c r="W29" i="9"/>
  <c r="K174" i="2"/>
  <c r="K175" i="2"/>
  <c r="K178" i="2"/>
  <c r="K171" i="2"/>
  <c r="K29" i="9"/>
  <c r="V174" i="2"/>
  <c r="V175" i="2"/>
  <c r="V178" i="2"/>
  <c r="V29" i="9"/>
  <c r="T37" i="7"/>
  <c r="H171" i="2"/>
  <c r="H175" i="2"/>
  <c r="H29" i="9"/>
  <c r="H174" i="2"/>
  <c r="T29" i="9"/>
  <c r="R37" i="7"/>
  <c r="T171" i="2"/>
  <c r="T174" i="2"/>
  <c r="T175" i="2"/>
  <c r="C54" i="42"/>
  <c r="C54" i="1"/>
  <c r="U37" i="7"/>
  <c r="P62" i="2"/>
  <c r="P175" i="2"/>
  <c r="P174" i="2"/>
  <c r="N37" i="7"/>
  <c r="P171" i="2"/>
  <c r="P29" i="9"/>
  <c r="R175" i="2"/>
  <c r="R29" i="9"/>
  <c r="R171" i="2"/>
  <c r="R174" i="2"/>
  <c r="Y174" i="2"/>
  <c r="Y171" i="2"/>
  <c r="Y175" i="2"/>
  <c r="Y29" i="9"/>
  <c r="N175" i="2"/>
  <c r="N174" i="2"/>
  <c r="N29" i="9"/>
  <c r="N171" i="2"/>
  <c r="L37" i="7"/>
  <c r="Z175" i="2"/>
  <c r="Z174" i="2"/>
  <c r="Z171" i="2"/>
  <c r="Z29" i="9"/>
  <c r="Q37" i="7"/>
  <c r="C56" i="42"/>
  <c r="C56" i="1"/>
  <c r="E36" i="7"/>
  <c r="G170" i="2"/>
  <c r="F72" i="2"/>
  <c r="S37" i="7"/>
  <c r="J178" i="2"/>
  <c r="L178" i="2"/>
  <c r="T178" i="2"/>
  <c r="G178" i="2"/>
  <c r="Y178" i="2"/>
  <c r="P178" i="2"/>
  <c r="S178" i="2"/>
  <c r="O10" i="1"/>
  <c r="Q7" i="19"/>
  <c r="H238" i="2"/>
  <c r="H239" i="2"/>
  <c r="L238" i="2"/>
  <c r="L239" i="2"/>
  <c r="D238" i="2"/>
  <c r="D239" i="2"/>
  <c r="F239" i="2"/>
  <c r="N239" i="2"/>
  <c r="N238" i="2"/>
  <c r="S238" i="2"/>
  <c r="S239" i="2"/>
  <c r="O238" i="2"/>
  <c r="O239" i="2"/>
  <c r="M238" i="2"/>
  <c r="M239" i="2"/>
  <c r="I237" i="2"/>
  <c r="E238" i="2"/>
  <c r="E239" i="2"/>
  <c r="V238" i="2"/>
  <c r="V239" i="2"/>
  <c r="Q238" i="2"/>
  <c r="Q239" i="2"/>
  <c r="W238" i="2"/>
  <c r="W239" i="2"/>
  <c r="R237" i="2"/>
  <c r="K239" i="2"/>
  <c r="T238" i="2"/>
  <c r="T239" i="2"/>
  <c r="P237" i="2"/>
  <c r="U239" i="2"/>
  <c r="E59" i="5"/>
  <c r="D215" i="2"/>
  <c r="P238" i="2"/>
  <c r="P239" i="2"/>
  <c r="E215" i="2"/>
  <c r="F59" i="5"/>
  <c r="R239" i="2"/>
  <c r="R238" i="2"/>
  <c r="I238" i="2"/>
  <c r="I239" i="2"/>
  <c r="G59" i="5"/>
  <c r="F215" i="2"/>
  <c r="G215" i="2"/>
  <c r="H59" i="5"/>
  <c r="I59" i="5"/>
  <c r="H215" i="2"/>
  <c r="J59" i="5"/>
  <c r="I215" i="2"/>
  <c r="K59" i="5"/>
  <c r="J215" i="2"/>
  <c r="L59" i="5"/>
  <c r="K215" i="2"/>
  <c r="M59" i="5"/>
  <c r="L215" i="2"/>
  <c r="M215" i="2"/>
  <c r="N59" i="5"/>
  <c r="O59" i="5"/>
  <c r="N215" i="2"/>
  <c r="O215" i="2"/>
  <c r="P59" i="5"/>
  <c r="Q59" i="5"/>
  <c r="P215" i="2"/>
  <c r="R59" i="5"/>
  <c r="Q215" i="2"/>
  <c r="S59" i="5"/>
  <c r="R215" i="2"/>
  <c r="T59" i="5"/>
  <c r="S215" i="2"/>
  <c r="U59" i="5"/>
  <c r="T215" i="2"/>
  <c r="U215" i="2"/>
  <c r="V59" i="5"/>
  <c r="W59" i="5"/>
  <c r="V215" i="2"/>
  <c r="X59" i="5"/>
  <c r="DF9" i="45"/>
  <c r="DF32" i="45"/>
  <c r="BB9" i="45"/>
  <c r="BB32" i="45"/>
  <c r="DB9" i="45"/>
  <c r="DB32" i="45"/>
  <c r="AH9" i="45"/>
  <c r="AH32" i="45"/>
  <c r="N9" i="45"/>
  <c r="N32" i="45"/>
  <c r="AZ9" i="45"/>
  <c r="AZ32" i="45"/>
  <c r="AB9" i="45"/>
  <c r="AB32" i="45"/>
  <c r="AD9" i="45"/>
  <c r="AD32" i="45"/>
  <c r="M9" i="45"/>
  <c r="M32" i="45"/>
  <c r="AR9" i="45"/>
  <c r="AR32" i="45"/>
  <c r="T9" i="45"/>
  <c r="T32" i="45"/>
  <c r="BA9" i="45"/>
  <c r="BA32" i="45"/>
  <c r="AC9" i="45"/>
  <c r="AC32" i="45"/>
  <c r="BS9" i="45"/>
  <c r="BS32" i="45"/>
  <c r="AP9" i="45"/>
  <c r="AP32" i="45"/>
  <c r="DD9" i="45"/>
  <c r="DD32" i="45"/>
  <c r="BT9" i="45"/>
  <c r="BT32" i="45"/>
  <c r="AG9" i="45"/>
  <c r="AG32" i="45"/>
  <c r="Q9" i="45"/>
  <c r="Q32" i="45"/>
  <c r="CY9" i="45"/>
  <c r="CY32" i="45"/>
  <c r="BP9" i="45"/>
  <c r="BP32" i="45"/>
  <c r="BL9" i="45"/>
  <c r="BL32" i="45"/>
  <c r="AA9" i="45"/>
  <c r="AA32" i="45"/>
  <c r="S9" i="45"/>
  <c r="S32" i="45"/>
  <c r="DA9" i="45"/>
  <c r="DA32" i="45"/>
  <c r="BZ9" i="45"/>
  <c r="BZ32" i="45"/>
  <c r="AJ9" i="45"/>
  <c r="AJ32" i="45"/>
  <c r="CL9" i="45"/>
  <c r="CL32" i="45"/>
  <c r="BD9" i="45"/>
  <c r="BD32" i="45"/>
  <c r="Y9" i="45"/>
  <c r="Y32" i="45"/>
  <c r="G9" i="45"/>
  <c r="G32" i="45"/>
  <c r="AX9" i="45"/>
  <c r="AX32" i="45"/>
  <c r="CM9" i="45"/>
  <c r="CM32" i="45"/>
  <c r="L9" i="45"/>
  <c r="L32" i="45"/>
  <c r="I9" i="45"/>
  <c r="CJ9" i="45"/>
  <c r="CJ32" i="45"/>
  <c r="C9" i="45"/>
  <c r="AV9" i="45"/>
  <c r="AV32" i="45"/>
  <c r="CI9" i="45"/>
  <c r="CI32" i="45"/>
  <c r="CK9" i="45"/>
  <c r="CK32" i="45"/>
  <c r="BJ9" i="45"/>
  <c r="BJ32" i="45"/>
  <c r="CG9" i="45"/>
  <c r="CG32" i="45"/>
  <c r="CQ9" i="45"/>
  <c r="CQ32" i="45"/>
  <c r="CF9" i="45"/>
  <c r="CF32" i="45"/>
  <c r="AQ9" i="45"/>
  <c r="AQ32" i="45"/>
  <c r="CC9" i="45"/>
  <c r="CC32" i="45"/>
  <c r="DC9" i="45"/>
  <c r="DC32" i="45"/>
  <c r="W9" i="45"/>
  <c r="W32" i="45"/>
  <c r="AC20" i="45"/>
  <c r="AC43" i="45"/>
  <c r="BX20" i="45"/>
  <c r="BX43" i="45"/>
  <c r="CB20" i="45"/>
  <c r="CB43" i="45"/>
  <c r="AP20" i="45"/>
  <c r="AP43" i="45"/>
  <c r="AK20" i="45"/>
  <c r="AK43" i="45"/>
  <c r="O20" i="45"/>
  <c r="O43" i="45"/>
  <c r="CZ20" i="45"/>
  <c r="CZ43" i="45"/>
  <c r="CF20" i="45"/>
  <c r="CF43" i="45"/>
  <c r="BL20" i="45"/>
  <c r="BL43" i="45"/>
  <c r="AV20" i="45"/>
  <c r="AV43" i="45"/>
  <c r="M20" i="45"/>
  <c r="BM20" i="45"/>
  <c r="BM43" i="45"/>
  <c r="J20" i="45"/>
  <c r="J43" i="45"/>
  <c r="U20" i="45"/>
  <c r="U43" i="45"/>
  <c r="AR20" i="45"/>
  <c r="AR43" i="45"/>
  <c r="E20" i="45"/>
  <c r="E43" i="45"/>
  <c r="AF20" i="45"/>
  <c r="AF43" i="45"/>
  <c r="Q20" i="45"/>
  <c r="CD20" i="45"/>
  <c r="CD43" i="45"/>
  <c r="CO20" i="45"/>
  <c r="CO43" i="45"/>
  <c r="AM20" i="45"/>
  <c r="AM43" i="45"/>
  <c r="BY20" i="45"/>
  <c r="BY43" i="45"/>
  <c r="AY20" i="45"/>
  <c r="AY43" i="45"/>
  <c r="CL21" i="45"/>
  <c r="CL44" i="45"/>
  <c r="AT21" i="45"/>
  <c r="AT44" i="45"/>
  <c r="CK21" i="45"/>
  <c r="CK44" i="45"/>
  <c r="CH21" i="45"/>
  <c r="CH44" i="45"/>
  <c r="N21" i="45"/>
  <c r="N44" i="45"/>
  <c r="DE21" i="45"/>
  <c r="DE44" i="45"/>
  <c r="BW21" i="45"/>
  <c r="BW44" i="45"/>
  <c r="BI21" i="45"/>
  <c r="BI44" i="45"/>
  <c r="BV21" i="45"/>
  <c r="BV44" i="45"/>
  <c r="CD21" i="45"/>
  <c r="CD44" i="45"/>
  <c r="L21" i="45"/>
  <c r="L44" i="45"/>
  <c r="C21" i="45"/>
  <c r="C44" i="45"/>
  <c r="BD21" i="45"/>
  <c r="BD44" i="45"/>
  <c r="CC21" i="45"/>
  <c r="CC44" i="45"/>
  <c r="CG21" i="45"/>
  <c r="CG44" i="45"/>
  <c r="AX21" i="45"/>
  <c r="AX44" i="45"/>
  <c r="BR21" i="45"/>
  <c r="BR44" i="45"/>
  <c r="R21" i="45"/>
  <c r="R44" i="45"/>
  <c r="AK21" i="45"/>
  <c r="AK44" i="45"/>
  <c r="Y21" i="45"/>
  <c r="Y44" i="45"/>
  <c r="CB21" i="45"/>
  <c r="CB44" i="45"/>
  <c r="U21" i="45"/>
  <c r="U44" i="45"/>
  <c r="CR21" i="45"/>
  <c r="CR44" i="45"/>
  <c r="CM21" i="45"/>
  <c r="CM44" i="45"/>
  <c r="AR21" i="45"/>
  <c r="AR44" i="45"/>
  <c r="O21" i="45"/>
  <c r="O44" i="45"/>
  <c r="BM21" i="45"/>
  <c r="BM44" i="45"/>
  <c r="BG21" i="45"/>
  <c r="BG44" i="45"/>
  <c r="DC21" i="45"/>
  <c r="DC44" i="45"/>
  <c r="AF21" i="45"/>
  <c r="AF44" i="45"/>
  <c r="CI21" i="45"/>
  <c r="CI44" i="45"/>
  <c r="DB21" i="45"/>
  <c r="DB44" i="45"/>
  <c r="AS21" i="45"/>
  <c r="AS44" i="45"/>
  <c r="W21" i="45"/>
  <c r="W44" i="45"/>
  <c r="CS21" i="45"/>
  <c r="CS44" i="45"/>
  <c r="CT21" i="45"/>
  <c r="CT44" i="45"/>
  <c r="AV21" i="45"/>
  <c r="AV44" i="45"/>
  <c r="AA21" i="45"/>
  <c r="AA44" i="45"/>
  <c r="AP21" i="45"/>
  <c r="AP44" i="45"/>
  <c r="AZ21" i="45"/>
  <c r="AZ44" i="45"/>
  <c r="R11" i="45"/>
  <c r="R34" i="45"/>
  <c r="CZ11" i="45"/>
  <c r="CZ34" i="45"/>
  <c r="U11" i="45"/>
  <c r="BW11" i="45"/>
  <c r="BW34" i="45"/>
  <c r="CD11" i="45"/>
  <c r="CD34" i="45"/>
  <c r="CP11" i="45"/>
  <c r="CP34" i="45"/>
  <c r="Z11" i="45"/>
  <c r="T11" i="45"/>
  <c r="T34" i="45"/>
  <c r="BC11" i="45"/>
  <c r="BC34" i="45"/>
  <c r="F11" i="45"/>
  <c r="F34" i="45"/>
  <c r="O11" i="45"/>
  <c r="O34" i="45"/>
  <c r="BD11" i="45"/>
  <c r="BD34" i="45"/>
  <c r="CS11" i="45"/>
  <c r="CS34" i="45"/>
  <c r="BM11" i="45"/>
  <c r="BM34" i="45"/>
  <c r="AT11" i="45"/>
  <c r="AT34" i="45"/>
  <c r="DE8" i="45"/>
  <c r="DE31" i="45"/>
  <c r="AG8" i="45"/>
  <c r="AG31" i="45"/>
  <c r="Q8" i="45"/>
  <c r="Q31" i="45"/>
  <c r="AX8" i="45"/>
  <c r="AX31" i="45"/>
  <c r="Z8" i="45"/>
  <c r="Z31" i="45"/>
  <c r="P8" i="45"/>
  <c r="P31" i="45"/>
  <c r="J8" i="45"/>
  <c r="J31" i="45"/>
  <c r="C8" i="45"/>
  <c r="C31" i="45"/>
  <c r="CZ8" i="45"/>
  <c r="CZ31" i="45"/>
  <c r="CE8" i="45"/>
  <c r="CE31" i="45"/>
  <c r="BV8" i="45"/>
  <c r="BV31" i="45"/>
  <c r="BN8" i="45"/>
  <c r="BN31" i="45"/>
  <c r="BE8" i="45"/>
  <c r="BE31" i="45"/>
  <c r="AV8" i="45"/>
  <c r="AV31" i="45"/>
  <c r="AI8" i="45"/>
  <c r="AI31" i="45"/>
  <c r="AA8" i="45"/>
  <c r="AA31" i="45"/>
  <c r="R8" i="45"/>
  <c r="R31" i="45"/>
  <c r="I8" i="45"/>
  <c r="I31" i="45"/>
  <c r="CU8" i="45"/>
  <c r="CU31" i="45"/>
  <c r="CJ8" i="45"/>
  <c r="CJ31" i="45"/>
  <c r="BX8" i="45"/>
  <c r="BX31" i="45"/>
  <c r="BL8" i="45"/>
  <c r="BL31" i="45"/>
  <c r="AO8" i="45"/>
  <c r="AO31" i="45"/>
  <c r="AD8" i="45"/>
  <c r="AD31" i="45"/>
  <c r="S8" i="45"/>
  <c r="S31" i="45"/>
  <c r="G8" i="45"/>
  <c r="G31" i="45"/>
  <c r="CN8" i="45"/>
  <c r="CN31" i="45"/>
  <c r="BY8" i="45"/>
  <c r="BY31" i="45"/>
  <c r="BK8" i="45"/>
  <c r="BK31" i="45"/>
  <c r="AU8" i="45"/>
  <c r="AU31" i="45"/>
  <c r="H8" i="45"/>
  <c r="H31" i="45"/>
  <c r="CR8" i="45"/>
  <c r="CR31" i="45"/>
  <c r="CB8" i="45"/>
  <c r="CB31" i="45"/>
  <c r="BO8" i="45"/>
  <c r="BO31" i="45"/>
  <c r="AY8" i="45"/>
  <c r="AY31" i="45"/>
  <c r="AH8" i="45"/>
  <c r="AH31" i="45"/>
  <c r="DB8" i="45"/>
  <c r="DB31" i="45"/>
  <c r="BH8" i="45"/>
  <c r="BH31" i="45"/>
  <c r="AB8" i="45"/>
  <c r="AB31" i="45"/>
  <c r="CX8" i="45"/>
  <c r="CX31" i="45"/>
  <c r="BT8" i="45"/>
  <c r="BT31" i="45"/>
  <c r="AN8" i="45"/>
  <c r="AN31" i="45"/>
  <c r="K8" i="45"/>
  <c r="K31" i="45"/>
  <c r="CQ8" i="45"/>
  <c r="CQ31" i="45"/>
  <c r="AK8" i="45"/>
  <c r="AK31" i="45"/>
  <c r="CV8" i="45"/>
  <c r="CV31" i="45"/>
  <c r="CM8" i="45"/>
  <c r="CM31" i="45"/>
  <c r="BP8" i="45"/>
  <c r="BP31" i="45"/>
  <c r="BG8" i="45"/>
  <c r="BG31" i="45"/>
  <c r="AM8" i="45"/>
  <c r="AM31" i="45"/>
  <c r="M8" i="45"/>
  <c r="CI8" i="45"/>
  <c r="CI31" i="45"/>
  <c r="BA8" i="45"/>
  <c r="BA31" i="45"/>
  <c r="N8" i="45"/>
  <c r="N31" i="45"/>
  <c r="CD8" i="45"/>
  <c r="CD31" i="45"/>
  <c r="X8" i="45"/>
  <c r="BQ8" i="45"/>
  <c r="BQ31" i="45"/>
  <c r="CK8" i="45"/>
  <c r="CK31" i="45"/>
  <c r="T8" i="45"/>
  <c r="T31" i="45"/>
  <c r="CH8" i="45"/>
  <c r="CH31" i="45"/>
  <c r="CT8" i="45"/>
  <c r="CT31" i="45"/>
  <c r="DF8" i="45"/>
  <c r="DF31" i="45"/>
  <c r="CS8" i="45"/>
  <c r="CS31" i="45"/>
  <c r="BZ8" i="45"/>
  <c r="BZ31" i="45"/>
  <c r="BM8" i="45"/>
  <c r="BM31" i="45"/>
  <c r="AT8" i="45"/>
  <c r="AT31" i="45"/>
  <c r="AF8" i="45"/>
  <c r="W8" i="45"/>
  <c r="W31" i="45"/>
  <c r="DD8" i="45"/>
  <c r="DD31" i="45"/>
  <c r="BI8" i="45"/>
  <c r="BI31" i="45"/>
  <c r="V8" i="45"/>
  <c r="CO8" i="45"/>
  <c r="CO31" i="45"/>
  <c r="AJ8" i="45"/>
  <c r="AJ31" i="45"/>
  <c r="CG8" i="45"/>
  <c r="CG31" i="45"/>
  <c r="CY8" i="45"/>
  <c r="CY31" i="45"/>
  <c r="AQ8" i="45"/>
  <c r="AQ31" i="45"/>
  <c r="O8" i="45"/>
  <c r="U8" i="45"/>
  <c r="U31" i="45"/>
  <c r="N22" i="45"/>
  <c r="N45" i="45"/>
  <c r="DB22" i="45"/>
  <c r="DB45" i="45"/>
  <c r="DA22" i="45"/>
  <c r="DA45" i="45"/>
  <c r="CR22" i="45"/>
  <c r="CR45" i="45"/>
  <c r="E23" i="20"/>
  <c r="C16" i="21"/>
  <c r="BF16" i="45"/>
  <c r="BF39" i="45"/>
  <c r="BZ16" i="45"/>
  <c r="BZ39" i="45"/>
  <c r="AJ16" i="45"/>
  <c r="AJ39" i="45"/>
  <c r="CS22" i="45"/>
  <c r="CS45" i="45"/>
  <c r="CY22" i="45"/>
  <c r="CY45" i="45"/>
  <c r="BI22" i="45"/>
  <c r="BI45" i="45"/>
  <c r="AO22" i="45"/>
  <c r="AO45" i="45"/>
  <c r="BJ22" i="45"/>
  <c r="BJ45" i="45"/>
  <c r="AM22" i="45"/>
  <c r="AM45" i="45"/>
  <c r="AE22" i="45"/>
  <c r="AE45" i="45"/>
  <c r="P22" i="45"/>
  <c r="P45" i="45"/>
  <c r="BU22" i="45"/>
  <c r="BU45" i="45"/>
  <c r="E22" i="45"/>
  <c r="E45" i="45"/>
  <c r="AI22" i="45"/>
  <c r="AI45" i="45"/>
  <c r="AU10" i="45"/>
  <c r="AU33" i="45"/>
  <c r="BP10" i="45"/>
  <c r="BP33" i="45"/>
  <c r="BL10" i="45"/>
  <c r="BL33" i="45"/>
  <c r="AG10" i="45"/>
  <c r="AG33" i="45"/>
  <c r="CE10" i="45"/>
  <c r="CE33" i="45"/>
  <c r="AY10" i="45"/>
  <c r="AY33" i="45"/>
  <c r="X10" i="45"/>
  <c r="X33" i="45"/>
  <c r="G10" i="45"/>
  <c r="G33" i="45"/>
  <c r="L10" i="45"/>
  <c r="L33" i="45"/>
  <c r="I10" i="45"/>
  <c r="I33" i="45"/>
  <c r="BK23" i="45"/>
  <c r="BK46" i="45"/>
  <c r="U23" i="45"/>
  <c r="U46" i="45"/>
  <c r="CS7" i="45"/>
  <c r="CS30" i="45"/>
  <c r="AN7" i="45"/>
  <c r="AN30" i="45"/>
  <c r="BT7" i="45"/>
  <c r="BT30" i="45"/>
  <c r="CZ7" i="45"/>
  <c r="CZ30" i="45"/>
  <c r="F7" i="45"/>
  <c r="F30" i="45"/>
  <c r="AH7" i="45"/>
  <c r="AH30" i="45"/>
  <c r="DA19" i="45"/>
  <c r="DA42" i="45"/>
  <c r="F19" i="45"/>
  <c r="F42" i="45"/>
  <c r="AE23" i="45"/>
  <c r="AE46" i="45"/>
  <c r="CY23" i="45"/>
  <c r="CY46" i="45"/>
  <c r="BB7" i="45"/>
  <c r="BB30" i="45"/>
  <c r="AW7" i="45"/>
  <c r="AW30" i="45"/>
  <c r="BX7" i="45"/>
  <c r="BX30" i="45"/>
  <c r="AE7" i="45"/>
  <c r="AE30" i="45"/>
  <c r="CN7" i="45"/>
  <c r="CN30" i="45"/>
  <c r="V7" i="45"/>
  <c r="V30" i="45"/>
  <c r="AC7" i="45"/>
  <c r="DC23" i="45"/>
  <c r="DC46" i="45"/>
  <c r="AG7" i="45"/>
  <c r="AG30" i="45"/>
  <c r="BP7" i="45"/>
  <c r="BP30" i="45"/>
  <c r="CV7" i="45"/>
  <c r="CV30" i="45"/>
  <c r="CJ7" i="45"/>
  <c r="CJ30" i="45"/>
  <c r="C19" i="45"/>
  <c r="C42" i="45"/>
  <c r="W19" i="45"/>
  <c r="W42" i="45"/>
  <c r="BO19" i="45"/>
  <c r="BO42" i="45"/>
  <c r="CM19" i="45"/>
  <c r="CM42" i="45"/>
  <c r="CB7" i="45"/>
  <c r="CB30" i="45"/>
  <c r="O7" i="45"/>
  <c r="O30" i="45"/>
  <c r="BV7" i="45"/>
  <c r="BV30" i="45"/>
  <c r="AT7" i="45"/>
  <c r="AT30" i="45"/>
  <c r="X7" i="45"/>
  <c r="DC7" i="45"/>
  <c r="DC30" i="45"/>
  <c r="U7" i="45"/>
  <c r="U30" i="45"/>
  <c r="BK7" i="45"/>
  <c r="BK30" i="45"/>
  <c r="CU10" i="45"/>
  <c r="CU33" i="45"/>
  <c r="BQ10" i="45"/>
  <c r="BQ33" i="45"/>
  <c r="J10" i="45"/>
  <c r="J33" i="45"/>
  <c r="CO10" i="45"/>
  <c r="CO33" i="45"/>
  <c r="CC10" i="45"/>
  <c r="CC33" i="45"/>
  <c r="AH10" i="45"/>
  <c r="AH33" i="45"/>
  <c r="Z10" i="45"/>
  <c r="DE10" i="45"/>
  <c r="DE33" i="45"/>
  <c r="AN10" i="45"/>
  <c r="AN33" i="45"/>
  <c r="BD7" i="45"/>
  <c r="BD30" i="45"/>
  <c r="P7" i="45"/>
  <c r="P30" i="45"/>
  <c r="CE7" i="45"/>
  <c r="CE30" i="45"/>
  <c r="W7" i="45"/>
  <c r="W30" i="45"/>
  <c r="AJ7" i="45"/>
  <c r="AJ30" i="45"/>
  <c r="A46" i="45"/>
  <c r="A70" i="45"/>
  <c r="A93" i="45"/>
  <c r="A117" i="45"/>
  <c r="AU7" i="45"/>
  <c r="AU30" i="45"/>
  <c r="CA7" i="45"/>
  <c r="CA30" i="45"/>
  <c r="CX7" i="45"/>
  <c r="CX30" i="45"/>
  <c r="AK7" i="45"/>
  <c r="AK30" i="45"/>
  <c r="I19" i="45"/>
  <c r="I42" i="45"/>
  <c r="DC19" i="45"/>
  <c r="DC42" i="45"/>
  <c r="CM23" i="45"/>
  <c r="CM46" i="45"/>
  <c r="CA23" i="45"/>
  <c r="CA46" i="45"/>
  <c r="V23" i="45"/>
  <c r="V46" i="45"/>
  <c r="CG23" i="45"/>
  <c r="CG46" i="45"/>
  <c r="BE7" i="45"/>
  <c r="BE30" i="45"/>
  <c r="CF7" i="45"/>
  <c r="CF30" i="45"/>
  <c r="J7" i="45"/>
  <c r="J30" i="45"/>
  <c r="BY7" i="45"/>
  <c r="BY30" i="45"/>
  <c r="BR7" i="45"/>
  <c r="BR30" i="45"/>
  <c r="I7" i="45"/>
  <c r="BS7" i="45"/>
  <c r="BS30" i="45"/>
  <c r="K7" i="45"/>
  <c r="K30" i="45"/>
  <c r="BR23" i="45"/>
  <c r="BR46" i="45"/>
  <c r="AQ7" i="45"/>
  <c r="AQ30" i="45"/>
  <c r="BW7" i="45"/>
  <c r="BW30" i="45"/>
  <c r="DB7" i="45"/>
  <c r="DB30" i="45"/>
  <c r="BP19" i="45"/>
  <c r="BP42" i="45"/>
  <c r="J19" i="45"/>
  <c r="J42" i="45"/>
  <c r="CM7" i="45"/>
  <c r="CM30" i="45"/>
  <c r="AF7" i="45"/>
  <c r="AF30" i="45"/>
  <c r="D7" i="45"/>
  <c r="BO7" i="45"/>
  <c r="BO30" i="45"/>
  <c r="AS7" i="45"/>
  <c r="AS30" i="45"/>
  <c r="BQ7" i="45"/>
  <c r="BQ30" i="45"/>
  <c r="DA7" i="45"/>
  <c r="DA30" i="45"/>
  <c r="DE7" i="45"/>
  <c r="DE30" i="45"/>
  <c r="AL7" i="45"/>
  <c r="AL30" i="45"/>
  <c r="AA10" i="45"/>
  <c r="AA33" i="45"/>
  <c r="AZ10" i="45"/>
  <c r="AZ33" i="45"/>
  <c r="AP10" i="45"/>
  <c r="AT10" i="45"/>
  <c r="AT33" i="45"/>
  <c r="H10" i="45"/>
  <c r="H33" i="45"/>
  <c r="AJ10" i="45"/>
  <c r="AJ33" i="45"/>
  <c r="AP7" i="45"/>
  <c r="AP30" i="45"/>
  <c r="AQ15" i="45"/>
  <c r="AQ38" i="45"/>
  <c r="L15" i="45"/>
  <c r="L38" i="45"/>
  <c r="AB15" i="45"/>
  <c r="AB38" i="45"/>
  <c r="X15" i="45"/>
  <c r="X38" i="45"/>
  <c r="AI15" i="45"/>
  <c r="AI38" i="45"/>
  <c r="S15" i="45"/>
  <c r="S38" i="45"/>
  <c r="BM15" i="45"/>
  <c r="BM38" i="45"/>
  <c r="F15" i="45"/>
  <c r="F38" i="45"/>
  <c r="CG15" i="45"/>
  <c r="CG38" i="45"/>
  <c r="BO16" i="45"/>
  <c r="BO39" i="45"/>
  <c r="CK16" i="45"/>
  <c r="CK39" i="45"/>
  <c r="R16" i="45"/>
  <c r="R39" i="45"/>
  <c r="CD16" i="45"/>
  <c r="CD39" i="45"/>
  <c r="BJ16" i="45"/>
  <c r="BJ39" i="45"/>
  <c r="AD16" i="45"/>
  <c r="AD39" i="45"/>
  <c r="E16" i="45"/>
  <c r="E39" i="45"/>
  <c r="DF16" i="45"/>
  <c r="DF39" i="45"/>
  <c r="AX16" i="45"/>
  <c r="AX39" i="45"/>
  <c r="BT16" i="45"/>
  <c r="BT39" i="45"/>
  <c r="AN16" i="45"/>
  <c r="AN39" i="45"/>
  <c r="AL16" i="45"/>
  <c r="AL39" i="45"/>
  <c r="X16" i="45"/>
  <c r="X39" i="45"/>
  <c r="AU16" i="45"/>
  <c r="AU39" i="45"/>
  <c r="CP16" i="45"/>
  <c r="CP39" i="45"/>
  <c r="CA16" i="45"/>
  <c r="CA39" i="45"/>
  <c r="CO16" i="45"/>
  <c r="CO39" i="45"/>
  <c r="CF16" i="45"/>
  <c r="CF39" i="45"/>
  <c r="BS16" i="45"/>
  <c r="BS39" i="45"/>
  <c r="BL16" i="45"/>
  <c r="BL39" i="45"/>
  <c r="CW16" i="45"/>
  <c r="CW39" i="45"/>
  <c r="CG16" i="45"/>
  <c r="CG39" i="45"/>
  <c r="N16" i="45"/>
  <c r="AI16" i="45"/>
  <c r="AI39" i="45"/>
  <c r="D16" i="45"/>
  <c r="D39" i="45"/>
  <c r="AK16" i="45"/>
  <c r="BB16" i="45"/>
  <c r="BB39" i="45"/>
  <c r="I16" i="45"/>
  <c r="I39" i="45"/>
  <c r="CX16" i="45"/>
  <c r="CX39" i="45"/>
  <c r="AQ16" i="45"/>
  <c r="AQ39" i="45"/>
  <c r="BP16" i="45"/>
  <c r="BP39" i="45"/>
  <c r="BD16" i="45"/>
  <c r="BD39" i="45"/>
  <c r="CC22" i="45"/>
  <c r="CC45" i="45"/>
  <c r="CB22" i="45"/>
  <c r="CB45" i="45"/>
  <c r="CH22" i="45"/>
  <c r="CH45" i="45"/>
  <c r="CK22" i="45"/>
  <c r="CK45" i="45"/>
  <c r="BE22" i="45"/>
  <c r="BE45" i="45"/>
  <c r="Y22" i="45"/>
  <c r="Y45" i="45"/>
  <c r="CV22" i="45"/>
  <c r="CV45" i="45"/>
  <c r="AZ22" i="45"/>
  <c r="AZ45" i="45"/>
  <c r="DE22" i="45"/>
  <c r="DE45" i="45"/>
  <c r="BG22" i="45"/>
  <c r="BG45" i="45"/>
  <c r="AF22" i="45"/>
  <c r="AF45" i="45"/>
  <c r="CW22" i="45"/>
  <c r="CW45" i="45"/>
  <c r="CO22" i="45"/>
  <c r="CO45" i="45"/>
  <c r="AX22" i="45"/>
  <c r="AX45" i="45"/>
  <c r="L22" i="45"/>
  <c r="L45" i="45"/>
  <c r="BD22" i="45"/>
  <c r="BD45" i="45"/>
  <c r="CT22" i="45"/>
  <c r="CT45" i="45"/>
  <c r="R22" i="45"/>
  <c r="R45" i="45"/>
  <c r="AW22" i="45"/>
  <c r="AW45" i="45"/>
  <c r="AD22" i="45"/>
  <c r="AD45" i="45"/>
  <c r="CG22" i="45"/>
  <c r="CG45" i="45"/>
  <c r="AU22" i="45"/>
  <c r="AU45" i="45"/>
  <c r="I22" i="45"/>
  <c r="I45" i="45"/>
  <c r="AV22" i="45"/>
  <c r="AV45" i="45"/>
  <c r="CM22" i="45"/>
  <c r="CM45" i="45"/>
  <c r="K22" i="45"/>
  <c r="K45" i="45"/>
  <c r="DD22" i="45"/>
  <c r="DD45" i="45"/>
  <c r="BB22" i="45"/>
  <c r="BB45" i="45"/>
  <c r="AJ22" i="45"/>
  <c r="AJ45" i="45"/>
  <c r="AK22" i="45"/>
  <c r="AK45" i="45"/>
  <c r="BG15" i="45"/>
  <c r="BG38" i="45"/>
  <c r="AG15" i="45"/>
  <c r="AG38" i="45"/>
  <c r="CS15" i="45"/>
  <c r="CS38" i="45"/>
  <c r="AX15" i="45"/>
  <c r="AX38" i="45"/>
  <c r="AV15" i="45"/>
  <c r="AV38" i="45"/>
  <c r="T15" i="45"/>
  <c r="T38" i="45"/>
  <c r="CP15" i="45"/>
  <c r="CP38" i="45"/>
  <c r="BY15" i="45"/>
  <c r="BY38" i="45"/>
  <c r="R15" i="45"/>
  <c r="R38" i="45"/>
  <c r="AR15" i="45"/>
  <c r="AR38" i="45"/>
  <c r="AL15" i="45"/>
  <c r="AL38" i="45"/>
  <c r="CL15" i="45"/>
  <c r="CL38" i="45"/>
  <c r="H15" i="45"/>
  <c r="H38" i="45"/>
  <c r="M16" i="45"/>
  <c r="M39" i="45"/>
  <c r="DE16" i="45"/>
  <c r="DE39" i="45"/>
  <c r="CE22" i="45"/>
  <c r="CE45" i="45"/>
  <c r="AL22" i="45"/>
  <c r="AL45" i="45"/>
  <c r="AG22" i="45"/>
  <c r="AG45" i="45"/>
  <c r="CQ16" i="45"/>
  <c r="CQ39" i="45"/>
  <c r="A38" i="45"/>
  <c r="A62" i="45"/>
  <c r="A85" i="45"/>
  <c r="A109" i="45"/>
  <c r="AM15" i="45"/>
  <c r="AM38" i="45"/>
  <c r="BD15" i="45"/>
  <c r="BD38" i="45"/>
  <c r="CO15" i="45"/>
  <c r="CO38" i="45"/>
  <c r="BB15" i="45"/>
  <c r="BB38" i="45"/>
  <c r="CD15" i="45"/>
  <c r="CD38" i="45"/>
  <c r="BN15" i="45"/>
  <c r="BN38" i="45"/>
  <c r="BI15" i="45"/>
  <c r="BI38" i="45"/>
  <c r="BK15" i="45"/>
  <c r="BK38" i="45"/>
  <c r="BJ15" i="45"/>
  <c r="BJ38" i="45"/>
  <c r="CT15" i="45"/>
  <c r="CT38" i="45"/>
  <c r="AJ15" i="45"/>
  <c r="AJ38" i="45"/>
  <c r="W15" i="45"/>
  <c r="W38" i="45"/>
  <c r="CH15" i="45"/>
  <c r="CH38" i="45"/>
  <c r="CJ15" i="45"/>
  <c r="CJ38" i="45"/>
  <c r="CQ15" i="45"/>
  <c r="CQ38" i="45"/>
  <c r="I15" i="45"/>
  <c r="I38" i="45"/>
  <c r="BV15" i="45"/>
  <c r="BV38" i="45"/>
  <c r="BE15" i="45"/>
  <c r="BE38" i="45"/>
  <c r="BL15" i="45"/>
  <c r="BL38" i="45"/>
  <c r="CI15" i="45"/>
  <c r="CI38" i="45"/>
  <c r="DF15" i="45"/>
  <c r="DF38" i="45"/>
  <c r="CU15" i="45"/>
  <c r="CU38" i="45"/>
  <c r="BR15" i="45"/>
  <c r="BR38" i="45"/>
  <c r="CX15" i="45"/>
  <c r="CX38" i="45"/>
  <c r="AY15" i="45"/>
  <c r="AY38" i="45"/>
  <c r="BF15" i="45"/>
  <c r="BF38" i="45"/>
  <c r="U15" i="45"/>
  <c r="U38" i="45"/>
  <c r="AC15" i="45"/>
  <c r="AC38" i="45"/>
  <c r="AO15" i="45"/>
  <c r="AO38" i="45"/>
  <c r="BX15" i="45"/>
  <c r="BX38" i="45"/>
  <c r="Y15" i="45"/>
  <c r="Y38" i="45"/>
  <c r="D15" i="45"/>
  <c r="AH15" i="45"/>
  <c r="AH38" i="45"/>
  <c r="CC15" i="45"/>
  <c r="CC38" i="45"/>
  <c r="AZ15" i="45"/>
  <c r="AZ38" i="45"/>
  <c r="CE15" i="45"/>
  <c r="CE38" i="45"/>
  <c r="V15" i="45"/>
  <c r="V38" i="45"/>
  <c r="J15" i="45"/>
  <c r="J38" i="45"/>
  <c r="CY15" i="45"/>
  <c r="CY38" i="45"/>
  <c r="K15" i="45"/>
  <c r="K38" i="45"/>
  <c r="M15" i="45"/>
  <c r="M38" i="45"/>
  <c r="BP15" i="45"/>
  <c r="BP38" i="45"/>
  <c r="CR15" i="45"/>
  <c r="CR38" i="45"/>
  <c r="Q15" i="45"/>
  <c r="Q38" i="45"/>
  <c r="AW15" i="45"/>
  <c r="AW38" i="45"/>
  <c r="AD15" i="45"/>
  <c r="AD38" i="45"/>
  <c r="BA15" i="45"/>
  <c r="BA38" i="45"/>
  <c r="CM15" i="45"/>
  <c r="CM38" i="45"/>
  <c r="AE15" i="45"/>
  <c r="AE38" i="45"/>
  <c r="DD15" i="45"/>
  <c r="DD38" i="45"/>
  <c r="N15" i="45"/>
  <c r="N38" i="45"/>
  <c r="AA15" i="45"/>
  <c r="AF15" i="45"/>
  <c r="AF38" i="45"/>
  <c r="P15" i="45"/>
  <c r="P38" i="45"/>
  <c r="O15" i="45"/>
  <c r="O38" i="45"/>
  <c r="CV15" i="45"/>
  <c r="CV38" i="45"/>
  <c r="BQ15" i="45"/>
  <c r="BQ38" i="45"/>
  <c r="CB15" i="45"/>
  <c r="CB38" i="45"/>
  <c r="DA15" i="45"/>
  <c r="DA38" i="45"/>
  <c r="CX22" i="45"/>
  <c r="CX45" i="45"/>
  <c r="CI22" i="45"/>
  <c r="CI45" i="45"/>
  <c r="CW15" i="45"/>
  <c r="CW38" i="45"/>
  <c r="BU15" i="45"/>
  <c r="BU38" i="45"/>
  <c r="BT15" i="45"/>
  <c r="BT38" i="45"/>
  <c r="BC15" i="45"/>
  <c r="BC38" i="45"/>
  <c r="AP15" i="45"/>
  <c r="AP38" i="45"/>
  <c r="AS15" i="45"/>
  <c r="AS38" i="45"/>
  <c r="BZ15" i="45"/>
  <c r="BZ38" i="45"/>
  <c r="BS15" i="45"/>
  <c r="BS38" i="45"/>
  <c r="CF15" i="45"/>
  <c r="CF38" i="45"/>
  <c r="AT15" i="45"/>
  <c r="AT38" i="45"/>
  <c r="CK15" i="45"/>
  <c r="CK38" i="45"/>
  <c r="CZ15" i="45"/>
  <c r="CZ38" i="45"/>
  <c r="CA15" i="45"/>
  <c r="CA38" i="45"/>
  <c r="AE16" i="45"/>
  <c r="AE39" i="45"/>
  <c r="CU16" i="45"/>
  <c r="CU39" i="45"/>
  <c r="Z16" i="45"/>
  <c r="Z39" i="45"/>
  <c r="AK15" i="45"/>
  <c r="AK38" i="45"/>
  <c r="G22" i="45"/>
  <c r="G45" i="45"/>
  <c r="AQ22" i="45"/>
  <c r="AQ45" i="45"/>
  <c r="AN22" i="45"/>
  <c r="AN45" i="45"/>
  <c r="BX16" i="45"/>
  <c r="BX39" i="45"/>
  <c r="CP8" i="45"/>
  <c r="CP31" i="45"/>
  <c r="BJ8" i="45"/>
  <c r="BJ31" i="45"/>
  <c r="AC8" i="45"/>
  <c r="AC31" i="45"/>
  <c r="AR8" i="45"/>
  <c r="BS8" i="45"/>
  <c r="BS31" i="45"/>
  <c r="BC8" i="45"/>
  <c r="BC31" i="45"/>
  <c r="CL8" i="45"/>
  <c r="CL31" i="45"/>
  <c r="CC8" i="45"/>
  <c r="CC31" i="45"/>
  <c r="AW8" i="45"/>
  <c r="AW31" i="45"/>
  <c r="A31" i="45"/>
  <c r="A55" i="45"/>
  <c r="A78" i="45"/>
  <c r="A102" i="45"/>
  <c r="CA8" i="45"/>
  <c r="CA31" i="45"/>
  <c r="D8" i="45"/>
  <c r="D31" i="45"/>
  <c r="L8" i="45"/>
  <c r="L31" i="45"/>
  <c r="BU8" i="45"/>
  <c r="BU31" i="45"/>
  <c r="BD8" i="45"/>
  <c r="BD31" i="45"/>
  <c r="E8" i="45"/>
  <c r="DC8" i="45"/>
  <c r="DC31" i="45"/>
  <c r="AP8" i="45"/>
  <c r="AP31" i="45"/>
  <c r="BR8" i="45"/>
  <c r="BR31" i="45"/>
  <c r="CW8" i="45"/>
  <c r="CW31" i="45"/>
  <c r="Y8" i="45"/>
  <c r="Y31" i="45"/>
  <c r="CQ11" i="45"/>
  <c r="CQ34" i="45"/>
  <c r="V11" i="45"/>
  <c r="CN11" i="45"/>
  <c r="CN34" i="45"/>
  <c r="AA11" i="45"/>
  <c r="AA34" i="45"/>
  <c r="BR11" i="45"/>
  <c r="BR34" i="45"/>
  <c r="AH11" i="45"/>
  <c r="AH34" i="45"/>
  <c r="W11" i="45"/>
  <c r="W34" i="45"/>
  <c r="AW11" i="45"/>
  <c r="AW34" i="45"/>
  <c r="D23" i="45"/>
  <c r="J23" i="45"/>
  <c r="J46" i="45"/>
  <c r="S17" i="45"/>
  <c r="S40" i="45"/>
  <c r="CA17" i="45"/>
  <c r="CA40" i="45"/>
  <c r="AU17" i="45"/>
  <c r="AU40" i="45"/>
  <c r="CM17" i="45"/>
  <c r="CM40" i="45"/>
  <c r="I17" i="45"/>
  <c r="I40" i="45"/>
  <c r="CY20" i="45"/>
  <c r="CY43" i="45"/>
  <c r="I20" i="45"/>
  <c r="I43" i="45"/>
  <c r="BF20" i="45"/>
  <c r="BF43" i="45"/>
  <c r="DB20" i="45"/>
  <c r="DB43" i="45"/>
  <c r="CQ20" i="45"/>
  <c r="CQ43" i="45"/>
  <c r="CA20" i="45"/>
  <c r="CA43" i="45"/>
  <c r="BI20" i="45"/>
  <c r="BI43" i="45"/>
  <c r="AS20" i="45"/>
  <c r="Z20" i="45"/>
  <c r="Z43" i="45"/>
  <c r="G20" i="45"/>
  <c r="G43" i="45"/>
  <c r="CP20" i="45"/>
  <c r="CP43" i="45"/>
  <c r="BG20" i="45"/>
  <c r="BG43" i="45"/>
  <c r="F13" i="33"/>
  <c r="B25" i="19"/>
  <c r="B30" i="19"/>
  <c r="B32" i="19"/>
  <c r="B38" i="19"/>
  <c r="B43" i="19"/>
  <c r="B47" i="19"/>
  <c r="E44" i="36"/>
  <c r="I41" i="36"/>
  <c r="F33" i="36"/>
  <c r="F42" i="36"/>
  <c r="F44" i="36"/>
  <c r="G24" i="36"/>
  <c r="I42" i="36"/>
  <c r="I44" i="36"/>
  <c r="E12" i="34"/>
  <c r="E15" i="34"/>
  <c r="E19" i="34"/>
  <c r="G33" i="36"/>
  <c r="G42" i="36"/>
  <c r="B36" i="19"/>
  <c r="B68" i="19"/>
  <c r="I24" i="36"/>
  <c r="F14" i="33"/>
  <c r="F12" i="25"/>
  <c r="E25" i="34"/>
  <c r="E21" i="34"/>
  <c r="E22" i="34"/>
  <c r="I33" i="36"/>
  <c r="B24" i="36"/>
  <c r="B33" i="36"/>
  <c r="C36" i="19"/>
  <c r="G44" i="36"/>
  <c r="F12" i="34"/>
  <c r="F15" i="34"/>
  <c r="F19" i="34"/>
  <c r="C68" i="19"/>
  <c r="F15" i="33"/>
  <c r="F13" i="25"/>
  <c r="F16" i="33"/>
  <c r="F14" i="25"/>
  <c r="F17" i="33"/>
  <c r="F15" i="25"/>
  <c r="F18" i="33"/>
  <c r="F16" i="25"/>
  <c r="F19" i="33"/>
  <c r="F17" i="25"/>
  <c r="F20" i="33"/>
  <c r="F18" i="25"/>
  <c r="F21" i="33"/>
  <c r="F19" i="25"/>
  <c r="F22" i="33"/>
  <c r="F20" i="25"/>
  <c r="F23" i="33"/>
  <c r="F21" i="25"/>
  <c r="F24" i="33"/>
  <c r="F22" i="25"/>
  <c r="F25" i="33"/>
  <c r="F23" i="25"/>
  <c r="F26" i="33"/>
  <c r="F24" i="25"/>
  <c r="F27" i="33"/>
  <c r="F25" i="25"/>
  <c r="F28" i="33"/>
  <c r="F26" i="25"/>
  <c r="F29" i="33"/>
  <c r="F27" i="25"/>
  <c r="F30" i="33"/>
  <c r="F28" i="25"/>
  <c r="F31" i="33"/>
  <c r="F29" i="25"/>
  <c r="F32" i="33"/>
  <c r="F30" i="25"/>
  <c r="F33" i="33"/>
  <c r="F31" i="25"/>
  <c r="F34" i="33"/>
  <c r="F32" i="25"/>
  <c r="F35" i="33"/>
  <c r="F33" i="25"/>
  <c r="F34" i="25"/>
  <c r="F35" i="25"/>
  <c r="S12" i="45"/>
  <c r="E12" i="45"/>
  <c r="C12" i="45"/>
  <c r="C35" i="45"/>
  <c r="W12" i="45"/>
  <c r="W35" i="45"/>
  <c r="CX12" i="45"/>
  <c r="CX35" i="45"/>
  <c r="DA12" i="45"/>
  <c r="DA35" i="45"/>
  <c r="CR12" i="45"/>
  <c r="CR35" i="45"/>
  <c r="CO12" i="45"/>
  <c r="CO35" i="45"/>
  <c r="BZ12" i="45"/>
  <c r="BZ35" i="45"/>
  <c r="AG12" i="45"/>
  <c r="AG35" i="45"/>
  <c r="BA12" i="45"/>
  <c r="BA35" i="45"/>
  <c r="DD12" i="45"/>
  <c r="DD35" i="45"/>
  <c r="CY12" i="45"/>
  <c r="CY35" i="45"/>
  <c r="AM12" i="45"/>
  <c r="AM35" i="45"/>
  <c r="AT12" i="45"/>
  <c r="AT35" i="45"/>
  <c r="BL12" i="45"/>
  <c r="BL35" i="45"/>
  <c r="G12" i="45"/>
  <c r="G35" i="45"/>
  <c r="DE12" i="45"/>
  <c r="DE35" i="45"/>
  <c r="Q12" i="45"/>
  <c r="Q35" i="45"/>
  <c r="AD12" i="45"/>
  <c r="BS12" i="45"/>
  <c r="BS35" i="45"/>
  <c r="P12" i="45"/>
  <c r="P35" i="45"/>
  <c r="AH12" i="45"/>
  <c r="AH35" i="45"/>
  <c r="BY12" i="45"/>
  <c r="BY35" i="45"/>
  <c r="AA12" i="45"/>
  <c r="AE14" i="45"/>
  <c r="AE37" i="45"/>
  <c r="CX14" i="45"/>
  <c r="CX37" i="45"/>
  <c r="BN14" i="45"/>
  <c r="BN37" i="45"/>
  <c r="CA14" i="45"/>
  <c r="CA37" i="45"/>
  <c r="CU14" i="45"/>
  <c r="CU37" i="45"/>
  <c r="CL14" i="45"/>
  <c r="CL37" i="45"/>
  <c r="CD14" i="45"/>
  <c r="CD37" i="45"/>
  <c r="BU14" i="45"/>
  <c r="BU37" i="45"/>
  <c r="AY14" i="45"/>
  <c r="AY37" i="45"/>
  <c r="AQ14" i="45"/>
  <c r="AQ37" i="45"/>
  <c r="CY14" i="45"/>
  <c r="CY37" i="45"/>
  <c r="CK14" i="45"/>
  <c r="CK37" i="45"/>
  <c r="BD14" i="45"/>
  <c r="BD37" i="45"/>
  <c r="CS14" i="45"/>
  <c r="CS37" i="45"/>
  <c r="CF14" i="45"/>
  <c r="CF37" i="45"/>
  <c r="BL14" i="45"/>
  <c r="BL37" i="45"/>
  <c r="BC14" i="45"/>
  <c r="BC37" i="45"/>
  <c r="AI14" i="45"/>
  <c r="AI37" i="45"/>
  <c r="V14" i="45"/>
  <c r="V37" i="45"/>
  <c r="C14" i="45"/>
  <c r="CH14" i="45"/>
  <c r="CH37" i="45"/>
  <c r="AL14" i="45"/>
  <c r="AL37" i="45"/>
  <c r="AC14" i="45"/>
  <c r="AC37" i="45"/>
  <c r="T14" i="45"/>
  <c r="T37" i="45"/>
  <c r="DB14" i="45"/>
  <c r="DB37" i="45"/>
  <c r="CO14" i="45"/>
  <c r="CO37" i="45"/>
  <c r="CE14" i="45"/>
  <c r="CE37" i="45"/>
  <c r="BS14" i="45"/>
  <c r="BS37" i="45"/>
  <c r="BG14" i="45"/>
  <c r="BG37" i="45"/>
  <c r="AO14" i="45"/>
  <c r="AO37" i="45"/>
  <c r="AD14" i="45"/>
  <c r="AD37" i="45"/>
  <c r="M14" i="45"/>
  <c r="M37" i="45"/>
  <c r="DF14" i="45"/>
  <c r="DF37" i="45"/>
  <c r="CT14" i="45"/>
  <c r="CT37" i="45"/>
  <c r="CI14" i="45"/>
  <c r="CI37" i="45"/>
  <c r="BR14" i="45"/>
  <c r="BR37" i="45"/>
  <c r="BE14" i="45"/>
  <c r="BE37" i="45"/>
  <c r="AT14" i="45"/>
  <c r="AT37" i="45"/>
  <c r="AH14" i="45"/>
  <c r="AH37" i="45"/>
  <c r="Q14" i="45"/>
  <c r="Q37" i="45"/>
  <c r="E14" i="45"/>
  <c r="E37" i="45"/>
  <c r="BT14" i="45"/>
  <c r="BT37" i="45"/>
  <c r="AW14" i="45"/>
  <c r="AW37" i="45"/>
  <c r="Z14" i="45"/>
  <c r="Z37" i="45"/>
  <c r="DE14" i="45"/>
  <c r="DE37" i="45"/>
  <c r="CG14" i="45"/>
  <c r="CG37" i="45"/>
  <c r="BJ14" i="45"/>
  <c r="BJ37" i="45"/>
  <c r="AA14" i="45"/>
  <c r="AA37" i="45"/>
  <c r="D14" i="45"/>
  <c r="D37" i="45"/>
  <c r="AR14" i="45"/>
  <c r="AR37" i="45"/>
  <c r="BB14" i="45"/>
  <c r="BB37" i="45"/>
  <c r="CW14" i="45"/>
  <c r="CW37" i="45"/>
  <c r="CC14" i="45"/>
  <c r="CC37" i="45"/>
  <c r="BP14" i="45"/>
  <c r="BP37" i="45"/>
  <c r="AV14" i="45"/>
  <c r="AV37" i="45"/>
  <c r="AM14" i="45"/>
  <c r="AM37" i="45"/>
  <c r="S14" i="45"/>
  <c r="S37" i="45"/>
  <c r="F14" i="45"/>
  <c r="F37" i="45"/>
  <c r="DD14" i="45"/>
  <c r="DD37" i="45"/>
  <c r="BQ14" i="45"/>
  <c r="BQ37" i="45"/>
  <c r="AG14" i="45"/>
  <c r="AG37" i="45"/>
  <c r="X14" i="45"/>
  <c r="X37" i="45"/>
  <c r="P14" i="45"/>
  <c r="P37" i="45"/>
  <c r="CV14" i="45"/>
  <c r="CV37" i="45"/>
  <c r="CJ14" i="45"/>
  <c r="CJ37" i="45"/>
  <c r="BX14" i="45"/>
  <c r="BX37" i="45"/>
  <c r="BM14" i="45"/>
  <c r="BM37" i="45"/>
  <c r="BA14" i="45"/>
  <c r="BA37" i="45"/>
  <c r="AJ14" i="45"/>
  <c r="AJ37" i="45"/>
  <c r="R14" i="45"/>
  <c r="R37" i="45"/>
  <c r="G14" i="45"/>
  <c r="G37" i="45"/>
  <c r="DA14" i="45"/>
  <c r="DA37" i="45"/>
  <c r="CN14" i="45"/>
  <c r="CN37" i="45"/>
  <c r="CB14" i="45"/>
  <c r="CB37" i="45"/>
  <c r="BK14" i="45"/>
  <c r="BK37" i="45"/>
  <c r="AZ14" i="45"/>
  <c r="AZ37" i="45"/>
  <c r="AN14" i="45"/>
  <c r="AN37" i="45"/>
  <c r="W14" i="45"/>
  <c r="W37" i="45"/>
  <c r="K14" i="45"/>
  <c r="K37" i="45"/>
  <c r="DC14" i="45"/>
  <c r="DC37" i="45"/>
  <c r="BH14" i="45"/>
  <c r="BH37" i="45"/>
  <c r="AK14" i="45"/>
  <c r="AK37" i="45"/>
  <c r="N14" i="45"/>
  <c r="N37" i="45"/>
  <c r="CR14" i="45"/>
  <c r="CR37" i="45"/>
  <c r="BV14" i="45"/>
  <c r="BV37" i="45"/>
  <c r="AX14" i="45"/>
  <c r="AX37" i="45"/>
  <c r="O14" i="45"/>
  <c r="O37" i="45"/>
  <c r="U14" i="45"/>
  <c r="U37" i="45"/>
  <c r="BO14" i="45"/>
  <c r="BO37" i="45"/>
  <c r="AF18" i="45"/>
  <c r="AF41" i="45"/>
  <c r="BM18" i="45"/>
  <c r="BM41" i="45"/>
  <c r="S18" i="45"/>
  <c r="S41" i="45"/>
  <c r="CW7" i="45"/>
  <c r="CW30" i="45"/>
  <c r="AA7" i="45"/>
  <c r="CR7" i="45"/>
  <c r="CR30" i="45"/>
  <c r="F12" i="35"/>
  <c r="F13" i="35"/>
  <c r="F14" i="35"/>
  <c r="F15" i="35"/>
  <c r="F16" i="35"/>
  <c r="F17" i="35"/>
  <c r="F18" i="35"/>
  <c r="F19" i="35"/>
  <c r="F20" i="35"/>
  <c r="F21" i="35"/>
  <c r="F22" i="35"/>
  <c r="F23" i="35"/>
  <c r="F24" i="35"/>
  <c r="F25" i="35"/>
  <c r="F26" i="35"/>
  <c r="F27" i="35"/>
  <c r="F28" i="35"/>
  <c r="F29" i="35"/>
  <c r="F30" i="35"/>
  <c r="F31" i="35"/>
  <c r="F32" i="35"/>
  <c r="F33" i="35"/>
  <c r="F34" i="35"/>
  <c r="F35" i="35"/>
  <c r="AI10" i="45"/>
  <c r="AI33" i="45"/>
  <c r="BT10" i="45"/>
  <c r="BT33" i="45"/>
  <c r="A33" i="45"/>
  <c r="A57" i="45"/>
  <c r="A80" i="45"/>
  <c r="A104" i="45"/>
  <c r="CN10" i="45"/>
  <c r="CN33" i="45"/>
  <c r="CK10" i="45"/>
  <c r="CK33" i="45"/>
  <c r="F10" i="45"/>
  <c r="F33" i="45"/>
  <c r="E10" i="45"/>
  <c r="D10" i="45"/>
  <c r="D33" i="45"/>
  <c r="BG10" i="45"/>
  <c r="BG33" i="45"/>
  <c r="BM10" i="45"/>
  <c r="BM33" i="45"/>
  <c r="CF10" i="45"/>
  <c r="CF33" i="45"/>
  <c r="CM10" i="45"/>
  <c r="CM33" i="45"/>
  <c r="N10" i="45"/>
  <c r="N33" i="45"/>
  <c r="AX10" i="45"/>
  <c r="AX33" i="45"/>
  <c r="BZ10" i="45"/>
  <c r="BZ33" i="45"/>
  <c r="CP10" i="45"/>
  <c r="CP33" i="45"/>
  <c r="CY10" i="45"/>
  <c r="CY33" i="45"/>
  <c r="CB10" i="45"/>
  <c r="CB33" i="45"/>
  <c r="BN10" i="45"/>
  <c r="BN33" i="45"/>
  <c r="CD10" i="45"/>
  <c r="CD33" i="45"/>
  <c r="CV10" i="45"/>
  <c r="CV33" i="45"/>
  <c r="AF10" i="45"/>
  <c r="AF33" i="45"/>
  <c r="BR10" i="45"/>
  <c r="BR33" i="45"/>
  <c r="C10" i="45"/>
  <c r="C33" i="45"/>
  <c r="C57" i="45"/>
  <c r="D57" i="45"/>
  <c r="CQ10" i="45"/>
  <c r="CQ33" i="45"/>
  <c r="DB10" i="45"/>
  <c r="DB33" i="45"/>
  <c r="AL10" i="45"/>
  <c r="AL33" i="45"/>
  <c r="AW10" i="45"/>
  <c r="AW33" i="45"/>
  <c r="AK10" i="45"/>
  <c r="AK33" i="45"/>
  <c r="AO10" i="45"/>
  <c r="AO33" i="45"/>
  <c r="BX10" i="45"/>
  <c r="BX33" i="45"/>
  <c r="BU10" i="45"/>
  <c r="BU33" i="45"/>
  <c r="M10" i="45"/>
  <c r="M33" i="45"/>
  <c r="AV10" i="45"/>
  <c r="AV33" i="45"/>
  <c r="AS10" i="45"/>
  <c r="AS33" i="45"/>
  <c r="BS10" i="45"/>
  <c r="BS33" i="45"/>
  <c r="CX10" i="45"/>
  <c r="CX33" i="45"/>
  <c r="DD10" i="45"/>
  <c r="DD33" i="45"/>
  <c r="BD10" i="45"/>
  <c r="BD33" i="45"/>
  <c r="AQ10" i="45"/>
  <c r="AQ33" i="45"/>
  <c r="CH10" i="45"/>
  <c r="CH33" i="45"/>
  <c r="BA10" i="45"/>
  <c r="BA33" i="45"/>
  <c r="CS10" i="45"/>
  <c r="CS33" i="45"/>
  <c r="AR10" i="45"/>
  <c r="AR33" i="45"/>
  <c r="AM10" i="45"/>
  <c r="AM33" i="45"/>
  <c r="K10" i="45"/>
  <c r="K33" i="45"/>
  <c r="T10" i="45"/>
  <c r="T33" i="45"/>
  <c r="CI10" i="45"/>
  <c r="CI33" i="45"/>
  <c r="CG10" i="45"/>
  <c r="CG33" i="45"/>
  <c r="BJ10" i="45"/>
  <c r="BJ33" i="45"/>
  <c r="R10" i="45"/>
  <c r="BB10" i="45"/>
  <c r="BB33" i="45"/>
  <c r="Q10" i="45"/>
  <c r="Q33" i="45"/>
  <c r="CR10" i="45"/>
  <c r="CR33" i="45"/>
  <c r="V10" i="45"/>
  <c r="V33" i="45"/>
  <c r="O10" i="45"/>
  <c r="O33" i="45"/>
  <c r="DA10" i="45"/>
  <c r="DA33" i="45"/>
  <c r="BF10" i="45"/>
  <c r="BF33" i="45"/>
  <c r="AB10" i="45"/>
  <c r="CT10" i="45"/>
  <c r="CT33" i="45"/>
  <c r="BH10" i="45"/>
  <c r="BH33" i="45"/>
  <c r="U10" i="45"/>
  <c r="U33" i="45"/>
  <c r="CA10" i="45"/>
  <c r="CA33" i="45"/>
  <c r="AC10" i="45"/>
  <c r="AC33" i="45"/>
  <c r="BW10" i="45"/>
  <c r="BW33" i="45"/>
  <c r="AF14" i="45"/>
  <c r="AF37" i="45"/>
  <c r="CP14" i="45"/>
  <c r="CP37" i="45"/>
  <c r="BZ14" i="45"/>
  <c r="BZ37" i="45"/>
  <c r="BI14" i="45"/>
  <c r="BI37" i="45"/>
  <c r="AS14" i="45"/>
  <c r="AS37" i="45"/>
  <c r="AB14" i="45"/>
  <c r="AB37" i="45"/>
  <c r="L14" i="45"/>
  <c r="CQ14" i="45"/>
  <c r="CQ37" i="45"/>
  <c r="AU14" i="45"/>
  <c r="AU37" i="45"/>
  <c r="J14" i="45"/>
  <c r="J37" i="45"/>
  <c r="CZ14" i="45"/>
  <c r="CZ37" i="45"/>
  <c r="BW14" i="45"/>
  <c r="BW37" i="45"/>
  <c r="AP14" i="45"/>
  <c r="AP37" i="45"/>
  <c r="I14" i="45"/>
  <c r="I37" i="45"/>
  <c r="CM14" i="45"/>
  <c r="CM37" i="45"/>
  <c r="Y14" i="45"/>
  <c r="Y37" i="45"/>
  <c r="BF14" i="45"/>
  <c r="BF37" i="45"/>
  <c r="A37" i="45"/>
  <c r="A61" i="45"/>
  <c r="A84" i="45"/>
  <c r="A108" i="45"/>
  <c r="BY14" i="45"/>
  <c r="BY37" i="45"/>
  <c r="M21" i="45"/>
  <c r="M44" i="45"/>
  <c r="BQ21" i="45"/>
  <c r="BQ44" i="45"/>
  <c r="CX21" i="45"/>
  <c r="CX44" i="45"/>
  <c r="CW21" i="45"/>
  <c r="CW44" i="45"/>
  <c r="BF21" i="45"/>
  <c r="BF44" i="45"/>
  <c r="BJ21" i="45"/>
  <c r="BJ44" i="45"/>
  <c r="D21" i="45"/>
  <c r="D44" i="45"/>
  <c r="BB21" i="45"/>
  <c r="BB44" i="45"/>
  <c r="CV21" i="45"/>
  <c r="CV44" i="45"/>
  <c r="Z21" i="45"/>
  <c r="Z44" i="45"/>
  <c r="AL21" i="45"/>
  <c r="AL44" i="45"/>
  <c r="K21" i="45"/>
  <c r="BY21" i="45"/>
  <c r="BY44" i="45"/>
  <c r="DD21" i="45"/>
  <c r="DD44" i="45"/>
  <c r="CE21" i="45"/>
  <c r="CE44" i="45"/>
  <c r="F21" i="45"/>
  <c r="F44" i="45"/>
  <c r="V21" i="45"/>
  <c r="V44" i="45"/>
  <c r="G21" i="45"/>
  <c r="G44" i="45"/>
  <c r="AB21" i="45"/>
  <c r="AB44" i="45"/>
  <c r="CO21" i="45"/>
  <c r="CO44" i="45"/>
  <c r="A44" i="45"/>
  <c r="A68" i="45"/>
  <c r="A91" i="45"/>
  <c r="A115" i="45"/>
  <c r="BU21" i="45"/>
  <c r="BU44" i="45"/>
  <c r="AM21" i="45"/>
  <c r="AM44" i="45"/>
  <c r="AD21" i="45"/>
  <c r="AD44" i="45"/>
  <c r="CF21" i="45"/>
  <c r="CF44" i="45"/>
  <c r="CJ21" i="45"/>
  <c r="CJ44" i="45"/>
  <c r="BK21" i="45"/>
  <c r="BK44" i="45"/>
  <c r="AN21" i="45"/>
  <c r="AN44" i="45"/>
  <c r="AE21" i="45"/>
  <c r="AE44" i="45"/>
  <c r="BP21" i="45"/>
  <c r="BP44" i="45"/>
  <c r="BX21" i="45"/>
  <c r="BX44" i="45"/>
  <c r="AW21" i="45"/>
  <c r="AW44" i="45"/>
  <c r="J21" i="45"/>
  <c r="J44" i="45"/>
  <c r="BZ21" i="45"/>
  <c r="BZ44" i="45"/>
  <c r="X21" i="45"/>
  <c r="X44" i="45"/>
  <c r="AO21" i="45"/>
  <c r="AO44" i="45"/>
  <c r="T21" i="45"/>
  <c r="T44" i="45"/>
  <c r="CU21" i="45"/>
  <c r="CU44" i="45"/>
  <c r="AU21" i="45"/>
  <c r="AU44" i="45"/>
  <c r="BO21" i="45"/>
  <c r="BO44" i="45"/>
  <c r="CA21" i="45"/>
  <c r="CA44" i="45"/>
  <c r="BT21" i="45"/>
  <c r="BT44" i="45"/>
  <c r="AH21" i="45"/>
  <c r="AH44" i="45"/>
  <c r="BS21" i="45"/>
  <c r="BS44" i="45"/>
  <c r="DF21" i="45"/>
  <c r="DF44" i="45"/>
  <c r="Q21" i="45"/>
  <c r="Q44" i="45"/>
  <c r="CY21" i="45"/>
  <c r="CY44" i="45"/>
  <c r="S21" i="45"/>
  <c r="S44" i="45"/>
  <c r="E21" i="45"/>
  <c r="E44" i="45"/>
  <c r="DA21" i="45"/>
  <c r="DA44" i="45"/>
  <c r="BA21" i="45"/>
  <c r="BA44" i="45"/>
  <c r="AI21" i="45"/>
  <c r="AI44" i="45"/>
  <c r="CN21" i="45"/>
  <c r="CN44" i="45"/>
  <c r="AJ21" i="45"/>
  <c r="AJ44" i="45"/>
  <c r="CP21" i="45"/>
  <c r="CP44" i="45"/>
  <c r="BL21" i="45"/>
  <c r="BL44" i="45"/>
  <c r="BN21" i="45"/>
  <c r="BN44" i="45"/>
  <c r="P21" i="45"/>
  <c r="P44" i="45"/>
  <c r="BH21" i="45"/>
  <c r="BH44" i="45"/>
  <c r="H21" i="45"/>
  <c r="H44" i="45"/>
  <c r="BC21" i="45"/>
  <c r="BC44" i="45"/>
  <c r="CZ21" i="45"/>
  <c r="CZ44" i="45"/>
  <c r="AE10" i="45"/>
  <c r="BV10" i="45"/>
  <c r="BV33" i="45"/>
  <c r="DF10" i="45"/>
  <c r="DF33" i="45"/>
  <c r="BE10" i="45"/>
  <c r="BE33" i="45"/>
  <c r="Y10" i="45"/>
  <c r="Y33" i="45"/>
  <c r="W10" i="45"/>
  <c r="W33" i="45"/>
  <c r="BC10" i="45"/>
  <c r="BC33" i="45"/>
  <c r="BO10" i="45"/>
  <c r="BO33" i="45"/>
  <c r="H14" i="45"/>
  <c r="H37" i="45"/>
  <c r="AC21" i="45"/>
  <c r="AC44" i="45"/>
  <c r="CL10" i="45"/>
  <c r="CL33" i="45"/>
  <c r="BY10" i="45"/>
  <c r="BY33" i="45"/>
  <c r="P10" i="45"/>
  <c r="CJ10" i="45"/>
  <c r="CJ33" i="45"/>
  <c r="AN11" i="45"/>
  <c r="AN34" i="45"/>
  <c r="BF11" i="45"/>
  <c r="BF34" i="45"/>
  <c r="DE11" i="45"/>
  <c r="DE34" i="45"/>
  <c r="BA22" i="45"/>
  <c r="BA45" i="45"/>
  <c r="T22" i="45"/>
  <c r="T45" i="45"/>
  <c r="CF8" i="45"/>
  <c r="AZ8" i="45"/>
  <c r="AZ31" i="45"/>
  <c r="AE8" i="45"/>
  <c r="AE31" i="45"/>
  <c r="BB8" i="45"/>
  <c r="BB31" i="45"/>
  <c r="BF8" i="45"/>
  <c r="BF31" i="45"/>
  <c r="CS17" i="45"/>
  <c r="CS40" i="45"/>
  <c r="CO17" i="45"/>
  <c r="CO40" i="45"/>
  <c r="BT17" i="45"/>
  <c r="BT40" i="45"/>
  <c r="BB17" i="45"/>
  <c r="BB40" i="45"/>
  <c r="AF17" i="45"/>
  <c r="AF40" i="45"/>
  <c r="BS17" i="45"/>
  <c r="BS40" i="45"/>
  <c r="X17" i="45"/>
  <c r="X40" i="45"/>
  <c r="F13" i="28"/>
  <c r="F14" i="28"/>
  <c r="F15" i="28"/>
  <c r="F16" i="28"/>
  <c r="F17" i="28"/>
  <c r="F18" i="28"/>
  <c r="F19" i="28"/>
  <c r="F20" i="28"/>
  <c r="F21" i="28"/>
  <c r="F22" i="28"/>
  <c r="F23" i="28"/>
  <c r="F24" i="28"/>
  <c r="F25" i="28"/>
  <c r="F26" i="28"/>
  <c r="F27" i="28"/>
  <c r="F28" i="28"/>
  <c r="F29" i="28"/>
  <c r="F30" i="28"/>
  <c r="F31" i="28"/>
  <c r="F32" i="28"/>
  <c r="F33" i="28"/>
  <c r="F34" i="28"/>
  <c r="F35" i="28"/>
  <c r="S17" i="21"/>
  <c r="Y28" i="21"/>
  <c r="I32" i="45"/>
  <c r="C30" i="45"/>
  <c r="C54" i="45"/>
  <c r="DA8" i="45"/>
  <c r="DA31" i="45"/>
  <c r="F8" i="45"/>
  <c r="F31" i="45"/>
  <c r="AL8" i="45"/>
  <c r="AL31" i="45"/>
  <c r="AS8" i="45"/>
  <c r="BI11" i="45"/>
  <c r="BI34" i="45"/>
  <c r="CG11" i="45"/>
  <c r="CG34" i="45"/>
  <c r="K11" i="45"/>
  <c r="K34" i="45"/>
  <c r="L11" i="45"/>
  <c r="L34" i="45"/>
  <c r="AG11" i="45"/>
  <c r="AG34" i="45"/>
  <c r="DB11" i="45"/>
  <c r="DB34" i="45"/>
  <c r="BO11" i="45"/>
  <c r="BO34" i="45"/>
  <c r="AB11" i="45"/>
  <c r="CJ11" i="45"/>
  <c r="CJ34" i="45"/>
  <c r="AM11" i="45"/>
  <c r="AM34" i="45"/>
  <c r="CB11" i="45"/>
  <c r="CB34" i="45"/>
  <c r="J11" i="45"/>
  <c r="J34" i="45"/>
  <c r="AR11" i="45"/>
  <c r="AR34" i="45"/>
  <c r="BV11" i="45"/>
  <c r="BV34" i="45"/>
  <c r="DD11" i="45"/>
  <c r="DD34" i="45"/>
  <c r="BL11" i="45"/>
  <c r="BL34" i="45"/>
  <c r="BE11" i="45"/>
  <c r="BE34" i="45"/>
  <c r="CW11" i="45"/>
  <c r="CW34" i="45"/>
  <c r="CA11" i="45"/>
  <c r="CA34" i="45"/>
  <c r="AO11" i="45"/>
  <c r="AO34" i="45"/>
  <c r="H11" i="45"/>
  <c r="H34" i="45"/>
  <c r="BP11" i="45"/>
  <c r="BP34" i="45"/>
  <c r="D11" i="45"/>
  <c r="D34" i="45"/>
  <c r="AS11" i="45"/>
  <c r="AS34" i="45"/>
  <c r="CF11" i="45"/>
  <c r="CF34" i="45"/>
  <c r="N11" i="45"/>
  <c r="N34" i="45"/>
  <c r="AV11" i="45"/>
  <c r="AV34" i="45"/>
  <c r="BZ11" i="45"/>
  <c r="BZ34" i="45"/>
  <c r="BT11" i="45"/>
  <c r="BT34" i="45"/>
  <c r="DC11" i="45"/>
  <c r="DC34" i="45"/>
  <c r="BX11" i="45"/>
  <c r="BX34" i="45"/>
  <c r="I11" i="45"/>
  <c r="BQ11" i="45"/>
  <c r="BQ34" i="45"/>
  <c r="DF11" i="45"/>
  <c r="DF34" i="45"/>
  <c r="AJ11" i="45"/>
  <c r="AJ34" i="45"/>
  <c r="BN11" i="45"/>
  <c r="BN34" i="45"/>
  <c r="CV11" i="45"/>
  <c r="CV34" i="45"/>
  <c r="D20" i="45"/>
  <c r="DE20" i="45"/>
  <c r="DE43" i="45"/>
  <c r="CK20" i="45"/>
  <c r="CK43" i="45"/>
  <c r="BU20" i="45"/>
  <c r="BU43" i="45"/>
  <c r="AQ20" i="45"/>
  <c r="AQ43" i="45"/>
  <c r="AB20" i="45"/>
  <c r="AB43" i="45"/>
  <c r="R20" i="45"/>
  <c r="R43" i="45"/>
  <c r="Y17" i="21"/>
  <c r="G19" i="45"/>
  <c r="CG19" i="45"/>
  <c r="CG42" i="45"/>
  <c r="AU19" i="45"/>
  <c r="AU42" i="45"/>
  <c r="BY19" i="45"/>
  <c r="BY42" i="45"/>
  <c r="BC19" i="45"/>
  <c r="BC42" i="45"/>
  <c r="BE19" i="45"/>
  <c r="BE42" i="45"/>
  <c r="AJ19" i="45"/>
  <c r="AJ42" i="45"/>
  <c r="BM19" i="45"/>
  <c r="BM42" i="45"/>
  <c r="DB19" i="45"/>
  <c r="DB42" i="45"/>
  <c r="CJ19" i="45"/>
  <c r="CJ42" i="45"/>
  <c r="BR19" i="45"/>
  <c r="BR42" i="45"/>
  <c r="BK19" i="45"/>
  <c r="BK42" i="45"/>
  <c r="M19" i="45"/>
  <c r="CU19" i="45"/>
  <c r="CU42" i="45"/>
  <c r="AE19" i="45"/>
  <c r="AE42" i="45"/>
  <c r="BX19" i="45"/>
  <c r="BX42" i="45"/>
  <c r="BV19" i="45"/>
  <c r="BV42" i="45"/>
  <c r="AN19" i="45"/>
  <c r="AN42" i="45"/>
  <c r="AS19" i="45"/>
  <c r="AS42" i="45"/>
  <c r="D19" i="45"/>
  <c r="AF19" i="45"/>
  <c r="AF42" i="45"/>
  <c r="BQ19" i="45"/>
  <c r="BQ42" i="45"/>
  <c r="CA19" i="45"/>
  <c r="CA42" i="45"/>
  <c r="CD19" i="45"/>
  <c r="CD42" i="45"/>
  <c r="DF19" i="45"/>
  <c r="DF42" i="45"/>
  <c r="CR19" i="45"/>
  <c r="CR42" i="45"/>
  <c r="CW19" i="45"/>
  <c r="CW42" i="45"/>
  <c r="P19" i="45"/>
  <c r="P42" i="45"/>
  <c r="AP19" i="45"/>
  <c r="AP42" i="45"/>
  <c r="X19" i="45"/>
  <c r="X42" i="45"/>
  <c r="CK19" i="45"/>
  <c r="CK42" i="45"/>
  <c r="AR19" i="45"/>
  <c r="AR42" i="45"/>
  <c r="E19" i="45"/>
  <c r="E42" i="45"/>
  <c r="U19" i="45"/>
  <c r="U42" i="45"/>
  <c r="A42" i="45"/>
  <c r="A66" i="45"/>
  <c r="A89" i="45"/>
  <c r="A113" i="45"/>
  <c r="CQ19" i="45"/>
  <c r="CQ42" i="45"/>
  <c r="S19" i="45"/>
  <c r="S42" i="45"/>
  <c r="CX19" i="45"/>
  <c r="CX42" i="45"/>
  <c r="CV19" i="45"/>
  <c r="CV42" i="45"/>
  <c r="R19" i="45"/>
  <c r="R42" i="45"/>
  <c r="CE19" i="45"/>
  <c r="CE42" i="45"/>
  <c r="Z19" i="45"/>
  <c r="Z42" i="45"/>
  <c r="CB19" i="45"/>
  <c r="CB42" i="45"/>
  <c r="CT19" i="45"/>
  <c r="CT42" i="45"/>
  <c r="BG19" i="45"/>
  <c r="BG42" i="45"/>
  <c r="AX19" i="45"/>
  <c r="AX42" i="45"/>
  <c r="AW19" i="45"/>
  <c r="AW42" i="45"/>
  <c r="H19" i="45"/>
  <c r="H42" i="45"/>
  <c r="BS19" i="45"/>
  <c r="BS42" i="45"/>
  <c r="BH19" i="45"/>
  <c r="BH42" i="45"/>
  <c r="CP19" i="45"/>
  <c r="CP42" i="45"/>
  <c r="BI19" i="45"/>
  <c r="BI42" i="45"/>
  <c r="BA19" i="45"/>
  <c r="BA42" i="45"/>
  <c r="AZ19" i="45"/>
  <c r="AZ42" i="45"/>
  <c r="AB19" i="45"/>
  <c r="AB42" i="45"/>
  <c r="DD19" i="45"/>
  <c r="DD42" i="45"/>
  <c r="N19" i="45"/>
  <c r="N42" i="45"/>
  <c r="K19" i="45"/>
  <c r="K42" i="45"/>
  <c r="BN19" i="45"/>
  <c r="BN42" i="45"/>
  <c r="T19" i="45"/>
  <c r="BD19" i="45"/>
  <c r="BD42" i="45"/>
  <c r="CZ19" i="45"/>
  <c r="CZ42" i="45"/>
  <c r="CY19" i="45"/>
  <c r="CY42" i="45"/>
  <c r="AM19" i="45"/>
  <c r="AM42" i="45"/>
  <c r="AG19" i="45"/>
  <c r="AG42" i="45"/>
  <c r="DE19" i="45"/>
  <c r="DE42" i="45"/>
  <c r="AL19" i="45"/>
  <c r="AL42" i="45"/>
  <c r="BZ19" i="45"/>
  <c r="BZ42" i="45"/>
  <c r="AV19" i="45"/>
  <c r="AV42" i="45"/>
  <c r="AH19" i="45"/>
  <c r="AH42" i="45"/>
  <c r="CS19" i="45"/>
  <c r="CS42" i="45"/>
  <c r="Y19" i="45"/>
  <c r="Y42" i="45"/>
  <c r="BB19" i="45"/>
  <c r="BB42" i="45"/>
  <c r="CI19" i="45"/>
  <c r="CI42" i="45"/>
  <c r="BF19" i="45"/>
  <c r="BF42" i="45"/>
  <c r="CL19" i="45"/>
  <c r="CL42" i="45"/>
  <c r="BW19" i="45"/>
  <c r="BW42" i="45"/>
  <c r="BL19" i="45"/>
  <c r="BL42" i="45"/>
  <c r="AY19" i="45"/>
  <c r="AY42" i="45"/>
  <c r="AK19" i="45"/>
  <c r="AK42" i="45"/>
  <c r="BU19" i="45"/>
  <c r="BU42" i="45"/>
  <c r="AZ23" i="45"/>
  <c r="AZ46" i="45"/>
  <c r="BM23" i="45"/>
  <c r="BM46" i="45"/>
  <c r="BC23" i="45"/>
  <c r="BC46" i="45"/>
  <c r="BX23" i="45"/>
  <c r="BX46" i="45"/>
  <c r="BN23" i="45"/>
  <c r="BN46" i="45"/>
  <c r="AF23" i="45"/>
  <c r="AF46" i="45"/>
  <c r="CC23" i="45"/>
  <c r="CC46" i="45"/>
  <c r="CW23" i="45"/>
  <c r="CW46" i="45"/>
  <c r="DB23" i="45"/>
  <c r="DB46" i="45"/>
  <c r="CN23" i="45"/>
  <c r="CN46" i="45"/>
  <c r="CF23" i="45"/>
  <c r="CF46" i="45"/>
  <c r="AU23" i="45"/>
  <c r="AU46" i="45"/>
  <c r="AD23" i="45"/>
  <c r="AD46" i="45"/>
  <c r="AY23" i="45"/>
  <c r="AY46" i="45"/>
  <c r="BW23" i="45"/>
  <c r="BW46" i="45"/>
  <c r="CD23" i="45"/>
  <c r="CD46" i="45"/>
  <c r="F23" i="45"/>
  <c r="F46" i="45"/>
  <c r="AK23" i="45"/>
  <c r="AK46" i="45"/>
  <c r="BG23" i="45"/>
  <c r="BG46" i="45"/>
  <c r="BF23" i="45"/>
  <c r="BF46" i="45"/>
  <c r="AR23" i="45"/>
  <c r="AR46" i="45"/>
  <c r="BD23" i="45"/>
  <c r="BD46" i="45"/>
  <c r="CU23" i="45"/>
  <c r="CU46" i="45"/>
  <c r="Y23" i="45"/>
  <c r="Y46" i="45"/>
  <c r="CO23" i="45"/>
  <c r="CO46" i="45"/>
  <c r="DA23" i="45"/>
  <c r="DA46" i="45"/>
  <c r="AI23" i="45"/>
  <c r="AI46" i="45"/>
  <c r="CX23" i="45"/>
  <c r="CX46" i="45"/>
  <c r="CP23" i="45"/>
  <c r="CP46" i="45"/>
  <c r="M23" i="45"/>
  <c r="M46" i="45"/>
  <c r="CE23" i="45"/>
  <c r="CE46" i="45"/>
  <c r="AS23" i="45"/>
  <c r="AS46" i="45"/>
  <c r="CL23" i="45"/>
  <c r="CL46" i="45"/>
  <c r="CH23" i="45"/>
  <c r="CH46" i="45"/>
  <c r="C23" i="45"/>
  <c r="C46" i="45"/>
  <c r="S23" i="45"/>
  <c r="S46" i="45"/>
  <c r="CR23" i="45"/>
  <c r="CR46" i="45"/>
  <c r="R23" i="45"/>
  <c r="R46" i="45"/>
  <c r="BU23" i="45"/>
  <c r="BU46" i="45"/>
  <c r="AC23" i="45"/>
  <c r="AC46" i="45"/>
  <c r="CK23" i="45"/>
  <c r="CK46" i="45"/>
  <c r="O23" i="45"/>
  <c r="O46" i="45"/>
  <c r="BA23" i="45"/>
  <c r="BA46" i="45"/>
  <c r="AA23" i="45"/>
  <c r="AA46" i="45"/>
  <c r="AT23" i="45"/>
  <c r="AT46" i="45"/>
  <c r="E23" i="45"/>
  <c r="E46" i="45"/>
  <c r="N23" i="45"/>
  <c r="N46" i="45"/>
  <c r="BY23" i="45"/>
  <c r="BY46" i="45"/>
  <c r="K23" i="45"/>
  <c r="K46" i="45"/>
  <c r="BE23" i="45"/>
  <c r="BE46" i="45"/>
  <c r="AO23" i="45"/>
  <c r="AO46" i="45"/>
  <c r="H23" i="45"/>
  <c r="Q23" i="45"/>
  <c r="Q46" i="45"/>
  <c r="CJ23" i="45"/>
  <c r="CJ46" i="45"/>
  <c r="CQ23" i="45"/>
  <c r="CQ46" i="45"/>
  <c r="X23" i="45"/>
  <c r="X46" i="45"/>
  <c r="AJ23" i="45"/>
  <c r="AJ46" i="45"/>
  <c r="DD23" i="45"/>
  <c r="DD46" i="45"/>
  <c r="BO23" i="45"/>
  <c r="BO46" i="45"/>
  <c r="W23" i="45"/>
  <c r="W46" i="45"/>
  <c r="DE23" i="45"/>
  <c r="DE46" i="45"/>
  <c r="Z23" i="45"/>
  <c r="Z46" i="45"/>
  <c r="T23" i="45"/>
  <c r="T46" i="45"/>
  <c r="AQ23" i="45"/>
  <c r="AQ46" i="45"/>
  <c r="L23" i="45"/>
  <c r="L46" i="45"/>
  <c r="P23" i="45"/>
  <c r="P46" i="45"/>
  <c r="BS23" i="45"/>
  <c r="BS46" i="45"/>
  <c r="BQ23" i="45"/>
  <c r="BQ46" i="45"/>
  <c r="BV23" i="45"/>
  <c r="BV46" i="45"/>
  <c r="E35" i="45"/>
  <c r="CB23" i="45"/>
  <c r="CB46" i="45"/>
  <c r="BB23" i="45"/>
  <c r="BB46" i="45"/>
  <c r="AQ19" i="45"/>
  <c r="AQ42" i="45"/>
  <c r="AI19" i="45"/>
  <c r="AI42" i="45"/>
  <c r="BT23" i="45"/>
  <c r="BT46" i="45"/>
  <c r="AW23" i="45"/>
  <c r="AW46" i="45"/>
  <c r="AT19" i="45"/>
  <c r="AT42" i="45"/>
  <c r="CS23" i="45"/>
  <c r="CS46" i="45"/>
  <c r="BJ19" i="45"/>
  <c r="BJ42" i="45"/>
  <c r="Q19" i="45"/>
  <c r="Q42" i="45"/>
  <c r="BP23" i="45"/>
  <c r="BP46" i="45"/>
  <c r="AX23" i="45"/>
  <c r="AX46" i="45"/>
  <c r="CZ23" i="45"/>
  <c r="CZ46" i="45"/>
  <c r="AL23" i="45"/>
  <c r="AL46" i="45"/>
  <c r="AG23" i="45"/>
  <c r="AG46" i="45"/>
  <c r="AR12" i="45"/>
  <c r="AR35" i="45"/>
  <c r="CJ12" i="45"/>
  <c r="CJ35" i="45"/>
  <c r="DF12" i="45"/>
  <c r="DF35" i="45"/>
  <c r="O12" i="45"/>
  <c r="O35" i="45"/>
  <c r="CV12" i="45"/>
  <c r="CV35" i="45"/>
  <c r="AB12" i="45"/>
  <c r="AB35" i="45"/>
  <c r="R12" i="45"/>
  <c r="R35" i="45"/>
  <c r="AE12" i="45"/>
  <c r="AE35" i="45"/>
  <c r="BW12" i="45"/>
  <c r="BW35" i="45"/>
  <c r="Y12" i="45"/>
  <c r="CP12" i="45"/>
  <c r="CP35" i="45"/>
  <c r="I12" i="45"/>
  <c r="I35" i="45"/>
  <c r="BQ12" i="45"/>
  <c r="BQ35" i="45"/>
  <c r="N12" i="45"/>
  <c r="N35" i="45"/>
  <c r="BI12" i="45"/>
  <c r="BI35" i="45"/>
  <c r="CK12" i="45"/>
  <c r="CK35" i="45"/>
  <c r="BP12" i="45"/>
  <c r="BP35" i="45"/>
  <c r="BG12" i="45"/>
  <c r="BG35" i="45"/>
  <c r="U12" i="45"/>
  <c r="U35" i="45"/>
  <c r="AK12" i="45"/>
  <c r="AK35" i="45"/>
  <c r="AI12" i="45"/>
  <c r="AI35" i="45"/>
  <c r="CM12" i="45"/>
  <c r="CM35" i="45"/>
  <c r="CB12" i="45"/>
  <c r="CB35" i="45"/>
  <c r="J12" i="45"/>
  <c r="F12" i="45"/>
  <c r="F35" i="45"/>
  <c r="CG12" i="45"/>
  <c r="CG35" i="45"/>
  <c r="CZ12" i="45"/>
  <c r="CZ35" i="45"/>
  <c r="A35" i="45"/>
  <c r="A59" i="45"/>
  <c r="A82" i="45"/>
  <c r="A106" i="45"/>
  <c r="BN12" i="45"/>
  <c r="BN35" i="45"/>
  <c r="CL12" i="45"/>
  <c r="CL35" i="45"/>
  <c r="BF12" i="45"/>
  <c r="BF35" i="45"/>
  <c r="BB12" i="45"/>
  <c r="BB35" i="45"/>
  <c r="CF12" i="45"/>
  <c r="CF35" i="45"/>
  <c r="AL12" i="45"/>
  <c r="AL35" i="45"/>
  <c r="CW12" i="45"/>
  <c r="CW35" i="45"/>
  <c r="BX12" i="45"/>
  <c r="BX35" i="45"/>
  <c r="BO12" i="45"/>
  <c r="BO35" i="45"/>
  <c r="AW12" i="45"/>
  <c r="AW35" i="45"/>
  <c r="AJ12" i="45"/>
  <c r="AJ35" i="45"/>
  <c r="M12" i="45"/>
  <c r="M35" i="45"/>
  <c r="T12" i="45"/>
  <c r="T35" i="45"/>
  <c r="BR12" i="45"/>
  <c r="BR35" i="45"/>
  <c r="L12" i="45"/>
  <c r="L35" i="45"/>
  <c r="BE12" i="45"/>
  <c r="BE35" i="45"/>
  <c r="AS12" i="45"/>
  <c r="AS35" i="45"/>
  <c r="CD12" i="45"/>
  <c r="CD35" i="45"/>
  <c r="X12" i="45"/>
  <c r="X35" i="45"/>
  <c r="AC12" i="45"/>
  <c r="AC35" i="45"/>
  <c r="CE12" i="45"/>
  <c r="CE35" i="45"/>
  <c r="AQ12" i="45"/>
  <c r="AQ35" i="45"/>
  <c r="DB12" i="45"/>
  <c r="DB35" i="45"/>
  <c r="CS12" i="45"/>
  <c r="CS35" i="45"/>
  <c r="BT12" i="45"/>
  <c r="BT35" i="45"/>
  <c r="CN12" i="45"/>
  <c r="CN35" i="45"/>
  <c r="BH12" i="45"/>
  <c r="BH35" i="45"/>
  <c r="AV12" i="45"/>
  <c r="AV35" i="45"/>
  <c r="AY12" i="45"/>
  <c r="AY35" i="45"/>
  <c r="AU12" i="45"/>
  <c r="AU35" i="45"/>
  <c r="BK12" i="45"/>
  <c r="BK35" i="45"/>
  <c r="CN16" i="45"/>
  <c r="CN39" i="45"/>
  <c r="CL16" i="45"/>
  <c r="CL39" i="45"/>
  <c r="BH16" i="45"/>
  <c r="BH39" i="45"/>
  <c r="CI16" i="45"/>
  <c r="CI39" i="45"/>
  <c r="BM16" i="45"/>
  <c r="BM39" i="45"/>
  <c r="AW16" i="45"/>
  <c r="AW39" i="45"/>
  <c r="G16" i="45"/>
  <c r="G39" i="45"/>
  <c r="BW16" i="45"/>
  <c r="BW39" i="45"/>
  <c r="AO16" i="45"/>
  <c r="AO39" i="45"/>
  <c r="BC16" i="45"/>
  <c r="BC39" i="45"/>
  <c r="K16" i="45"/>
  <c r="K39" i="45"/>
  <c r="DA16" i="45"/>
  <c r="DA39" i="45"/>
  <c r="CE16" i="45"/>
  <c r="CE39" i="45"/>
  <c r="DC16" i="45"/>
  <c r="DC39" i="45"/>
  <c r="AH16" i="45"/>
  <c r="AH39" i="45"/>
  <c r="P16" i="45"/>
  <c r="P39" i="45"/>
  <c r="Q16" i="45"/>
  <c r="BA16" i="45"/>
  <c r="BA39" i="45"/>
  <c r="CM16" i="45"/>
  <c r="CM39" i="45"/>
  <c r="H16" i="45"/>
  <c r="H39" i="45"/>
  <c r="DD16" i="45"/>
  <c r="DD39" i="45"/>
  <c r="CY16" i="45"/>
  <c r="CY39" i="45"/>
  <c r="AF16" i="45"/>
  <c r="AF39" i="45"/>
  <c r="DB16" i="45"/>
  <c r="DB39" i="45"/>
  <c r="AG16" i="45"/>
  <c r="AG39" i="45"/>
  <c r="BG16" i="45"/>
  <c r="BG39" i="45"/>
  <c r="O16" i="45"/>
  <c r="O39" i="45"/>
  <c r="AB16" i="45"/>
  <c r="AB39" i="45"/>
  <c r="W16" i="45"/>
  <c r="AZ16" i="45"/>
  <c r="AZ39" i="45"/>
  <c r="AP16" i="45"/>
  <c r="AP39" i="45"/>
  <c r="V16" i="45"/>
  <c r="V39" i="45"/>
  <c r="AS16" i="45"/>
  <c r="AS39" i="45"/>
  <c r="J16" i="45"/>
  <c r="J39" i="45"/>
  <c r="AY16" i="45"/>
  <c r="AY39" i="45"/>
  <c r="BE16" i="45"/>
  <c r="BE39" i="45"/>
  <c r="S16" i="45"/>
  <c r="S39" i="45"/>
  <c r="BQ16" i="45"/>
  <c r="BQ39" i="45"/>
  <c r="AM16" i="45"/>
  <c r="AM39" i="45"/>
  <c r="CV16" i="45"/>
  <c r="CV39" i="45"/>
  <c r="BI16" i="45"/>
  <c r="BI39" i="45"/>
  <c r="L16" i="45"/>
  <c r="L39" i="45"/>
  <c r="CC16" i="45"/>
  <c r="CC39" i="45"/>
  <c r="BK16" i="45"/>
  <c r="BK39" i="45"/>
  <c r="BV16" i="45"/>
  <c r="BV39" i="45"/>
  <c r="BN16" i="45"/>
  <c r="BN39" i="45"/>
  <c r="AC16" i="45"/>
  <c r="AC39" i="45"/>
  <c r="CR16" i="45"/>
  <c r="CR39" i="45"/>
  <c r="F16" i="45"/>
  <c r="F39" i="45"/>
  <c r="U16" i="45"/>
  <c r="U39" i="45"/>
  <c r="BU16" i="45"/>
  <c r="BU39" i="45"/>
  <c r="CB16" i="45"/>
  <c r="CB39" i="45"/>
  <c r="C16" i="45"/>
  <c r="C39" i="45"/>
  <c r="C63" i="45"/>
  <c r="CS16" i="45"/>
  <c r="CS39" i="45"/>
  <c r="CJ16" i="45"/>
  <c r="CJ39" i="45"/>
  <c r="T16" i="45"/>
  <c r="CZ16" i="45"/>
  <c r="CZ39" i="45"/>
  <c r="AA16" i="45"/>
  <c r="AA39" i="45"/>
  <c r="AV16" i="45"/>
  <c r="AV39" i="45"/>
  <c r="CH16" i="45"/>
  <c r="CH39" i="45"/>
  <c r="BY16" i="45"/>
  <c r="BY39" i="45"/>
  <c r="CT16" i="45"/>
  <c r="CT39" i="45"/>
  <c r="Y16" i="45"/>
  <c r="BR16" i="45"/>
  <c r="BR39" i="45"/>
  <c r="A39" i="45"/>
  <c r="A63" i="45"/>
  <c r="A86" i="45"/>
  <c r="A110" i="45"/>
  <c r="AT16" i="45"/>
  <c r="AT39" i="45"/>
  <c r="AR16" i="45"/>
  <c r="AR39" i="45"/>
  <c r="CT23" i="45"/>
  <c r="CT46" i="45"/>
  <c r="BT19" i="45"/>
  <c r="BT42" i="45"/>
  <c r="L19" i="45"/>
  <c r="L42" i="45"/>
  <c r="CV23" i="45"/>
  <c r="CV46" i="45"/>
  <c r="BH23" i="45"/>
  <c r="BH46" i="45"/>
  <c r="V19" i="45"/>
  <c r="V42" i="45"/>
  <c r="AV23" i="45"/>
  <c r="AV46" i="45"/>
  <c r="BZ23" i="45"/>
  <c r="BZ46" i="45"/>
  <c r="CO19" i="45"/>
  <c r="CO42" i="45"/>
  <c r="AB23" i="45"/>
  <c r="AB46" i="45"/>
  <c r="AN23" i="45"/>
  <c r="AN46" i="45"/>
  <c r="BJ23" i="45"/>
  <c r="BJ46" i="45"/>
  <c r="CC19" i="45"/>
  <c r="CC42" i="45"/>
  <c r="O19" i="45"/>
  <c r="O42" i="45"/>
  <c r="AH23" i="45"/>
  <c r="AH46" i="45"/>
  <c r="AM23" i="45"/>
  <c r="AM46" i="45"/>
  <c r="AD19" i="45"/>
  <c r="AD42" i="45"/>
  <c r="CH19" i="45"/>
  <c r="CH42" i="45"/>
  <c r="CN19" i="45"/>
  <c r="CN42" i="45"/>
  <c r="AK9" i="45"/>
  <c r="AK32" i="45"/>
  <c r="F9" i="45"/>
  <c r="F32" i="45"/>
  <c r="AY9" i="45"/>
  <c r="AY32" i="45"/>
  <c r="BQ9" i="45"/>
  <c r="BQ32" i="45"/>
  <c r="CD9" i="45"/>
  <c r="CD32" i="45"/>
  <c r="CE9" i="45"/>
  <c r="CE32" i="45"/>
  <c r="CR9" i="45"/>
  <c r="CR32" i="45"/>
  <c r="BC9" i="45"/>
  <c r="BC32" i="45"/>
  <c r="BG9" i="45"/>
  <c r="BG32" i="45"/>
  <c r="CT9" i="45"/>
  <c r="CT32" i="45"/>
  <c r="Z9" i="45"/>
  <c r="Z32" i="45"/>
  <c r="BH9" i="45"/>
  <c r="BH32" i="45"/>
  <c r="CS9" i="45"/>
  <c r="CS32" i="45"/>
  <c r="BV9" i="45"/>
  <c r="BV32" i="45"/>
  <c r="CO9" i="45"/>
  <c r="CO32" i="45"/>
  <c r="H9" i="45"/>
  <c r="H32" i="45"/>
  <c r="BX9" i="45"/>
  <c r="BX32" i="45"/>
  <c r="K9" i="45"/>
  <c r="K32" i="45"/>
  <c r="CB9" i="45"/>
  <c r="CB32" i="45"/>
  <c r="O9" i="45"/>
  <c r="AS9" i="45"/>
  <c r="AS32" i="45"/>
  <c r="CH9" i="45"/>
  <c r="CH32" i="45"/>
  <c r="AI9" i="45"/>
  <c r="AI32" i="45"/>
  <c r="V9" i="45"/>
  <c r="V32" i="45"/>
  <c r="AT9" i="45"/>
  <c r="AT32" i="45"/>
  <c r="AM9" i="45"/>
  <c r="AM32" i="45"/>
  <c r="CW9" i="45"/>
  <c r="CW32" i="45"/>
  <c r="BN9" i="45"/>
  <c r="BN32" i="45"/>
  <c r="CX9" i="45"/>
  <c r="CX32" i="45"/>
  <c r="AA17" i="45"/>
  <c r="AA40" i="45"/>
  <c r="AW17" i="45"/>
  <c r="AW40" i="45"/>
  <c r="CR17" i="45"/>
  <c r="CR40" i="45"/>
  <c r="AK17" i="45"/>
  <c r="AK40" i="45"/>
  <c r="J17" i="45"/>
  <c r="J40" i="45"/>
  <c r="K17" i="45"/>
  <c r="K40" i="45"/>
  <c r="BD17" i="45"/>
  <c r="BD40" i="45"/>
  <c r="C17" i="45"/>
  <c r="BU17" i="45"/>
  <c r="BU40" i="45"/>
  <c r="BL17" i="45"/>
  <c r="BL40" i="45"/>
  <c r="BC17" i="45"/>
  <c r="BC40" i="45"/>
  <c r="M17" i="45"/>
  <c r="M40" i="45"/>
  <c r="AG17" i="45"/>
  <c r="AG40" i="45"/>
  <c r="BM17" i="45"/>
  <c r="BM40" i="45"/>
  <c r="CN17" i="45"/>
  <c r="CN40" i="45"/>
  <c r="CQ17" i="45"/>
  <c r="CQ40" i="45"/>
  <c r="BZ17" i="45"/>
  <c r="BZ40" i="45"/>
  <c r="AZ17" i="45"/>
  <c r="AZ40" i="45"/>
  <c r="DE17" i="45"/>
  <c r="DE40" i="45"/>
  <c r="AD17" i="45"/>
  <c r="AD40" i="45"/>
  <c r="BP17" i="45"/>
  <c r="BP40" i="45"/>
  <c r="Y17" i="45"/>
  <c r="Y40" i="45"/>
  <c r="BX17" i="45"/>
  <c r="BX40" i="45"/>
  <c r="Q17" i="45"/>
  <c r="Q40" i="45"/>
  <c r="CY17" i="45"/>
  <c r="CY40" i="45"/>
  <c r="CT17" i="45"/>
  <c r="CT40" i="45"/>
  <c r="BH17" i="45"/>
  <c r="BH40" i="45"/>
  <c r="F17" i="45"/>
  <c r="F40" i="45"/>
  <c r="A40" i="45"/>
  <c r="A64" i="45"/>
  <c r="A87" i="45"/>
  <c r="A111" i="45"/>
  <c r="BQ17" i="45"/>
  <c r="BQ40" i="45"/>
  <c r="U17" i="45"/>
  <c r="U40" i="45"/>
  <c r="AY17" i="45"/>
  <c r="AY40" i="45"/>
  <c r="CA18" i="45"/>
  <c r="CA41" i="45"/>
  <c r="U18" i="45"/>
  <c r="U41" i="45"/>
  <c r="V20" i="45"/>
  <c r="V43" i="45"/>
  <c r="BZ20" i="45"/>
  <c r="BZ43" i="45"/>
  <c r="AH20" i="45"/>
  <c r="AH43" i="45"/>
  <c r="BC20" i="45"/>
  <c r="BC43" i="45"/>
  <c r="BV20" i="45"/>
  <c r="BV43" i="45"/>
  <c r="CR20" i="45"/>
  <c r="CR43" i="45"/>
  <c r="D42" i="45"/>
  <c r="I34" i="45"/>
  <c r="D30" i="45"/>
  <c r="D54" i="45"/>
  <c r="D77" i="45"/>
  <c r="AP23" i="45"/>
  <c r="AP46" i="45"/>
  <c r="BI23" i="45"/>
  <c r="BI46" i="45"/>
  <c r="CI17" i="45"/>
  <c r="CI40" i="45"/>
  <c r="AN17" i="45"/>
  <c r="AN40" i="45"/>
  <c r="BE17" i="45"/>
  <c r="BE40" i="45"/>
  <c r="BI17" i="45"/>
  <c r="BI40" i="45"/>
  <c r="CW17" i="45"/>
  <c r="CW40" i="45"/>
  <c r="R17" i="21"/>
  <c r="D16" i="21"/>
  <c r="C22" i="32"/>
  <c r="C40" i="32"/>
  <c r="C58" i="32"/>
  <c r="C6" i="21"/>
  <c r="C43" i="19"/>
  <c r="C47" i="19"/>
  <c r="B22" i="32"/>
  <c r="B40" i="32"/>
  <c r="B58" i="32"/>
  <c r="J35" i="45"/>
  <c r="AS43" i="45"/>
  <c r="C66" i="45"/>
  <c r="C89" i="45"/>
  <c r="C77" i="45"/>
  <c r="CE11" i="45"/>
  <c r="CE34" i="45"/>
  <c r="AF11" i="45"/>
  <c r="AF34" i="45"/>
  <c r="BJ11" i="45"/>
  <c r="BJ34" i="45"/>
  <c r="BB11" i="45"/>
  <c r="BB34" i="45"/>
  <c r="Y11" i="45"/>
  <c r="Y34" i="45"/>
  <c r="CK11" i="45"/>
  <c r="CK34" i="45"/>
  <c r="CT11" i="45"/>
  <c r="CT34" i="45"/>
  <c r="AQ11" i="45"/>
  <c r="AQ34" i="45"/>
  <c r="BY11" i="45"/>
  <c r="BY34" i="45"/>
  <c r="CR11" i="45"/>
  <c r="CR34" i="45"/>
  <c r="BH11" i="45"/>
  <c r="BH34" i="45"/>
  <c r="AC11" i="45"/>
  <c r="AC34" i="45"/>
  <c r="CO11" i="45"/>
  <c r="CO34" i="45"/>
  <c r="C11" i="45"/>
  <c r="AP11" i="45"/>
  <c r="AP34" i="45"/>
  <c r="AD11" i="45"/>
  <c r="AD34" i="45"/>
  <c r="Q11" i="45"/>
  <c r="Q34" i="45"/>
  <c r="CC11" i="45"/>
  <c r="CC34" i="45"/>
  <c r="AL11" i="45"/>
  <c r="AL34" i="45"/>
  <c r="BS11" i="45"/>
  <c r="BS34" i="45"/>
  <c r="CY11" i="45"/>
  <c r="CY34" i="45"/>
  <c r="A34" i="45"/>
  <c r="A58" i="45"/>
  <c r="A81" i="45"/>
  <c r="A105" i="45"/>
  <c r="S11" i="45"/>
  <c r="S34" i="45"/>
  <c r="CU11" i="45"/>
  <c r="CU34" i="45"/>
  <c r="BG11" i="45"/>
  <c r="BG34" i="45"/>
  <c r="AE11" i="45"/>
  <c r="AE34" i="45"/>
  <c r="E11" i="45"/>
  <c r="E34" i="45"/>
  <c r="AI11" i="45"/>
  <c r="AI34" i="45"/>
  <c r="X11" i="45"/>
  <c r="X34" i="45"/>
  <c r="DA11" i="45"/>
  <c r="DA34" i="45"/>
  <c r="BK11" i="45"/>
  <c r="BK34" i="45"/>
  <c r="CM11" i="45"/>
  <c r="CM34" i="45"/>
  <c r="CX11" i="45"/>
  <c r="CX34" i="45"/>
  <c r="CL11" i="45"/>
  <c r="CL34" i="45"/>
  <c r="AY11" i="45"/>
  <c r="AY34" i="45"/>
  <c r="AK11" i="45"/>
  <c r="AK34" i="45"/>
  <c r="BA11" i="45"/>
  <c r="BA34" i="45"/>
  <c r="AG21" i="45"/>
  <c r="AG44" i="45"/>
  <c r="AY21" i="45"/>
  <c r="AY44" i="45"/>
  <c r="C34" i="45"/>
  <c r="C58" i="45"/>
  <c r="C81" i="45"/>
  <c r="B34" i="26"/>
  <c r="F34" i="26"/>
  <c r="I40" i="26"/>
  <c r="H40" i="26"/>
  <c r="G40" i="26"/>
  <c r="N34" i="1"/>
  <c r="M34" i="1"/>
  <c r="D31" i="21"/>
  <c r="C31" i="21"/>
  <c r="E72" i="20"/>
  <c r="E75" i="20"/>
  <c r="E71" i="20"/>
  <c r="E73" i="20"/>
  <c r="T65" i="29"/>
  <c r="S65" i="29"/>
  <c r="P65" i="29"/>
  <c r="M65" i="29"/>
  <c r="L65" i="29"/>
  <c r="K65" i="29"/>
  <c r="Q65" i="29"/>
  <c r="R65" i="29"/>
  <c r="V65" i="29"/>
  <c r="N65" i="29"/>
  <c r="U65" i="29"/>
  <c r="O28" i="1"/>
  <c r="O65" i="29"/>
  <c r="G14" i="27"/>
  <c r="F14" i="27"/>
  <c r="H14" i="27"/>
  <c r="G28" i="1"/>
  <c r="W39" i="45"/>
  <c r="AF31" i="45"/>
  <c r="I61" i="29"/>
  <c r="O61" i="29"/>
  <c r="R61" i="29"/>
  <c r="G61" i="29"/>
  <c r="F29" i="29"/>
  <c r="Q61" i="29"/>
  <c r="P61" i="29"/>
  <c r="H61" i="29"/>
  <c r="L61" i="29"/>
  <c r="J61" i="29"/>
  <c r="M61" i="29"/>
  <c r="J25" i="6"/>
  <c r="D73" i="6"/>
  <c r="C27" i="42"/>
  <c r="E11" i="27"/>
  <c r="H11" i="27"/>
  <c r="F11" i="27"/>
  <c r="E7" i="27"/>
  <c r="F7" i="27"/>
  <c r="O31" i="45"/>
  <c r="G11" i="27"/>
  <c r="N61" i="29"/>
  <c r="K25" i="6"/>
  <c r="E73" i="6"/>
  <c r="D27" i="42"/>
  <c r="AC25" i="6"/>
  <c r="W73" i="6"/>
  <c r="V27" i="42"/>
  <c r="Y25" i="6"/>
  <c r="S73" i="6"/>
  <c r="R27" i="42"/>
  <c r="U25" i="6"/>
  <c r="O73" i="6"/>
  <c r="N27" i="42"/>
  <c r="Q25" i="6"/>
  <c r="K73" i="6"/>
  <c r="J27" i="42"/>
  <c r="M25" i="6"/>
  <c r="G73" i="6"/>
  <c r="F27" i="42"/>
  <c r="B17" i="42"/>
  <c r="C17" i="1"/>
  <c r="C17" i="42"/>
  <c r="E20" i="27"/>
  <c r="F20" i="27"/>
  <c r="G20" i="27"/>
  <c r="H20" i="27"/>
  <c r="B6" i="45"/>
  <c r="B112" i="44"/>
  <c r="G98" i="44"/>
  <c r="B10" i="45"/>
  <c r="G104" i="44"/>
  <c r="B16" i="45"/>
  <c r="T39" i="45"/>
  <c r="K28" i="1"/>
  <c r="E13" i="27"/>
  <c r="F13" i="27"/>
  <c r="H9" i="27"/>
  <c r="F9" i="27"/>
  <c r="G9" i="27"/>
  <c r="Q39" i="45"/>
  <c r="V31" i="45"/>
  <c r="K61" i="29"/>
  <c r="G8" i="27"/>
  <c r="F8" i="27"/>
  <c r="I17" i="1"/>
  <c r="AB25" i="6"/>
  <c r="V73" i="6"/>
  <c r="U27" i="42"/>
  <c r="Q64" i="29"/>
  <c r="P64" i="29"/>
  <c r="T64" i="29"/>
  <c r="J64" i="29"/>
  <c r="N64" i="29"/>
  <c r="R64" i="29"/>
  <c r="G10" i="27"/>
  <c r="H10" i="27"/>
  <c r="P63" i="29"/>
  <c r="K63" i="29"/>
  <c r="O63" i="29"/>
  <c r="I63" i="29"/>
  <c r="N63" i="29"/>
  <c r="J63" i="29"/>
  <c r="R67" i="29"/>
  <c r="S67" i="29"/>
  <c r="M67" i="29"/>
  <c r="Q67" i="29"/>
  <c r="N67" i="29"/>
  <c r="X67" i="29"/>
  <c r="X104" i="29"/>
  <c r="X23" i="29"/>
  <c r="T67" i="29"/>
  <c r="F131" i="6"/>
  <c r="G26" i="29"/>
  <c r="D131" i="6"/>
  <c r="J131" i="6"/>
  <c r="K26" i="29"/>
  <c r="X25" i="6"/>
  <c r="R73" i="6"/>
  <c r="Q27" i="42"/>
  <c r="T25" i="6"/>
  <c r="N73" i="6"/>
  <c r="M27" i="42"/>
  <c r="P25" i="6"/>
  <c r="J73" i="6"/>
  <c r="I27" i="42"/>
  <c r="L25" i="6"/>
  <c r="F73" i="6"/>
  <c r="E27" i="42"/>
  <c r="E6" i="27"/>
  <c r="F10" i="27"/>
  <c r="E17" i="27"/>
  <c r="H17" i="27"/>
  <c r="W25" i="6"/>
  <c r="Q73" i="6"/>
  <c r="P27" i="42"/>
  <c r="B47" i="42"/>
  <c r="J47" i="42"/>
  <c r="G95" i="44"/>
  <c r="G112" i="44"/>
  <c r="B7" i="45"/>
  <c r="AA30" i="45"/>
  <c r="G103" i="44"/>
  <c r="B15" i="45"/>
  <c r="G108" i="44"/>
  <c r="B20" i="45"/>
  <c r="I44" i="45"/>
  <c r="E22" i="27"/>
  <c r="E21" i="27"/>
  <c r="O25" i="6"/>
  <c r="I73" i="6"/>
  <c r="H27" i="42"/>
  <c r="F53" i="42"/>
  <c r="T47" i="42"/>
  <c r="P47" i="42"/>
  <c r="L47" i="42"/>
  <c r="H47" i="42"/>
  <c r="D47" i="42"/>
  <c r="D47" i="1"/>
  <c r="B42" i="1"/>
  <c r="Q47" i="1"/>
  <c r="K47" i="1"/>
  <c r="J47" i="1"/>
  <c r="F53" i="1"/>
  <c r="H47" i="1"/>
  <c r="S47" i="42"/>
  <c r="O47" i="42"/>
  <c r="K47" i="42"/>
  <c r="G47" i="42"/>
  <c r="C47" i="42"/>
  <c r="E47" i="1"/>
  <c r="U47" i="1"/>
  <c r="G47" i="1"/>
  <c r="V47" i="1"/>
  <c r="F47" i="1"/>
  <c r="T47" i="1"/>
  <c r="X3" i="34"/>
  <c r="X4" i="34"/>
  <c r="E47" i="42"/>
  <c r="M47" i="42"/>
  <c r="U47" i="42"/>
  <c r="B12" i="45"/>
  <c r="S35" i="45"/>
  <c r="B8" i="45"/>
  <c r="B11" i="45"/>
  <c r="E33" i="45"/>
  <c r="AS31" i="45"/>
  <c r="C70" i="45"/>
  <c r="C93" i="45"/>
  <c r="L37" i="45"/>
  <c r="D38" i="45"/>
  <c r="I30" i="45"/>
  <c r="D43" i="45"/>
  <c r="C55" i="45"/>
  <c r="A41" i="45"/>
  <c r="A65" i="45"/>
  <c r="A88" i="45"/>
  <c r="A112" i="45"/>
  <c r="CU18" i="45"/>
  <c r="CU41" i="45"/>
  <c r="AH18" i="45"/>
  <c r="AH41" i="45"/>
  <c r="BN18" i="45"/>
  <c r="BN41" i="45"/>
  <c r="CP18" i="45"/>
  <c r="CP41" i="45"/>
  <c r="BX18" i="45"/>
  <c r="BX41" i="45"/>
  <c r="BR18" i="45"/>
  <c r="BR41" i="45"/>
  <c r="CH18" i="45"/>
  <c r="CH41" i="45"/>
  <c r="DE18" i="45"/>
  <c r="DE41" i="45"/>
  <c r="AQ18" i="45"/>
  <c r="AQ41" i="45"/>
  <c r="BV18" i="45"/>
  <c r="BV41" i="45"/>
  <c r="C18" i="45"/>
  <c r="BS18" i="45"/>
  <c r="BS41" i="45"/>
  <c r="AN18" i="45"/>
  <c r="AN41" i="45"/>
  <c r="AA18" i="45"/>
  <c r="AA41" i="45"/>
  <c r="CG18" i="45"/>
  <c r="CG41" i="45"/>
  <c r="CI18" i="45"/>
  <c r="CI41" i="45"/>
  <c r="BB18" i="45"/>
  <c r="BB41" i="45"/>
  <c r="AL18" i="45"/>
  <c r="AL41" i="45"/>
  <c r="BK18" i="45"/>
  <c r="BK41" i="45"/>
  <c r="AC18" i="45"/>
  <c r="AC41" i="45"/>
  <c r="CQ18" i="45"/>
  <c r="CQ41" i="45"/>
  <c r="BQ18" i="45"/>
  <c r="BQ41" i="45"/>
  <c r="I18" i="45"/>
  <c r="I41" i="45"/>
  <c r="CK18" i="45"/>
  <c r="CK41" i="45"/>
  <c r="AS18" i="45"/>
  <c r="AS41" i="45"/>
  <c r="CR18" i="45"/>
  <c r="CR41" i="45"/>
  <c r="AW18" i="45"/>
  <c r="AW41" i="45"/>
  <c r="P18" i="45"/>
  <c r="P41" i="45"/>
  <c r="CC18" i="45"/>
  <c r="CC41" i="45"/>
  <c r="CB18" i="45"/>
  <c r="CB41" i="45"/>
  <c r="DC18" i="45"/>
  <c r="DC41" i="45"/>
  <c r="AD18" i="45"/>
  <c r="AD41" i="45"/>
  <c r="AB18" i="45"/>
  <c r="AB41" i="45"/>
  <c r="DA18" i="45"/>
  <c r="DA41" i="45"/>
  <c r="CV18" i="45"/>
  <c r="CV41" i="45"/>
  <c r="CE18" i="45"/>
  <c r="CE41" i="45"/>
  <c r="AI18" i="45"/>
  <c r="AI41" i="45"/>
  <c r="CN18" i="45"/>
  <c r="CN41" i="45"/>
  <c r="AU18" i="45"/>
  <c r="AU41" i="45"/>
  <c r="CW18" i="45"/>
  <c r="CW41" i="45"/>
  <c r="BC18" i="45"/>
  <c r="BC41" i="45"/>
  <c r="BA18" i="45"/>
  <c r="BA41" i="45"/>
  <c r="D18" i="45"/>
  <c r="D41" i="45"/>
  <c r="Q18" i="45"/>
  <c r="Q41" i="45"/>
  <c r="CL18" i="45"/>
  <c r="CL41" i="45"/>
  <c r="CJ18" i="45"/>
  <c r="CJ41" i="45"/>
  <c r="AP18" i="45"/>
  <c r="AP41" i="45"/>
  <c r="CX18" i="45"/>
  <c r="CX41" i="45"/>
  <c r="CY18" i="45"/>
  <c r="CY41" i="45"/>
  <c r="DB18" i="45"/>
  <c r="DB41" i="45"/>
  <c r="AR18" i="45"/>
  <c r="AR41" i="45"/>
  <c r="CO18" i="45"/>
  <c r="CO41" i="45"/>
  <c r="BL18" i="45"/>
  <c r="BL41" i="45"/>
  <c r="R18" i="45"/>
  <c r="R41" i="45"/>
  <c r="AK18" i="45"/>
  <c r="AK41" i="45"/>
  <c r="AZ18" i="45"/>
  <c r="AZ41" i="45"/>
  <c r="CS18" i="45"/>
  <c r="CS41" i="45"/>
  <c r="F18" i="45"/>
  <c r="DD18" i="45"/>
  <c r="DD41" i="45"/>
  <c r="X18" i="45"/>
  <c r="X41" i="45"/>
  <c r="BW18" i="45"/>
  <c r="BW41" i="45"/>
  <c r="Z18" i="45"/>
  <c r="Z41" i="45"/>
  <c r="BF18" i="45"/>
  <c r="BF41" i="45"/>
  <c r="BD18" i="45"/>
  <c r="BD41" i="45"/>
  <c r="AV18" i="45"/>
  <c r="AV41" i="45"/>
  <c r="AT18" i="45"/>
  <c r="AT41" i="45"/>
  <c r="AO18" i="45"/>
  <c r="AO41" i="45"/>
  <c r="CD18" i="45"/>
  <c r="CD41" i="45"/>
  <c r="CF18" i="45"/>
  <c r="CF41" i="45"/>
  <c r="AM18" i="45"/>
  <c r="AM41" i="45"/>
  <c r="BY18" i="45"/>
  <c r="BY41" i="45"/>
  <c r="N18" i="45"/>
  <c r="N41" i="45"/>
  <c r="E18" i="45"/>
  <c r="E41" i="45"/>
  <c r="J18" i="45"/>
  <c r="J41" i="45"/>
  <c r="Y18" i="45"/>
  <c r="Y41" i="45"/>
  <c r="O18" i="45"/>
  <c r="O41" i="45"/>
  <c r="BZ18" i="45"/>
  <c r="BZ41" i="45"/>
  <c r="CT18" i="45"/>
  <c r="CT41" i="45"/>
  <c r="BO18" i="45"/>
  <c r="BO41" i="45"/>
  <c r="DF18" i="45"/>
  <c r="DF41" i="45"/>
  <c r="CP22" i="45"/>
  <c r="CP45" i="45"/>
  <c r="BH22" i="45"/>
  <c r="BH45" i="45"/>
  <c r="BC22" i="45"/>
  <c r="BC45" i="45"/>
  <c r="Q22" i="45"/>
  <c r="Q45" i="45"/>
  <c r="S22" i="45"/>
  <c r="S45" i="45"/>
  <c r="BN22" i="45"/>
  <c r="BN45" i="45"/>
  <c r="AP22" i="45"/>
  <c r="AP45" i="45"/>
  <c r="BY22" i="45"/>
  <c r="BY45" i="45"/>
  <c r="U22" i="45"/>
  <c r="U45" i="45"/>
  <c r="CJ22" i="45"/>
  <c r="CJ45" i="45"/>
  <c r="AS22" i="45"/>
  <c r="AS45" i="45"/>
  <c r="CZ22" i="45"/>
  <c r="CZ45" i="45"/>
  <c r="CU22" i="45"/>
  <c r="CU45" i="45"/>
  <c r="BK22" i="45"/>
  <c r="BK45" i="45"/>
  <c r="DC22" i="45"/>
  <c r="DC45" i="45"/>
  <c r="BW22" i="45"/>
  <c r="BW45" i="45"/>
  <c r="AR22" i="45"/>
  <c r="AR45" i="45"/>
  <c r="O22" i="45"/>
  <c r="O45" i="45"/>
  <c r="BR22" i="45"/>
  <c r="BR45" i="45"/>
  <c r="AH22" i="45"/>
  <c r="AH45" i="45"/>
  <c r="CF22" i="45"/>
  <c r="CF45" i="45"/>
  <c r="AA22" i="45"/>
  <c r="AA45" i="45"/>
  <c r="BO22" i="45"/>
  <c r="BO45" i="45"/>
  <c r="M22" i="45"/>
  <c r="M45" i="45"/>
  <c r="BF22" i="45"/>
  <c r="BF45" i="45"/>
  <c r="J22" i="45"/>
  <c r="J45" i="45"/>
  <c r="AY22" i="45"/>
  <c r="AY45" i="45"/>
  <c r="BQ22" i="45"/>
  <c r="BQ45" i="45"/>
  <c r="BT22" i="45"/>
  <c r="BT45" i="45"/>
  <c r="CQ22" i="45"/>
  <c r="CQ45" i="45"/>
  <c r="CA22" i="45"/>
  <c r="A45" i="45"/>
  <c r="A69" i="45"/>
  <c r="A92" i="45"/>
  <c r="A116" i="45"/>
  <c r="F22" i="45"/>
  <c r="F45" i="45"/>
  <c r="H22" i="45"/>
  <c r="H45" i="45"/>
  <c r="BL22" i="45"/>
  <c r="BL45" i="45"/>
  <c r="BV22" i="45"/>
  <c r="BV45" i="45"/>
  <c r="BZ22" i="45"/>
  <c r="BZ45" i="45"/>
  <c r="C22" i="45"/>
  <c r="C45" i="45"/>
  <c r="CD22" i="45"/>
  <c r="CD45" i="45"/>
  <c r="W22" i="45"/>
  <c r="W45" i="45"/>
  <c r="Z22" i="45"/>
  <c r="Z45" i="45"/>
  <c r="BS22" i="45"/>
  <c r="BS45" i="45"/>
  <c r="AC22" i="45"/>
  <c r="AC45" i="45"/>
  <c r="CL22" i="45"/>
  <c r="CL45" i="45"/>
  <c r="AB22" i="45"/>
  <c r="AB45" i="45"/>
  <c r="BM22" i="45"/>
  <c r="BM45" i="45"/>
  <c r="D22" i="45"/>
  <c r="D45" i="45"/>
  <c r="CN22" i="45"/>
  <c r="CN45" i="45"/>
  <c r="DF22" i="45"/>
  <c r="DF45" i="45"/>
  <c r="BP22" i="45"/>
  <c r="BP45" i="45"/>
  <c r="V22" i="45"/>
  <c r="V45" i="45"/>
  <c r="BX22" i="45"/>
  <c r="BX45" i="45"/>
  <c r="X22" i="45"/>
  <c r="X45" i="45"/>
  <c r="AT22" i="45"/>
  <c r="AT45" i="45"/>
  <c r="DC12" i="45"/>
  <c r="DC35" i="45"/>
  <c r="CC12" i="45"/>
  <c r="CC35" i="45"/>
  <c r="BC12" i="45"/>
  <c r="BC35" i="45"/>
  <c r="AN12" i="45"/>
  <c r="AN35" i="45"/>
  <c r="H12" i="45"/>
  <c r="H35" i="45"/>
  <c r="BM12" i="45"/>
  <c r="BM35" i="45"/>
  <c r="AX12" i="45"/>
  <c r="AX35" i="45"/>
  <c r="CQ12" i="45"/>
  <c r="CQ35" i="45"/>
  <c r="BJ12" i="45"/>
  <c r="BJ35" i="45"/>
  <c r="V12" i="45"/>
  <c r="V35" i="45"/>
  <c r="AZ12" i="45"/>
  <c r="AZ35" i="45"/>
  <c r="BU12" i="45"/>
  <c r="BU35" i="45"/>
  <c r="CA12" i="45"/>
  <c r="CA35" i="45"/>
  <c r="K12" i="45"/>
  <c r="K35" i="45"/>
  <c r="AP12" i="45"/>
  <c r="AP35" i="45"/>
  <c r="CT12" i="45"/>
  <c r="CT35" i="45"/>
  <c r="CH12" i="45"/>
  <c r="CU12" i="45"/>
  <c r="CU35" i="45"/>
  <c r="Z12" i="45"/>
  <c r="Z35" i="45"/>
  <c r="AO12" i="45"/>
  <c r="AO35" i="45"/>
  <c r="BV12" i="45"/>
  <c r="BV35" i="45"/>
  <c r="BD12" i="45"/>
  <c r="BD35" i="45"/>
  <c r="D12" i="45"/>
  <c r="D35" i="45"/>
  <c r="CI12" i="45"/>
  <c r="CI35" i="45"/>
  <c r="AF12" i="45"/>
  <c r="AF35" i="45"/>
  <c r="AU11" i="45"/>
  <c r="AU34" i="45"/>
  <c r="AZ11" i="45"/>
  <c r="AZ34" i="45"/>
  <c r="M11" i="45"/>
  <c r="CH11" i="45"/>
  <c r="CH34" i="45"/>
  <c r="BU11" i="45"/>
  <c r="BU34" i="45"/>
  <c r="P11" i="45"/>
  <c r="P34" i="45"/>
  <c r="AX11" i="45"/>
  <c r="AX34" i="45"/>
  <c r="DB17" i="45"/>
  <c r="DB40" i="45"/>
  <c r="AO17" i="45"/>
  <c r="CC17" i="45"/>
  <c r="CC40" i="45"/>
  <c r="AB17" i="45"/>
  <c r="AB40" i="45"/>
  <c r="CH17" i="45"/>
  <c r="CH40" i="45"/>
  <c r="AL17" i="45"/>
  <c r="AL40" i="45"/>
  <c r="BY17" i="45"/>
  <c r="BY40" i="45"/>
  <c r="DD17" i="45"/>
  <c r="DD40" i="45"/>
  <c r="CD17" i="45"/>
  <c r="CD40" i="45"/>
  <c r="CB17" i="45"/>
  <c r="CB40" i="45"/>
  <c r="AC17" i="45"/>
  <c r="AC40" i="45"/>
  <c r="H17" i="45"/>
  <c r="H40" i="45"/>
  <c r="AV17" i="45"/>
  <c r="AV40" i="45"/>
  <c r="BF17" i="45"/>
  <c r="BF40" i="45"/>
  <c r="DA17" i="45"/>
  <c r="DA40" i="45"/>
  <c r="DF20" i="45"/>
  <c r="DF43" i="45"/>
  <c r="CT20" i="45"/>
  <c r="CT43" i="45"/>
  <c r="CI20" i="45"/>
  <c r="CI43" i="45"/>
  <c r="BW20" i="45"/>
  <c r="BW43" i="45"/>
  <c r="BP20" i="45"/>
  <c r="BP43" i="45"/>
  <c r="BA20" i="45"/>
  <c r="BA43" i="45"/>
  <c r="AO20" i="45"/>
  <c r="AO43" i="45"/>
  <c r="AD20" i="45"/>
  <c r="AD43" i="45"/>
  <c r="K20" i="45"/>
  <c r="K43" i="45"/>
  <c r="H28" i="1"/>
  <c r="F6" i="27"/>
  <c r="F25" i="27"/>
  <c r="G6" i="27"/>
  <c r="B34" i="45"/>
  <c r="B58" i="45"/>
  <c r="B81" i="45"/>
  <c r="B105" i="45"/>
  <c r="Z34" i="45"/>
  <c r="AB34" i="45"/>
  <c r="U34" i="45"/>
  <c r="Y47" i="1"/>
  <c r="X47" i="1"/>
  <c r="Y47" i="42"/>
  <c r="F17" i="27"/>
  <c r="H6" i="27"/>
  <c r="Q28" i="1"/>
  <c r="G13" i="27"/>
  <c r="F28" i="1"/>
  <c r="V28" i="1"/>
  <c r="V34" i="45"/>
  <c r="G7" i="27"/>
  <c r="C42" i="42"/>
  <c r="C28" i="1"/>
  <c r="N39" i="45"/>
  <c r="I45" i="19"/>
  <c r="B38" i="45"/>
  <c r="B62" i="45"/>
  <c r="B85" i="45"/>
  <c r="B109" i="45"/>
  <c r="J62" i="29"/>
  <c r="Q62" i="29"/>
  <c r="I62" i="29"/>
  <c r="M62" i="29"/>
  <c r="L62" i="29"/>
  <c r="K62" i="29"/>
  <c r="H62" i="29"/>
  <c r="S62" i="29"/>
  <c r="P62" i="29"/>
  <c r="R62" i="29"/>
  <c r="R104" i="29"/>
  <c r="R23" i="29"/>
  <c r="O62" i="29"/>
  <c r="N62" i="29"/>
  <c r="B33" i="45"/>
  <c r="B57" i="45"/>
  <c r="B80" i="45"/>
  <c r="B104" i="45"/>
  <c r="AD33" i="45"/>
  <c r="S33" i="45"/>
  <c r="R33" i="45"/>
  <c r="AB33" i="45"/>
  <c r="DG33" i="45"/>
  <c r="AP33" i="45"/>
  <c r="Z33" i="45"/>
  <c r="Q45" i="19"/>
  <c r="B31" i="45"/>
  <c r="B55" i="45"/>
  <c r="B78" i="45"/>
  <c r="B102" i="45"/>
  <c r="X31" i="45"/>
  <c r="X47" i="42"/>
  <c r="B43" i="45"/>
  <c r="B67" i="45"/>
  <c r="B90" i="45"/>
  <c r="B114" i="45"/>
  <c r="X43" i="45"/>
  <c r="T43" i="45"/>
  <c r="P43" i="45"/>
  <c r="L43" i="45"/>
  <c r="Q43" i="45"/>
  <c r="B30" i="45"/>
  <c r="B54" i="45"/>
  <c r="B77" i="45"/>
  <c r="B101" i="45"/>
  <c r="T30" i="45"/>
  <c r="R30" i="45"/>
  <c r="AO30" i="45"/>
  <c r="AC30" i="45"/>
  <c r="X30" i="45"/>
  <c r="E28" i="1"/>
  <c r="V66" i="29"/>
  <c r="V104" i="29"/>
  <c r="V23" i="29"/>
  <c r="O66" i="29"/>
  <c r="T66" i="29"/>
  <c r="T104" i="29"/>
  <c r="T23" i="29"/>
  <c r="S66" i="29"/>
  <c r="U66" i="29"/>
  <c r="M66" i="29"/>
  <c r="N66" i="29"/>
  <c r="W66" i="29"/>
  <c r="W104" i="29"/>
  <c r="W23" i="29"/>
  <c r="P66" i="29"/>
  <c r="L66" i="29"/>
  <c r="R66" i="29"/>
  <c r="Q66" i="29"/>
  <c r="M43" i="45"/>
  <c r="H13" i="27"/>
  <c r="B39" i="45"/>
  <c r="B63" i="45"/>
  <c r="B86" i="45"/>
  <c r="B110" i="45"/>
  <c r="AK39" i="45"/>
  <c r="Y39" i="45"/>
  <c r="J28" i="1"/>
  <c r="D28" i="1"/>
  <c r="H7" i="27"/>
  <c r="C42" i="1"/>
  <c r="M28" i="1"/>
  <c r="R28" i="1"/>
  <c r="U104" i="29"/>
  <c r="U23" i="29"/>
  <c r="B35" i="45"/>
  <c r="B59" i="45"/>
  <c r="B82" i="45"/>
  <c r="B106" i="45"/>
  <c r="Y35" i="45"/>
  <c r="P28" i="1"/>
  <c r="I28" i="1"/>
  <c r="E26" i="29"/>
  <c r="L132" i="6"/>
  <c r="U28" i="1"/>
  <c r="M45" i="19"/>
  <c r="B29" i="45"/>
  <c r="D17" i="1"/>
  <c r="N28" i="1"/>
  <c r="M31" i="45"/>
  <c r="AD35" i="45"/>
  <c r="AA35" i="45"/>
  <c r="AR31" i="45"/>
  <c r="M34" i="45"/>
  <c r="C41" i="45"/>
  <c r="C65" i="45"/>
  <c r="D65" i="45"/>
  <c r="E65" i="45"/>
  <c r="R45" i="19"/>
  <c r="G25" i="27"/>
  <c r="O45" i="19"/>
  <c r="S45" i="19"/>
  <c r="W45" i="19"/>
  <c r="K45" i="19"/>
  <c r="L45" i="19"/>
  <c r="S104" i="29"/>
  <c r="S23" i="29"/>
  <c r="E45" i="19"/>
  <c r="H25" i="27"/>
  <c r="I60" i="29"/>
  <c r="I104" i="29"/>
  <c r="I23" i="29"/>
  <c r="P60" i="29"/>
  <c r="P104" i="29"/>
  <c r="P23" i="29"/>
  <c r="Q60" i="29"/>
  <c r="Q104" i="29"/>
  <c r="Q23" i="29"/>
  <c r="K60" i="29"/>
  <c r="K104" i="29"/>
  <c r="K23" i="29"/>
  <c r="G60" i="29"/>
  <c r="G104" i="29"/>
  <c r="G23" i="29"/>
  <c r="D26" i="29"/>
  <c r="O60" i="29"/>
  <c r="O104" i="29"/>
  <c r="O23" i="29"/>
  <c r="F60" i="29"/>
  <c r="F104" i="29"/>
  <c r="F23" i="29"/>
  <c r="F25" i="29"/>
  <c r="F21" i="29"/>
  <c r="F22" i="29"/>
  <c r="F30" i="29"/>
  <c r="J60" i="29"/>
  <c r="J104" i="29"/>
  <c r="J23" i="29"/>
  <c r="M60" i="29"/>
  <c r="M104" i="29"/>
  <c r="M23" i="29"/>
  <c r="H60" i="29"/>
  <c r="H104" i="29"/>
  <c r="H23" i="29"/>
  <c r="E29" i="29"/>
  <c r="E30" i="29"/>
  <c r="L60" i="29"/>
  <c r="L104" i="29"/>
  <c r="L23" i="29"/>
  <c r="N60" i="29"/>
  <c r="N104" i="29"/>
  <c r="N23" i="29"/>
  <c r="T45" i="19"/>
  <c r="F45" i="19"/>
  <c r="G45" i="19"/>
  <c r="P45" i="19"/>
  <c r="H45" i="19"/>
  <c r="B47" i="45"/>
  <c r="B53" i="45"/>
  <c r="B76" i="45"/>
  <c r="B100" i="45"/>
  <c r="D42" i="1"/>
  <c r="E42" i="1"/>
  <c r="F42" i="1"/>
  <c r="G42" i="1"/>
  <c r="H42" i="1"/>
  <c r="I42" i="1"/>
  <c r="J42" i="1"/>
  <c r="K42" i="1"/>
  <c r="L42" i="1"/>
  <c r="D42" i="42"/>
  <c r="E42" i="42"/>
  <c r="F42" i="42"/>
  <c r="G42" i="42"/>
  <c r="H42" i="42"/>
  <c r="I42" i="42"/>
  <c r="J42" i="42"/>
  <c r="K42" i="42"/>
  <c r="L42" i="42"/>
  <c r="X45" i="19"/>
  <c r="J45" i="19"/>
  <c r="M42" i="42"/>
  <c r="M42" i="1"/>
  <c r="N42" i="1"/>
  <c r="O42" i="1"/>
  <c r="P42" i="1"/>
  <c r="Q42" i="1"/>
  <c r="R42" i="1"/>
  <c r="S42" i="1"/>
  <c r="E55" i="29"/>
  <c r="E32" i="29"/>
  <c r="F32" i="29"/>
  <c r="F55" i="29"/>
  <c r="N42" i="42"/>
  <c r="F33" i="29"/>
  <c r="E33" i="29"/>
  <c r="E58" i="29"/>
  <c r="T42" i="1"/>
  <c r="U42" i="1"/>
  <c r="E57" i="29"/>
  <c r="O42" i="42"/>
  <c r="P42" i="42"/>
  <c r="V42" i="1"/>
  <c r="X42" i="1"/>
  <c r="Q42" i="42"/>
  <c r="R42" i="42"/>
  <c r="S42" i="42"/>
  <c r="T42" i="42"/>
  <c r="U42" i="42"/>
  <c r="V42" i="42"/>
  <c r="X42" i="42"/>
  <c r="G53" i="34"/>
  <c r="H53" i="34"/>
  <c r="I53" i="34"/>
  <c r="J53" i="34"/>
  <c r="K53" i="34"/>
  <c r="L53" i="34"/>
  <c r="M53" i="34"/>
  <c r="N53" i="34"/>
  <c r="O53" i="34"/>
  <c r="P53" i="34"/>
  <c r="Q53" i="34"/>
  <c r="R53" i="34"/>
  <c r="S53" i="34"/>
  <c r="T53" i="34"/>
  <c r="U53" i="34"/>
  <c r="V53" i="34"/>
  <c r="W53" i="34"/>
  <c r="X53" i="34"/>
  <c r="Y53" i="34"/>
  <c r="D143" i="2"/>
  <c r="D253" i="2"/>
  <c r="D254" i="2"/>
  <c r="D256" i="2"/>
  <c r="G238" i="2"/>
  <c r="G239" i="2"/>
  <c r="S102" i="2"/>
  <c r="V171" i="2"/>
  <c r="D41" i="23"/>
  <c r="D44" i="23"/>
  <c r="D39" i="23"/>
  <c r="F147" i="2"/>
  <c r="X177" i="2"/>
  <c r="F22" i="3"/>
  <c r="F15" i="3"/>
  <c r="T177" i="2"/>
  <c r="G106" i="2"/>
  <c r="G108" i="2"/>
  <c r="G109" i="2"/>
  <c r="G132" i="2"/>
  <c r="G138" i="2"/>
  <c r="G103" i="2"/>
  <c r="D108" i="2"/>
  <c r="D109" i="2"/>
  <c r="M132" i="2"/>
  <c r="M138" i="2"/>
  <c r="M107" i="2"/>
  <c r="M108" i="2"/>
  <c r="M109" i="2"/>
  <c r="M103" i="2"/>
  <c r="H107" i="2"/>
  <c r="H132" i="2"/>
  <c r="H138" i="2"/>
  <c r="H155" i="2"/>
  <c r="H153" i="2"/>
  <c r="H161" i="2"/>
  <c r="H151" i="2"/>
  <c r="H148" i="2"/>
  <c r="K169" i="2"/>
  <c r="R41" i="23"/>
  <c r="R44" i="23"/>
  <c r="R39" i="23"/>
  <c r="T147" i="2"/>
  <c r="B17" i="1"/>
  <c r="D14" i="19"/>
  <c r="H17" i="1"/>
  <c r="V10" i="42"/>
  <c r="F253" i="2"/>
  <c r="F254" i="2"/>
  <c r="F256" i="2"/>
  <c r="T143" i="2"/>
  <c r="T253" i="2"/>
  <c r="T254" i="2"/>
  <c r="T256" i="2"/>
  <c r="U139" i="2"/>
  <c r="U135" i="2"/>
  <c r="U141" i="2"/>
  <c r="H152" i="2"/>
  <c r="K176" i="2"/>
  <c r="Q178" i="2"/>
  <c r="U178" i="2"/>
  <c r="K14" i="42"/>
  <c r="K14" i="1"/>
  <c r="K93" i="5"/>
  <c r="K97" i="5"/>
  <c r="K15" i="42"/>
  <c r="T22" i="3"/>
  <c r="V135" i="2"/>
  <c r="V141" i="2"/>
  <c r="V139" i="2"/>
  <c r="V22" i="3"/>
  <c r="V15" i="3"/>
  <c r="R147" i="2"/>
  <c r="P41" i="23"/>
  <c r="M177" i="2"/>
  <c r="I10" i="42"/>
  <c r="I178" i="2"/>
  <c r="N178" i="2"/>
  <c r="Z178" i="2"/>
  <c r="J177" i="2"/>
  <c r="F10" i="42"/>
  <c r="I137" i="2"/>
  <c r="I136" i="2"/>
  <c r="I142" i="2"/>
  <c r="I145" i="2"/>
  <c r="D15" i="3"/>
  <c r="D22" i="3"/>
  <c r="I22" i="3"/>
  <c r="I15" i="3"/>
  <c r="V153" i="2"/>
  <c r="V152" i="2"/>
  <c r="Y176" i="2"/>
  <c r="V151" i="2"/>
  <c r="V148" i="2"/>
  <c r="Y169" i="2"/>
  <c r="Y177" i="2"/>
  <c r="C34" i="3"/>
  <c r="D36" i="3"/>
  <c r="P71" i="3"/>
  <c r="P72" i="3"/>
  <c r="O15" i="3"/>
  <c r="O22" i="3"/>
  <c r="F146" i="2"/>
  <c r="O144" i="2"/>
  <c r="O146" i="2"/>
  <c r="O135" i="2"/>
  <c r="O141" i="2"/>
  <c r="F177" i="2"/>
  <c r="B10" i="42"/>
  <c r="W135" i="2"/>
  <c r="W141" i="2"/>
  <c r="W139" i="2"/>
  <c r="W144" i="2"/>
  <c r="W146" i="2"/>
  <c r="R15" i="3"/>
  <c r="R22" i="3"/>
  <c r="H106" i="2"/>
  <c r="H103" i="2"/>
  <c r="E106" i="2"/>
  <c r="E108" i="2"/>
  <c r="E109" i="2"/>
  <c r="E132" i="2"/>
  <c r="E138" i="2"/>
  <c r="E103" i="2"/>
  <c r="N102" i="2"/>
  <c r="K102" i="2"/>
  <c r="H22" i="3"/>
  <c r="H15" i="3"/>
  <c r="T94" i="3"/>
  <c r="U9" i="3"/>
  <c r="U16" i="3"/>
  <c r="M94" i="3"/>
  <c r="F94" i="3"/>
  <c r="G9" i="3"/>
  <c r="G16" i="3"/>
  <c r="D94" i="3"/>
  <c r="E9" i="3"/>
  <c r="E16" i="3"/>
  <c r="L39" i="23"/>
  <c r="N147" i="2"/>
  <c r="L41" i="23"/>
  <c r="L44" i="23"/>
  <c r="O152" i="2"/>
  <c r="O153" i="2"/>
  <c r="W145" i="2"/>
  <c r="W136" i="2"/>
  <c r="W142" i="2"/>
  <c r="O44" i="23"/>
  <c r="P44" i="23"/>
  <c r="O107" i="3"/>
  <c r="E71" i="3"/>
  <c r="E72" i="3"/>
  <c r="L9" i="3"/>
  <c r="L16" i="3"/>
  <c r="N9" i="3"/>
  <c r="N16" i="3"/>
  <c r="K71" i="3"/>
  <c r="K72" i="3"/>
  <c r="J106" i="2"/>
  <c r="J108" i="2"/>
  <c r="J109" i="2"/>
  <c r="J132" i="2"/>
  <c r="J138" i="2"/>
  <c r="Q103" i="2"/>
  <c r="Q132" i="2"/>
  <c r="Q138" i="2"/>
  <c r="R14" i="42"/>
  <c r="R14" i="1"/>
  <c r="R93" i="5"/>
  <c r="R97" i="5"/>
  <c r="R15" i="42"/>
  <c r="R22" i="42"/>
  <c r="R15" i="1"/>
  <c r="R22" i="1"/>
  <c r="K37" i="23"/>
  <c r="G37" i="23"/>
  <c r="C37" i="23"/>
  <c r="C106" i="2"/>
  <c r="C108" i="2"/>
  <c r="C103" i="2"/>
  <c r="I107" i="2"/>
  <c r="I108" i="2"/>
  <c r="I109" i="2"/>
  <c r="I103" i="2"/>
  <c r="S152" i="2"/>
  <c r="S153" i="2"/>
  <c r="J39" i="23"/>
  <c r="L147" i="2"/>
  <c r="Q44" i="23"/>
  <c r="W9" i="3"/>
  <c r="W16" i="3"/>
  <c r="I39" i="23"/>
  <c r="K147" i="2"/>
  <c r="B37" i="23"/>
  <c r="P132" i="2"/>
  <c r="P138" i="2"/>
  <c r="P107" i="2"/>
  <c r="P108" i="2"/>
  <c r="P109" i="2"/>
  <c r="L103" i="2"/>
  <c r="L132" i="2"/>
  <c r="L138" i="2"/>
  <c r="N67" i="42"/>
  <c r="N25" i="1"/>
  <c r="N30" i="1"/>
  <c r="M67" i="42"/>
  <c r="W15" i="3"/>
  <c r="W22" i="3"/>
  <c r="X62" i="3"/>
  <c r="X63" i="3"/>
  <c r="K39" i="23"/>
  <c r="M147" i="2"/>
  <c r="N103" i="2"/>
  <c r="N132" i="2"/>
  <c r="N138" i="2"/>
  <c r="N107" i="2"/>
  <c r="N108" i="2"/>
  <c r="N109" i="2"/>
  <c r="R153" i="2"/>
  <c r="R152" i="2"/>
  <c r="R151" i="2"/>
  <c r="R148" i="2"/>
  <c r="U169" i="2"/>
  <c r="G136" i="2"/>
  <c r="G142" i="2"/>
  <c r="G145" i="2"/>
  <c r="G137" i="2"/>
  <c r="S103" i="2"/>
  <c r="S107" i="2"/>
  <c r="S108" i="2"/>
  <c r="S109" i="2"/>
  <c r="S132" i="2"/>
  <c r="S138" i="2"/>
  <c r="B39" i="23"/>
  <c r="D147" i="2"/>
  <c r="B41" i="23"/>
  <c r="B44" i="23"/>
  <c r="V176" i="2"/>
  <c r="V177" i="2"/>
  <c r="Q136" i="2"/>
  <c r="Q142" i="2"/>
  <c r="Q137" i="2"/>
  <c r="Q145" i="2"/>
  <c r="D14" i="42"/>
  <c r="O143" i="2"/>
  <c r="O253" i="2"/>
  <c r="O254" i="2"/>
  <c r="O256" i="2"/>
  <c r="G62" i="3"/>
  <c r="G63" i="3"/>
  <c r="L137" i="2"/>
  <c r="L145" i="2"/>
  <c r="L136" i="2"/>
  <c r="L142" i="2"/>
  <c r="Q71" i="3"/>
  <c r="Q72" i="3"/>
  <c r="I41" i="23"/>
  <c r="I44" i="23"/>
  <c r="J41" i="23"/>
  <c r="J44" i="23"/>
  <c r="C39" i="23"/>
  <c r="E147" i="2"/>
  <c r="R71" i="3"/>
  <c r="R72" i="3"/>
  <c r="G15" i="3"/>
  <c r="G22" i="3"/>
  <c r="H62" i="3"/>
  <c r="H63" i="3"/>
  <c r="T93" i="5"/>
  <c r="T97" i="5"/>
  <c r="T15" i="42"/>
  <c r="K107" i="2"/>
  <c r="K108" i="2"/>
  <c r="K109" i="2"/>
  <c r="K132" i="2"/>
  <c r="K138" i="2"/>
  <c r="K103" i="2"/>
  <c r="H108" i="2"/>
  <c r="H109" i="2"/>
  <c r="W253" i="2"/>
  <c r="W254" i="2"/>
  <c r="W256" i="2"/>
  <c r="W143" i="2"/>
  <c r="W62" i="3"/>
  <c r="W63" i="3"/>
  <c r="T10" i="42"/>
  <c r="T10" i="1"/>
  <c r="V7" i="19"/>
  <c r="L22" i="3"/>
  <c r="L15" i="3"/>
  <c r="E22" i="3"/>
  <c r="F62" i="3"/>
  <c r="F63" i="3"/>
  <c r="E15" i="3"/>
  <c r="M93" i="5"/>
  <c r="M97" i="5"/>
  <c r="M15" i="42"/>
  <c r="M65" i="42"/>
  <c r="S62" i="3"/>
  <c r="S63" i="3"/>
  <c r="B10" i="1"/>
  <c r="U10" i="42"/>
  <c r="U10" i="1"/>
  <c r="W7" i="19"/>
  <c r="V143" i="2"/>
  <c r="V253" i="2"/>
  <c r="V254" i="2"/>
  <c r="V256" i="2"/>
  <c r="P137" i="2"/>
  <c r="P136" i="2"/>
  <c r="P142" i="2"/>
  <c r="P145" i="2"/>
  <c r="R176" i="2"/>
  <c r="R177" i="2"/>
  <c r="U22" i="3"/>
  <c r="U15" i="3"/>
  <c r="M71" i="3"/>
  <c r="M72" i="3"/>
  <c r="H71" i="3"/>
  <c r="H72" i="3"/>
  <c r="G71" i="3"/>
  <c r="G72" i="3"/>
  <c r="L71" i="3"/>
  <c r="L72" i="3"/>
  <c r="W71" i="3"/>
  <c r="W72" i="3"/>
  <c r="V71" i="3"/>
  <c r="V72" i="3"/>
  <c r="I71" i="3"/>
  <c r="I72" i="3"/>
  <c r="J71" i="3"/>
  <c r="J72" i="3"/>
  <c r="D71" i="3"/>
  <c r="D72" i="3"/>
  <c r="N71" i="3"/>
  <c r="N72" i="3"/>
  <c r="O71" i="3"/>
  <c r="O72" i="3"/>
  <c r="F71" i="3"/>
  <c r="F72" i="3"/>
  <c r="U71" i="3"/>
  <c r="U72" i="3"/>
  <c r="X71" i="3"/>
  <c r="X72" i="3"/>
  <c r="S71" i="3"/>
  <c r="S72" i="3"/>
  <c r="T71" i="3"/>
  <c r="T72" i="3"/>
  <c r="I139" i="2"/>
  <c r="I135" i="2"/>
  <c r="I141" i="2"/>
  <c r="I144" i="2"/>
  <c r="I146" i="2"/>
  <c r="U143" i="2"/>
  <c r="U253" i="2"/>
  <c r="U254" i="2"/>
  <c r="U256" i="2"/>
  <c r="K177" i="2"/>
  <c r="G10" i="42"/>
  <c r="M137" i="2"/>
  <c r="M145" i="2"/>
  <c r="M136" i="2"/>
  <c r="M142" i="2"/>
  <c r="K151" i="2"/>
  <c r="K148" i="2"/>
  <c r="N169" i="2"/>
  <c r="K152" i="2"/>
  <c r="K160" i="2"/>
  <c r="K161" i="2"/>
  <c r="K153" i="2"/>
  <c r="L151" i="2"/>
  <c r="L148" i="2"/>
  <c r="O169" i="2"/>
  <c r="L152" i="2"/>
  <c r="L153" i="2"/>
  <c r="G39" i="23"/>
  <c r="I147" i="2"/>
  <c r="J136" i="2"/>
  <c r="J142" i="2"/>
  <c r="J137" i="2"/>
  <c r="J145" i="2"/>
  <c r="N15" i="3"/>
  <c r="N22" i="3"/>
  <c r="N151" i="2"/>
  <c r="N148" i="2"/>
  <c r="Q169" i="2"/>
  <c r="N152" i="2"/>
  <c r="Q176" i="2"/>
  <c r="N153" i="2"/>
  <c r="F93" i="5"/>
  <c r="F97" i="5"/>
  <c r="F15" i="42"/>
  <c r="F14" i="42"/>
  <c r="F19" i="42"/>
  <c r="F19" i="1"/>
  <c r="H14" i="19"/>
  <c r="E145" i="2"/>
  <c r="E136" i="2"/>
  <c r="E142" i="2"/>
  <c r="E137" i="2"/>
  <c r="P62" i="3"/>
  <c r="P63" i="3"/>
  <c r="C52" i="3"/>
  <c r="C55" i="3"/>
  <c r="D34" i="3"/>
  <c r="T153" i="2"/>
  <c r="T151" i="2"/>
  <c r="T148" i="2"/>
  <c r="W169" i="2"/>
  <c r="T152" i="2"/>
  <c r="H137" i="2"/>
  <c r="H145" i="2"/>
  <c r="H136" i="2"/>
  <c r="H142" i="2"/>
  <c r="P10" i="42"/>
  <c r="P10" i="1"/>
  <c r="R7" i="19"/>
  <c r="F153" i="2"/>
  <c r="F155" i="2"/>
  <c r="F151" i="2"/>
  <c r="F148" i="2"/>
  <c r="I169" i="2"/>
  <c r="F161" i="2"/>
  <c r="F160" i="2"/>
  <c r="F152" i="2"/>
  <c r="I176" i="2"/>
  <c r="R10" i="1"/>
  <c r="R10" i="42"/>
  <c r="K137" i="2"/>
  <c r="K136" i="2"/>
  <c r="K142" i="2"/>
  <c r="K145" i="2"/>
  <c r="J139" i="2"/>
  <c r="J144" i="2"/>
  <c r="J146" i="2"/>
  <c r="J135" i="2"/>
  <c r="J141" i="2"/>
  <c r="L139" i="2"/>
  <c r="L144" i="2"/>
  <c r="L146" i="2"/>
  <c r="L135" i="2"/>
  <c r="L141" i="2"/>
  <c r="I177" i="2"/>
  <c r="E10" i="42"/>
  <c r="W176" i="2"/>
  <c r="W177" i="2"/>
  <c r="N62" i="3"/>
  <c r="N63" i="3"/>
  <c r="K62" i="3"/>
  <c r="K63" i="3"/>
  <c r="Q62" i="3"/>
  <c r="Q63" i="3"/>
  <c r="T62" i="3"/>
  <c r="T63" i="3"/>
  <c r="L62" i="3"/>
  <c r="L63" i="3"/>
  <c r="R62" i="3"/>
  <c r="R63" i="3"/>
  <c r="D62" i="3"/>
  <c r="D63" i="3"/>
  <c r="G41" i="23"/>
  <c r="G44" i="23"/>
  <c r="N176" i="2"/>
  <c r="N177" i="2"/>
  <c r="I143" i="2"/>
  <c r="I253" i="2"/>
  <c r="I254" i="2"/>
  <c r="I256" i="2"/>
  <c r="N10" i="42"/>
  <c r="N10" i="1"/>
  <c r="P135" i="2"/>
  <c r="P141" i="2"/>
  <c r="P144" i="2"/>
  <c r="P146" i="2"/>
  <c r="P139" i="2"/>
  <c r="J62" i="3"/>
  <c r="J63" i="3"/>
  <c r="E153" i="2"/>
  <c r="E160" i="2"/>
  <c r="E152" i="2"/>
  <c r="E155" i="2"/>
  <c r="E161" i="2"/>
  <c r="E151" i="2"/>
  <c r="E148" i="2"/>
  <c r="H169" i="2"/>
  <c r="E62" i="3"/>
  <c r="E63" i="3"/>
  <c r="K41" i="23"/>
  <c r="K44" i="23"/>
  <c r="I155" i="2"/>
  <c r="I152" i="2"/>
  <c r="I161" i="2"/>
  <c r="I151" i="2"/>
  <c r="I148" i="2"/>
  <c r="L169" i="2"/>
  <c r="I160" i="2"/>
  <c r="I153" i="2"/>
  <c r="N137" i="2"/>
  <c r="N136" i="2"/>
  <c r="N142" i="2"/>
  <c r="N145" i="2"/>
  <c r="M151" i="2"/>
  <c r="M148" i="2"/>
  <c r="P169" i="2"/>
  <c r="M152" i="2"/>
  <c r="M153" i="2"/>
  <c r="Q177" i="2"/>
  <c r="S137" i="2"/>
  <c r="S136" i="2"/>
  <c r="S142" i="2"/>
  <c r="S145" i="2"/>
  <c r="G135" i="2"/>
  <c r="G141" i="2"/>
  <c r="G139" i="2"/>
  <c r="G144" i="2"/>
  <c r="G146" i="2"/>
  <c r="H135" i="2"/>
  <c r="H141" i="2"/>
  <c r="H139" i="2"/>
  <c r="H144" i="2"/>
  <c r="H146" i="2"/>
  <c r="F64" i="3"/>
  <c r="T64" i="3"/>
  <c r="N64" i="3"/>
  <c r="U64" i="3"/>
  <c r="E64" i="3"/>
  <c r="V64" i="3"/>
  <c r="L64" i="3"/>
  <c r="S64" i="3"/>
  <c r="K64" i="3"/>
  <c r="G64" i="3"/>
  <c r="Q64" i="3"/>
  <c r="O64" i="3"/>
  <c r="P64" i="3"/>
  <c r="H64" i="3"/>
  <c r="D32" i="3"/>
  <c r="D64" i="3"/>
  <c r="I64" i="3"/>
  <c r="R64" i="3"/>
  <c r="J64" i="3"/>
  <c r="X64" i="3"/>
  <c r="M64" i="3"/>
  <c r="W64" i="3"/>
  <c r="E144" i="2"/>
  <c r="E146" i="2"/>
  <c r="E135" i="2"/>
  <c r="E141" i="2"/>
  <c r="E139" i="2"/>
  <c r="F95" i="5"/>
  <c r="G95" i="5"/>
  <c r="H95" i="5"/>
  <c r="I95" i="5"/>
  <c r="J95" i="5"/>
  <c r="K95" i="5"/>
  <c r="L95" i="5"/>
  <c r="M95" i="5"/>
  <c r="N95" i="5"/>
  <c r="O95" i="5"/>
  <c r="P95" i="5"/>
  <c r="Q95" i="5"/>
  <c r="R95" i="5"/>
  <c r="S95" i="5"/>
  <c r="T95" i="5"/>
  <c r="U95" i="5"/>
  <c r="V95" i="5"/>
  <c r="O62" i="3"/>
  <c r="O63" i="3"/>
  <c r="O176" i="2"/>
  <c r="O177" i="2"/>
  <c r="M139" i="2"/>
  <c r="M144" i="2"/>
  <c r="M146" i="2"/>
  <c r="M135" i="2"/>
  <c r="M141" i="2"/>
  <c r="V62" i="3"/>
  <c r="V63" i="3"/>
  <c r="D7" i="19"/>
  <c r="M62" i="3"/>
  <c r="M63" i="3"/>
  <c r="G10" i="1"/>
  <c r="C41" i="23"/>
  <c r="C44" i="23"/>
  <c r="U62" i="3"/>
  <c r="U63" i="3"/>
  <c r="Q139" i="2"/>
  <c r="Q144" i="2"/>
  <c r="Q146" i="2"/>
  <c r="Q135" i="2"/>
  <c r="Q141" i="2"/>
  <c r="D155" i="2"/>
  <c r="D160" i="2"/>
  <c r="D152" i="2"/>
  <c r="G176" i="2"/>
  <c r="D153" i="2"/>
  <c r="D161" i="2"/>
  <c r="D151" i="2"/>
  <c r="D148" i="2"/>
  <c r="G169" i="2"/>
  <c r="U176" i="2"/>
  <c r="U177" i="2"/>
  <c r="I62" i="3"/>
  <c r="I63" i="3"/>
  <c r="K10" i="42"/>
  <c r="K10" i="1"/>
  <c r="J10" i="1"/>
  <c r="J10" i="42"/>
  <c r="Q10" i="1"/>
  <c r="Q10" i="42"/>
  <c r="S10" i="42"/>
  <c r="S10" i="1"/>
  <c r="X65" i="3"/>
  <c r="X67" i="3"/>
  <c r="W105" i="3"/>
  <c r="W106" i="3"/>
  <c r="C106" i="3"/>
  <c r="C105" i="3"/>
  <c r="D65" i="3"/>
  <c r="D67" i="3"/>
  <c r="R106" i="3"/>
  <c r="S65" i="3"/>
  <c r="S67" i="3"/>
  <c r="R105" i="3"/>
  <c r="U65" i="3"/>
  <c r="U67" i="3"/>
  <c r="T106" i="3"/>
  <c r="T105" i="3"/>
  <c r="T108" i="3"/>
  <c r="S144" i="2"/>
  <c r="S146" i="2"/>
  <c r="S139" i="2"/>
  <c r="S135" i="2"/>
  <c r="S141" i="2"/>
  <c r="F10" i="1"/>
  <c r="H7" i="19"/>
  <c r="D40" i="3"/>
  <c r="E32" i="3"/>
  <c r="D80" i="3"/>
  <c r="K106" i="3"/>
  <c r="K105" i="3"/>
  <c r="K108" i="3"/>
  <c r="L65" i="3"/>
  <c r="L67" i="3"/>
  <c r="M105" i="3"/>
  <c r="M108" i="3"/>
  <c r="M106" i="3"/>
  <c r="N65" i="3"/>
  <c r="N67" i="3"/>
  <c r="G253" i="2"/>
  <c r="G254" i="2"/>
  <c r="G256" i="2"/>
  <c r="G143" i="2"/>
  <c r="K139" i="2"/>
  <c r="K144" i="2"/>
  <c r="K146" i="2"/>
  <c r="K135" i="2"/>
  <c r="K141" i="2"/>
  <c r="W65" i="3"/>
  <c r="W67" i="3"/>
  <c r="V106" i="3"/>
  <c r="V105" i="3"/>
  <c r="Q106" i="3"/>
  <c r="Q105" i="3"/>
  <c r="Q108" i="3"/>
  <c r="R65" i="3"/>
  <c r="R67" i="3"/>
  <c r="G105" i="3"/>
  <c r="G106" i="3"/>
  <c r="H65" i="3"/>
  <c r="H67" i="3"/>
  <c r="F105" i="3"/>
  <c r="F108" i="3"/>
  <c r="F106" i="3"/>
  <c r="G65" i="3"/>
  <c r="G67" i="3"/>
  <c r="U106" i="3"/>
  <c r="V65" i="3"/>
  <c r="V67" i="3"/>
  <c r="U105" i="3"/>
  <c r="T65" i="3"/>
  <c r="T67" i="3"/>
  <c r="S106" i="3"/>
  <c r="S105" i="3"/>
  <c r="H253" i="2"/>
  <c r="H254" i="2"/>
  <c r="H256" i="2"/>
  <c r="H143" i="2"/>
  <c r="P176" i="2"/>
  <c r="P177" i="2"/>
  <c r="N139" i="2"/>
  <c r="N135" i="2"/>
  <c r="N141" i="2"/>
  <c r="N144" i="2"/>
  <c r="N146" i="2"/>
  <c r="H176" i="2"/>
  <c r="P7" i="19"/>
  <c r="L253" i="2"/>
  <c r="L254" i="2"/>
  <c r="L256" i="2"/>
  <c r="L143" i="2"/>
  <c r="M143" i="2"/>
  <c r="M253" i="2"/>
  <c r="M254" i="2"/>
  <c r="M256" i="2"/>
  <c r="E143" i="2"/>
  <c r="E253" i="2"/>
  <c r="E254" i="2"/>
  <c r="E256" i="2"/>
  <c r="N106" i="3"/>
  <c r="O65" i="3"/>
  <c r="O67" i="3"/>
  <c r="N105" i="3"/>
  <c r="M10" i="1"/>
  <c r="M10" i="42"/>
  <c r="L176" i="2"/>
  <c r="L177" i="2"/>
  <c r="H10" i="42"/>
  <c r="G177" i="2"/>
  <c r="C10" i="42"/>
  <c r="I7" i="19"/>
  <c r="I105" i="3"/>
  <c r="I106" i="3"/>
  <c r="J65" i="3"/>
  <c r="J67" i="3"/>
  <c r="Q65" i="3"/>
  <c r="Q67" i="3"/>
  <c r="P106" i="3"/>
  <c r="P105" i="3"/>
  <c r="P108" i="3"/>
  <c r="P253" i="2"/>
  <c r="P254" i="2"/>
  <c r="P256" i="2"/>
  <c r="P143" i="2"/>
  <c r="Q143" i="2"/>
  <c r="Q253" i="2"/>
  <c r="Q254" i="2"/>
  <c r="Q256" i="2"/>
  <c r="L106" i="3"/>
  <c r="L105" i="3"/>
  <c r="M65" i="3"/>
  <c r="M67" i="3"/>
  <c r="H105" i="3"/>
  <c r="H108" i="3"/>
  <c r="H106" i="3"/>
  <c r="I65" i="3"/>
  <c r="I67" i="3"/>
  <c r="O106" i="3"/>
  <c r="O105" i="3"/>
  <c r="O108" i="3"/>
  <c r="P65" i="3"/>
  <c r="P67" i="3"/>
  <c r="J106" i="3"/>
  <c r="K65" i="3"/>
  <c r="K67" i="3"/>
  <c r="J105" i="3"/>
  <c r="J108" i="3"/>
  <c r="D105" i="3"/>
  <c r="D108" i="3"/>
  <c r="D106" i="3"/>
  <c r="E65" i="3"/>
  <c r="E67" i="3"/>
  <c r="F65" i="3"/>
  <c r="F67" i="3"/>
  <c r="E105" i="3"/>
  <c r="E108" i="3"/>
  <c r="E106" i="3"/>
  <c r="H177" i="2"/>
  <c r="D10" i="42"/>
  <c r="J143" i="2"/>
  <c r="J253" i="2"/>
  <c r="J254" i="2"/>
  <c r="J256" i="2"/>
  <c r="T7" i="19"/>
  <c r="I10" i="1"/>
  <c r="K7" i="19"/>
  <c r="H10" i="1"/>
  <c r="L10" i="42"/>
  <c r="L10" i="1"/>
  <c r="F73" i="3"/>
  <c r="F74" i="3"/>
  <c r="F75" i="3"/>
  <c r="F68" i="3"/>
  <c r="F69" i="3"/>
  <c r="F70" i="3"/>
  <c r="D5" i="42"/>
  <c r="F66" i="3"/>
  <c r="N18" i="42"/>
  <c r="N18" i="1"/>
  <c r="P11" i="19"/>
  <c r="O109" i="3"/>
  <c r="O110" i="3"/>
  <c r="G18" i="42"/>
  <c r="G18" i="1"/>
  <c r="I11" i="19"/>
  <c r="H110" i="3"/>
  <c r="G3" i="42"/>
  <c r="H109" i="3"/>
  <c r="P109" i="3"/>
  <c r="P110" i="3"/>
  <c r="O18" i="42"/>
  <c r="O18" i="1"/>
  <c r="Q11" i="19"/>
  <c r="Q109" i="3"/>
  <c r="Q110" i="3"/>
  <c r="P18" i="42"/>
  <c r="P18" i="1"/>
  <c r="R11" i="19"/>
  <c r="S73" i="3"/>
  <c r="S74" i="3"/>
  <c r="S68" i="3"/>
  <c r="S69" i="3"/>
  <c r="S70" i="3"/>
  <c r="S75" i="3"/>
  <c r="Q16" i="42"/>
  <c r="S66" i="3"/>
  <c r="E75" i="3"/>
  <c r="C16" i="42"/>
  <c r="E73" i="3"/>
  <c r="E74" i="3"/>
  <c r="E68" i="3"/>
  <c r="E69" i="3"/>
  <c r="E70" i="3"/>
  <c r="M66" i="3"/>
  <c r="M75" i="3"/>
  <c r="K16" i="42"/>
  <c r="M68" i="3"/>
  <c r="M69" i="3"/>
  <c r="M70" i="3"/>
  <c r="M73" i="3"/>
  <c r="M74" i="3"/>
  <c r="T75" i="3"/>
  <c r="T68" i="3"/>
  <c r="T69" i="3"/>
  <c r="T70" i="3"/>
  <c r="T73" i="3"/>
  <c r="T74" i="3"/>
  <c r="G75" i="3"/>
  <c r="E16" i="42"/>
  <c r="G68" i="3"/>
  <c r="G69" i="3"/>
  <c r="G70" i="3"/>
  <c r="E5" i="42"/>
  <c r="G66" i="3"/>
  <c r="G73" i="3"/>
  <c r="G74" i="3"/>
  <c r="N75" i="3"/>
  <c r="L16" i="42"/>
  <c r="N68" i="3"/>
  <c r="N69" i="3"/>
  <c r="N70" i="3"/>
  <c r="N66" i="3"/>
  <c r="M113" i="2"/>
  <c r="N7" i="9"/>
  <c r="N9" i="9"/>
  <c r="N8" i="9"/>
  <c r="N73" i="3"/>
  <c r="N74" i="3"/>
  <c r="K109" i="3"/>
  <c r="K110" i="3"/>
  <c r="J18" i="42"/>
  <c r="J18" i="1"/>
  <c r="L11" i="19"/>
  <c r="S143" i="2"/>
  <c r="S253" i="2"/>
  <c r="S254" i="2"/>
  <c r="S256" i="2"/>
  <c r="L7" i="19"/>
  <c r="I73" i="3"/>
  <c r="I74" i="3"/>
  <c r="I75" i="3"/>
  <c r="I68" i="3"/>
  <c r="I69" i="3"/>
  <c r="I70" i="3"/>
  <c r="I66" i="3"/>
  <c r="L108" i="3"/>
  <c r="Q68" i="3"/>
  <c r="Q69" i="3"/>
  <c r="Q70" i="3"/>
  <c r="Q66" i="3"/>
  <c r="Q75" i="3"/>
  <c r="O16" i="42"/>
  <c r="Q73" i="3"/>
  <c r="Q74" i="3"/>
  <c r="D10" i="1"/>
  <c r="C10" i="1"/>
  <c r="O7" i="19"/>
  <c r="D16" i="42"/>
  <c r="N143" i="2"/>
  <c r="N253" i="2"/>
  <c r="N254" i="2"/>
  <c r="N256" i="2"/>
  <c r="G16" i="42"/>
  <c r="U108" i="3"/>
  <c r="G108" i="3"/>
  <c r="V108" i="3"/>
  <c r="K253" i="2"/>
  <c r="K254" i="2"/>
  <c r="K256" i="2"/>
  <c r="K143" i="2"/>
  <c r="U75" i="3"/>
  <c r="S16" i="42"/>
  <c r="U73" i="3"/>
  <c r="U74" i="3"/>
  <c r="U68" i="3"/>
  <c r="U69" i="3"/>
  <c r="U70" i="3"/>
  <c r="D73" i="3"/>
  <c r="D74" i="3"/>
  <c r="D75" i="3"/>
  <c r="B16" i="42"/>
  <c r="D68" i="3"/>
  <c r="D69" i="3"/>
  <c r="D70" i="3"/>
  <c r="W108" i="3"/>
  <c r="M7" i="19"/>
  <c r="J109" i="3"/>
  <c r="J110" i="3"/>
  <c r="I3" i="42"/>
  <c r="I7" i="42"/>
  <c r="I12" i="42"/>
  <c r="I18" i="42"/>
  <c r="I18" i="1"/>
  <c r="K11" i="19"/>
  <c r="O75" i="3"/>
  <c r="O68" i="3"/>
  <c r="O69" i="3"/>
  <c r="O70" i="3"/>
  <c r="O73" i="3"/>
  <c r="O74" i="3"/>
  <c r="H66" i="3"/>
  <c r="H73" i="3"/>
  <c r="H74" i="3"/>
  <c r="H75" i="3"/>
  <c r="F16" i="42"/>
  <c r="H68" i="3"/>
  <c r="H69" i="3"/>
  <c r="H70" i="3"/>
  <c r="F5" i="42"/>
  <c r="W75" i="3"/>
  <c r="U16" i="42"/>
  <c r="W73" i="3"/>
  <c r="W74" i="3"/>
  <c r="W68" i="3"/>
  <c r="W69" i="3"/>
  <c r="W70" i="3"/>
  <c r="L73" i="3"/>
  <c r="L74" i="3"/>
  <c r="L75" i="3"/>
  <c r="L68" i="3"/>
  <c r="L69" i="3"/>
  <c r="L70" i="3"/>
  <c r="E40" i="3"/>
  <c r="E34" i="3"/>
  <c r="O66" i="3"/>
  <c r="S18" i="42"/>
  <c r="S18" i="1"/>
  <c r="U11" i="19"/>
  <c r="T109" i="3"/>
  <c r="T110" i="3"/>
  <c r="U7" i="19"/>
  <c r="K68" i="3"/>
  <c r="K69" i="3"/>
  <c r="K70" i="3"/>
  <c r="I5" i="42"/>
  <c r="K75" i="3"/>
  <c r="I16" i="42"/>
  <c r="K73" i="3"/>
  <c r="K74" i="3"/>
  <c r="Q113" i="2"/>
  <c r="R7" i="9"/>
  <c r="R9" i="9"/>
  <c r="R8" i="9"/>
  <c r="I108" i="3"/>
  <c r="E10" i="1"/>
  <c r="E109" i="3"/>
  <c r="E110" i="3"/>
  <c r="D3" i="42"/>
  <c r="D18" i="42"/>
  <c r="D18" i="1"/>
  <c r="F11" i="19"/>
  <c r="D109" i="3"/>
  <c r="D110" i="3"/>
  <c r="C3" i="42"/>
  <c r="C18" i="42"/>
  <c r="C18" i="1"/>
  <c r="E11" i="19"/>
  <c r="P73" i="3"/>
  <c r="P74" i="3"/>
  <c r="P75" i="3"/>
  <c r="N16" i="42"/>
  <c r="P68" i="3"/>
  <c r="P69" i="3"/>
  <c r="P70" i="3"/>
  <c r="J68" i="3"/>
  <c r="J69" i="3"/>
  <c r="J70" i="3"/>
  <c r="J66" i="3"/>
  <c r="J75" i="3"/>
  <c r="H16" i="42"/>
  <c r="J73" i="3"/>
  <c r="J74" i="3"/>
  <c r="N108" i="3"/>
  <c r="S108" i="3"/>
  <c r="V75" i="3"/>
  <c r="T16" i="42"/>
  <c r="V73" i="3"/>
  <c r="V74" i="3"/>
  <c r="V66" i="3"/>
  <c r="V68" i="3"/>
  <c r="V69" i="3"/>
  <c r="V70" i="3"/>
  <c r="F109" i="3"/>
  <c r="E18" i="42"/>
  <c r="E18" i="1"/>
  <c r="G11" i="19"/>
  <c r="F110" i="3"/>
  <c r="E3" i="42"/>
  <c r="R68" i="3"/>
  <c r="R69" i="3"/>
  <c r="R70" i="3"/>
  <c r="R66" i="3"/>
  <c r="R73" i="3"/>
  <c r="R74" i="3"/>
  <c r="R75" i="3"/>
  <c r="P16" i="42"/>
  <c r="G113" i="2"/>
  <c r="H7" i="9"/>
  <c r="H9" i="9"/>
  <c r="H8" i="9"/>
  <c r="L18" i="42"/>
  <c r="L18" i="1"/>
  <c r="N11" i="19"/>
  <c r="M109" i="3"/>
  <c r="M110" i="3"/>
  <c r="R108" i="3"/>
  <c r="C108" i="3"/>
  <c r="X73" i="3"/>
  <c r="X74" i="3"/>
  <c r="X68" i="3"/>
  <c r="X69" i="3"/>
  <c r="X70" i="3"/>
  <c r="X66" i="3"/>
  <c r="X75" i="3"/>
  <c r="V16" i="42"/>
  <c r="S7" i="19"/>
  <c r="E3" i="1"/>
  <c r="D7" i="42"/>
  <c r="D12" i="42"/>
  <c r="S3" i="1"/>
  <c r="S7" i="1"/>
  <c r="S3" i="42"/>
  <c r="O16" i="1"/>
  <c r="J3" i="1"/>
  <c r="J3" i="42"/>
  <c r="L16" i="1"/>
  <c r="P3" i="1"/>
  <c r="P3" i="42"/>
  <c r="P16" i="1"/>
  <c r="P19" i="42"/>
  <c r="P19" i="1"/>
  <c r="R14" i="19"/>
  <c r="I16" i="1"/>
  <c r="L3" i="1"/>
  <c r="L3" i="42"/>
  <c r="L7" i="42"/>
  <c r="L12" i="42"/>
  <c r="D3" i="1"/>
  <c r="O6" i="9"/>
  <c r="O10" i="9"/>
  <c r="L46" i="23"/>
  <c r="M8" i="42"/>
  <c r="M8" i="1"/>
  <c r="Q179" i="2"/>
  <c r="N85" i="2"/>
  <c r="I13" i="42"/>
  <c r="K16" i="1"/>
  <c r="O3" i="1"/>
  <c r="O3" i="42"/>
  <c r="N3" i="1"/>
  <c r="N3" i="42"/>
  <c r="N7" i="42"/>
  <c r="N12" i="42"/>
  <c r="F16" i="1"/>
  <c r="T5" i="42"/>
  <c r="T5" i="1"/>
  <c r="S110" i="3"/>
  <c r="S109" i="3"/>
  <c r="R18" i="42"/>
  <c r="R18" i="1"/>
  <c r="T11" i="19"/>
  <c r="N5" i="1"/>
  <c r="N5" i="42"/>
  <c r="G7" i="19"/>
  <c r="I109" i="3"/>
  <c r="I110" i="3"/>
  <c r="H3" i="42"/>
  <c r="H18" i="42"/>
  <c r="H18" i="1"/>
  <c r="J11" i="19"/>
  <c r="U16" i="1"/>
  <c r="E46" i="23"/>
  <c r="G85" i="2"/>
  <c r="H6" i="9"/>
  <c r="H10" i="9"/>
  <c r="F8" i="42"/>
  <c r="F8" i="1"/>
  <c r="U18" i="42"/>
  <c r="U18" i="1"/>
  <c r="W11" i="19"/>
  <c r="V109" i="3"/>
  <c r="V110" i="3"/>
  <c r="L109" i="3"/>
  <c r="K18" i="42"/>
  <c r="K18" i="1"/>
  <c r="M11" i="19"/>
  <c r="L110" i="3"/>
  <c r="R5" i="1"/>
  <c r="R5" i="42"/>
  <c r="E85" i="2"/>
  <c r="C46" i="23"/>
  <c r="D8" i="42"/>
  <c r="D8" i="1"/>
  <c r="F6" i="9"/>
  <c r="J7" i="19"/>
  <c r="V5" i="42"/>
  <c r="V5" i="1"/>
  <c r="V6" i="9"/>
  <c r="T8" i="42"/>
  <c r="T8" i="1"/>
  <c r="X179" i="2"/>
  <c r="U85" i="2"/>
  <c r="S46" i="23"/>
  <c r="U113" i="2"/>
  <c r="V7" i="9"/>
  <c r="V9" i="9"/>
  <c r="V8" i="9"/>
  <c r="N16" i="1"/>
  <c r="J5" i="42"/>
  <c r="J5" i="1"/>
  <c r="U5" i="42"/>
  <c r="U5" i="1"/>
  <c r="V18" i="42"/>
  <c r="V18" i="1"/>
  <c r="X11" i="19"/>
  <c r="W109" i="3"/>
  <c r="W110" i="3"/>
  <c r="S16" i="1"/>
  <c r="G110" i="3"/>
  <c r="F3" i="42"/>
  <c r="G109" i="3"/>
  <c r="F18" i="42"/>
  <c r="F18" i="1"/>
  <c r="H11" i="19"/>
  <c r="N46" i="23"/>
  <c r="Q6" i="9"/>
  <c r="Q10" i="9"/>
  <c r="O8" i="42"/>
  <c r="O8" i="1"/>
  <c r="S179" i="2"/>
  <c r="P85" i="2"/>
  <c r="F46" i="23"/>
  <c r="I6" i="9"/>
  <c r="H85" i="2"/>
  <c r="G8" i="42"/>
  <c r="G8" i="1"/>
  <c r="L5" i="42"/>
  <c r="L5" i="1"/>
  <c r="F5" i="1"/>
  <c r="K8" i="42"/>
  <c r="K8" i="1"/>
  <c r="O179" i="2"/>
  <c r="J46" i="23"/>
  <c r="M6" i="9"/>
  <c r="L85" i="2"/>
  <c r="C16" i="1"/>
  <c r="P46" i="23"/>
  <c r="S6" i="9"/>
  <c r="R85" i="2"/>
  <c r="Q8" i="42"/>
  <c r="Q8" i="1"/>
  <c r="U179" i="2"/>
  <c r="R113" i="2"/>
  <c r="S7" i="9"/>
  <c r="S9" i="9"/>
  <c r="S8" i="9"/>
  <c r="E5" i="1"/>
  <c r="M18" i="42"/>
  <c r="M18" i="1"/>
  <c r="O11" i="19"/>
  <c r="N109" i="3"/>
  <c r="N110" i="3"/>
  <c r="H5" i="42"/>
  <c r="I5" i="1"/>
  <c r="P66" i="3"/>
  <c r="H113" i="2"/>
  <c r="I7" i="9"/>
  <c r="K66" i="3"/>
  <c r="L66" i="3"/>
  <c r="W66" i="3"/>
  <c r="M5" i="42"/>
  <c r="M5" i="1"/>
  <c r="D66" i="3"/>
  <c r="U66" i="3"/>
  <c r="K113" i="2"/>
  <c r="L7" i="9"/>
  <c r="L9" i="9"/>
  <c r="L8" i="9"/>
  <c r="U109" i="3"/>
  <c r="U110" i="3"/>
  <c r="T18" i="42"/>
  <c r="T18" i="1"/>
  <c r="V11" i="19"/>
  <c r="F7" i="19"/>
  <c r="O5" i="1"/>
  <c r="O5" i="42"/>
  <c r="G5" i="42"/>
  <c r="R16" i="42"/>
  <c r="E16" i="1"/>
  <c r="T66" i="3"/>
  <c r="E66" i="3"/>
  <c r="Q16" i="1"/>
  <c r="N7" i="19"/>
  <c r="X6" i="9"/>
  <c r="U46" i="23"/>
  <c r="W85" i="2"/>
  <c r="V8" i="42"/>
  <c r="V8" i="1"/>
  <c r="Z179" i="2"/>
  <c r="W113" i="2"/>
  <c r="X7" i="9"/>
  <c r="X9" i="9"/>
  <c r="X8" i="9"/>
  <c r="R109" i="3"/>
  <c r="R110" i="3"/>
  <c r="Q18" i="42"/>
  <c r="Q18" i="1"/>
  <c r="S11" i="19"/>
  <c r="P5" i="1"/>
  <c r="P5" i="42"/>
  <c r="H16" i="1"/>
  <c r="B16" i="1"/>
  <c r="M16" i="42"/>
  <c r="M85" i="2"/>
  <c r="K46" i="23"/>
  <c r="N6" i="9"/>
  <c r="N10" i="9"/>
  <c r="L8" i="42"/>
  <c r="L8" i="1"/>
  <c r="P179" i="2"/>
  <c r="E8" i="42"/>
  <c r="E8" i="1"/>
  <c r="F85" i="2"/>
  <c r="G6" i="9"/>
  <c r="D46" i="23"/>
  <c r="F113" i="2"/>
  <c r="G7" i="9"/>
  <c r="G9" i="9"/>
  <c r="G8" i="9"/>
  <c r="E7" i="42"/>
  <c r="E12" i="42"/>
  <c r="E113" i="2"/>
  <c r="F7" i="9"/>
  <c r="F9" i="9"/>
  <c r="F8" i="9"/>
  <c r="I85" i="2"/>
  <c r="G46" i="23"/>
  <c r="H8" i="42"/>
  <c r="H8" i="1"/>
  <c r="J6" i="9"/>
  <c r="I113" i="2"/>
  <c r="J7" i="9"/>
  <c r="J9" i="9"/>
  <c r="J8" i="9"/>
  <c r="G5" i="1"/>
  <c r="N113" i="2"/>
  <c r="O7" i="9"/>
  <c r="O9" i="9"/>
  <c r="O8" i="9"/>
  <c r="V16" i="1"/>
  <c r="B18" i="42"/>
  <c r="B18" i="1"/>
  <c r="D11" i="19"/>
  <c r="C109" i="3"/>
  <c r="C110" i="3"/>
  <c r="O46" i="23"/>
  <c r="Q85" i="2"/>
  <c r="R6" i="9"/>
  <c r="R10" i="9"/>
  <c r="P8" i="42"/>
  <c r="P8" i="1"/>
  <c r="T179" i="2"/>
  <c r="T16" i="1"/>
  <c r="B5" i="42"/>
  <c r="S5" i="1"/>
  <c r="S5" i="42"/>
  <c r="J16" i="42"/>
  <c r="G16" i="1"/>
  <c r="D16" i="1"/>
  <c r="E7" i="19"/>
  <c r="P113" i="2"/>
  <c r="Q7" i="9"/>
  <c r="Q9" i="9"/>
  <c r="Q8" i="9"/>
  <c r="S113" i="2"/>
  <c r="T7" i="9"/>
  <c r="T9" i="9"/>
  <c r="T8" i="9"/>
  <c r="L113" i="2"/>
  <c r="M7" i="9"/>
  <c r="M9" i="9"/>
  <c r="M8" i="9"/>
  <c r="K5" i="42"/>
  <c r="K5" i="1"/>
  <c r="C5" i="42"/>
  <c r="Q5" i="42"/>
  <c r="Q5" i="1"/>
  <c r="G7" i="42"/>
  <c r="G12" i="42"/>
  <c r="I3" i="1"/>
  <c r="I7" i="1"/>
  <c r="H7" i="42"/>
  <c r="H12" i="42"/>
  <c r="H3" i="1"/>
  <c r="H7" i="1"/>
  <c r="L13" i="42"/>
  <c r="V3" i="42"/>
  <c r="V7" i="42"/>
  <c r="V12" i="42"/>
  <c r="V3" i="1"/>
  <c r="V7" i="1"/>
  <c r="W12" i="19"/>
  <c r="N12" i="19"/>
  <c r="B46" i="23"/>
  <c r="C8" i="42"/>
  <c r="C8" i="1"/>
  <c r="D85" i="2"/>
  <c r="E6" i="9"/>
  <c r="D113" i="2"/>
  <c r="E7" i="9"/>
  <c r="E9" i="9"/>
  <c r="E8" i="9"/>
  <c r="G12" i="19"/>
  <c r="T3" i="1"/>
  <c r="T7" i="1"/>
  <c r="T3" i="42"/>
  <c r="T7" i="42"/>
  <c r="T12" i="42"/>
  <c r="J8" i="42"/>
  <c r="J8" i="1"/>
  <c r="N179" i="2"/>
  <c r="L6" i="9"/>
  <c r="L10" i="9"/>
  <c r="K85" i="2"/>
  <c r="I46" i="23"/>
  <c r="M3" i="1"/>
  <c r="M7" i="1"/>
  <c r="M3" i="42"/>
  <c r="M7" i="42"/>
  <c r="M12" i="42"/>
  <c r="U5" i="19"/>
  <c r="U56" i="5"/>
  <c r="U61" i="5"/>
  <c r="S26" i="42"/>
  <c r="S12" i="1"/>
  <c r="G13" i="42"/>
  <c r="F154" i="2"/>
  <c r="F156" i="2"/>
  <c r="F158" i="2"/>
  <c r="I179" i="2"/>
  <c r="M10" i="9"/>
  <c r="F7" i="42"/>
  <c r="F12" i="42"/>
  <c r="G3" i="1"/>
  <c r="G7" i="1"/>
  <c r="F3" i="1"/>
  <c r="F7" i="1"/>
  <c r="D5" i="1"/>
  <c r="D7" i="1"/>
  <c r="C7" i="42"/>
  <c r="C12" i="42"/>
  <c r="J12" i="19"/>
  <c r="Q3" i="42"/>
  <c r="Q7" i="42"/>
  <c r="Q12" i="42"/>
  <c r="Q3" i="1"/>
  <c r="Q7" i="1"/>
  <c r="H179" i="2"/>
  <c r="E154" i="2"/>
  <c r="E156" i="2"/>
  <c r="E158" i="2"/>
  <c r="U3" i="42"/>
  <c r="U7" i="42"/>
  <c r="U12" i="42"/>
  <c r="U3" i="1"/>
  <c r="U7" i="1"/>
  <c r="H12" i="19"/>
  <c r="O7" i="1"/>
  <c r="K12" i="19"/>
  <c r="R12" i="19"/>
  <c r="D12" i="19"/>
  <c r="Q46" i="23"/>
  <c r="T6" i="9"/>
  <c r="T10" i="9"/>
  <c r="R8" i="42"/>
  <c r="R8" i="1"/>
  <c r="V179" i="2"/>
  <c r="S85" i="2"/>
  <c r="U6" i="9"/>
  <c r="R46" i="23"/>
  <c r="T85" i="2"/>
  <c r="S8" i="42"/>
  <c r="S8" i="1"/>
  <c r="W179" i="2"/>
  <c r="T113" i="2"/>
  <c r="U7" i="9"/>
  <c r="U9" i="9"/>
  <c r="U8" i="9"/>
  <c r="J85" i="2"/>
  <c r="I8" i="42"/>
  <c r="I8" i="1"/>
  <c r="M179" i="2"/>
  <c r="K6" i="9"/>
  <c r="H46" i="23"/>
  <c r="J113" i="2"/>
  <c r="K7" i="9"/>
  <c r="K9" i="9"/>
  <c r="K8" i="9"/>
  <c r="P12" i="19"/>
  <c r="N13" i="42"/>
  <c r="L7" i="1"/>
  <c r="P7" i="42"/>
  <c r="P12" i="42"/>
  <c r="Q12" i="19"/>
  <c r="F12" i="19"/>
  <c r="J16" i="1"/>
  <c r="V12" i="19"/>
  <c r="X12" i="19"/>
  <c r="M16" i="1"/>
  <c r="S12" i="19"/>
  <c r="U8" i="42"/>
  <c r="U8" i="1"/>
  <c r="Y179" i="2"/>
  <c r="W6" i="9"/>
  <c r="W10" i="9"/>
  <c r="T46" i="23"/>
  <c r="V85" i="2"/>
  <c r="V113" i="2"/>
  <c r="W7" i="9"/>
  <c r="W9" i="9"/>
  <c r="W8" i="9"/>
  <c r="M46" i="23"/>
  <c r="P6" i="9"/>
  <c r="P10" i="9"/>
  <c r="O85" i="2"/>
  <c r="N8" i="42"/>
  <c r="N8" i="1"/>
  <c r="R179" i="2"/>
  <c r="O113" i="2"/>
  <c r="P7" i="9"/>
  <c r="P9" i="9"/>
  <c r="P8" i="9"/>
  <c r="F10" i="9"/>
  <c r="G154" i="2"/>
  <c r="G156" i="2"/>
  <c r="G158" i="2"/>
  <c r="J179" i="2"/>
  <c r="R3" i="42"/>
  <c r="R7" i="42"/>
  <c r="R12" i="42"/>
  <c r="R3" i="1"/>
  <c r="R7" i="1"/>
  <c r="O7" i="42"/>
  <c r="O12" i="42"/>
  <c r="M12" i="19"/>
  <c r="J7" i="1"/>
  <c r="S7" i="42"/>
  <c r="S12" i="42"/>
  <c r="J10" i="9"/>
  <c r="R16" i="1"/>
  <c r="R19" i="42"/>
  <c r="R19" i="1"/>
  <c r="T14" i="19"/>
  <c r="K3" i="1"/>
  <c r="K7" i="1"/>
  <c r="K3" i="42"/>
  <c r="K7" i="42"/>
  <c r="K12" i="42"/>
  <c r="D13" i="42"/>
  <c r="I12" i="19"/>
  <c r="B5" i="1"/>
  <c r="C5" i="1"/>
  <c r="G23" i="20"/>
  <c r="E16" i="21"/>
  <c r="I154" i="2"/>
  <c r="I156" i="2"/>
  <c r="I158" i="2"/>
  <c r="L179" i="2"/>
  <c r="E13" i="42"/>
  <c r="G10" i="9"/>
  <c r="X10" i="9"/>
  <c r="H5" i="1"/>
  <c r="D6" i="9"/>
  <c r="B8" i="42"/>
  <c r="B8" i="1"/>
  <c r="C85" i="2"/>
  <c r="C113" i="2"/>
  <c r="D7" i="9"/>
  <c r="D9" i="9"/>
  <c r="D8" i="9"/>
  <c r="I11" i="9"/>
  <c r="I9" i="9"/>
  <c r="I8" i="9"/>
  <c r="S10" i="9"/>
  <c r="E12" i="19"/>
  <c r="H154" i="2"/>
  <c r="H156" i="2"/>
  <c r="H158" i="2"/>
  <c r="K179" i="2"/>
  <c r="U12" i="19"/>
  <c r="V10" i="9"/>
  <c r="N7" i="1"/>
  <c r="P7" i="1"/>
  <c r="J7" i="42"/>
  <c r="J12" i="42"/>
  <c r="E7" i="1"/>
  <c r="D12" i="1"/>
  <c r="F5" i="19"/>
  <c r="F56" i="5"/>
  <c r="F61" i="5"/>
  <c r="D26" i="42"/>
  <c r="R13" i="42"/>
  <c r="W56" i="5"/>
  <c r="W61" i="5"/>
  <c r="U26" i="42"/>
  <c r="W5" i="19"/>
  <c r="U12" i="1"/>
  <c r="I5" i="19"/>
  <c r="G12" i="1"/>
  <c r="I56" i="5"/>
  <c r="I61" i="5"/>
  <c r="G26" i="42"/>
  <c r="P12" i="1"/>
  <c r="R56" i="5"/>
  <c r="R61" i="5"/>
  <c r="P26" i="42"/>
  <c r="R5" i="19"/>
  <c r="T12" i="19"/>
  <c r="U10" i="9"/>
  <c r="Q5" i="19"/>
  <c r="Q56" i="5"/>
  <c r="Q61" i="5"/>
  <c r="O26" i="42"/>
  <c r="O12" i="1"/>
  <c r="U13" i="42"/>
  <c r="F13" i="42"/>
  <c r="X22" i="20"/>
  <c r="U9" i="19"/>
  <c r="V5" i="19"/>
  <c r="V56" i="5"/>
  <c r="V61" i="5"/>
  <c r="T26" i="42"/>
  <c r="T12" i="1"/>
  <c r="E10" i="9"/>
  <c r="V12" i="1"/>
  <c r="X56" i="5"/>
  <c r="X61" i="5"/>
  <c r="V26" i="42"/>
  <c r="X5" i="19"/>
  <c r="J56" i="5"/>
  <c r="J61" i="5"/>
  <c r="H26" i="42"/>
  <c r="J5" i="19"/>
  <c r="H12" i="1"/>
  <c r="N12" i="1"/>
  <c r="P56" i="5"/>
  <c r="P61" i="5"/>
  <c r="N26" i="42"/>
  <c r="P5" i="19"/>
  <c r="C154" i="2"/>
  <c r="F179" i="2"/>
  <c r="M56" i="5"/>
  <c r="M61" i="5"/>
  <c r="K26" i="42"/>
  <c r="M5" i="19"/>
  <c r="K12" i="1"/>
  <c r="O13" i="42"/>
  <c r="L12" i="19"/>
  <c r="K10" i="9"/>
  <c r="I10" i="9"/>
  <c r="M13" i="42"/>
  <c r="V13" i="42"/>
  <c r="H13" i="42"/>
  <c r="J13" i="42"/>
  <c r="L5" i="19"/>
  <c r="J12" i="1"/>
  <c r="L56" i="5"/>
  <c r="L61" i="5"/>
  <c r="J26" i="42"/>
  <c r="N56" i="5"/>
  <c r="N61" i="5"/>
  <c r="L26" i="42"/>
  <c r="N5" i="19"/>
  <c r="L12" i="1"/>
  <c r="Q12" i="1"/>
  <c r="S5" i="19"/>
  <c r="S56" i="5"/>
  <c r="S61" i="5"/>
  <c r="Q26" i="42"/>
  <c r="S26" i="1"/>
  <c r="S68" i="42"/>
  <c r="S70" i="42"/>
  <c r="U25" i="19"/>
  <c r="U30" i="19"/>
  <c r="T13" i="42"/>
  <c r="K13" i="42"/>
  <c r="Q13" i="42"/>
  <c r="G5" i="19"/>
  <c r="G56" i="5"/>
  <c r="G61" i="5"/>
  <c r="E26" i="42"/>
  <c r="E12" i="1"/>
  <c r="C55" i="42"/>
  <c r="C55" i="1"/>
  <c r="D10" i="9"/>
  <c r="B3" i="42"/>
  <c r="S13" i="42"/>
  <c r="T5" i="19"/>
  <c r="R12" i="1"/>
  <c r="T56" i="5"/>
  <c r="T61" i="5"/>
  <c r="R26" i="42"/>
  <c r="O12" i="19"/>
  <c r="P13" i="42"/>
  <c r="C13" i="42"/>
  <c r="F12" i="1"/>
  <c r="H5" i="19"/>
  <c r="H56" i="5"/>
  <c r="H61" i="5"/>
  <c r="F26" i="42"/>
  <c r="S13" i="1"/>
  <c r="O5" i="19"/>
  <c r="M12" i="1"/>
  <c r="O56" i="5"/>
  <c r="O61" i="5"/>
  <c r="M26" i="42"/>
  <c r="D154" i="2"/>
  <c r="D156" i="2"/>
  <c r="D158" i="2"/>
  <c r="G179" i="2"/>
  <c r="I12" i="1"/>
  <c r="K56" i="5"/>
  <c r="K61" i="5"/>
  <c r="I26" i="42"/>
  <c r="K5" i="19"/>
  <c r="M26" i="1"/>
  <c r="M68" i="42"/>
  <c r="M70" i="42"/>
  <c r="O25" i="19"/>
  <c r="O30" i="19"/>
  <c r="M29" i="42"/>
  <c r="J22" i="20"/>
  <c r="H15" i="21"/>
  <c r="G9" i="19"/>
  <c r="S9" i="19"/>
  <c r="V22" i="20"/>
  <c r="L26" i="1"/>
  <c r="L68" i="42"/>
  <c r="L70" i="42"/>
  <c r="N25" i="19"/>
  <c r="K13" i="1"/>
  <c r="P9" i="19"/>
  <c r="S22" i="20"/>
  <c r="V13" i="1"/>
  <c r="U26" i="1"/>
  <c r="U68" i="42"/>
  <c r="U70" i="42"/>
  <c r="W25" i="19"/>
  <c r="I22" i="20"/>
  <c r="F9" i="19"/>
  <c r="F26" i="1"/>
  <c r="F68" i="42"/>
  <c r="F70" i="42"/>
  <c r="H25" i="19"/>
  <c r="W22" i="20"/>
  <c r="T9" i="19"/>
  <c r="Q13" i="1"/>
  <c r="J13" i="1"/>
  <c r="P22" i="20"/>
  <c r="N15" i="21"/>
  <c r="M9" i="19"/>
  <c r="N26" i="1"/>
  <c r="N68" i="42"/>
  <c r="N70" i="42"/>
  <c r="P25" i="19"/>
  <c r="N29" i="42"/>
  <c r="H26" i="1"/>
  <c r="H68" i="42"/>
  <c r="H70" i="42"/>
  <c r="J25" i="19"/>
  <c r="O68" i="42"/>
  <c r="O70" i="42"/>
  <c r="Q25" i="19"/>
  <c r="O26" i="1"/>
  <c r="L22" i="20"/>
  <c r="J15" i="21"/>
  <c r="I9" i="19"/>
  <c r="D13" i="1"/>
  <c r="R22" i="20"/>
  <c r="O9" i="19"/>
  <c r="H9" i="19"/>
  <c r="K22" i="20"/>
  <c r="E13" i="1"/>
  <c r="L13" i="1"/>
  <c r="L9" i="19"/>
  <c r="O22" i="20"/>
  <c r="K26" i="1"/>
  <c r="K68" i="42"/>
  <c r="K70" i="42"/>
  <c r="M25" i="19"/>
  <c r="N13" i="1"/>
  <c r="AA22" i="20"/>
  <c r="Y15" i="21"/>
  <c r="X9" i="19"/>
  <c r="T13" i="1"/>
  <c r="Q9" i="19"/>
  <c r="T22" i="20"/>
  <c r="R15" i="21"/>
  <c r="R9" i="19"/>
  <c r="U22" i="20"/>
  <c r="S15" i="21"/>
  <c r="U13" i="1"/>
  <c r="I68" i="42"/>
  <c r="I70" i="42"/>
  <c r="K25" i="19"/>
  <c r="I26" i="1"/>
  <c r="R13" i="1"/>
  <c r="J26" i="1"/>
  <c r="J68" i="42"/>
  <c r="J70" i="42"/>
  <c r="L25" i="19"/>
  <c r="L30" i="19"/>
  <c r="J29" i="42"/>
  <c r="C157" i="2"/>
  <c r="C156" i="2"/>
  <c r="M22" i="20"/>
  <c r="K15" i="21"/>
  <c r="J9" i="19"/>
  <c r="V9" i="19"/>
  <c r="Y22" i="20"/>
  <c r="W15" i="21"/>
  <c r="O13" i="1"/>
  <c r="P13" i="1"/>
  <c r="G13" i="1"/>
  <c r="I13" i="1"/>
  <c r="M13" i="1"/>
  <c r="K9" i="19"/>
  <c r="N22" i="20"/>
  <c r="L15" i="21"/>
  <c r="F13" i="1"/>
  <c r="R26" i="1"/>
  <c r="R68" i="42"/>
  <c r="R70" i="42"/>
  <c r="T25" i="19"/>
  <c r="T30" i="19"/>
  <c r="B7" i="42"/>
  <c r="B12" i="42"/>
  <c r="C3" i="1"/>
  <c r="C7" i="1"/>
  <c r="B3" i="1"/>
  <c r="B7" i="1"/>
  <c r="E26" i="1"/>
  <c r="E68" i="42"/>
  <c r="E70" i="42"/>
  <c r="G25" i="19"/>
  <c r="Q26" i="1"/>
  <c r="Q68" i="42"/>
  <c r="Q70" i="42"/>
  <c r="S25" i="19"/>
  <c r="Q22" i="20"/>
  <c r="N9" i="19"/>
  <c r="H13" i="1"/>
  <c r="V26" i="1"/>
  <c r="V68" i="42"/>
  <c r="V70" i="42"/>
  <c r="X25" i="19"/>
  <c r="T26" i="1"/>
  <c r="T68" i="42"/>
  <c r="T70" i="42"/>
  <c r="V25" i="19"/>
  <c r="V15" i="21"/>
  <c r="P26" i="1"/>
  <c r="P68" i="42"/>
  <c r="P70" i="42"/>
  <c r="R25" i="19"/>
  <c r="G26" i="1"/>
  <c r="G68" i="42"/>
  <c r="G70" i="42"/>
  <c r="I25" i="19"/>
  <c r="Z22" i="20"/>
  <c r="X15" i="21"/>
  <c r="W9" i="19"/>
  <c r="D26" i="1"/>
  <c r="D68" i="42"/>
  <c r="D70" i="42"/>
  <c r="F25" i="19"/>
  <c r="M30" i="19"/>
  <c r="O15" i="21"/>
  <c r="C12" i="1"/>
  <c r="E5" i="19"/>
  <c r="E56" i="5"/>
  <c r="E61" i="5"/>
  <c r="C26" i="42"/>
  <c r="P15" i="21"/>
  <c r="J30" i="19"/>
  <c r="W30" i="19"/>
  <c r="T15" i="21"/>
  <c r="F30" i="19"/>
  <c r="R30" i="19"/>
  <c r="V30" i="19"/>
  <c r="G30" i="19"/>
  <c r="B13" i="42"/>
  <c r="C158" i="2"/>
  <c r="I15" i="21"/>
  <c r="Q15" i="21"/>
  <c r="D5" i="19"/>
  <c r="B12" i="1"/>
  <c r="D56" i="5"/>
  <c r="D61" i="5"/>
  <c r="B26" i="42"/>
  <c r="K30" i="19"/>
  <c r="P30" i="19"/>
  <c r="H30" i="19"/>
  <c r="X30" i="19"/>
  <c r="Q30" i="19"/>
  <c r="I30" i="19"/>
  <c r="S30" i="19"/>
  <c r="M15" i="21"/>
  <c r="U15" i="21"/>
  <c r="N30" i="19"/>
  <c r="B68" i="42"/>
  <c r="B70" i="42"/>
  <c r="D25" i="19"/>
  <c r="B26" i="1"/>
  <c r="E9" i="19"/>
  <c r="H22" i="20"/>
  <c r="C26" i="1"/>
  <c r="C68" i="42"/>
  <c r="C70" i="42"/>
  <c r="E25" i="19"/>
  <c r="B13" i="1"/>
  <c r="C13" i="1"/>
  <c r="D9" i="19"/>
  <c r="D20" i="19"/>
  <c r="Y5" i="19"/>
  <c r="G22" i="20"/>
  <c r="E15" i="21"/>
  <c r="E30" i="19"/>
  <c r="D30" i="19"/>
  <c r="D32" i="19"/>
  <c r="F15" i="21"/>
  <c r="G15" i="21"/>
  <c r="J67" i="42"/>
  <c r="K29" i="42"/>
  <c r="I25" i="1"/>
  <c r="I30" i="1"/>
  <c r="R25" i="1"/>
  <c r="R30" i="1"/>
  <c r="R67" i="42"/>
  <c r="R29" i="42"/>
  <c r="F25" i="1"/>
  <c r="F30" i="1"/>
  <c r="F67" i="42"/>
  <c r="S67" i="42"/>
  <c r="S29" i="42"/>
  <c r="S25" i="1"/>
  <c r="S30" i="1"/>
  <c r="O25" i="1"/>
  <c r="O30" i="1"/>
  <c r="O29" i="42"/>
  <c r="O67" i="42"/>
  <c r="L67" i="42"/>
  <c r="L29" i="42"/>
  <c r="L25" i="1"/>
  <c r="L30" i="1"/>
  <c r="D29" i="42"/>
  <c r="D25" i="1"/>
  <c r="D30" i="1"/>
  <c r="D67" i="42"/>
  <c r="M14" i="1"/>
  <c r="M19" i="42"/>
  <c r="M19" i="1"/>
  <c r="O14" i="19"/>
  <c r="V25" i="1"/>
  <c r="V30" i="1"/>
  <c r="V67" i="42"/>
  <c r="V29" i="42"/>
  <c r="C29" i="42"/>
  <c r="C67" i="42"/>
  <c r="C25" i="1"/>
  <c r="C30" i="1"/>
  <c r="T19" i="42"/>
  <c r="T19" i="1"/>
  <c r="V14" i="19"/>
  <c r="T14" i="1"/>
  <c r="I14" i="1"/>
  <c r="K25" i="1"/>
  <c r="K30" i="1"/>
  <c r="E97" i="5"/>
  <c r="E15" i="42"/>
  <c r="E15" i="1"/>
  <c r="H93" i="5"/>
  <c r="H97" i="5"/>
  <c r="H15" i="42"/>
  <c r="P67" i="42"/>
  <c r="I67" i="42"/>
  <c r="P29" i="42"/>
  <c r="U67" i="42"/>
  <c r="T25" i="1"/>
  <c r="T30" i="1"/>
  <c r="U93" i="5"/>
  <c r="U97" i="5"/>
  <c r="U15" i="42"/>
  <c r="H14" i="1"/>
  <c r="H19" i="42"/>
  <c r="H19" i="1"/>
  <c r="J14" i="19"/>
  <c r="G25" i="1"/>
  <c r="G30" i="1"/>
  <c r="G67" i="42"/>
  <c r="G29" i="42"/>
  <c r="D95" i="5"/>
  <c r="D97" i="5"/>
  <c r="D15" i="42"/>
  <c r="B95" i="5"/>
  <c r="B97" i="5"/>
  <c r="B15" i="42"/>
  <c r="B67" i="42"/>
  <c r="B25" i="1"/>
  <c r="B30" i="1"/>
  <c r="E25" i="1"/>
  <c r="E30" i="1"/>
  <c r="E67" i="42"/>
  <c r="H67" i="42"/>
  <c r="H29" i="42"/>
  <c r="H25" i="1"/>
  <c r="H30" i="1"/>
  <c r="Q29" i="42"/>
  <c r="Q67" i="42"/>
  <c r="T29" i="42"/>
  <c r="F29" i="42"/>
  <c r="U29" i="42"/>
  <c r="E19" i="42"/>
  <c r="E19" i="1"/>
  <c r="G14" i="19"/>
  <c r="G20" i="19"/>
  <c r="G32" i="19"/>
  <c r="K19" i="42"/>
  <c r="K19" i="1"/>
  <c r="M14" i="19"/>
  <c r="Q14" i="1"/>
  <c r="Q19" i="42"/>
  <c r="Q19" i="1"/>
  <c r="S14" i="19"/>
  <c r="C97" i="5"/>
  <c r="C15" i="42"/>
  <c r="C15" i="1"/>
  <c r="C22" i="1"/>
  <c r="C95" i="5"/>
  <c r="R65" i="42"/>
  <c r="R71" i="42"/>
  <c r="T36" i="19"/>
  <c r="R38" i="42"/>
  <c r="N14" i="1"/>
  <c r="N19" i="42"/>
  <c r="N19" i="1"/>
  <c r="P14" i="19"/>
  <c r="X20" i="19"/>
  <c r="X32" i="19"/>
  <c r="F14" i="1"/>
  <c r="V14" i="1"/>
  <c r="S65" i="42"/>
  <c r="S71" i="42"/>
  <c r="U36" i="19"/>
  <c r="C19" i="42"/>
  <c r="C19" i="1"/>
  <c r="E14" i="19"/>
  <c r="E20" i="19"/>
  <c r="E32" i="19"/>
  <c r="J19" i="42"/>
  <c r="J19" i="1"/>
  <c r="L14" i="19"/>
  <c r="L14" i="1"/>
  <c r="E22" i="42"/>
  <c r="S36" i="19"/>
  <c r="J23" i="20"/>
  <c r="M23" i="20"/>
  <c r="E41" i="42"/>
  <c r="R41" i="42"/>
  <c r="R43" i="42"/>
  <c r="R36" i="42"/>
  <c r="Q22" i="42"/>
  <c r="V23" i="20"/>
  <c r="S20" i="19"/>
  <c r="S32" i="19"/>
  <c r="Q38" i="42"/>
  <c r="R48" i="42"/>
  <c r="H20" i="19"/>
  <c r="H32" i="19"/>
  <c r="K23" i="20"/>
  <c r="I16" i="21"/>
  <c r="J15" i="1"/>
  <c r="J22" i="1"/>
  <c r="J65" i="42"/>
  <c r="J71" i="42"/>
  <c r="L36" i="19"/>
  <c r="Q20" i="19"/>
  <c r="Q32" i="19"/>
  <c r="T23" i="20"/>
  <c r="U14" i="1"/>
  <c r="U19" i="42"/>
  <c r="U19" i="1"/>
  <c r="W14" i="19"/>
  <c r="U65" i="42"/>
  <c r="U71" i="42"/>
  <c r="W36" i="19"/>
  <c r="W38" i="19"/>
  <c r="W43" i="19"/>
  <c r="W47" i="19"/>
  <c r="N20" i="19"/>
  <c r="N32" i="19"/>
  <c r="Q23" i="20"/>
  <c r="O16" i="21"/>
  <c r="M20" i="19"/>
  <c r="M32" i="19"/>
  <c r="P23" i="20"/>
  <c r="M15" i="1"/>
  <c r="M22" i="1"/>
  <c r="M22" i="42"/>
  <c r="M71" i="42"/>
  <c r="O36" i="19"/>
  <c r="O68" i="19"/>
  <c r="R37" i="1"/>
  <c r="R38" i="1"/>
  <c r="V20" i="19"/>
  <c r="V32" i="19"/>
  <c r="Y23" i="20"/>
  <c r="P22" i="42"/>
  <c r="R20" i="19"/>
  <c r="R32" i="19"/>
  <c r="U23" i="20"/>
  <c r="P20" i="19"/>
  <c r="P32" i="19"/>
  <c r="S23" i="20"/>
  <c r="N15" i="1"/>
  <c r="N22" i="1"/>
  <c r="L22" i="42"/>
  <c r="AA23" i="20"/>
  <c r="N23" i="20"/>
  <c r="L16" i="21"/>
  <c r="K20" i="19"/>
  <c r="K32" i="19"/>
  <c r="O23" i="20"/>
  <c r="M16" i="21"/>
  <c r="L20" i="19"/>
  <c r="L32" i="19"/>
  <c r="J20" i="19"/>
  <c r="J32" i="19"/>
  <c r="D19" i="42"/>
  <c r="D19" i="1"/>
  <c r="F14" i="19"/>
  <c r="D14" i="1"/>
  <c r="D22" i="42"/>
  <c r="S14" i="1"/>
  <c r="S19" i="42"/>
  <c r="G19" i="42"/>
  <c r="G19" i="1"/>
  <c r="I14" i="19"/>
  <c r="G14" i="1"/>
  <c r="Q15" i="1"/>
  <c r="Q22" i="1"/>
  <c r="O20" i="19"/>
  <c r="O32" i="19"/>
  <c r="R23" i="20"/>
  <c r="P16" i="21"/>
  <c r="T20" i="19"/>
  <c r="T32" i="19"/>
  <c r="W23" i="20"/>
  <c r="U16" i="21"/>
  <c r="V65" i="42"/>
  <c r="V71" i="42"/>
  <c r="X36" i="19"/>
  <c r="E65" i="42"/>
  <c r="E71" i="42"/>
  <c r="G36" i="19"/>
  <c r="O65" i="42"/>
  <c r="O71" i="42"/>
  <c r="Q36" i="19"/>
  <c r="O14" i="1"/>
  <c r="H23" i="20"/>
  <c r="B14" i="1"/>
  <c r="D37" i="42"/>
  <c r="I20" i="19"/>
  <c r="I32" i="19"/>
  <c r="L23" i="20"/>
  <c r="Q16" i="21"/>
  <c r="M38" i="42"/>
  <c r="G22" i="42"/>
  <c r="R16" i="21"/>
  <c r="J37" i="1"/>
  <c r="J38" i="1"/>
  <c r="J36" i="1"/>
  <c r="W68" i="19"/>
  <c r="W20" i="19"/>
  <c r="W32" i="19"/>
  <c r="Z23" i="20"/>
  <c r="X16" i="21"/>
  <c r="Q41" i="1"/>
  <c r="Q38" i="1"/>
  <c r="S16" i="21"/>
  <c r="T16" i="21"/>
  <c r="J41" i="42"/>
  <c r="J48" i="42"/>
  <c r="J36" i="42"/>
  <c r="J37" i="42"/>
  <c r="J23" i="42"/>
  <c r="J38" i="42"/>
  <c r="O38" i="19"/>
  <c r="O43" i="19"/>
  <c r="O47" i="19"/>
  <c r="S19" i="1"/>
  <c r="U14" i="19"/>
  <c r="S22" i="42"/>
  <c r="S23" i="42"/>
  <c r="I23" i="20"/>
  <c r="H16" i="21"/>
  <c r="F20" i="19"/>
  <c r="F32" i="19"/>
  <c r="M38" i="1"/>
  <c r="M23" i="1"/>
  <c r="M37" i="1"/>
  <c r="N16" i="21"/>
  <c r="G16" i="21"/>
  <c r="F16" i="21"/>
  <c r="X23" i="20"/>
  <c r="U20" i="19"/>
  <c r="U32" i="19"/>
  <c r="Y16" i="21"/>
  <c r="K16" i="21"/>
  <c r="J16" i="21"/>
  <c r="M24" i="1"/>
  <c r="M31" i="1"/>
  <c r="S37" i="42"/>
  <c r="S36" i="42"/>
  <c r="S41" i="42"/>
  <c r="S43" i="42"/>
  <c r="S22" i="1"/>
  <c r="J43" i="42"/>
  <c r="G37" i="42"/>
  <c r="W57" i="19"/>
  <c r="W61" i="19"/>
  <c r="X6" i="21"/>
  <c r="P6" i="21"/>
  <c r="V21" i="20"/>
  <c r="S48" i="42"/>
  <c r="R12" i="34"/>
  <c r="R15" i="34"/>
  <c r="R19" i="34"/>
  <c r="M32" i="1"/>
  <c r="R12" i="29"/>
  <c r="R15" i="29"/>
  <c r="R19" i="29"/>
  <c r="S24" i="42"/>
  <c r="S30" i="42"/>
  <c r="S37" i="1"/>
  <c r="S38" i="1"/>
  <c r="S36" i="1"/>
  <c r="S23" i="1"/>
  <c r="S24" i="1"/>
  <c r="S41" i="1"/>
  <c r="V16" i="21"/>
  <c r="W16" i="21"/>
  <c r="S48" i="1"/>
  <c r="S49" i="1"/>
  <c r="X21" i="20"/>
  <c r="S43" i="1"/>
  <c r="R25" i="29"/>
  <c r="R21" i="29"/>
  <c r="S49" i="42"/>
  <c r="S31" i="42"/>
  <c r="S44" i="42"/>
  <c r="S31" i="1"/>
  <c r="X12" i="34"/>
  <c r="S44" i="1"/>
  <c r="X20" i="20"/>
  <c r="X17" i="20"/>
  <c r="C38" i="1"/>
  <c r="C37" i="1"/>
  <c r="C36" i="1"/>
  <c r="C23" i="1"/>
  <c r="Q68" i="19"/>
  <c r="Q38" i="19"/>
  <c r="N41" i="1"/>
  <c r="N38" i="1"/>
  <c r="N36" i="1"/>
  <c r="N23" i="1"/>
  <c r="N37" i="1"/>
  <c r="P41" i="42"/>
  <c r="P37" i="42"/>
  <c r="P23" i="42"/>
  <c r="P36" i="42"/>
  <c r="P38" i="42"/>
  <c r="L68" i="19"/>
  <c r="L38" i="19"/>
  <c r="U68" i="19"/>
  <c r="U38" i="19"/>
  <c r="O15" i="1"/>
  <c r="O22" i="1"/>
  <c r="O22" i="42"/>
  <c r="I65" i="42"/>
  <c r="I71" i="42"/>
  <c r="K36" i="19"/>
  <c r="I15" i="1"/>
  <c r="I22" i="1"/>
  <c r="I22" i="42"/>
  <c r="E38" i="1"/>
  <c r="E36" i="1"/>
  <c r="E37" i="1"/>
  <c r="E23" i="1"/>
  <c r="Y12" i="34"/>
  <c r="Y15" i="34"/>
  <c r="Y19" i="34"/>
  <c r="X15" i="34"/>
  <c r="X19" i="34"/>
  <c r="E43" i="42"/>
  <c r="E48" i="42"/>
  <c r="R22" i="29"/>
  <c r="X12" i="29"/>
  <c r="X15" i="29"/>
  <c r="X19" i="29"/>
  <c r="S32" i="1"/>
  <c r="L23" i="42"/>
  <c r="L37" i="42"/>
  <c r="L38" i="42"/>
  <c r="L41" i="42"/>
  <c r="L36" i="42"/>
  <c r="J24" i="42"/>
  <c r="J30" i="42"/>
  <c r="S68" i="19"/>
  <c r="S38" i="19"/>
  <c r="V20" i="20"/>
  <c r="V17" i="20"/>
  <c r="Q48" i="1"/>
  <c r="Q43" i="1"/>
  <c r="G38" i="42"/>
  <c r="G23" i="42"/>
  <c r="G36" i="42"/>
  <c r="G41" i="42"/>
  <c r="X68" i="19"/>
  <c r="X38" i="19"/>
  <c r="M41" i="42"/>
  <c r="M36" i="42"/>
  <c r="M23" i="42"/>
  <c r="M37" i="42"/>
  <c r="Q36" i="42"/>
  <c r="Q23" i="42"/>
  <c r="Q37" i="42"/>
  <c r="Q41" i="42"/>
  <c r="E36" i="42"/>
  <c r="E37" i="42"/>
  <c r="E38" i="42"/>
  <c r="E23" i="42"/>
  <c r="C22" i="42"/>
  <c r="C65" i="42"/>
  <c r="C71" i="42"/>
  <c r="E36" i="19"/>
  <c r="D15" i="1"/>
  <c r="D22" i="1"/>
  <c r="D65" i="42"/>
  <c r="D71" i="42"/>
  <c r="F36" i="19"/>
  <c r="H15" i="1"/>
  <c r="H22" i="1"/>
  <c r="H65" i="42"/>
  <c r="H71" i="42"/>
  <c r="J36" i="19"/>
  <c r="H22" i="42"/>
  <c r="T22" i="42"/>
  <c r="T65" i="42"/>
  <c r="T71" i="42"/>
  <c r="V36" i="19"/>
  <c r="T15" i="1"/>
  <c r="T22" i="1"/>
  <c r="R41" i="1"/>
  <c r="R36" i="1"/>
  <c r="R23" i="1"/>
  <c r="N65" i="42"/>
  <c r="N71" i="42"/>
  <c r="P36" i="19"/>
  <c r="N22" i="42"/>
  <c r="V15" i="1"/>
  <c r="V22" i="1"/>
  <c r="V22" i="42"/>
  <c r="S38" i="42"/>
  <c r="G38" i="19"/>
  <c r="G68" i="19"/>
  <c r="Q36" i="1"/>
  <c r="Q23" i="1"/>
  <c r="Q37" i="1"/>
  <c r="D36" i="42"/>
  <c r="D38" i="42"/>
  <c r="D41" i="42"/>
  <c r="D23" i="42"/>
  <c r="T68" i="19"/>
  <c r="T38" i="19"/>
  <c r="F22" i="42"/>
  <c r="F65" i="42"/>
  <c r="F71" i="42"/>
  <c r="H36" i="19"/>
  <c r="F15" i="1"/>
  <c r="F22" i="1"/>
  <c r="M41" i="1"/>
  <c r="M36" i="1"/>
  <c r="J41" i="1"/>
  <c r="J23" i="1"/>
  <c r="B15" i="1"/>
  <c r="B22" i="1"/>
  <c r="B65" i="42"/>
  <c r="B71" i="42"/>
  <c r="D36" i="19"/>
  <c r="B22" i="42"/>
  <c r="R37" i="42"/>
  <c r="R23" i="42"/>
  <c r="K65" i="42"/>
  <c r="K71" i="42"/>
  <c r="M36" i="19"/>
  <c r="K15" i="1"/>
  <c r="K22" i="1"/>
  <c r="K22" i="42"/>
  <c r="G15" i="1"/>
  <c r="G22" i="1"/>
  <c r="G65" i="42"/>
  <c r="G71" i="42"/>
  <c r="I36" i="19"/>
  <c r="P65" i="42"/>
  <c r="P71" i="42"/>
  <c r="R36" i="19"/>
  <c r="P15" i="1"/>
  <c r="P22" i="1"/>
  <c r="U15" i="1"/>
  <c r="U22" i="1"/>
  <c r="U22" i="42"/>
  <c r="L65" i="42"/>
  <c r="L71" i="42"/>
  <c r="N36" i="19"/>
  <c r="L15" i="1"/>
  <c r="L22" i="1"/>
  <c r="J73" i="20"/>
  <c r="C24" i="1"/>
  <c r="C31" i="1"/>
  <c r="U23" i="42"/>
  <c r="U38" i="42"/>
  <c r="U37" i="42"/>
  <c r="U36" i="42"/>
  <c r="U41" i="42"/>
  <c r="P37" i="1"/>
  <c r="P41" i="1"/>
  <c r="P38" i="1"/>
  <c r="P36" i="1"/>
  <c r="P23" i="1"/>
  <c r="F38" i="1"/>
  <c r="F23" i="1"/>
  <c r="F37" i="1"/>
  <c r="F36" i="1"/>
  <c r="Q48" i="42"/>
  <c r="Q43" i="42"/>
  <c r="X43" i="19"/>
  <c r="X47" i="19"/>
  <c r="X57" i="19"/>
  <c r="Y6" i="21"/>
  <c r="S43" i="19"/>
  <c r="S47" i="19"/>
  <c r="S57" i="19"/>
  <c r="T6" i="21"/>
  <c r="U41" i="1"/>
  <c r="U37" i="1"/>
  <c r="U38" i="1"/>
  <c r="U23" i="1"/>
  <c r="U36" i="1"/>
  <c r="R68" i="19"/>
  <c r="R38" i="19"/>
  <c r="K38" i="1"/>
  <c r="K23" i="1"/>
  <c r="K41" i="1"/>
  <c r="K37" i="1"/>
  <c r="K36" i="1"/>
  <c r="B38" i="42"/>
  <c r="B37" i="42"/>
  <c r="B23" i="42"/>
  <c r="B41" i="42"/>
  <c r="B36" i="42"/>
  <c r="H68" i="19"/>
  <c r="H38" i="19"/>
  <c r="W21" i="20"/>
  <c r="R43" i="1"/>
  <c r="W28" i="29"/>
  <c r="W29" i="29"/>
  <c r="X28" i="29"/>
  <c r="X29" i="29"/>
  <c r="R48" i="1"/>
  <c r="H23" i="42"/>
  <c r="H36" i="42"/>
  <c r="H41" i="42"/>
  <c r="H38" i="42"/>
  <c r="H37" i="42"/>
  <c r="O41" i="1"/>
  <c r="O37" i="1"/>
  <c r="O36" i="1"/>
  <c r="O38" i="1"/>
  <c r="O23" i="1"/>
  <c r="M6" i="21"/>
  <c r="L43" i="19"/>
  <c r="L47" i="19"/>
  <c r="P24" i="42"/>
  <c r="P30" i="42"/>
  <c r="Q43" i="19"/>
  <c r="Q47" i="19"/>
  <c r="Q57" i="19"/>
  <c r="R6" i="21"/>
  <c r="L38" i="1"/>
  <c r="L23" i="1"/>
  <c r="L41" i="1"/>
  <c r="L36" i="1"/>
  <c r="L37" i="1"/>
  <c r="I38" i="19"/>
  <c r="I68" i="19"/>
  <c r="M38" i="19"/>
  <c r="M68" i="19"/>
  <c r="D38" i="19"/>
  <c r="D68" i="19"/>
  <c r="F36" i="42"/>
  <c r="F23" i="42"/>
  <c r="F37" i="42"/>
  <c r="F41" i="42"/>
  <c r="F38" i="42"/>
  <c r="D43" i="42"/>
  <c r="D48" i="42"/>
  <c r="E41" i="1"/>
  <c r="Q24" i="1"/>
  <c r="Q31" i="1"/>
  <c r="P38" i="19"/>
  <c r="P68" i="19"/>
  <c r="T36" i="1"/>
  <c r="T23" i="1"/>
  <c r="T38" i="1"/>
  <c r="T41" i="1"/>
  <c r="T37" i="1"/>
  <c r="J68" i="19"/>
  <c r="J38" i="19"/>
  <c r="E38" i="19"/>
  <c r="E68" i="19"/>
  <c r="Q24" i="42"/>
  <c r="Q30" i="42"/>
  <c r="G43" i="42"/>
  <c r="G48" i="42"/>
  <c r="H41" i="1"/>
  <c r="J49" i="42"/>
  <c r="J44" i="42"/>
  <c r="J31" i="42"/>
  <c r="E24" i="1"/>
  <c r="E31" i="1"/>
  <c r="I37" i="42"/>
  <c r="I41" i="42"/>
  <c r="I23" i="42"/>
  <c r="I38" i="42"/>
  <c r="I36" i="42"/>
  <c r="K38" i="42"/>
  <c r="K41" i="42"/>
  <c r="K36" i="42"/>
  <c r="K23" i="42"/>
  <c r="K37" i="42"/>
  <c r="J31" i="1"/>
  <c r="J24" i="1"/>
  <c r="V37" i="1"/>
  <c r="V41" i="1"/>
  <c r="V38" i="1"/>
  <c r="V36" i="1"/>
  <c r="V23" i="1"/>
  <c r="T41" i="42"/>
  <c r="T36" i="42"/>
  <c r="T37" i="42"/>
  <c r="T23" i="42"/>
  <c r="T38" i="42"/>
  <c r="F38" i="19"/>
  <c r="F68" i="19"/>
  <c r="E30" i="42"/>
  <c r="E24" i="42"/>
  <c r="G24" i="42"/>
  <c r="G30" i="42"/>
  <c r="L30" i="42"/>
  <c r="L24" i="42"/>
  <c r="K68" i="19"/>
  <c r="K38" i="19"/>
  <c r="O36" i="42"/>
  <c r="O23" i="42"/>
  <c r="O38" i="42"/>
  <c r="O37" i="42"/>
  <c r="O41" i="42"/>
  <c r="S28" i="29"/>
  <c r="S29" i="29"/>
  <c r="N48" i="1"/>
  <c r="S21" i="20"/>
  <c r="N43" i="1"/>
  <c r="J48" i="1"/>
  <c r="J43" i="1"/>
  <c r="O21" i="20"/>
  <c r="D30" i="42"/>
  <c r="D24" i="42"/>
  <c r="G43" i="19"/>
  <c r="G47" i="19"/>
  <c r="H6" i="21"/>
  <c r="N38" i="42"/>
  <c r="N36" i="42"/>
  <c r="N37" i="42"/>
  <c r="N23" i="42"/>
  <c r="N41" i="42"/>
  <c r="D38" i="1"/>
  <c r="D23" i="1"/>
  <c r="D37" i="1"/>
  <c r="D36" i="1"/>
  <c r="M30" i="42"/>
  <c r="M24" i="42"/>
  <c r="L43" i="42"/>
  <c r="L48" i="42"/>
  <c r="N24" i="1"/>
  <c r="N31" i="1"/>
  <c r="N68" i="19"/>
  <c r="N38" i="19"/>
  <c r="G37" i="1"/>
  <c r="G38" i="1"/>
  <c r="G23" i="1"/>
  <c r="G36" i="1"/>
  <c r="R30" i="42"/>
  <c r="R24" i="42"/>
  <c r="B37" i="1"/>
  <c r="B38" i="1"/>
  <c r="B36" i="1"/>
  <c r="B23" i="1"/>
  <c r="M48" i="1"/>
  <c r="M49" i="1"/>
  <c r="R21" i="20"/>
  <c r="R28" i="29"/>
  <c r="R29" i="29"/>
  <c r="R30" i="29"/>
  <c r="M43" i="1"/>
  <c r="M44" i="1"/>
  <c r="T43" i="19"/>
  <c r="T47" i="19"/>
  <c r="T57" i="19"/>
  <c r="U6" i="21"/>
  <c r="V23" i="42"/>
  <c r="V36" i="42"/>
  <c r="V38" i="42"/>
  <c r="V37" i="42"/>
  <c r="V41" i="42"/>
  <c r="R24" i="1"/>
  <c r="R31" i="1"/>
  <c r="V38" i="19"/>
  <c r="V68" i="19"/>
  <c r="H23" i="1"/>
  <c r="H38" i="1"/>
  <c r="H37" i="1"/>
  <c r="H36" i="1"/>
  <c r="C37" i="42"/>
  <c r="C23" i="42"/>
  <c r="C36" i="42"/>
  <c r="C41" i="42"/>
  <c r="C38" i="42"/>
  <c r="M48" i="42"/>
  <c r="M43" i="42"/>
  <c r="X25" i="29"/>
  <c r="X21" i="29"/>
  <c r="X22" i="29"/>
  <c r="X30" i="29"/>
  <c r="I38" i="1"/>
  <c r="I23" i="1"/>
  <c r="I36" i="1"/>
  <c r="I37" i="1"/>
  <c r="V6" i="21"/>
  <c r="U43" i="19"/>
  <c r="U47" i="19"/>
  <c r="U57" i="19"/>
  <c r="P48" i="42"/>
  <c r="P43" i="42"/>
  <c r="H12" i="10"/>
  <c r="H15" i="10"/>
  <c r="H19" i="10"/>
  <c r="H12" i="34"/>
  <c r="H15" i="34"/>
  <c r="H19" i="34"/>
  <c r="H12" i="29"/>
  <c r="H15" i="29"/>
  <c r="H19" i="29"/>
  <c r="C32" i="1"/>
  <c r="X55" i="29"/>
  <c r="X32" i="29"/>
  <c r="R55" i="29"/>
  <c r="R32" i="29"/>
  <c r="C48" i="42"/>
  <c r="C43" i="42"/>
  <c r="X41" i="42"/>
  <c r="D41" i="1"/>
  <c r="J28" i="10"/>
  <c r="C30" i="42"/>
  <c r="W23" i="42"/>
  <c r="C24" i="42"/>
  <c r="R44" i="1"/>
  <c r="W12" i="29"/>
  <c r="W15" i="29"/>
  <c r="W19" i="29"/>
  <c r="W12" i="34"/>
  <c r="W15" i="34"/>
  <c r="W19" i="34"/>
  <c r="R49" i="1"/>
  <c r="R32" i="1"/>
  <c r="T61" i="19"/>
  <c r="G24" i="1"/>
  <c r="G31" i="1"/>
  <c r="N30" i="42"/>
  <c r="N24" i="42"/>
  <c r="G22" i="32"/>
  <c r="G40" i="32"/>
  <c r="G58" i="32"/>
  <c r="O30" i="42"/>
  <c r="O24" i="42"/>
  <c r="F43" i="19"/>
  <c r="F47" i="19"/>
  <c r="G6" i="21"/>
  <c r="J32" i="1"/>
  <c r="J44" i="1"/>
  <c r="J49" i="1"/>
  <c r="O12" i="34"/>
  <c r="O15" i="34"/>
  <c r="O19" i="34"/>
  <c r="O12" i="29"/>
  <c r="O15" i="29"/>
  <c r="O19" i="29"/>
  <c r="O12" i="10"/>
  <c r="O15" i="10"/>
  <c r="O19" i="10"/>
  <c r="K48" i="42"/>
  <c r="K43" i="42"/>
  <c r="I24" i="42"/>
  <c r="I30" i="42"/>
  <c r="H48" i="1"/>
  <c r="M21" i="20"/>
  <c r="H43" i="1"/>
  <c r="T31" i="1"/>
  <c r="T24" i="1"/>
  <c r="Q44" i="1"/>
  <c r="V12" i="29"/>
  <c r="V15" i="29"/>
  <c r="V19" i="29"/>
  <c r="Q32" i="1"/>
  <c r="Q49" i="1"/>
  <c r="V12" i="34"/>
  <c r="V15" i="34"/>
  <c r="V19" i="34"/>
  <c r="F24" i="42"/>
  <c r="F30" i="42"/>
  <c r="W20" i="20"/>
  <c r="W17" i="20"/>
  <c r="U14" i="21"/>
  <c r="U12" i="21"/>
  <c r="V14" i="21"/>
  <c r="V12" i="21"/>
  <c r="C41" i="1"/>
  <c r="B41" i="1"/>
  <c r="Y41" i="42"/>
  <c r="Y48" i="42"/>
  <c r="B43" i="42"/>
  <c r="B48" i="42"/>
  <c r="U31" i="1"/>
  <c r="U24" i="1"/>
  <c r="S61" i="19"/>
  <c r="P48" i="1"/>
  <c r="U21" i="20"/>
  <c r="U28" i="29"/>
  <c r="U29" i="29"/>
  <c r="P43" i="1"/>
  <c r="V28" i="29"/>
  <c r="V29" i="29"/>
  <c r="H31" i="1"/>
  <c r="H24" i="1"/>
  <c r="B31" i="1"/>
  <c r="B24" i="1"/>
  <c r="S12" i="34"/>
  <c r="S15" i="34"/>
  <c r="S19" i="34"/>
  <c r="S12" i="29"/>
  <c r="S15" i="29"/>
  <c r="S19" i="29"/>
  <c r="N49" i="1"/>
  <c r="N44" i="1"/>
  <c r="N32" i="1"/>
  <c r="D31" i="1"/>
  <c r="W23" i="1"/>
  <c r="D24" i="1"/>
  <c r="O48" i="42"/>
  <c r="O43" i="42"/>
  <c r="T43" i="42"/>
  <c r="T48" i="42"/>
  <c r="V48" i="1"/>
  <c r="V43" i="1"/>
  <c r="AA21" i="20"/>
  <c r="I48" i="42"/>
  <c r="I43" i="42"/>
  <c r="M43" i="19"/>
  <c r="M47" i="19"/>
  <c r="N6" i="21"/>
  <c r="H43" i="42"/>
  <c r="H48" i="42"/>
  <c r="I41" i="1"/>
  <c r="H43" i="19"/>
  <c r="H47" i="19"/>
  <c r="I6" i="21"/>
  <c r="B24" i="42"/>
  <c r="B30" i="42"/>
  <c r="R43" i="19"/>
  <c r="R47" i="19"/>
  <c r="R57" i="19"/>
  <c r="S6" i="21"/>
  <c r="P24" i="1"/>
  <c r="P31" i="1"/>
  <c r="V43" i="42"/>
  <c r="V48" i="42"/>
  <c r="V24" i="42"/>
  <c r="V30" i="42"/>
  <c r="R44" i="42"/>
  <c r="R49" i="42"/>
  <c r="R31" i="42"/>
  <c r="M44" i="42"/>
  <c r="M31" i="42"/>
  <c r="M49" i="42"/>
  <c r="S20" i="20"/>
  <c r="S17" i="20"/>
  <c r="Q14" i="21"/>
  <c r="Q12" i="21"/>
  <c r="L6" i="21"/>
  <c r="K43" i="19"/>
  <c r="K47" i="19"/>
  <c r="L44" i="42"/>
  <c r="L31" i="42"/>
  <c r="L49" i="42"/>
  <c r="E44" i="42"/>
  <c r="E31" i="42"/>
  <c r="E49" i="42"/>
  <c r="T30" i="42"/>
  <c r="T24" i="42"/>
  <c r="V24" i="1"/>
  <c r="V31" i="1"/>
  <c r="K30" i="42"/>
  <c r="K24" i="42"/>
  <c r="F6" i="21"/>
  <c r="E43" i="19"/>
  <c r="E47" i="19"/>
  <c r="T48" i="1"/>
  <c r="T43" i="1"/>
  <c r="Y21" i="20"/>
  <c r="Y28" i="29"/>
  <c r="Y29" i="29"/>
  <c r="E48" i="1"/>
  <c r="J21" i="20"/>
  <c r="E43" i="1"/>
  <c r="G41" i="1"/>
  <c r="F48" i="42"/>
  <c r="F43" i="42"/>
  <c r="F41" i="1"/>
  <c r="Y68" i="19"/>
  <c r="L43" i="1"/>
  <c r="L48" i="1"/>
  <c r="Q28" i="29"/>
  <c r="Q29" i="29"/>
  <c r="Q21" i="20"/>
  <c r="Q61" i="19"/>
  <c r="K43" i="1"/>
  <c r="P28" i="29"/>
  <c r="P29" i="29"/>
  <c r="P21" i="20"/>
  <c r="P28" i="10"/>
  <c r="P29" i="10"/>
  <c r="K48" i="1"/>
  <c r="X61" i="19"/>
  <c r="U48" i="42"/>
  <c r="U43" i="42"/>
  <c r="U30" i="42"/>
  <c r="U24" i="42"/>
  <c r="U61" i="19"/>
  <c r="I24" i="1"/>
  <c r="I31" i="1"/>
  <c r="V43" i="19"/>
  <c r="V47" i="19"/>
  <c r="V57" i="19"/>
  <c r="W6" i="21"/>
  <c r="R20" i="20"/>
  <c r="R17" i="20"/>
  <c r="O6" i="21"/>
  <c r="N43" i="19"/>
  <c r="N47" i="19"/>
  <c r="N48" i="42"/>
  <c r="N43" i="42"/>
  <c r="D44" i="42"/>
  <c r="D49" i="42"/>
  <c r="D31" i="42"/>
  <c r="G31" i="42"/>
  <c r="G44" i="42"/>
  <c r="G49" i="42"/>
  <c r="F56" i="42"/>
  <c r="J12" i="29"/>
  <c r="J15" i="29"/>
  <c r="J19" i="29"/>
  <c r="E32" i="1"/>
  <c r="J12" i="34"/>
  <c r="J15" i="34"/>
  <c r="J19" i="34"/>
  <c r="J12" i="10"/>
  <c r="J15" i="10"/>
  <c r="J19" i="10"/>
  <c r="E44" i="1"/>
  <c r="E49" i="1"/>
  <c r="Q31" i="42"/>
  <c r="Q44" i="42"/>
  <c r="Q49" i="42"/>
  <c r="J43" i="19"/>
  <c r="J47" i="19"/>
  <c r="K6" i="21"/>
  <c r="P43" i="19"/>
  <c r="P47" i="19"/>
  <c r="Q6" i="21"/>
  <c r="E6" i="21"/>
  <c r="Y38" i="19"/>
  <c r="D43" i="19"/>
  <c r="D47" i="19"/>
  <c r="I43" i="19"/>
  <c r="I47" i="19"/>
  <c r="J6" i="21"/>
  <c r="L24" i="1"/>
  <c r="L31" i="1"/>
  <c r="P44" i="42"/>
  <c r="P49" i="42"/>
  <c r="P31" i="42"/>
  <c r="O31" i="1"/>
  <c r="O24" i="1"/>
  <c r="O48" i="1"/>
  <c r="O43" i="1"/>
  <c r="T21" i="20"/>
  <c r="T28" i="29"/>
  <c r="T29" i="29"/>
  <c r="H24" i="42"/>
  <c r="H30" i="42"/>
  <c r="K24" i="1"/>
  <c r="K31" i="1"/>
  <c r="Z21" i="20"/>
  <c r="U48" i="1"/>
  <c r="U43" i="1"/>
  <c r="F31" i="1"/>
  <c r="F24" i="1"/>
  <c r="H25" i="29"/>
  <c r="H21" i="29"/>
  <c r="H22" i="29"/>
  <c r="P12" i="29"/>
  <c r="P15" i="29"/>
  <c r="P19" i="29"/>
  <c r="P12" i="34"/>
  <c r="P15" i="34"/>
  <c r="P19" i="34"/>
  <c r="K44" i="1"/>
  <c r="K32" i="1"/>
  <c r="P12" i="10"/>
  <c r="P15" i="10"/>
  <c r="P19" i="10"/>
  <c r="K49" i="1"/>
  <c r="J22" i="29"/>
  <c r="J25" i="29"/>
  <c r="J21" i="29"/>
  <c r="I32" i="1"/>
  <c r="N12" i="29"/>
  <c r="N15" i="29"/>
  <c r="N19" i="29"/>
  <c r="N12" i="10"/>
  <c r="N15" i="10"/>
  <c r="N19" i="10"/>
  <c r="N12" i="34"/>
  <c r="N15" i="34"/>
  <c r="N19" i="34"/>
  <c r="H44" i="42"/>
  <c r="H49" i="42"/>
  <c r="H31" i="42"/>
  <c r="J22" i="32"/>
  <c r="O14" i="21"/>
  <c r="G48" i="1"/>
  <c r="G49" i="1"/>
  <c r="F56" i="1"/>
  <c r="L21" i="20"/>
  <c r="L28" i="10"/>
  <c r="L28" i="29"/>
  <c r="L29" i="29"/>
  <c r="G43" i="1"/>
  <c r="G44" i="1"/>
  <c r="V25" i="29"/>
  <c r="V21" i="29"/>
  <c r="V22" i="29"/>
  <c r="V30" i="29"/>
  <c r="I21" i="20"/>
  <c r="H14" i="21"/>
  <c r="I28" i="10"/>
  <c r="D43" i="1"/>
  <c r="D44" i="1"/>
  <c r="I28" i="29"/>
  <c r="I29" i="29"/>
  <c r="D48" i="1"/>
  <c r="K12" i="10"/>
  <c r="K15" i="10"/>
  <c r="K19" i="10"/>
  <c r="F49" i="1"/>
  <c r="K12" i="34"/>
  <c r="K15" i="34"/>
  <c r="K19" i="34"/>
  <c r="F32" i="1"/>
  <c r="K12" i="29"/>
  <c r="K15" i="29"/>
  <c r="K19" i="29"/>
  <c r="X14" i="21"/>
  <c r="X12" i="21"/>
  <c r="Z20" i="20"/>
  <c r="Z17" i="20"/>
  <c r="I22" i="32"/>
  <c r="D22" i="32"/>
  <c r="D40" i="32"/>
  <c r="D58" i="32"/>
  <c r="P14" i="21"/>
  <c r="V61" i="19"/>
  <c r="F48" i="1"/>
  <c r="K28" i="10"/>
  <c r="K21" i="20"/>
  <c r="K28" i="29"/>
  <c r="K29" i="29"/>
  <c r="F43" i="1"/>
  <c r="F44" i="1"/>
  <c r="K31" i="42"/>
  <c r="K49" i="42"/>
  <c r="K44" i="42"/>
  <c r="T44" i="42"/>
  <c r="T31" i="42"/>
  <c r="T49" i="42"/>
  <c r="K22" i="32"/>
  <c r="H22" i="32"/>
  <c r="G12" i="10"/>
  <c r="G12" i="29"/>
  <c r="G12" i="34"/>
  <c r="G15" i="34"/>
  <c r="G19" i="34"/>
  <c r="B32" i="1"/>
  <c r="Y31" i="1"/>
  <c r="B44" i="1"/>
  <c r="U44" i="1"/>
  <c r="U32" i="1"/>
  <c r="U49" i="1"/>
  <c r="Y41" i="1"/>
  <c r="Y48" i="1"/>
  <c r="G28" i="29"/>
  <c r="G29" i="29"/>
  <c r="B43" i="1"/>
  <c r="B48" i="1"/>
  <c r="B49" i="1"/>
  <c r="G21" i="20"/>
  <c r="G28" i="10"/>
  <c r="W31" i="34"/>
  <c r="W28" i="34"/>
  <c r="W29" i="34"/>
  <c r="W31" i="41"/>
  <c r="X31" i="34"/>
  <c r="X28" i="34"/>
  <c r="X29" i="34"/>
  <c r="X31" i="41"/>
  <c r="K14" i="21"/>
  <c r="I31" i="42"/>
  <c r="I49" i="42"/>
  <c r="I44" i="42"/>
  <c r="X48" i="42"/>
  <c r="X43" i="42"/>
  <c r="N14" i="21"/>
  <c r="V49" i="1"/>
  <c r="V44" i="1"/>
  <c r="V32" i="1"/>
  <c r="V44" i="42"/>
  <c r="V31" i="42"/>
  <c r="V49" i="42"/>
  <c r="P32" i="1"/>
  <c r="U12" i="34"/>
  <c r="U15" i="34"/>
  <c r="U19" i="34"/>
  <c r="P44" i="1"/>
  <c r="P49" i="1"/>
  <c r="U12" i="29"/>
  <c r="U15" i="29"/>
  <c r="U19" i="29"/>
  <c r="R61" i="19"/>
  <c r="D32" i="1"/>
  <c r="I12" i="10"/>
  <c r="I15" i="10"/>
  <c r="I19" i="10"/>
  <c r="I12" i="34"/>
  <c r="I15" i="34"/>
  <c r="I19" i="34"/>
  <c r="I12" i="29"/>
  <c r="I15" i="29"/>
  <c r="I19" i="29"/>
  <c r="W31" i="1"/>
  <c r="Z17" i="9"/>
  <c r="X31" i="1"/>
  <c r="D49" i="1"/>
  <c r="S25" i="29"/>
  <c r="S21" i="29"/>
  <c r="S22" i="29"/>
  <c r="S30" i="29"/>
  <c r="H28" i="29"/>
  <c r="H29" i="29"/>
  <c r="H21" i="20"/>
  <c r="H28" i="10"/>
  <c r="X41" i="1"/>
  <c r="C48" i="1"/>
  <c r="C49" i="1"/>
  <c r="C43" i="1"/>
  <c r="C44" i="1"/>
  <c r="M28" i="29"/>
  <c r="M29" i="29"/>
  <c r="O25" i="29"/>
  <c r="O21" i="29"/>
  <c r="O22" i="29"/>
  <c r="O30" i="29"/>
  <c r="O49" i="42"/>
  <c r="O31" i="42"/>
  <c r="O44" i="42"/>
  <c r="N44" i="42"/>
  <c r="N31" i="42"/>
  <c r="N49" i="42"/>
  <c r="W22" i="29"/>
  <c r="W30" i="29"/>
  <c r="W25" i="29"/>
  <c r="W21" i="29"/>
  <c r="X30" i="42"/>
  <c r="C44" i="42"/>
  <c r="W30" i="42"/>
  <c r="C49" i="42"/>
  <c r="C31" i="42"/>
  <c r="R14" i="21"/>
  <c r="R12" i="21"/>
  <c r="T20" i="20"/>
  <c r="T17" i="20"/>
  <c r="O44" i="1"/>
  <c r="O49" i="1"/>
  <c r="T12" i="29"/>
  <c r="T15" i="29"/>
  <c r="T19" i="29"/>
  <c r="T12" i="34"/>
  <c r="T15" i="34"/>
  <c r="T19" i="34"/>
  <c r="O32" i="1"/>
  <c r="L32" i="1"/>
  <c r="L44" i="1"/>
  <c r="Q12" i="34"/>
  <c r="Q15" i="34"/>
  <c r="Q19" i="34"/>
  <c r="L49" i="1"/>
  <c r="Q12" i="29"/>
  <c r="Q15" i="29"/>
  <c r="Q19" i="29"/>
  <c r="U44" i="42"/>
  <c r="U31" i="42"/>
  <c r="U49" i="42"/>
  <c r="J28" i="29"/>
  <c r="J29" i="29"/>
  <c r="Y20" i="20"/>
  <c r="Y17" i="20"/>
  <c r="W14" i="21"/>
  <c r="W12" i="21"/>
  <c r="E22" i="32"/>
  <c r="E40" i="32"/>
  <c r="E58" i="32"/>
  <c r="S31" i="41"/>
  <c r="S28" i="34"/>
  <c r="S29" i="34"/>
  <c r="S31" i="34"/>
  <c r="B44" i="42"/>
  <c r="B49" i="42"/>
  <c r="Y30" i="42"/>
  <c r="Y49" i="42"/>
  <c r="B31" i="42"/>
  <c r="N21" i="20"/>
  <c r="I43" i="1"/>
  <c r="I44" i="1"/>
  <c r="N28" i="29"/>
  <c r="N29" i="29"/>
  <c r="I48" i="1"/>
  <c r="I49" i="1"/>
  <c r="N28" i="10"/>
  <c r="O28" i="10"/>
  <c r="O28" i="29"/>
  <c r="O29" i="29"/>
  <c r="AA20" i="20"/>
  <c r="AA17" i="20"/>
  <c r="Y14" i="21"/>
  <c r="Y12" i="21"/>
  <c r="M12" i="34"/>
  <c r="M15" i="34"/>
  <c r="M19" i="34"/>
  <c r="M12" i="29"/>
  <c r="M15" i="29"/>
  <c r="M19" i="29"/>
  <c r="H32" i="1"/>
  <c r="H49" i="1"/>
  <c r="M12" i="10"/>
  <c r="M15" i="10"/>
  <c r="M19" i="10"/>
  <c r="H44" i="1"/>
  <c r="S14" i="21"/>
  <c r="S12" i="21"/>
  <c r="U20" i="20"/>
  <c r="U17" i="20"/>
  <c r="T14" i="21"/>
  <c r="T12" i="21"/>
  <c r="F31" i="42"/>
  <c r="F49" i="42"/>
  <c r="F44" i="42"/>
  <c r="T44" i="1"/>
  <c r="T32" i="1"/>
  <c r="Y12" i="29"/>
  <c r="Y15" i="29"/>
  <c r="Y19" i="29"/>
  <c r="T49" i="1"/>
  <c r="M28" i="10"/>
  <c r="F22" i="32"/>
  <c r="F40" i="32"/>
  <c r="F58" i="32"/>
  <c r="L12" i="34"/>
  <c r="L15" i="34"/>
  <c r="L19" i="34"/>
  <c r="Z18" i="9"/>
  <c r="G32" i="1"/>
  <c r="L12" i="29"/>
  <c r="L15" i="29"/>
  <c r="L19" i="29"/>
  <c r="L12" i="10"/>
  <c r="L15" i="10"/>
  <c r="L19" i="10"/>
  <c r="H30" i="29"/>
  <c r="S55" i="29"/>
  <c r="S32" i="29"/>
  <c r="O32" i="29"/>
  <c r="O55" i="29"/>
  <c r="Y31" i="34"/>
  <c r="Y28" i="34"/>
  <c r="Y29" i="34"/>
  <c r="Y31" i="41"/>
  <c r="T25" i="29"/>
  <c r="T21" i="29"/>
  <c r="T22" i="29"/>
  <c r="T30" i="29"/>
  <c r="E14" i="21"/>
  <c r="I14" i="21"/>
  <c r="V55" i="29"/>
  <c r="V32" i="29"/>
  <c r="U31" i="41"/>
  <c r="U28" i="34"/>
  <c r="U29" i="34"/>
  <c r="U31" i="34"/>
  <c r="V28" i="34"/>
  <c r="V29" i="34"/>
  <c r="V31" i="41"/>
  <c r="V31" i="34"/>
  <c r="Q25" i="29"/>
  <c r="Q21" i="29"/>
  <c r="Q22" i="29"/>
  <c r="Q30" i="29"/>
  <c r="U25" i="29"/>
  <c r="U21" i="29"/>
  <c r="U22" i="29"/>
  <c r="U30" i="29"/>
  <c r="Y49" i="1"/>
  <c r="G15" i="29"/>
  <c r="G19" i="29"/>
  <c r="D12" i="29"/>
  <c r="K25" i="29"/>
  <c r="K21" i="29"/>
  <c r="K22" i="29"/>
  <c r="K30" i="29"/>
  <c r="P25" i="29"/>
  <c r="P21" i="29"/>
  <c r="P22" i="29"/>
  <c r="P30" i="29"/>
  <c r="L25" i="29"/>
  <c r="L21" i="29"/>
  <c r="L22" i="29"/>
  <c r="L30" i="29"/>
  <c r="Y25" i="29"/>
  <c r="Y21" i="29"/>
  <c r="Y22" i="29"/>
  <c r="Y30" i="29"/>
  <c r="F14" i="21"/>
  <c r="D12" i="10"/>
  <c r="G15" i="10"/>
  <c r="G19" i="10"/>
  <c r="I40" i="32"/>
  <c r="I26" i="32"/>
  <c r="L14" i="21"/>
  <c r="M14" i="21"/>
  <c r="X48" i="1"/>
  <c r="X49" i="1"/>
  <c r="F57" i="1"/>
  <c r="X43" i="1"/>
  <c r="X44" i="1"/>
  <c r="H26" i="32"/>
  <c r="H40" i="32"/>
  <c r="J40" i="32"/>
  <c r="J26" i="32"/>
  <c r="X44" i="42"/>
  <c r="X49" i="42"/>
  <c r="F57" i="42"/>
  <c r="M25" i="29"/>
  <c r="M21" i="29"/>
  <c r="M22" i="29"/>
  <c r="M30" i="29"/>
  <c r="T31" i="34"/>
  <c r="T28" i="34"/>
  <c r="T29" i="34"/>
  <c r="T31" i="41"/>
  <c r="W55" i="29"/>
  <c r="W32" i="29"/>
  <c r="H32" i="29"/>
  <c r="H55" i="29"/>
  <c r="I25" i="29"/>
  <c r="I21" i="29"/>
  <c r="I22" i="29"/>
  <c r="I30" i="29"/>
  <c r="D28" i="10"/>
  <c r="K40" i="32"/>
  <c r="K26" i="32"/>
  <c r="G14" i="21"/>
  <c r="J14" i="21"/>
  <c r="N25" i="29"/>
  <c r="N21" i="29"/>
  <c r="N22" i="29"/>
  <c r="N30" i="29"/>
  <c r="J30" i="29"/>
  <c r="L55" i="29"/>
  <c r="L32" i="29"/>
  <c r="I55" i="29"/>
  <c r="I32" i="29"/>
  <c r="P32" i="29"/>
  <c r="P55" i="29"/>
  <c r="Q32" i="29"/>
  <c r="Q55" i="29"/>
  <c r="M55" i="29"/>
  <c r="M32" i="29"/>
  <c r="U32" i="29"/>
  <c r="U55" i="29"/>
  <c r="X35" i="29"/>
  <c r="Y55" i="29"/>
  <c r="Y32" i="29"/>
  <c r="K55" i="29"/>
  <c r="K32" i="29"/>
  <c r="J32" i="29"/>
  <c r="J55" i="29"/>
  <c r="K58" i="32"/>
  <c r="K62" i="32"/>
  <c r="K44" i="32"/>
  <c r="I44" i="32"/>
  <c r="I58" i="32"/>
  <c r="I62" i="32"/>
  <c r="J44" i="32"/>
  <c r="J58" i="32"/>
  <c r="J62" i="32"/>
  <c r="T32" i="29"/>
  <c r="T55" i="29"/>
  <c r="N55" i="29"/>
  <c r="N32" i="29"/>
  <c r="H44" i="32"/>
  <c r="H58" i="32"/>
  <c r="H62" i="32"/>
  <c r="G25" i="29"/>
  <c r="G21" i="29"/>
  <c r="G22" i="29"/>
  <c r="G30" i="29"/>
  <c r="G55" i="29"/>
  <c r="D37" i="29"/>
  <c r="N39" i="29"/>
  <c r="G32" i="29"/>
  <c r="X37" i="29"/>
  <c r="X36" i="29"/>
  <c r="N38" i="29"/>
  <c r="U33" i="29"/>
  <c r="Q33" i="29"/>
  <c r="M33" i="29"/>
  <c r="N33" i="29"/>
  <c r="R33" i="29"/>
  <c r="H33" i="29"/>
  <c r="I33" i="29"/>
  <c r="P33" i="29"/>
  <c r="Y33" i="29"/>
  <c r="J33" i="29"/>
  <c r="V33" i="29"/>
  <c r="O33" i="29"/>
  <c r="T33" i="29"/>
  <c r="K33" i="29"/>
  <c r="W33" i="29"/>
  <c r="G33" i="29"/>
  <c r="X33" i="29"/>
  <c r="L33" i="29"/>
  <c r="S33" i="29"/>
  <c r="K57" i="29"/>
  <c r="L58" i="29"/>
  <c r="K58" i="29"/>
  <c r="J57" i="29"/>
  <c r="I57" i="29"/>
  <c r="J58" i="29"/>
  <c r="H58" i="29"/>
  <c r="G57" i="29"/>
  <c r="Q58" i="29"/>
  <c r="P57" i="29"/>
  <c r="X58" i="29"/>
  <c r="W57" i="29"/>
  <c r="Y58" i="29"/>
  <c r="D35" i="29"/>
  <c r="N37" i="29"/>
  <c r="X57" i="29"/>
  <c r="Q57" i="29"/>
  <c r="R58" i="29"/>
  <c r="O57" i="29"/>
  <c r="P58" i="29"/>
  <c r="T58" i="29"/>
  <c r="S57" i="29"/>
  <c r="U58" i="29"/>
  <c r="T57" i="29"/>
  <c r="F58" i="29"/>
  <c r="F57" i="29"/>
  <c r="G58" i="29"/>
  <c r="N57" i="29"/>
  <c r="O58" i="29"/>
  <c r="N58" i="29"/>
  <c r="M57" i="29"/>
  <c r="S58" i="29"/>
  <c r="R57" i="29"/>
  <c r="W58" i="29"/>
  <c r="V57" i="29"/>
  <c r="V58" i="29"/>
  <c r="U57" i="29"/>
  <c r="H57" i="29"/>
  <c r="I58" i="29"/>
  <c r="M58" i="29"/>
  <c r="L57" i="29"/>
  <c r="E39" i="29"/>
  <c r="O40" i="29"/>
  <c r="D39" i="29"/>
  <c r="N40" i="29"/>
  <c r="F73" i="20"/>
  <c r="F40" i="26"/>
  <c r="D32" i="26"/>
  <c r="E32" i="26"/>
  <c r="E40" i="26"/>
  <c r="H73" i="20"/>
  <c r="I73" i="20"/>
  <c r="G73" i="20"/>
  <c r="D34" i="26"/>
  <c r="D40" i="26"/>
  <c r="B40" i="26"/>
  <c r="L59" i="19"/>
  <c r="C33" i="42"/>
  <c r="C34" i="1"/>
  <c r="J59" i="19"/>
  <c r="H59" i="19"/>
  <c r="D33" i="42"/>
  <c r="D34" i="1"/>
  <c r="G59" i="19"/>
  <c r="E59" i="19"/>
  <c r="M59" i="19"/>
  <c r="N59" i="19"/>
  <c r="B80" i="5"/>
  <c r="F59" i="19"/>
  <c r="I59" i="19"/>
  <c r="E33" i="42"/>
  <c r="E43" i="20"/>
  <c r="D41" i="26"/>
  <c r="H41" i="26"/>
  <c r="G41" i="26"/>
  <c r="E41" i="26"/>
  <c r="F41" i="26"/>
  <c r="C80" i="5"/>
  <c r="D80" i="5"/>
  <c r="E80" i="5"/>
  <c r="F80" i="5"/>
  <c r="G80" i="5"/>
  <c r="H80" i="5"/>
  <c r="I80" i="5"/>
  <c r="J80" i="5"/>
  <c r="K80" i="5"/>
  <c r="F33" i="42"/>
  <c r="E34" i="1"/>
  <c r="F43" i="20"/>
  <c r="C22" i="21"/>
  <c r="F34" i="1"/>
  <c r="G33" i="42"/>
  <c r="K81" i="5"/>
  <c r="D22" i="21"/>
  <c r="G43" i="20"/>
  <c r="H33" i="42"/>
  <c r="G34" i="1"/>
  <c r="E22" i="21"/>
  <c r="H43" i="20"/>
  <c r="H34" i="1"/>
  <c r="I33" i="42"/>
  <c r="I43" i="20"/>
  <c r="I34" i="1"/>
  <c r="J33" i="42"/>
  <c r="J43" i="20"/>
  <c r="J34" i="1"/>
  <c r="K33" i="42"/>
  <c r="K43" i="20"/>
  <c r="K34" i="1"/>
  <c r="L33" i="42"/>
  <c r="L34" i="1"/>
  <c r="L43" i="20"/>
  <c r="M43" i="20"/>
  <c r="N43" i="20"/>
  <c r="O43" i="20"/>
  <c r="P43" i="20"/>
  <c r="Q43" i="20"/>
  <c r="P33" i="45"/>
  <c r="K44" i="45"/>
  <c r="AA38" i="45"/>
  <c r="C78" i="45"/>
  <c r="D55" i="45"/>
  <c r="G42" i="45"/>
  <c r="AI30" i="45"/>
  <c r="C40" i="45"/>
  <c r="D70" i="45"/>
  <c r="C80" i="45"/>
  <c r="E104" i="45"/>
  <c r="D80" i="45"/>
  <c r="D46" i="45"/>
  <c r="C68" i="45"/>
  <c r="C91" i="45"/>
  <c r="D115" i="45"/>
  <c r="D68" i="45"/>
  <c r="E68" i="45"/>
  <c r="E91" i="45"/>
  <c r="CU20" i="45"/>
  <c r="CU43" i="45"/>
  <c r="AL20" i="45"/>
  <c r="AL43" i="45"/>
  <c r="H20" i="45"/>
  <c r="H43" i="45"/>
  <c r="F20" i="45"/>
  <c r="AA20" i="45"/>
  <c r="AA43" i="45"/>
  <c r="AU20" i="45"/>
  <c r="AU43" i="45"/>
  <c r="BO20" i="45"/>
  <c r="BO43" i="45"/>
  <c r="CJ20" i="45"/>
  <c r="CJ43" i="45"/>
  <c r="DD20" i="45"/>
  <c r="DD43" i="45"/>
  <c r="AT20" i="45"/>
  <c r="AT43" i="45"/>
  <c r="CX20" i="45"/>
  <c r="CX43" i="45"/>
  <c r="CE20" i="45"/>
  <c r="CE43" i="45"/>
  <c r="BE20" i="45"/>
  <c r="BE43" i="45"/>
  <c r="AG20" i="45"/>
  <c r="AG43" i="45"/>
  <c r="C20" i="45"/>
  <c r="C43" i="45"/>
  <c r="C102" i="45"/>
  <c r="D104" i="45"/>
  <c r="C64" i="45"/>
  <c r="C87" i="45"/>
  <c r="E57" i="45"/>
  <c r="E80" i="45"/>
  <c r="F57" i="45"/>
  <c r="D64" i="45"/>
  <c r="C115" i="45"/>
  <c r="F68" i="45"/>
  <c r="C111" i="45"/>
  <c r="C122" i="45"/>
  <c r="O129" i="45"/>
  <c r="AE33" i="45"/>
  <c r="DG10" i="45"/>
  <c r="M42" i="45"/>
  <c r="CF31" i="45"/>
  <c r="BE44" i="45"/>
  <c r="DG21" i="45"/>
  <c r="CH35" i="45"/>
  <c r="DG12" i="45"/>
  <c r="C88" i="45"/>
  <c r="C112" i="45"/>
  <c r="C101" i="45"/>
  <c r="DG11" i="45"/>
  <c r="C37" i="45"/>
  <c r="C61" i="45"/>
  <c r="D61" i="45"/>
  <c r="E61" i="45"/>
  <c r="F61" i="45"/>
  <c r="DG14" i="45"/>
  <c r="DG16" i="45"/>
  <c r="C32" i="45"/>
  <c r="G17" i="45"/>
  <c r="G40" i="45"/>
  <c r="CC7" i="45"/>
  <c r="CC30" i="45"/>
  <c r="E7" i="45"/>
  <c r="BM7" i="45"/>
  <c r="BM30" i="45"/>
  <c r="Q7" i="45"/>
  <c r="Q30" i="45"/>
  <c r="BN7" i="45"/>
  <c r="BN30" i="45"/>
  <c r="BJ7" i="45"/>
  <c r="BJ30" i="45"/>
  <c r="CK7" i="45"/>
  <c r="CK30" i="45"/>
  <c r="BF7" i="45"/>
  <c r="BF30" i="45"/>
  <c r="Z7" i="45"/>
  <c r="Z30" i="45"/>
  <c r="M7" i="45"/>
  <c r="M30" i="45"/>
  <c r="CT7" i="45"/>
  <c r="CT30" i="45"/>
  <c r="BA7" i="45"/>
  <c r="BA30" i="45"/>
  <c r="AX7" i="45"/>
  <c r="AX30" i="45"/>
  <c r="CG7" i="45"/>
  <c r="CG30" i="45"/>
  <c r="CY7" i="45"/>
  <c r="CY30" i="45"/>
  <c r="BH7" i="45"/>
  <c r="BH30" i="45"/>
  <c r="AS17" i="45"/>
  <c r="AS40" i="45"/>
  <c r="V17" i="45"/>
  <c r="V40" i="45"/>
  <c r="BN17" i="45"/>
  <c r="BN40" i="45"/>
  <c r="O17" i="45"/>
  <c r="O40" i="45"/>
  <c r="DC17" i="45"/>
  <c r="DC40" i="45"/>
  <c r="BV17" i="45"/>
  <c r="BV40" i="45"/>
  <c r="W17" i="45"/>
  <c r="W40" i="45"/>
  <c r="CI11" i="45"/>
  <c r="CI34" i="45"/>
  <c r="E30" i="45"/>
  <c r="C56" i="45"/>
  <c r="C79" i="45"/>
  <c r="C103" i="45"/>
  <c r="DG37" i="45"/>
  <c r="D88" i="45"/>
  <c r="C67" i="45"/>
  <c r="C90" i="45"/>
  <c r="D56" i="45"/>
  <c r="E56" i="45"/>
  <c r="D67" i="45"/>
  <c r="E67" i="45"/>
  <c r="E88" i="45"/>
  <c r="C84" i="45"/>
  <c r="D79" i="45"/>
  <c r="E112" i="45"/>
  <c r="D90" i="45"/>
  <c r="E84" i="45"/>
  <c r="V55" i="41"/>
  <c r="V32" i="41"/>
  <c r="CG13" i="45"/>
  <c r="CG36" i="45"/>
  <c r="P13" i="45"/>
  <c r="P36" i="45"/>
  <c r="AG13" i="45"/>
  <c r="AG36" i="45"/>
  <c r="AD13" i="45"/>
  <c r="AD36" i="45"/>
  <c r="CC13" i="45"/>
  <c r="CC36" i="45"/>
  <c r="BO13" i="45"/>
  <c r="BO36" i="45"/>
  <c r="H13" i="45"/>
  <c r="H36" i="45"/>
  <c r="E13" i="45"/>
  <c r="E36" i="45"/>
  <c r="AC13" i="45"/>
  <c r="AC36" i="45"/>
  <c r="AZ13" i="45"/>
  <c r="AZ36" i="45"/>
  <c r="AK13" i="45"/>
  <c r="AK36" i="45"/>
  <c r="Z13" i="45"/>
  <c r="Z36" i="45"/>
  <c r="BP13" i="45"/>
  <c r="BP36" i="45"/>
  <c r="CS13" i="45"/>
  <c r="CS36" i="45"/>
  <c r="BW13" i="45"/>
  <c r="BW36" i="45"/>
  <c r="CO13" i="45"/>
  <c r="CO36" i="45"/>
  <c r="BE13" i="45"/>
  <c r="BE36" i="45"/>
  <c r="CW13" i="45"/>
  <c r="CW36" i="45"/>
  <c r="CQ13" i="45"/>
  <c r="CQ36" i="45"/>
  <c r="BZ13" i="45"/>
  <c r="BZ36" i="45"/>
  <c r="AE13" i="45"/>
  <c r="AE36" i="45"/>
  <c r="CJ13" i="45"/>
  <c r="CJ36" i="45"/>
  <c r="AI13" i="45"/>
  <c r="AI36" i="45"/>
  <c r="BK13" i="45"/>
  <c r="BK36" i="45"/>
  <c r="CV13" i="45"/>
  <c r="CV36" i="45"/>
  <c r="BI13" i="45"/>
  <c r="BI36" i="45"/>
  <c r="AX13" i="45"/>
  <c r="AX36" i="45"/>
  <c r="DE13" i="45"/>
  <c r="DE36" i="45"/>
  <c r="S13" i="45"/>
  <c r="S36" i="45"/>
  <c r="AF13" i="45"/>
  <c r="AF36" i="45"/>
  <c r="K13" i="45"/>
  <c r="K36" i="45"/>
  <c r="J13" i="45"/>
  <c r="J36" i="45"/>
  <c r="AS13" i="45"/>
  <c r="AS36" i="45"/>
  <c r="AM13" i="45"/>
  <c r="AM36" i="45"/>
  <c r="CT13" i="45"/>
  <c r="CT36" i="45"/>
  <c r="N13" i="45"/>
  <c r="N36" i="45"/>
  <c r="BT13" i="45"/>
  <c r="BT36" i="45"/>
  <c r="BV13" i="45"/>
  <c r="BV36" i="45"/>
  <c r="DF13" i="45"/>
  <c r="DF36" i="45"/>
  <c r="BC13" i="45"/>
  <c r="BC36" i="45"/>
  <c r="CU13" i="45"/>
  <c r="CU36" i="45"/>
  <c r="DB13" i="45"/>
  <c r="DB36" i="45"/>
  <c r="BM13" i="45"/>
  <c r="BM36" i="45"/>
  <c r="BD13" i="45"/>
  <c r="BD36" i="45"/>
  <c r="AN13" i="45"/>
  <c r="AN36" i="45"/>
  <c r="X13" i="45"/>
  <c r="X36" i="45"/>
  <c r="CM13" i="45"/>
  <c r="CM36" i="45"/>
  <c r="DA13" i="45"/>
  <c r="DA36" i="45"/>
  <c r="L13" i="45"/>
  <c r="L36" i="45"/>
  <c r="BB13" i="45"/>
  <c r="BB36" i="45"/>
  <c r="CA13" i="45"/>
  <c r="CA36" i="45"/>
  <c r="BU13" i="45"/>
  <c r="BU36" i="45"/>
  <c r="AP13" i="45"/>
  <c r="AP36" i="45"/>
  <c r="BL13" i="45"/>
  <c r="BL36" i="45"/>
  <c r="AW13" i="45"/>
  <c r="AW36" i="45"/>
  <c r="CK13" i="45"/>
  <c r="CK36" i="45"/>
  <c r="CP13" i="45"/>
  <c r="CP36" i="45"/>
  <c r="AU13" i="45"/>
  <c r="AU36" i="45"/>
  <c r="CN13" i="45"/>
  <c r="CN36" i="45"/>
  <c r="BF13" i="45"/>
  <c r="BF36" i="45"/>
  <c r="T13" i="45"/>
  <c r="T36" i="45"/>
  <c r="BG13" i="45"/>
  <c r="BG36" i="45"/>
  <c r="O13" i="45"/>
  <c r="O36" i="45"/>
  <c r="CY13" i="45"/>
  <c r="CY36" i="45"/>
  <c r="CX13" i="45"/>
  <c r="CX36" i="45"/>
  <c r="BA13" i="45"/>
  <c r="BA36" i="45"/>
  <c r="BX13" i="45"/>
  <c r="BX36" i="45"/>
  <c r="AV13" i="45"/>
  <c r="AV36" i="45"/>
  <c r="Q13" i="45"/>
  <c r="Q36" i="45"/>
  <c r="D13" i="45"/>
  <c r="D36" i="45"/>
  <c r="CD13" i="45"/>
  <c r="CD36" i="45"/>
  <c r="AQ13" i="45"/>
  <c r="AQ36" i="45"/>
  <c r="AO13" i="45"/>
  <c r="AO36" i="45"/>
  <c r="CZ13" i="45"/>
  <c r="CZ36" i="45"/>
  <c r="Y13" i="45"/>
  <c r="Y36" i="45"/>
  <c r="CR13" i="45"/>
  <c r="CR36" i="45"/>
  <c r="BQ13" i="45"/>
  <c r="BQ36" i="45"/>
  <c r="BY13" i="45"/>
  <c r="BY36" i="45"/>
  <c r="AT13" i="45"/>
  <c r="AT36" i="45"/>
  <c r="R13" i="45"/>
  <c r="R36" i="45"/>
  <c r="AY13" i="45"/>
  <c r="AY36" i="45"/>
  <c r="CF13" i="45"/>
  <c r="CF36" i="45"/>
  <c r="BH13" i="45"/>
  <c r="BH36" i="45"/>
  <c r="U13" i="45"/>
  <c r="U36" i="45"/>
  <c r="BS13" i="45"/>
  <c r="BS36" i="45"/>
  <c r="DC13" i="45"/>
  <c r="DC36" i="45"/>
  <c r="CI13" i="45"/>
  <c r="CI36" i="45"/>
  <c r="F13" i="45"/>
  <c r="F36" i="45"/>
  <c r="AA13" i="45"/>
  <c r="AA36" i="45"/>
  <c r="G13" i="45"/>
  <c r="G36" i="45"/>
  <c r="AR13" i="45"/>
  <c r="AR36" i="45"/>
  <c r="DD13" i="45"/>
  <c r="DD36" i="45"/>
  <c r="BJ13" i="45"/>
  <c r="BJ36" i="45"/>
  <c r="A36" i="45"/>
  <c r="A60" i="45"/>
  <c r="A83" i="45"/>
  <c r="A107" i="45"/>
  <c r="CH13" i="45"/>
  <c r="CH36" i="45"/>
  <c r="I13" i="45"/>
  <c r="I36" i="45"/>
  <c r="V13" i="45"/>
  <c r="V36" i="45"/>
  <c r="BN13" i="45"/>
  <c r="BN36" i="45"/>
  <c r="M13" i="45"/>
  <c r="M36" i="45"/>
  <c r="CL13" i="45"/>
  <c r="CL36" i="45"/>
  <c r="AL13" i="45"/>
  <c r="AL36" i="45"/>
  <c r="BR13" i="45"/>
  <c r="BR36" i="45"/>
  <c r="CB13" i="45"/>
  <c r="CB36" i="45"/>
  <c r="C13" i="45"/>
  <c r="AB13" i="45"/>
  <c r="AB36" i="45"/>
  <c r="AH13" i="45"/>
  <c r="AH36" i="45"/>
  <c r="W13" i="45"/>
  <c r="W36" i="45"/>
  <c r="CE13" i="45"/>
  <c r="CE36" i="45"/>
  <c r="AJ13" i="45"/>
  <c r="AJ36" i="45"/>
  <c r="X55" i="41"/>
  <c r="X32" i="41"/>
  <c r="AZ6" i="45"/>
  <c r="AZ29" i="45"/>
  <c r="AZ47" i="45"/>
  <c r="BN6" i="45"/>
  <c r="BN29" i="45"/>
  <c r="BN47" i="45"/>
  <c r="CE6" i="45"/>
  <c r="CE29" i="45"/>
  <c r="CE47" i="45"/>
  <c r="BF6" i="45"/>
  <c r="BF29" i="45"/>
  <c r="BG6" i="45"/>
  <c r="BG29" i="45"/>
  <c r="BG47" i="45"/>
  <c r="BV6" i="45"/>
  <c r="BV29" i="45"/>
  <c r="BV47" i="45"/>
  <c r="DA6" i="45"/>
  <c r="DA29" i="45"/>
  <c r="DA47" i="45"/>
  <c r="K6" i="45"/>
  <c r="K29" i="45"/>
  <c r="K47" i="45"/>
  <c r="Z6" i="45"/>
  <c r="Z29" i="45"/>
  <c r="AG6" i="45"/>
  <c r="AG29" i="45"/>
  <c r="AG47" i="45"/>
  <c r="AO6" i="45"/>
  <c r="AO29" i="45"/>
  <c r="X6" i="45"/>
  <c r="X29" i="45"/>
  <c r="X47" i="45"/>
  <c r="AX6" i="45"/>
  <c r="AX29" i="45"/>
  <c r="AX47" i="45"/>
  <c r="CH6" i="45"/>
  <c r="CH29" i="45"/>
  <c r="CH47" i="45"/>
  <c r="BC6" i="45"/>
  <c r="BC29" i="45"/>
  <c r="BC47" i="45"/>
  <c r="J6" i="45"/>
  <c r="J29" i="45"/>
  <c r="CJ6" i="45"/>
  <c r="CJ29" i="45"/>
  <c r="CJ47" i="45"/>
  <c r="BY6" i="45"/>
  <c r="BY29" i="45"/>
  <c r="BY47" i="45"/>
  <c r="CY6" i="45"/>
  <c r="CY29" i="45"/>
  <c r="CY47" i="45"/>
  <c r="CR6" i="45"/>
  <c r="CR29" i="45"/>
  <c r="M6" i="45"/>
  <c r="M29" i="45"/>
  <c r="M47" i="45"/>
  <c r="T6" i="45"/>
  <c r="T29" i="45"/>
  <c r="CB6" i="45"/>
  <c r="CB29" i="45"/>
  <c r="CB47" i="45"/>
  <c r="AA6" i="45"/>
  <c r="AA29" i="45"/>
  <c r="AA47" i="45"/>
  <c r="AV6" i="45"/>
  <c r="AV29" i="45"/>
  <c r="D6" i="45"/>
  <c r="D29" i="45"/>
  <c r="D47" i="45"/>
  <c r="AR6" i="45"/>
  <c r="AR29" i="45"/>
  <c r="AR47" i="45"/>
  <c r="DD6" i="45"/>
  <c r="DD29" i="45"/>
  <c r="BJ6" i="45"/>
  <c r="BJ29" i="45"/>
  <c r="BJ47" i="45"/>
  <c r="BD6" i="45"/>
  <c r="BD29" i="45"/>
  <c r="BT6" i="45"/>
  <c r="BT29" i="45"/>
  <c r="BT47" i="45"/>
  <c r="AT6" i="45"/>
  <c r="AT29" i="45"/>
  <c r="AT47" i="45"/>
  <c r="C6" i="45"/>
  <c r="AE6" i="45"/>
  <c r="AE29" i="45"/>
  <c r="AE47" i="45"/>
  <c r="CK6" i="45"/>
  <c r="CK29" i="45"/>
  <c r="CK47" i="45"/>
  <c r="O6" i="45"/>
  <c r="O29" i="45"/>
  <c r="R6" i="45"/>
  <c r="R29" i="45"/>
  <c r="A29" i="45"/>
  <c r="A53" i="45"/>
  <c r="A76" i="45"/>
  <c r="A100" i="45"/>
  <c r="CN6" i="45"/>
  <c r="CN29" i="45"/>
  <c r="CN47" i="45"/>
  <c r="AP6" i="45"/>
  <c r="AP29" i="45"/>
  <c r="AP47" i="45"/>
  <c r="L6" i="45"/>
  <c r="L29" i="45"/>
  <c r="L47" i="45"/>
  <c r="BW6" i="45"/>
  <c r="BW29" i="45"/>
  <c r="BW47" i="45"/>
  <c r="CT6" i="45"/>
  <c r="CT29" i="45"/>
  <c r="CT47" i="45"/>
  <c r="BE6" i="45"/>
  <c r="BE29" i="45"/>
  <c r="BE47" i="45"/>
  <c r="AD6" i="45"/>
  <c r="AD29" i="45"/>
  <c r="BI6" i="45"/>
  <c r="BI29" i="45"/>
  <c r="BI47" i="45"/>
  <c r="W6" i="45"/>
  <c r="W29" i="45"/>
  <c r="W47" i="45"/>
  <c r="AW6" i="45"/>
  <c r="AW29" i="45"/>
  <c r="AW47" i="45"/>
  <c r="P6" i="45"/>
  <c r="P29" i="45"/>
  <c r="P47" i="45"/>
  <c r="CU6" i="45"/>
  <c r="CU29" i="45"/>
  <c r="CU47" i="45"/>
  <c r="AC6" i="45"/>
  <c r="AC29" i="45"/>
  <c r="AC47" i="45"/>
  <c r="CF6" i="45"/>
  <c r="CF29" i="45"/>
  <c r="CF47" i="45"/>
  <c r="Q6" i="45"/>
  <c r="Q29" i="45"/>
  <c r="Q47" i="45"/>
  <c r="BZ6" i="45"/>
  <c r="BZ29" i="45"/>
  <c r="BP6" i="45"/>
  <c r="BP29" i="45"/>
  <c r="BP47" i="45"/>
  <c r="BX6" i="45"/>
  <c r="BX29" i="45"/>
  <c r="BX47" i="45"/>
  <c r="N6" i="45"/>
  <c r="N29" i="45"/>
  <c r="CW6" i="45"/>
  <c r="CW29" i="45"/>
  <c r="CW47" i="45"/>
  <c r="BM6" i="45"/>
  <c r="BM29" i="45"/>
  <c r="BM47" i="45"/>
  <c r="BQ6" i="45"/>
  <c r="BQ29" i="45"/>
  <c r="BQ47" i="45"/>
  <c r="AK6" i="45"/>
  <c r="AK29" i="45"/>
  <c r="AK47" i="45"/>
  <c r="CG6" i="45"/>
  <c r="CG29" i="45"/>
  <c r="CG47" i="45"/>
  <c r="AN6" i="45"/>
  <c r="AN29" i="45"/>
  <c r="AN47" i="45"/>
  <c r="AY6" i="45"/>
  <c r="AY29" i="45"/>
  <c r="AY47" i="45"/>
  <c r="AU6" i="45"/>
  <c r="AU29" i="45"/>
  <c r="AU47" i="45"/>
  <c r="BL6" i="45"/>
  <c r="BL29" i="45"/>
  <c r="BL47" i="45"/>
  <c r="CV6" i="45"/>
  <c r="CV29" i="45"/>
  <c r="CV47" i="45"/>
  <c r="CP6" i="45"/>
  <c r="CP29" i="45"/>
  <c r="CP47" i="45"/>
  <c r="CC6" i="45"/>
  <c r="CC29" i="45"/>
  <c r="CC47" i="45"/>
  <c r="BB6" i="45"/>
  <c r="BB29" i="45"/>
  <c r="BB47" i="45"/>
  <c r="DF6" i="45"/>
  <c r="DF29" i="45"/>
  <c r="DF47" i="45"/>
  <c r="CI6" i="45"/>
  <c r="CI29" i="45"/>
  <c r="CI47" i="45"/>
  <c r="DE6" i="45"/>
  <c r="DE29" i="45"/>
  <c r="I6" i="45"/>
  <c r="I29" i="45"/>
  <c r="AL6" i="45"/>
  <c r="AL29" i="45"/>
  <c r="AL47" i="45"/>
  <c r="CX6" i="45"/>
  <c r="CX29" i="45"/>
  <c r="CX47" i="45"/>
  <c r="AB6" i="45"/>
  <c r="AB29" i="45"/>
  <c r="AB47" i="45"/>
  <c r="CZ6" i="45"/>
  <c r="CZ29" i="45"/>
  <c r="CZ47" i="45"/>
  <c r="BO6" i="45"/>
  <c r="BO29" i="45"/>
  <c r="BO47" i="45"/>
  <c r="CS6" i="45"/>
  <c r="CS29" i="45"/>
  <c r="CS47" i="45"/>
  <c r="H6" i="45"/>
  <c r="H29" i="45"/>
  <c r="CD6" i="45"/>
  <c r="CD29" i="45"/>
  <c r="CD47" i="45"/>
  <c r="AM6" i="45"/>
  <c r="AM29" i="45"/>
  <c r="AM47" i="45"/>
  <c r="AH6" i="45"/>
  <c r="AH29" i="45"/>
  <c r="AH47" i="45"/>
  <c r="CQ6" i="45"/>
  <c r="CQ29" i="45"/>
  <c r="CQ47" i="45"/>
  <c r="AJ6" i="45"/>
  <c r="AJ29" i="45"/>
  <c r="AJ47" i="45"/>
  <c r="F6" i="45"/>
  <c r="F29" i="45"/>
  <c r="F47" i="45"/>
  <c r="BR6" i="45"/>
  <c r="BR29" i="45"/>
  <c r="BR47" i="45"/>
  <c r="AQ6" i="45"/>
  <c r="AQ29" i="45"/>
  <c r="Y6" i="45"/>
  <c r="Y29" i="45"/>
  <c r="Y47" i="45"/>
  <c r="E6" i="45"/>
  <c r="E29" i="45"/>
  <c r="E47" i="45"/>
  <c r="DB6" i="45"/>
  <c r="DB29" i="45"/>
  <c r="DB47" i="45"/>
  <c r="CM6" i="45"/>
  <c r="CM29" i="45"/>
  <c r="CM47" i="45"/>
  <c r="DC6" i="45"/>
  <c r="DC29" i="45"/>
  <c r="DC47" i="45"/>
  <c r="BA6" i="45"/>
  <c r="BA29" i="45"/>
  <c r="BA47" i="45"/>
  <c r="CO6" i="45"/>
  <c r="CO29" i="45"/>
  <c r="V6" i="45"/>
  <c r="V29" i="45"/>
  <c r="V47" i="45"/>
  <c r="BH6" i="45"/>
  <c r="BH29" i="45"/>
  <c r="BH47" i="45"/>
  <c r="G6" i="45"/>
  <c r="G29" i="45"/>
  <c r="G47" i="45"/>
  <c r="BK6" i="45"/>
  <c r="BK29" i="45"/>
  <c r="AI6" i="45"/>
  <c r="AI29" i="45"/>
  <c r="AI47" i="45"/>
  <c r="CL6" i="45"/>
  <c r="CL29" i="45"/>
  <c r="BS6" i="45"/>
  <c r="BS29" i="45"/>
  <c r="BS47" i="45"/>
  <c r="BU6" i="45"/>
  <c r="BU29" i="45"/>
  <c r="U6" i="45"/>
  <c r="U29" i="45"/>
  <c r="CA6" i="45"/>
  <c r="CA29" i="45"/>
  <c r="AF6" i="45"/>
  <c r="AF29" i="45"/>
  <c r="AF47" i="45"/>
  <c r="S6" i="45"/>
  <c r="S29" i="45"/>
  <c r="S47" i="45"/>
  <c r="AS6" i="45"/>
  <c r="AS29" i="45"/>
  <c r="AS47" i="45"/>
  <c r="EF129" i="45"/>
  <c r="EP129" i="45"/>
  <c r="EV128" i="45"/>
  <c r="EV132" i="45"/>
  <c r="EV154" i="45"/>
  <c r="EC129" i="45"/>
  <c r="ES129" i="45"/>
  <c r="EA128" i="45"/>
  <c r="EA132" i="45"/>
  <c r="EA154" i="45"/>
  <c r="EH129" i="45"/>
  <c r="EN129" i="45"/>
  <c r="EF128" i="45"/>
  <c r="EF132" i="45"/>
  <c r="EF154" i="45"/>
  <c r="M129" i="45"/>
  <c r="EP128" i="45"/>
  <c r="EP132" i="45"/>
  <c r="EP154" i="45"/>
  <c r="DZ128" i="45"/>
  <c r="DZ132" i="45"/>
  <c r="DZ154" i="45"/>
  <c r="K128" i="45"/>
  <c r="K132" i="45"/>
  <c r="K154" i="45"/>
  <c r="DW129" i="45"/>
  <c r="M128" i="45"/>
  <c r="M132" i="45"/>
  <c r="M154" i="45"/>
  <c r="DX128" i="45"/>
  <c r="DX132" i="45"/>
  <c r="DX154" i="45"/>
  <c r="DX129" i="45"/>
  <c r="EO129" i="45"/>
  <c r="L128" i="45"/>
  <c r="L132" i="45"/>
  <c r="DU129" i="45"/>
  <c r="ED128" i="45"/>
  <c r="ED132" i="45"/>
  <c r="ED154" i="45"/>
  <c r="ED129" i="45"/>
  <c r="DU128" i="45"/>
  <c r="DU132" i="45"/>
  <c r="DU154" i="45"/>
  <c r="EQ128" i="45"/>
  <c r="D128" i="45"/>
  <c r="D132" i="45"/>
  <c r="D154" i="45"/>
  <c r="C128" i="45"/>
  <c r="DV128" i="45"/>
  <c r="DV132" i="45"/>
  <c r="F128" i="45"/>
  <c r="F132" i="45"/>
  <c r="K129" i="45"/>
  <c r="DY128" i="45"/>
  <c r="DY132" i="45"/>
  <c r="DW128" i="45"/>
  <c r="DW132" i="45"/>
  <c r="DW154" i="45"/>
  <c r="I129" i="45"/>
  <c r="EJ129" i="45"/>
  <c r="EE129" i="45"/>
  <c r="EG128" i="45"/>
  <c r="EG132" i="45"/>
  <c r="EG154" i="45"/>
  <c r="EK129" i="45"/>
  <c r="EL129" i="45"/>
  <c r="E128" i="45"/>
  <c r="E132" i="45"/>
  <c r="E154" i="45"/>
  <c r="ET128" i="45"/>
  <c r="ET132" i="45"/>
  <c r="EO128" i="45"/>
  <c r="EO132" i="45"/>
  <c r="EO154" i="45"/>
  <c r="J128" i="45"/>
  <c r="J132" i="45"/>
  <c r="J154" i="45"/>
  <c r="ER129" i="45"/>
  <c r="I128" i="45"/>
  <c r="I132" i="45"/>
  <c r="EM129" i="45"/>
  <c r="E129" i="45"/>
  <c r="G129" i="45"/>
  <c r="EB129" i="45"/>
  <c r="EB128" i="45"/>
  <c r="EB132" i="45"/>
  <c r="G128" i="45"/>
  <c r="G132" i="45"/>
  <c r="G154" i="45"/>
  <c r="EG129" i="45"/>
  <c r="EK128" i="45"/>
  <c r="EK132" i="45"/>
  <c r="Y55" i="41"/>
  <c r="Y32" i="41"/>
  <c r="W32" i="41"/>
  <c r="W55" i="41"/>
  <c r="CA45" i="45"/>
  <c r="DG22" i="45"/>
  <c r="E90" i="45"/>
  <c r="DG30" i="45"/>
  <c r="D102" i="45"/>
  <c r="AO40" i="45"/>
  <c r="DG17" i="45"/>
  <c r="F41" i="45"/>
  <c r="DG41" i="45"/>
  <c r="DG18" i="45"/>
  <c r="DG43" i="45"/>
  <c r="O32" i="45"/>
  <c r="DG32" i="45"/>
  <c r="DG9" i="45"/>
  <c r="DG39" i="45"/>
  <c r="T42" i="45"/>
  <c r="DG19" i="45"/>
  <c r="D114" i="45"/>
  <c r="C114" i="45"/>
  <c r="F80" i="45"/>
  <c r="G57" i="45"/>
  <c r="D93" i="45"/>
  <c r="E70" i="45"/>
  <c r="DG45" i="45"/>
  <c r="C69" i="45"/>
  <c r="D66" i="45"/>
  <c r="G61" i="45"/>
  <c r="F84" i="45"/>
  <c r="F91" i="45"/>
  <c r="G68" i="45"/>
  <c r="F43" i="45"/>
  <c r="F67" i="45"/>
  <c r="DG20" i="45"/>
  <c r="C117" i="45"/>
  <c r="C113" i="45"/>
  <c r="E54" i="45"/>
  <c r="DG7" i="45"/>
  <c r="D91" i="45"/>
  <c r="DG46" i="45"/>
  <c r="DG40" i="45"/>
  <c r="DG23" i="45"/>
  <c r="H46" i="45"/>
  <c r="DG15" i="45"/>
  <c r="C38" i="45"/>
  <c r="C108" i="45"/>
  <c r="D78" i="45"/>
  <c r="E55" i="45"/>
  <c r="DG44" i="45"/>
  <c r="D84" i="45"/>
  <c r="E108" i="45"/>
  <c r="F56" i="45"/>
  <c r="E79" i="45"/>
  <c r="D112" i="45"/>
  <c r="D103" i="45"/>
  <c r="D87" i="45"/>
  <c r="D111" i="45"/>
  <c r="D122" i="45"/>
  <c r="P129" i="45"/>
  <c r="E64" i="45"/>
  <c r="C104" i="45"/>
  <c r="F65" i="45"/>
  <c r="D101" i="45"/>
  <c r="L129" i="45"/>
  <c r="EJ128" i="45"/>
  <c r="EJ132" i="45"/>
  <c r="EJ154" i="45"/>
  <c r="N129" i="45"/>
  <c r="EU128" i="45"/>
  <c r="EU132" i="45"/>
  <c r="EU154" i="45"/>
  <c r="EA129" i="45"/>
  <c r="H129" i="45"/>
  <c r="F129" i="45"/>
  <c r="EH128" i="45"/>
  <c r="EH132" i="45"/>
  <c r="EU129" i="45"/>
  <c r="DZ129" i="45"/>
  <c r="EE128" i="45"/>
  <c r="EQ129" i="45"/>
  <c r="EC128" i="45"/>
  <c r="EC132" i="45"/>
  <c r="EC154" i="45"/>
  <c r="EI128" i="45"/>
  <c r="EI132" i="45"/>
  <c r="EI154" i="45"/>
  <c r="DS128" i="45"/>
  <c r="DT128" i="45"/>
  <c r="DT132" i="45"/>
  <c r="DT154" i="45"/>
  <c r="H128" i="45"/>
  <c r="H132" i="45"/>
  <c r="H154" i="45"/>
  <c r="D129" i="45"/>
  <c r="DT129" i="45"/>
  <c r="DY129" i="45"/>
  <c r="DS129" i="45"/>
  <c r="EV129" i="45"/>
  <c r="EL128" i="45"/>
  <c r="EL132" i="45"/>
  <c r="EL154" i="45"/>
  <c r="DV129" i="45"/>
  <c r="EN128" i="45"/>
  <c r="EN132" i="45"/>
  <c r="EI129" i="45"/>
  <c r="J129" i="45"/>
  <c r="ER128" i="45"/>
  <c r="ER132" i="45"/>
  <c r="ER154" i="45"/>
  <c r="C129" i="45"/>
  <c r="ES128" i="45"/>
  <c r="ES132" i="45"/>
  <c r="ES154" i="45"/>
  <c r="EM128" i="45"/>
  <c r="EM132" i="45"/>
  <c r="EM154" i="45"/>
  <c r="ET129" i="45"/>
  <c r="N128" i="45"/>
  <c r="N132" i="45"/>
  <c r="N154" i="45"/>
  <c r="C105" i="45"/>
  <c r="C59" i="45"/>
  <c r="DG35" i="45"/>
  <c r="DG34" i="45"/>
  <c r="D58" i="45"/>
  <c r="C86" i="45"/>
  <c r="D63" i="45"/>
  <c r="E31" i="45"/>
  <c r="DG31" i="45"/>
  <c r="DG8" i="45"/>
  <c r="DG42" i="45"/>
  <c r="F90" i="45"/>
  <c r="G67" i="45"/>
  <c r="F114" i="45"/>
  <c r="E63" i="45"/>
  <c r="D86" i="45"/>
  <c r="C82" i="45"/>
  <c r="D59" i="45"/>
  <c r="E26" i="41"/>
  <c r="E26" i="39"/>
  <c r="DS132" i="45"/>
  <c r="DS138" i="45"/>
  <c r="M142" i="45"/>
  <c r="M140" i="6"/>
  <c r="DV154" i="45"/>
  <c r="DV134" i="45"/>
  <c r="AR150" i="45"/>
  <c r="L134" i="45"/>
  <c r="F150" i="45"/>
  <c r="L154" i="45"/>
  <c r="E58" i="45"/>
  <c r="D81" i="45"/>
  <c r="E103" i="45"/>
  <c r="D108" i="45"/>
  <c r="F108" i="45"/>
  <c r="G91" i="45"/>
  <c r="H68" i="45"/>
  <c r="D117" i="45"/>
  <c r="E114" i="45"/>
  <c r="EH154" i="45"/>
  <c r="EH134" i="45"/>
  <c r="AV150" i="45"/>
  <c r="G56" i="45"/>
  <c r="F79" i="45"/>
  <c r="F115" i="45"/>
  <c r="G115" i="45"/>
  <c r="E115" i="45"/>
  <c r="I115" i="45"/>
  <c r="D69" i="45"/>
  <c r="C92" i="45"/>
  <c r="G80" i="45"/>
  <c r="H57" i="45"/>
  <c r="EB134" i="45"/>
  <c r="AT150" i="45"/>
  <c r="EB154" i="45"/>
  <c r="I136" i="45"/>
  <c r="D146" i="45"/>
  <c r="I154" i="45"/>
  <c r="I134" i="45"/>
  <c r="E150" i="45"/>
  <c r="F154" i="45"/>
  <c r="F134" i="45"/>
  <c r="D150" i="45"/>
  <c r="EQ132" i="45"/>
  <c r="EQ138" i="45"/>
  <c r="O142" i="45"/>
  <c r="O140" i="6"/>
  <c r="BU47" i="45"/>
  <c r="BK47" i="45"/>
  <c r="CO47" i="45"/>
  <c r="O47" i="45"/>
  <c r="DD47" i="45"/>
  <c r="CR47" i="45"/>
  <c r="J47" i="45"/>
  <c r="BF47" i="45"/>
  <c r="EN134" i="45"/>
  <c r="AX150" i="45"/>
  <c r="EN154" i="45"/>
  <c r="EE132" i="45"/>
  <c r="EE138" i="45"/>
  <c r="N142" i="45"/>
  <c r="N140" i="6"/>
  <c r="DG38" i="45"/>
  <c r="C62" i="45"/>
  <c r="C110" i="45"/>
  <c r="D110" i="45"/>
  <c r="F104" i="45"/>
  <c r="F55" i="45"/>
  <c r="E78" i="45"/>
  <c r="F54" i="45"/>
  <c r="E77" i="45"/>
  <c r="H61" i="45"/>
  <c r="G84" i="45"/>
  <c r="G108" i="45"/>
  <c r="F70" i="45"/>
  <c r="E93" i="45"/>
  <c r="DY136" i="45"/>
  <c r="X146" i="45"/>
  <c r="DY154" i="45"/>
  <c r="DY134" i="45"/>
  <c r="AS150" i="45"/>
  <c r="C132" i="45"/>
  <c r="C138" i="45"/>
  <c r="C142" i="45"/>
  <c r="CA47" i="45"/>
  <c r="CL47" i="45"/>
  <c r="I47" i="45"/>
  <c r="BZ47" i="45"/>
  <c r="BD47" i="45"/>
  <c r="T47" i="45"/>
  <c r="E87" i="45"/>
  <c r="F64" i="45"/>
  <c r="EK136" i="45"/>
  <c r="Z146" i="45"/>
  <c r="EK154" i="45"/>
  <c r="EK134" i="45"/>
  <c r="AW150" i="45"/>
  <c r="ET134" i="45"/>
  <c r="AZ150" i="45"/>
  <c r="ET154" i="45"/>
  <c r="AO47" i="45"/>
  <c r="C36" i="45"/>
  <c r="DG13" i="45"/>
  <c r="G65" i="45"/>
  <c r="F88" i="45"/>
  <c r="E66" i="45"/>
  <c r="D89" i="45"/>
  <c r="U47" i="45"/>
  <c r="AQ47" i="45"/>
  <c r="H47" i="45"/>
  <c r="DE47" i="45"/>
  <c r="N47" i="45"/>
  <c r="AD47" i="45"/>
  <c r="R47" i="45"/>
  <c r="C29" i="45"/>
  <c r="DG6" i="45"/>
  <c r="AV47" i="45"/>
  <c r="Z47" i="45"/>
  <c r="E89" i="45"/>
  <c r="F66" i="45"/>
  <c r="F93" i="45"/>
  <c r="G70" i="45"/>
  <c r="D113" i="45"/>
  <c r="E113" i="45"/>
  <c r="H65" i="45"/>
  <c r="G88" i="45"/>
  <c r="G64" i="45"/>
  <c r="F87" i="45"/>
  <c r="H117" i="45"/>
  <c r="E101" i="45"/>
  <c r="EE136" i="45"/>
  <c r="Y146" i="45"/>
  <c r="EE154" i="45"/>
  <c r="EE134" i="45"/>
  <c r="AU150" i="45"/>
  <c r="E117" i="45"/>
  <c r="D92" i="45"/>
  <c r="E69" i="45"/>
  <c r="L68" i="41"/>
  <c r="F68" i="41"/>
  <c r="F112" i="41"/>
  <c r="F23" i="41"/>
  <c r="F25" i="41"/>
  <c r="F21" i="41"/>
  <c r="F22" i="41"/>
  <c r="N68" i="41"/>
  <c r="K68" i="41"/>
  <c r="E29" i="41"/>
  <c r="E30" i="41"/>
  <c r="G68" i="41"/>
  <c r="I68" i="41"/>
  <c r="E57" i="41"/>
  <c r="H68" i="41"/>
  <c r="O68" i="41"/>
  <c r="P68" i="41"/>
  <c r="J68" i="41"/>
  <c r="Q68" i="41"/>
  <c r="M68" i="41"/>
  <c r="E86" i="45"/>
  <c r="F63" i="45"/>
  <c r="F111" i="45"/>
  <c r="F122" i="45"/>
  <c r="R129" i="45"/>
  <c r="O145" i="6"/>
  <c r="P26" i="34"/>
  <c r="I57" i="45"/>
  <c r="H80" i="45"/>
  <c r="M145" i="6"/>
  <c r="N26" i="10"/>
  <c r="N26" i="34"/>
  <c r="C136" i="45"/>
  <c r="C146" i="45"/>
  <c r="C154" i="45"/>
  <c r="C134" i="45"/>
  <c r="C150" i="45"/>
  <c r="E102" i="45"/>
  <c r="E111" i="45"/>
  <c r="E122" i="45"/>
  <c r="Q129" i="45"/>
  <c r="EQ134" i="45"/>
  <c r="AY150" i="45"/>
  <c r="EQ154" i="45"/>
  <c r="EQ136" i="45"/>
  <c r="G79" i="45"/>
  <c r="H56" i="45"/>
  <c r="H91" i="45"/>
  <c r="I68" i="45"/>
  <c r="D105" i="45"/>
  <c r="DS154" i="45"/>
  <c r="DS134" i="45"/>
  <c r="AQ150" i="45"/>
  <c r="DS136" i="45"/>
  <c r="W146" i="45"/>
  <c r="C106" i="45"/>
  <c r="F102" i="45"/>
  <c r="DG36" i="45"/>
  <c r="C60" i="45"/>
  <c r="G54" i="45"/>
  <c r="F77" i="45"/>
  <c r="C85" i="45"/>
  <c r="D62" i="45"/>
  <c r="G103" i="45"/>
  <c r="D82" i="45"/>
  <c r="E59" i="45"/>
  <c r="H67" i="45"/>
  <c r="G90" i="45"/>
  <c r="DG29" i="45"/>
  <c r="C47" i="45"/>
  <c r="DG47" i="45"/>
  <c r="C53" i="45"/>
  <c r="G112" i="45"/>
  <c r="F112" i="45"/>
  <c r="H84" i="45"/>
  <c r="I61" i="45"/>
  <c r="G55" i="45"/>
  <c r="F78" i="45"/>
  <c r="O26" i="10"/>
  <c r="O26" i="34"/>
  <c r="N145" i="6"/>
  <c r="C116" i="45"/>
  <c r="D116" i="45"/>
  <c r="H115" i="45"/>
  <c r="F103" i="45"/>
  <c r="E81" i="45"/>
  <c r="F58" i="45"/>
  <c r="I65" i="39"/>
  <c r="O65" i="39"/>
  <c r="H65" i="39"/>
  <c r="E57" i="39"/>
  <c r="J65" i="39"/>
  <c r="M65" i="39"/>
  <c r="N65" i="39"/>
  <c r="F65" i="39"/>
  <c r="F88" i="39"/>
  <c r="F23" i="39"/>
  <c r="F25" i="39"/>
  <c r="F21" i="39"/>
  <c r="F22" i="39"/>
  <c r="G65" i="39"/>
  <c r="K65" i="39"/>
  <c r="L65" i="39"/>
  <c r="E29" i="39"/>
  <c r="E30" i="39"/>
  <c r="G104" i="45"/>
  <c r="F81" i="45"/>
  <c r="G58" i="45"/>
  <c r="O25" i="20"/>
  <c r="M23" i="21"/>
  <c r="M28" i="21"/>
  <c r="D53" i="45"/>
  <c r="C76" i="45"/>
  <c r="E105" i="45"/>
  <c r="H79" i="45"/>
  <c r="I56" i="45"/>
  <c r="W73" i="10"/>
  <c r="V73" i="10"/>
  <c r="O73" i="10"/>
  <c r="Q73" i="10"/>
  <c r="T73" i="10"/>
  <c r="R73" i="10"/>
  <c r="P73" i="10"/>
  <c r="N29" i="10"/>
  <c r="X73" i="10"/>
  <c r="S73" i="10"/>
  <c r="U73" i="10"/>
  <c r="S79" i="34"/>
  <c r="V79" i="34"/>
  <c r="U79" i="34"/>
  <c r="X79" i="34"/>
  <c r="Q79" i="34"/>
  <c r="R79" i="34"/>
  <c r="Y79" i="34"/>
  <c r="T79" i="34"/>
  <c r="W79" i="34"/>
  <c r="G101" i="45"/>
  <c r="F117" i="45"/>
  <c r="G77" i="45"/>
  <c r="H54" i="45"/>
  <c r="E32" i="41"/>
  <c r="E55" i="41"/>
  <c r="F89" i="45"/>
  <c r="G66" i="45"/>
  <c r="E53" i="39"/>
  <c r="E32" i="39"/>
  <c r="X74" i="10"/>
  <c r="S74" i="10"/>
  <c r="O29" i="10"/>
  <c r="U74" i="10"/>
  <c r="Q74" i="10"/>
  <c r="V74" i="10"/>
  <c r="R74" i="10"/>
  <c r="P74" i="10"/>
  <c r="T74" i="10"/>
  <c r="W74" i="10"/>
  <c r="J61" i="45"/>
  <c r="I84" i="45"/>
  <c r="H90" i="45"/>
  <c r="I67" i="45"/>
  <c r="D85" i="45"/>
  <c r="E62" i="45"/>
  <c r="D60" i="45"/>
  <c r="C83" i="45"/>
  <c r="D106" i="45"/>
  <c r="J68" i="45"/>
  <c r="I91" i="45"/>
  <c r="H104" i="45"/>
  <c r="F86" i="45"/>
  <c r="F110" i="45"/>
  <c r="G63" i="45"/>
  <c r="U78" i="34"/>
  <c r="W78" i="34"/>
  <c r="R78" i="34"/>
  <c r="P78" i="34"/>
  <c r="S78" i="34"/>
  <c r="X78" i="34"/>
  <c r="V78" i="34"/>
  <c r="Q78" i="34"/>
  <c r="Y78" i="34"/>
  <c r="T78" i="34"/>
  <c r="G78" i="45"/>
  <c r="G102" i="45"/>
  <c r="H55" i="45"/>
  <c r="G114" i="45"/>
  <c r="H114" i="45"/>
  <c r="H103" i="45"/>
  <c r="L23" i="21"/>
  <c r="L28" i="21"/>
  <c r="Q25" i="20"/>
  <c r="P25" i="20"/>
  <c r="N23" i="21"/>
  <c r="N28" i="21"/>
  <c r="F69" i="45"/>
  <c r="E92" i="45"/>
  <c r="H64" i="45"/>
  <c r="G87" i="45"/>
  <c r="I108" i="45"/>
  <c r="H108" i="45"/>
  <c r="E82" i="45"/>
  <c r="F59" i="45"/>
  <c r="D109" i="45"/>
  <c r="C109" i="45"/>
  <c r="K115" i="45"/>
  <c r="AB146" i="45"/>
  <c r="AA146" i="45"/>
  <c r="P77" i="34"/>
  <c r="S77" i="34"/>
  <c r="R77" i="34"/>
  <c r="W77" i="34"/>
  <c r="U77" i="34"/>
  <c r="X77" i="34"/>
  <c r="T77" i="34"/>
  <c r="Q77" i="34"/>
  <c r="V77" i="34"/>
  <c r="Y77" i="34"/>
  <c r="O77" i="34"/>
  <c r="J57" i="45"/>
  <c r="I80" i="45"/>
  <c r="I104" i="45"/>
  <c r="E110" i="45"/>
  <c r="F101" i="45"/>
  <c r="I65" i="45"/>
  <c r="H88" i="45"/>
  <c r="H70" i="45"/>
  <c r="G93" i="45"/>
  <c r="H93" i="45"/>
  <c r="I70" i="45"/>
  <c r="K57" i="45"/>
  <c r="J80" i="45"/>
  <c r="G86" i="45"/>
  <c r="G110" i="45"/>
  <c r="H63" i="45"/>
  <c r="E60" i="45"/>
  <c r="D83" i="45"/>
  <c r="K61" i="45"/>
  <c r="J84" i="45"/>
  <c r="F113" i="45"/>
  <c r="G117" i="45"/>
  <c r="O20" i="20"/>
  <c r="O17" i="20"/>
  <c r="G111" i="45"/>
  <c r="G122" i="45"/>
  <c r="S129" i="45"/>
  <c r="I55" i="45"/>
  <c r="H78" i="45"/>
  <c r="K68" i="45"/>
  <c r="J91" i="45"/>
  <c r="E33" i="39"/>
  <c r="H77" i="45"/>
  <c r="I54" i="45"/>
  <c r="D100" i="45"/>
  <c r="C100" i="45"/>
  <c r="H58" i="45"/>
  <c r="G81" i="45"/>
  <c r="J65" i="45"/>
  <c r="I88" i="45"/>
  <c r="I64" i="45"/>
  <c r="H87" i="45"/>
  <c r="G69" i="45"/>
  <c r="F92" i="45"/>
  <c r="P20" i="20"/>
  <c r="P17" i="20"/>
  <c r="N17" i="21"/>
  <c r="N12" i="21"/>
  <c r="E33" i="41"/>
  <c r="H102" i="45"/>
  <c r="E106" i="45"/>
  <c r="D76" i="45"/>
  <c r="E53" i="45"/>
  <c r="H112" i="45"/>
  <c r="E116" i="45"/>
  <c r="E85" i="45"/>
  <c r="F62" i="45"/>
  <c r="J104" i="45"/>
  <c r="G59" i="45"/>
  <c r="F82" i="45"/>
  <c r="P17" i="21"/>
  <c r="P12" i="21"/>
  <c r="O17" i="21"/>
  <c r="O12" i="21"/>
  <c r="Q20" i="20"/>
  <c r="Q17" i="20"/>
  <c r="D107" i="45"/>
  <c r="C107" i="45"/>
  <c r="J67" i="45"/>
  <c r="I90" i="45"/>
  <c r="I114" i="45"/>
  <c r="G89" i="45"/>
  <c r="H66" i="45"/>
  <c r="I111" i="45"/>
  <c r="I122" i="45"/>
  <c r="U129" i="45"/>
  <c r="J56" i="45"/>
  <c r="I79" i="45"/>
  <c r="F105" i="45"/>
  <c r="I103" i="45"/>
  <c r="P31" i="34"/>
  <c r="P31" i="41"/>
  <c r="P28" i="34"/>
  <c r="P29" i="34"/>
  <c r="I87" i="45"/>
  <c r="J64" i="45"/>
  <c r="J54" i="45"/>
  <c r="I77" i="45"/>
  <c r="I101" i="45"/>
  <c r="M115" i="45"/>
  <c r="I63" i="45"/>
  <c r="H86" i="45"/>
  <c r="K80" i="45"/>
  <c r="L57" i="45"/>
  <c r="I66" i="45"/>
  <c r="H89" i="45"/>
  <c r="J88" i="45"/>
  <c r="K65" i="45"/>
  <c r="H101" i="45"/>
  <c r="L68" i="45"/>
  <c r="K91" i="45"/>
  <c r="K108" i="45"/>
  <c r="E83" i="45"/>
  <c r="F60" i="45"/>
  <c r="H110" i="45"/>
  <c r="I93" i="45"/>
  <c r="J70" i="45"/>
  <c r="K67" i="45"/>
  <c r="J90" i="45"/>
  <c r="Q31" i="34"/>
  <c r="Q31" i="41"/>
  <c r="R31" i="41"/>
  <c r="R31" i="34"/>
  <c r="Q28" i="34"/>
  <c r="Q29" i="34"/>
  <c r="R28" i="34"/>
  <c r="R29" i="34"/>
  <c r="G62" i="45"/>
  <c r="F85" i="45"/>
  <c r="J112" i="45"/>
  <c r="G92" i="45"/>
  <c r="H69" i="45"/>
  <c r="F106" i="45"/>
  <c r="G105" i="45"/>
  <c r="C118" i="45"/>
  <c r="K84" i="45"/>
  <c r="L61" i="45"/>
  <c r="J115" i="45"/>
  <c r="J79" i="45"/>
  <c r="K56" i="45"/>
  <c r="J114" i="45"/>
  <c r="H59" i="45"/>
  <c r="G82" i="45"/>
  <c r="J108" i="45"/>
  <c r="G116" i="45"/>
  <c r="E109" i="45"/>
  <c r="F116" i="45"/>
  <c r="I112" i="45"/>
  <c r="E76" i="45"/>
  <c r="G100" i="45"/>
  <c r="F53" i="45"/>
  <c r="H111" i="45"/>
  <c r="H122" i="45"/>
  <c r="T129" i="45"/>
  <c r="I58" i="45"/>
  <c r="H81" i="45"/>
  <c r="D118" i="45"/>
  <c r="D121" i="45"/>
  <c r="P128" i="45"/>
  <c r="P132" i="45"/>
  <c r="P154" i="45"/>
  <c r="I78" i="45"/>
  <c r="J55" i="45"/>
  <c r="G106" i="45"/>
  <c r="G113" i="45"/>
  <c r="K104" i="45"/>
  <c r="I105" i="45"/>
  <c r="L84" i="45"/>
  <c r="M61" i="45"/>
  <c r="H92" i="45"/>
  <c r="I69" i="45"/>
  <c r="I86" i="45"/>
  <c r="J63" i="45"/>
  <c r="J78" i="45"/>
  <c r="J102" i="45"/>
  <c r="K55" i="45"/>
  <c r="H82" i="45"/>
  <c r="I59" i="45"/>
  <c r="I117" i="45"/>
  <c r="E107" i="45"/>
  <c r="M68" i="45"/>
  <c r="L91" i="45"/>
  <c r="I89" i="45"/>
  <c r="I113" i="45"/>
  <c r="J66" i="45"/>
  <c r="F100" i="45"/>
  <c r="C121" i="45"/>
  <c r="O128" i="45"/>
  <c r="L80" i="45"/>
  <c r="M57" i="45"/>
  <c r="F76" i="45"/>
  <c r="G53" i="45"/>
  <c r="G109" i="45"/>
  <c r="I81" i="45"/>
  <c r="J58" i="45"/>
  <c r="F109" i="45"/>
  <c r="H62" i="45"/>
  <c r="G85" i="45"/>
  <c r="K64" i="45"/>
  <c r="J87" i="45"/>
  <c r="K114" i="45"/>
  <c r="E100" i="45"/>
  <c r="E118" i="45"/>
  <c r="E121" i="45"/>
  <c r="Q128" i="45"/>
  <c r="Q132" i="45"/>
  <c r="Q154" i="45"/>
  <c r="K79" i="45"/>
  <c r="K103" i="45"/>
  <c r="L56" i="45"/>
  <c r="I102" i="45"/>
  <c r="H105" i="45"/>
  <c r="H116" i="45"/>
  <c r="K90" i="45"/>
  <c r="L67" i="45"/>
  <c r="K70" i="45"/>
  <c r="J93" i="45"/>
  <c r="L117" i="45"/>
  <c r="G60" i="45"/>
  <c r="F83" i="45"/>
  <c r="L65" i="45"/>
  <c r="K88" i="45"/>
  <c r="H113" i="45"/>
  <c r="K54" i="45"/>
  <c r="J77" i="45"/>
  <c r="J103" i="45"/>
  <c r="L108" i="45"/>
  <c r="M104" i="45"/>
  <c r="K93" i="45"/>
  <c r="L70" i="45"/>
  <c r="J111" i="45"/>
  <c r="J122" i="45"/>
  <c r="V129" i="45"/>
  <c r="N57" i="45"/>
  <c r="M80" i="45"/>
  <c r="K66" i="45"/>
  <c r="J89" i="45"/>
  <c r="L115" i="45"/>
  <c r="J117" i="45"/>
  <c r="I82" i="45"/>
  <c r="J59" i="45"/>
  <c r="J86" i="45"/>
  <c r="K63" i="45"/>
  <c r="F107" i="45"/>
  <c r="F118" i="45"/>
  <c r="M67" i="45"/>
  <c r="L90" i="45"/>
  <c r="O132" i="45"/>
  <c r="M91" i="45"/>
  <c r="N68" i="45"/>
  <c r="H106" i="45"/>
  <c r="I106" i="45"/>
  <c r="N61" i="45"/>
  <c r="M84" i="45"/>
  <c r="J101" i="45"/>
  <c r="L112" i="45"/>
  <c r="G83" i="45"/>
  <c r="H60" i="45"/>
  <c r="L114" i="45"/>
  <c r="L79" i="45"/>
  <c r="M56" i="45"/>
  <c r="H53" i="45"/>
  <c r="G76" i="45"/>
  <c r="K112" i="45"/>
  <c r="K78" i="45"/>
  <c r="L55" i="45"/>
  <c r="M114" i="45"/>
  <c r="M108" i="45"/>
  <c r="L64" i="45"/>
  <c r="K87" i="45"/>
  <c r="K58" i="45"/>
  <c r="J81" i="45"/>
  <c r="J113" i="45"/>
  <c r="K77" i="45"/>
  <c r="L54" i="45"/>
  <c r="M65" i="45"/>
  <c r="L88" i="45"/>
  <c r="O112" i="45"/>
  <c r="K117" i="45"/>
  <c r="I62" i="45"/>
  <c r="H85" i="45"/>
  <c r="L104" i="45"/>
  <c r="I92" i="45"/>
  <c r="J69" i="45"/>
  <c r="I110" i="45"/>
  <c r="F121" i="45"/>
  <c r="R128" i="45"/>
  <c r="M64" i="45"/>
  <c r="L87" i="45"/>
  <c r="N111" i="45"/>
  <c r="N122" i="45"/>
  <c r="Z129" i="45"/>
  <c r="L102" i="45"/>
  <c r="L111" i="45"/>
  <c r="L122" i="45"/>
  <c r="X129" i="45"/>
  <c r="M55" i="45"/>
  <c r="L78" i="45"/>
  <c r="L103" i="45"/>
  <c r="N91" i="45"/>
  <c r="O68" i="45"/>
  <c r="N67" i="45"/>
  <c r="M90" i="45"/>
  <c r="P114" i="45"/>
  <c r="N80" i="45"/>
  <c r="O57" i="45"/>
  <c r="G107" i="45"/>
  <c r="G118" i="45"/>
  <c r="G121" i="45"/>
  <c r="S128" i="45"/>
  <c r="S132" i="45"/>
  <c r="S154" i="45"/>
  <c r="K69" i="45"/>
  <c r="J92" i="45"/>
  <c r="M88" i="45"/>
  <c r="N65" i="45"/>
  <c r="K101" i="45"/>
  <c r="K102" i="45"/>
  <c r="J110" i="45"/>
  <c r="K111" i="45"/>
  <c r="K122" i="45"/>
  <c r="W129" i="45"/>
  <c r="N115" i="45"/>
  <c r="K86" i="45"/>
  <c r="L63" i="45"/>
  <c r="L66" i="45"/>
  <c r="K89" i="45"/>
  <c r="M70" i="45"/>
  <c r="L93" i="45"/>
  <c r="J116" i="45"/>
  <c r="I109" i="45"/>
  <c r="J105" i="45"/>
  <c r="I85" i="45"/>
  <c r="J62" i="45"/>
  <c r="L77" i="45"/>
  <c r="M54" i="45"/>
  <c r="K81" i="45"/>
  <c r="L58" i="45"/>
  <c r="H109" i="45"/>
  <c r="H76" i="45"/>
  <c r="H100" i="45"/>
  <c r="I53" i="45"/>
  <c r="N56" i="45"/>
  <c r="M79" i="45"/>
  <c r="H83" i="45"/>
  <c r="I60" i="45"/>
  <c r="O61" i="45"/>
  <c r="N84" i="45"/>
  <c r="O134" i="45"/>
  <c r="G150" i="45"/>
  <c r="O154" i="45"/>
  <c r="I116" i="45"/>
  <c r="J82" i="45"/>
  <c r="K59" i="45"/>
  <c r="O115" i="45"/>
  <c r="J106" i="45"/>
  <c r="I83" i="45"/>
  <c r="I107" i="45"/>
  <c r="J60" i="45"/>
  <c r="J53" i="45"/>
  <c r="I76" i="45"/>
  <c r="K110" i="45"/>
  <c r="N88" i="45"/>
  <c r="O65" i="45"/>
  <c r="L69" i="45"/>
  <c r="K92" i="45"/>
  <c r="P57" i="45"/>
  <c r="O80" i="45"/>
  <c r="N55" i="45"/>
  <c r="M78" i="45"/>
  <c r="N102" i="45"/>
  <c r="M87" i="45"/>
  <c r="N64" i="45"/>
  <c r="R132" i="45"/>
  <c r="H107" i="45"/>
  <c r="H118" i="45"/>
  <c r="L59" i="45"/>
  <c r="K82" i="45"/>
  <c r="O84" i="45"/>
  <c r="P108" i="45"/>
  <c r="P61" i="45"/>
  <c r="M103" i="45"/>
  <c r="M117" i="45"/>
  <c r="L86" i="45"/>
  <c r="M63" i="45"/>
  <c r="N112" i="45"/>
  <c r="K113" i="45"/>
  <c r="N90" i="45"/>
  <c r="O67" i="45"/>
  <c r="L101" i="45"/>
  <c r="J109" i="45"/>
  <c r="K105" i="45"/>
  <c r="I100" i="45"/>
  <c r="N54" i="45"/>
  <c r="M77" i="45"/>
  <c r="L89" i="45"/>
  <c r="M66" i="45"/>
  <c r="N104" i="45"/>
  <c r="O104" i="45"/>
  <c r="K106" i="45"/>
  <c r="O56" i="45"/>
  <c r="N79" i="45"/>
  <c r="N103" i="45"/>
  <c r="L81" i="45"/>
  <c r="L105" i="45"/>
  <c r="M58" i="45"/>
  <c r="K62" i="45"/>
  <c r="J85" i="45"/>
  <c r="M112" i="45"/>
  <c r="N70" i="45"/>
  <c r="M93" i="45"/>
  <c r="L110" i="45"/>
  <c r="N108" i="45"/>
  <c r="M113" i="45"/>
  <c r="O91" i="45"/>
  <c r="P68" i="45"/>
  <c r="K116" i="45"/>
  <c r="H121" i="45"/>
  <c r="T128" i="45"/>
  <c r="O70" i="45"/>
  <c r="N93" i="45"/>
  <c r="O90" i="45"/>
  <c r="P67" i="45"/>
  <c r="P117" i="45"/>
  <c r="N117" i="45"/>
  <c r="L62" i="45"/>
  <c r="K85" i="45"/>
  <c r="P56" i="45"/>
  <c r="O79" i="45"/>
  <c r="O113" i="45"/>
  <c r="P84" i="45"/>
  <c r="Q61" i="45"/>
  <c r="R154" i="45"/>
  <c r="N78" i="45"/>
  <c r="O55" i="45"/>
  <c r="L116" i="45"/>
  <c r="O88" i="45"/>
  <c r="P65" i="45"/>
  <c r="L113" i="45"/>
  <c r="J83" i="45"/>
  <c r="K60" i="45"/>
  <c r="M81" i="45"/>
  <c r="N58" i="45"/>
  <c r="O54" i="45"/>
  <c r="N77" i="45"/>
  <c r="O114" i="45"/>
  <c r="M111" i="45"/>
  <c r="M122" i="45"/>
  <c r="Y129" i="45"/>
  <c r="P91" i="45"/>
  <c r="Q68" i="45"/>
  <c r="N87" i="45"/>
  <c r="O64" i="45"/>
  <c r="L92" i="45"/>
  <c r="M69" i="45"/>
  <c r="K109" i="45"/>
  <c r="O103" i="45"/>
  <c r="N66" i="45"/>
  <c r="M89" i="45"/>
  <c r="I118" i="45"/>
  <c r="I121" i="45"/>
  <c r="U128" i="45"/>
  <c r="U132" i="45"/>
  <c r="M86" i="45"/>
  <c r="N63" i="45"/>
  <c r="M101" i="45"/>
  <c r="L82" i="45"/>
  <c r="M59" i="45"/>
  <c r="M102" i="45"/>
  <c r="P80" i="45"/>
  <c r="Q57" i="45"/>
  <c r="K53" i="45"/>
  <c r="J76" i="45"/>
  <c r="N114" i="45"/>
  <c r="O108" i="45"/>
  <c r="L106" i="45"/>
  <c r="N89" i="45"/>
  <c r="O66" i="45"/>
  <c r="P64" i="45"/>
  <c r="O87" i="45"/>
  <c r="S108" i="45"/>
  <c r="O93" i="45"/>
  <c r="Q117" i="45"/>
  <c r="P70" i="45"/>
  <c r="L53" i="45"/>
  <c r="K76" i="45"/>
  <c r="M110" i="45"/>
  <c r="M116" i="45"/>
  <c r="Q91" i="45"/>
  <c r="R68" i="45"/>
  <c r="M105" i="45"/>
  <c r="F26" i="39"/>
  <c r="F26" i="41"/>
  <c r="O58" i="45"/>
  <c r="N81" i="45"/>
  <c r="K83" i="45"/>
  <c r="L60" i="45"/>
  <c r="Q102" i="45"/>
  <c r="R61" i="45"/>
  <c r="Q84" i="45"/>
  <c r="Q115" i="45"/>
  <c r="P115" i="45"/>
  <c r="R57" i="45"/>
  <c r="Q80" i="45"/>
  <c r="Q104" i="45"/>
  <c r="O111" i="45"/>
  <c r="O122" i="45"/>
  <c r="AA129" i="45"/>
  <c r="R115" i="45"/>
  <c r="Q108" i="45"/>
  <c r="K107" i="45"/>
  <c r="M62" i="45"/>
  <c r="L85" i="45"/>
  <c r="J100" i="45"/>
  <c r="K100" i="45"/>
  <c r="P104" i="45"/>
  <c r="N59" i="45"/>
  <c r="M82" i="45"/>
  <c r="M106" i="45"/>
  <c r="N86" i="45"/>
  <c r="O63" i="45"/>
  <c r="U154" i="45"/>
  <c r="N69" i="45"/>
  <c r="M92" i="45"/>
  <c r="P54" i="45"/>
  <c r="O77" i="45"/>
  <c r="N101" i="45"/>
  <c r="Q65" i="45"/>
  <c r="P88" i="45"/>
  <c r="P55" i="45"/>
  <c r="O78" i="45"/>
  <c r="O102" i="45"/>
  <c r="Q56" i="45"/>
  <c r="P79" i="45"/>
  <c r="J107" i="45"/>
  <c r="P90" i="45"/>
  <c r="Q67" i="45"/>
  <c r="T132" i="45"/>
  <c r="R67" i="45"/>
  <c r="Q90" i="45"/>
  <c r="T114" i="45"/>
  <c r="R56" i="45"/>
  <c r="Q79" i="45"/>
  <c r="P112" i="45"/>
  <c r="Q54" i="45"/>
  <c r="P77" i="45"/>
  <c r="N62" i="45"/>
  <c r="M85" i="45"/>
  <c r="L69" i="41"/>
  <c r="I69" i="41"/>
  <c r="J69" i="41"/>
  <c r="P69" i="41"/>
  <c r="N69" i="41"/>
  <c r="O69" i="41"/>
  <c r="K69" i="41"/>
  <c r="M69" i="41"/>
  <c r="Q69" i="41"/>
  <c r="H69" i="41"/>
  <c r="G69" i="41"/>
  <c r="G112" i="41"/>
  <c r="G23" i="41"/>
  <c r="G25" i="41"/>
  <c r="G21" i="41"/>
  <c r="G22" i="41"/>
  <c r="F29" i="41"/>
  <c r="F30" i="41"/>
  <c r="R69" i="41"/>
  <c r="F57" i="41"/>
  <c r="P93" i="45"/>
  <c r="Q70" i="45"/>
  <c r="O89" i="45"/>
  <c r="P66" i="45"/>
  <c r="S114" i="45"/>
  <c r="Q114" i="45"/>
  <c r="R65" i="45"/>
  <c r="Q88" i="45"/>
  <c r="M66" i="39"/>
  <c r="H66" i="39"/>
  <c r="L66" i="39"/>
  <c r="J66" i="39"/>
  <c r="I66" i="39"/>
  <c r="G66" i="39"/>
  <c r="G88" i="39"/>
  <c r="G23" i="39"/>
  <c r="G25" i="39"/>
  <c r="G21" i="39"/>
  <c r="G22" i="39"/>
  <c r="K66" i="39"/>
  <c r="F29" i="39"/>
  <c r="F30" i="39"/>
  <c r="N66" i="39"/>
  <c r="O66" i="39"/>
  <c r="P66" i="39"/>
  <c r="F57" i="39"/>
  <c r="T154" i="45"/>
  <c r="R134" i="45"/>
  <c r="H150" i="45"/>
  <c r="O136" i="45"/>
  <c r="E146" i="45"/>
  <c r="N82" i="45"/>
  <c r="N106" i="45"/>
  <c r="O59" i="45"/>
  <c r="K118" i="45"/>
  <c r="K121" i="45"/>
  <c r="W128" i="45"/>
  <c r="W132" i="45"/>
  <c r="W154" i="45"/>
  <c r="S57" i="45"/>
  <c r="R80" i="45"/>
  <c r="P58" i="45"/>
  <c r="O81" i="45"/>
  <c r="N110" i="45"/>
  <c r="N105" i="45"/>
  <c r="R117" i="45"/>
  <c r="O117" i="45"/>
  <c r="Q103" i="45"/>
  <c r="P103" i="45"/>
  <c r="P78" i="45"/>
  <c r="Q55" i="45"/>
  <c r="R104" i="45"/>
  <c r="O69" i="45"/>
  <c r="N92" i="45"/>
  <c r="O86" i="45"/>
  <c r="P63" i="45"/>
  <c r="J118" i="45"/>
  <c r="J121" i="45"/>
  <c r="V128" i="45"/>
  <c r="M109" i="45"/>
  <c r="L109" i="45"/>
  <c r="O101" i="45"/>
  <c r="R84" i="45"/>
  <c r="S61" i="45"/>
  <c r="M60" i="45"/>
  <c r="L83" i="45"/>
  <c r="L107" i="45"/>
  <c r="O105" i="45"/>
  <c r="R91" i="45"/>
  <c r="S68" i="45"/>
  <c r="N113" i="45"/>
  <c r="P110" i="45"/>
  <c r="M53" i="45"/>
  <c r="L76" i="45"/>
  <c r="P87" i="45"/>
  <c r="Q64" i="45"/>
  <c r="V132" i="45"/>
  <c r="P81" i="45"/>
  <c r="Q58" i="45"/>
  <c r="T57" i="45"/>
  <c r="S80" i="45"/>
  <c r="S67" i="45"/>
  <c r="R90" i="45"/>
  <c r="Q87" i="45"/>
  <c r="R64" i="45"/>
  <c r="R108" i="45"/>
  <c r="Q78" i="45"/>
  <c r="R55" i="45"/>
  <c r="S104" i="45"/>
  <c r="F32" i="39"/>
  <c r="F53" i="39"/>
  <c r="T112" i="45"/>
  <c r="Q112" i="45"/>
  <c r="P89" i="45"/>
  <c r="Q66" i="45"/>
  <c r="N85" i="45"/>
  <c r="O62" i="45"/>
  <c r="Q111" i="45"/>
  <c r="Q122" i="45"/>
  <c r="AC129" i="45"/>
  <c r="M107" i="45"/>
  <c r="P69" i="45"/>
  <c r="O92" i="45"/>
  <c r="L100" i="45"/>
  <c r="L118" i="45"/>
  <c r="L121" i="45"/>
  <c r="X128" i="45"/>
  <c r="X132" i="45"/>
  <c r="T68" i="45"/>
  <c r="S91" i="45"/>
  <c r="N60" i="45"/>
  <c r="M83" i="45"/>
  <c r="P86" i="45"/>
  <c r="Q63" i="45"/>
  <c r="P102" i="45"/>
  <c r="P111" i="45"/>
  <c r="P122" i="45"/>
  <c r="AB129" i="45"/>
  <c r="O82" i="45"/>
  <c r="P59" i="45"/>
  <c r="R70" i="45"/>
  <c r="Q93" i="45"/>
  <c r="S117" i="45"/>
  <c r="P101" i="45"/>
  <c r="S65" i="45"/>
  <c r="R88" i="45"/>
  <c r="N53" i="45"/>
  <c r="M76" i="45"/>
  <c r="U115" i="45"/>
  <c r="S84" i="45"/>
  <c r="T61" i="45"/>
  <c r="O110" i="45"/>
  <c r="R111" i="45"/>
  <c r="R122" i="45"/>
  <c r="AD129" i="45"/>
  <c r="F55" i="41"/>
  <c r="F32" i="41"/>
  <c r="N109" i="45"/>
  <c r="Q77" i="45"/>
  <c r="R54" i="45"/>
  <c r="R79" i="45"/>
  <c r="S56" i="45"/>
  <c r="N116" i="45"/>
  <c r="U61" i="45"/>
  <c r="T84" i="45"/>
  <c r="S88" i="45"/>
  <c r="V112" i="45"/>
  <c r="T65" i="45"/>
  <c r="U68" i="45"/>
  <c r="T91" i="45"/>
  <c r="F33" i="41"/>
  <c r="R112" i="45"/>
  <c r="R103" i="45"/>
  <c r="P82" i="45"/>
  <c r="Q59" i="45"/>
  <c r="Q86" i="45"/>
  <c r="R63" i="45"/>
  <c r="R66" i="45"/>
  <c r="Q89" i="45"/>
  <c r="O106" i="45"/>
  <c r="T67" i="45"/>
  <c r="S90" i="45"/>
  <c r="P105" i="45"/>
  <c r="V154" i="45"/>
  <c r="U134" i="45"/>
  <c r="I150" i="45"/>
  <c r="O116" i="45"/>
  <c r="Q113" i="45"/>
  <c r="Q101" i="45"/>
  <c r="T108" i="45"/>
  <c r="N76" i="45"/>
  <c r="O53" i="45"/>
  <c r="R93" i="45"/>
  <c r="S70" i="45"/>
  <c r="X154" i="45"/>
  <c r="P92" i="45"/>
  <c r="Q69" i="45"/>
  <c r="R78" i="45"/>
  <c r="S55" i="45"/>
  <c r="U57" i="45"/>
  <c r="T80" i="45"/>
  <c r="T104" i="45"/>
  <c r="R77" i="45"/>
  <c r="R101" i="45"/>
  <c r="S54" i="45"/>
  <c r="T117" i="45"/>
  <c r="S110" i="45"/>
  <c r="Q110" i="45"/>
  <c r="O85" i="45"/>
  <c r="P62" i="45"/>
  <c r="P116" i="45"/>
  <c r="T56" i="45"/>
  <c r="S79" i="45"/>
  <c r="S115" i="45"/>
  <c r="P113" i="45"/>
  <c r="S101" i="45"/>
  <c r="N83" i="45"/>
  <c r="O60" i="45"/>
  <c r="M100" i="45"/>
  <c r="M118" i="45"/>
  <c r="M121" i="45"/>
  <c r="Y128" i="45"/>
  <c r="Y132" i="45"/>
  <c r="Y154" i="45"/>
  <c r="F33" i="39"/>
  <c r="U104" i="45"/>
  <c r="R87" i="45"/>
  <c r="S64" i="45"/>
  <c r="R114" i="45"/>
  <c r="R58" i="45"/>
  <c r="Q81" i="45"/>
  <c r="T115" i="45"/>
  <c r="E55" i="39"/>
  <c r="E56" i="39"/>
  <c r="E62" i="39"/>
  <c r="N107" i="45"/>
  <c r="P85" i="45"/>
  <c r="Q62" i="45"/>
  <c r="S78" i="45"/>
  <c r="S102" i="45"/>
  <c r="T55" i="45"/>
  <c r="T113" i="45"/>
  <c r="S103" i="45"/>
  <c r="T88" i="45"/>
  <c r="W112" i="45"/>
  <c r="U65" i="45"/>
  <c r="P109" i="45"/>
  <c r="R86" i="45"/>
  <c r="S63" i="45"/>
  <c r="U91" i="45"/>
  <c r="V68" i="45"/>
  <c r="Q105" i="45"/>
  <c r="S77" i="45"/>
  <c r="T54" i="45"/>
  <c r="V57" i="45"/>
  <c r="U80" i="45"/>
  <c r="R69" i="45"/>
  <c r="Q92" i="45"/>
  <c r="U67" i="45"/>
  <c r="T90" i="45"/>
  <c r="W114" i="45"/>
  <c r="P106" i="45"/>
  <c r="N100" i="45"/>
  <c r="N118" i="45"/>
  <c r="N121" i="45"/>
  <c r="Z128" i="45"/>
  <c r="U56" i="45"/>
  <c r="T79" i="45"/>
  <c r="R102" i="45"/>
  <c r="P53" i="45"/>
  <c r="O76" i="45"/>
  <c r="O100" i="45"/>
  <c r="S66" i="45"/>
  <c r="R89" i="45"/>
  <c r="V61" i="45"/>
  <c r="U84" i="45"/>
  <c r="R81" i="45"/>
  <c r="S58" i="45"/>
  <c r="S87" i="45"/>
  <c r="T64" i="45"/>
  <c r="P60" i="45"/>
  <c r="O83" i="45"/>
  <c r="P107" i="45"/>
  <c r="O109" i="45"/>
  <c r="S93" i="45"/>
  <c r="U117" i="45"/>
  <c r="T70" i="45"/>
  <c r="Q82" i="45"/>
  <c r="R59" i="45"/>
  <c r="S112" i="45"/>
  <c r="E64" i="41"/>
  <c r="E62" i="41"/>
  <c r="R110" i="45"/>
  <c r="Q106" i="45"/>
  <c r="S89" i="45"/>
  <c r="T66" i="45"/>
  <c r="R82" i="45"/>
  <c r="S59" i="45"/>
  <c r="Q60" i="45"/>
  <c r="P83" i="45"/>
  <c r="S113" i="45"/>
  <c r="R113" i="45"/>
  <c r="Q53" i="45"/>
  <c r="P76" i="45"/>
  <c r="R92" i="45"/>
  <c r="S69" i="45"/>
  <c r="R105" i="45"/>
  <c r="T63" i="45"/>
  <c r="S86" i="45"/>
  <c r="T78" i="45"/>
  <c r="U55" i="45"/>
  <c r="T103" i="45"/>
  <c r="U70" i="45"/>
  <c r="T93" i="45"/>
  <c r="U108" i="45"/>
  <c r="V108" i="45"/>
  <c r="V56" i="45"/>
  <c r="U79" i="45"/>
  <c r="V67" i="45"/>
  <c r="U90" i="45"/>
  <c r="V80" i="45"/>
  <c r="V104" i="45"/>
  <c r="W57" i="45"/>
  <c r="V91" i="45"/>
  <c r="V115" i="45"/>
  <c r="W68" i="45"/>
  <c r="R62" i="45"/>
  <c r="Q85" i="45"/>
  <c r="U114" i="45"/>
  <c r="T87" i="45"/>
  <c r="U64" i="45"/>
  <c r="R106" i="45"/>
  <c r="V117" i="45"/>
  <c r="O107" i="45"/>
  <c r="O118" i="45"/>
  <c r="O121" i="45"/>
  <c r="AA128" i="45"/>
  <c r="T58" i="45"/>
  <c r="S81" i="45"/>
  <c r="W61" i="45"/>
  <c r="V84" i="45"/>
  <c r="R100" i="45"/>
  <c r="Z132" i="45"/>
  <c r="O138" i="45"/>
  <c r="D142" i="45"/>
  <c r="D140" i="6"/>
  <c r="U54" i="45"/>
  <c r="T77" i="45"/>
  <c r="X115" i="45"/>
  <c r="V65" i="45"/>
  <c r="U88" i="45"/>
  <c r="U112" i="45"/>
  <c r="S111" i="45"/>
  <c r="S122" i="45"/>
  <c r="AE129" i="45"/>
  <c r="Q116" i="45"/>
  <c r="T102" i="45"/>
  <c r="AA132" i="45"/>
  <c r="T111" i="45"/>
  <c r="T122" i="45"/>
  <c r="AF129" i="45"/>
  <c r="S62" i="45"/>
  <c r="R85" i="45"/>
  <c r="W67" i="45"/>
  <c r="V90" i="45"/>
  <c r="V114" i="45"/>
  <c r="V55" i="45"/>
  <c r="U78" i="45"/>
  <c r="T89" i="45"/>
  <c r="U66" i="45"/>
  <c r="T101" i="45"/>
  <c r="U58" i="45"/>
  <c r="T81" i="45"/>
  <c r="W65" i="45"/>
  <c r="V88" i="45"/>
  <c r="Y112" i="45"/>
  <c r="V54" i="45"/>
  <c r="U77" i="45"/>
  <c r="E26" i="34"/>
  <c r="D145" i="6"/>
  <c r="E26" i="10"/>
  <c r="Z154" i="45"/>
  <c r="X134" i="45"/>
  <c r="J150" i="45"/>
  <c r="U136" i="45"/>
  <c r="F146" i="45"/>
  <c r="X61" i="45"/>
  <c r="W84" i="45"/>
  <c r="U87" i="45"/>
  <c r="V64" i="45"/>
  <c r="V111" i="45"/>
  <c r="V122" i="45"/>
  <c r="AH129" i="45"/>
  <c r="V103" i="45"/>
  <c r="V101" i="45"/>
  <c r="R53" i="45"/>
  <c r="Q76" i="45"/>
  <c r="S105" i="45"/>
  <c r="T69" i="45"/>
  <c r="S92" i="45"/>
  <c r="W91" i="45"/>
  <c r="X68" i="45"/>
  <c r="W80" i="45"/>
  <c r="X57" i="45"/>
  <c r="T86" i="45"/>
  <c r="U63" i="45"/>
  <c r="S116" i="45"/>
  <c r="R116" i="45"/>
  <c r="Q83" i="45"/>
  <c r="T107" i="45"/>
  <c r="R60" i="45"/>
  <c r="Q109" i="45"/>
  <c r="T110" i="45"/>
  <c r="W115" i="45"/>
  <c r="V79" i="45"/>
  <c r="W56" i="45"/>
  <c r="X108" i="45"/>
  <c r="U93" i="45"/>
  <c r="W117" i="45"/>
  <c r="V70" i="45"/>
  <c r="P100" i="45"/>
  <c r="P118" i="45"/>
  <c r="P121" i="45"/>
  <c r="AB128" i="45"/>
  <c r="AB132" i="45"/>
  <c r="AB154" i="45"/>
  <c r="T59" i="45"/>
  <c r="S82" i="45"/>
  <c r="U103" i="45"/>
  <c r="S106" i="45"/>
  <c r="X56" i="45"/>
  <c r="W79" i="45"/>
  <c r="X91" i="45"/>
  <c r="Y68" i="45"/>
  <c r="V93" i="45"/>
  <c r="W70" i="45"/>
  <c r="S60" i="45"/>
  <c r="R83" i="45"/>
  <c r="U69" i="45"/>
  <c r="T92" i="45"/>
  <c r="T106" i="45"/>
  <c r="Q100" i="45"/>
  <c r="W64" i="45"/>
  <c r="V87" i="45"/>
  <c r="Y61" i="45"/>
  <c r="X84" i="45"/>
  <c r="E57" i="34"/>
  <c r="G68" i="34"/>
  <c r="K68" i="34"/>
  <c r="O68" i="34"/>
  <c r="J68" i="34"/>
  <c r="N68" i="34"/>
  <c r="L68" i="34"/>
  <c r="M68" i="34"/>
  <c r="Q68" i="34"/>
  <c r="H68" i="34"/>
  <c r="F68" i="34"/>
  <c r="F112" i="34"/>
  <c r="F23" i="34"/>
  <c r="F25" i="34"/>
  <c r="F21" i="34"/>
  <c r="F22" i="34"/>
  <c r="P68" i="34"/>
  <c r="I68" i="34"/>
  <c r="W88" i="45"/>
  <c r="X65" i="45"/>
  <c r="W113" i="45"/>
  <c r="V78" i="45"/>
  <c r="W55" i="45"/>
  <c r="W90" i="45"/>
  <c r="X67" i="45"/>
  <c r="Y57" i="45"/>
  <c r="X80" i="45"/>
  <c r="U101" i="45"/>
  <c r="S109" i="45"/>
  <c r="U59" i="45"/>
  <c r="T82" i="45"/>
  <c r="W104" i="45"/>
  <c r="Q107" i="45"/>
  <c r="T105" i="45"/>
  <c r="R109" i="45"/>
  <c r="R107" i="45"/>
  <c r="R118" i="45"/>
  <c r="R121" i="45"/>
  <c r="AD128" i="45"/>
  <c r="AD132" i="45"/>
  <c r="G64" i="10"/>
  <c r="O64" i="10"/>
  <c r="K64" i="10"/>
  <c r="F64" i="10"/>
  <c r="F83" i="10"/>
  <c r="F84" i="10"/>
  <c r="F106" i="10"/>
  <c r="F23" i="10"/>
  <c r="F25" i="10"/>
  <c r="F21" i="10"/>
  <c r="F22" i="10"/>
  <c r="E29" i="10"/>
  <c r="E30" i="10"/>
  <c r="Q64" i="10"/>
  <c r="I64" i="10"/>
  <c r="H64" i="10"/>
  <c r="M64" i="10"/>
  <c r="P64" i="10"/>
  <c r="L64" i="10"/>
  <c r="N64" i="10"/>
  <c r="E55" i="10"/>
  <c r="J64" i="10"/>
  <c r="V77" i="45"/>
  <c r="W54" i="45"/>
  <c r="V58" i="45"/>
  <c r="U81" i="45"/>
  <c r="V110" i="45"/>
  <c r="T62" i="45"/>
  <c r="S85" i="45"/>
  <c r="X117" i="45"/>
  <c r="V63" i="45"/>
  <c r="U86" i="45"/>
  <c r="S53" i="45"/>
  <c r="R76" i="45"/>
  <c r="U111" i="45"/>
  <c r="U122" i="45"/>
  <c r="AG129" i="45"/>
  <c r="Z108" i="45"/>
  <c r="W108" i="45"/>
  <c r="C23" i="21"/>
  <c r="E25" i="20"/>
  <c r="E9" i="20"/>
  <c r="E7" i="20"/>
  <c r="U89" i="45"/>
  <c r="V66" i="45"/>
  <c r="X102" i="45"/>
  <c r="V102" i="45"/>
  <c r="U102" i="45"/>
  <c r="AA154" i="45"/>
  <c r="W103" i="45"/>
  <c r="X112" i="45"/>
  <c r="Y91" i="45"/>
  <c r="Y115" i="45"/>
  <c r="Z68" i="45"/>
  <c r="V89" i="45"/>
  <c r="W66" i="45"/>
  <c r="V113" i="45"/>
  <c r="C28" i="21"/>
  <c r="S76" i="45"/>
  <c r="S100" i="45"/>
  <c r="T53" i="45"/>
  <c r="W63" i="45"/>
  <c r="V86" i="45"/>
  <c r="X90" i="45"/>
  <c r="AA114" i="45"/>
  <c r="Y67" i="45"/>
  <c r="U113" i="45"/>
  <c r="Y84" i="45"/>
  <c r="Z61" i="45"/>
  <c r="Y56" i="45"/>
  <c r="X79" i="45"/>
  <c r="U105" i="45"/>
  <c r="W58" i="45"/>
  <c r="V81" i="45"/>
  <c r="Y105" i="45"/>
  <c r="E53" i="10"/>
  <c r="E32" i="10"/>
  <c r="X104" i="45"/>
  <c r="X55" i="45"/>
  <c r="W78" i="45"/>
  <c r="X88" i="45"/>
  <c r="Y65" i="45"/>
  <c r="W87" i="45"/>
  <c r="X64" i="45"/>
  <c r="T116" i="45"/>
  <c r="W93" i="45"/>
  <c r="X70" i="45"/>
  <c r="AA115" i="45"/>
  <c r="V106" i="45"/>
  <c r="V105" i="45"/>
  <c r="T85" i="45"/>
  <c r="U62" i="45"/>
  <c r="C17" i="21"/>
  <c r="C12" i="21"/>
  <c r="C41" i="21"/>
  <c r="E20" i="20"/>
  <c r="E17" i="20"/>
  <c r="X54" i="45"/>
  <c r="W77" i="45"/>
  <c r="AD154" i="45"/>
  <c r="U82" i="45"/>
  <c r="V59" i="45"/>
  <c r="Z57" i="45"/>
  <c r="Y80" i="45"/>
  <c r="W102" i="45"/>
  <c r="Q118" i="45"/>
  <c r="Q121" i="45"/>
  <c r="AC128" i="45"/>
  <c r="U92" i="45"/>
  <c r="V69" i="45"/>
  <c r="S83" i="45"/>
  <c r="T60" i="45"/>
  <c r="Y117" i="45"/>
  <c r="U110" i="45"/>
  <c r="W111" i="45"/>
  <c r="W122" i="45"/>
  <c r="AI129" i="45"/>
  <c r="F5" i="32"/>
  <c r="E39" i="20"/>
  <c r="W69" i="45"/>
  <c r="V92" i="45"/>
  <c r="AA57" i="45"/>
  <c r="Z80" i="45"/>
  <c r="Z102" i="45"/>
  <c r="X114" i="45"/>
  <c r="W101" i="45"/>
  <c r="AA61" i="45"/>
  <c r="Z84" i="45"/>
  <c r="T76" i="45"/>
  <c r="U53" i="45"/>
  <c r="AA68" i="45"/>
  <c r="Z91" i="45"/>
  <c r="Y114" i="45"/>
  <c r="Y55" i="45"/>
  <c r="X78" i="45"/>
  <c r="W81" i="45"/>
  <c r="X58" i="45"/>
  <c r="Y103" i="45"/>
  <c r="X103" i="45"/>
  <c r="U60" i="45"/>
  <c r="T83" i="45"/>
  <c r="AC132" i="45"/>
  <c r="V82" i="45"/>
  <c r="W59" i="45"/>
  <c r="E31" i="41"/>
  <c r="E31" i="34"/>
  <c r="E28" i="34"/>
  <c r="T109" i="45"/>
  <c r="U116" i="45"/>
  <c r="X93" i="45"/>
  <c r="Y70" i="45"/>
  <c r="Y88" i="45"/>
  <c r="Z65" i="45"/>
  <c r="E35" i="20"/>
  <c r="Z56" i="45"/>
  <c r="Y79" i="45"/>
  <c r="Z67" i="45"/>
  <c r="Y90" i="45"/>
  <c r="Y110" i="45"/>
  <c r="W89" i="45"/>
  <c r="X66" i="45"/>
  <c r="W105" i="45"/>
  <c r="V62" i="45"/>
  <c r="U85" i="45"/>
  <c r="AB108" i="45"/>
  <c r="Z115" i="45"/>
  <c r="S107" i="45"/>
  <c r="S118" i="45"/>
  <c r="S121" i="45"/>
  <c r="AE128" i="45"/>
  <c r="Y108" i="45"/>
  <c r="AB104" i="45"/>
  <c r="Z104" i="45"/>
  <c r="X77" i="45"/>
  <c r="Y54" i="45"/>
  <c r="Z117" i="45"/>
  <c r="Y64" i="45"/>
  <c r="X87" i="45"/>
  <c r="Y104" i="45"/>
  <c r="E33" i="10"/>
  <c r="T100" i="45"/>
  <c r="T118" i="45"/>
  <c r="T121" i="45"/>
  <c r="AF128" i="45"/>
  <c r="AF132" i="45"/>
  <c r="AF154" i="45"/>
  <c r="X63" i="45"/>
  <c r="W86" i="45"/>
  <c r="Y113" i="45"/>
  <c r="U106" i="45"/>
  <c r="AE132" i="45"/>
  <c r="AA104" i="45"/>
  <c r="X86" i="45"/>
  <c r="Y63" i="45"/>
  <c r="Y87" i="45"/>
  <c r="Z64" i="45"/>
  <c r="E29" i="34"/>
  <c r="E30" i="34"/>
  <c r="Z101" i="45"/>
  <c r="Z55" i="45"/>
  <c r="Y78" i="45"/>
  <c r="U76" i="45"/>
  <c r="V53" i="45"/>
  <c r="AA80" i="45"/>
  <c r="AB57" i="45"/>
  <c r="Z103" i="45"/>
  <c r="AA56" i="45"/>
  <c r="Z79" i="45"/>
  <c r="W82" i="45"/>
  <c r="X59" i="45"/>
  <c r="X81" i="45"/>
  <c r="Y58" i="45"/>
  <c r="Y66" i="45"/>
  <c r="X89" i="45"/>
  <c r="Z70" i="45"/>
  <c r="Y93" i="45"/>
  <c r="U109" i="45"/>
  <c r="W106" i="45"/>
  <c r="U100" i="45"/>
  <c r="X69" i="45"/>
  <c r="W92" i="45"/>
  <c r="C30" i="21"/>
  <c r="AC154" i="45"/>
  <c r="AA134" i="45"/>
  <c r="K150" i="45"/>
  <c r="AA136" i="45"/>
  <c r="G146" i="45"/>
  <c r="W110" i="45"/>
  <c r="AA111" i="45"/>
  <c r="AA122" i="45"/>
  <c r="AM129" i="45"/>
  <c r="X111" i="45"/>
  <c r="X122" i="45"/>
  <c r="AJ129" i="45"/>
  <c r="Y77" i="45"/>
  <c r="Z54" i="45"/>
  <c r="V85" i="45"/>
  <c r="W62" i="45"/>
  <c r="AA67" i="45"/>
  <c r="Z90" i="45"/>
  <c r="AA65" i="45"/>
  <c r="Z88" i="45"/>
  <c r="Z112" i="45"/>
  <c r="AA117" i="45"/>
  <c r="X101" i="45"/>
  <c r="U83" i="45"/>
  <c r="U107" i="45"/>
  <c r="V60" i="45"/>
  <c r="V100" i="45"/>
  <c r="AA91" i="45"/>
  <c r="AB68" i="45"/>
  <c r="AA84" i="45"/>
  <c r="AB61" i="45"/>
  <c r="AC104" i="45"/>
  <c r="V116" i="45"/>
  <c r="F39" i="20"/>
  <c r="G5" i="32"/>
  <c r="F7" i="32"/>
  <c r="F8" i="32"/>
  <c r="F6" i="32"/>
  <c r="D30" i="21"/>
  <c r="W116" i="45"/>
  <c r="Z93" i="45"/>
  <c r="AA70" i="45"/>
  <c r="Z66" i="45"/>
  <c r="Y89" i="45"/>
  <c r="AC68" i="45"/>
  <c r="AB91" i="45"/>
  <c r="W60" i="45"/>
  <c r="V83" i="45"/>
  <c r="C42" i="21"/>
  <c r="D3" i="37"/>
  <c r="AB117" i="45"/>
  <c r="AA113" i="45"/>
  <c r="X113" i="45"/>
  <c r="X105" i="45"/>
  <c r="AA79" i="45"/>
  <c r="AB56" i="45"/>
  <c r="AA55" i="45"/>
  <c r="Z78" i="45"/>
  <c r="H6" i="32"/>
  <c r="G6" i="32"/>
  <c r="E1" i="32"/>
  <c r="AA90" i="45"/>
  <c r="AB67" i="45"/>
  <c r="AA54" i="45"/>
  <c r="Z77" i="45"/>
  <c r="Y59" i="45"/>
  <c r="X82" i="45"/>
  <c r="V76" i="45"/>
  <c r="W53" i="45"/>
  <c r="Z63" i="45"/>
  <c r="Y86" i="45"/>
  <c r="H8" i="32"/>
  <c r="G8" i="32"/>
  <c r="AC61" i="45"/>
  <c r="AB84" i="45"/>
  <c r="AA88" i="45"/>
  <c r="AB65" i="45"/>
  <c r="Y101" i="45"/>
  <c r="Y69" i="45"/>
  <c r="X92" i="45"/>
  <c r="Z114" i="45"/>
  <c r="V109" i="45"/>
  <c r="X106" i="45"/>
  <c r="AB80" i="45"/>
  <c r="AC57" i="45"/>
  <c r="E55" i="34"/>
  <c r="E32" i="34"/>
  <c r="AA64" i="45"/>
  <c r="Z87" i="45"/>
  <c r="X110" i="45"/>
  <c r="X107" i="45"/>
  <c r="V107" i="45"/>
  <c r="H7" i="32"/>
  <c r="G7" i="32"/>
  <c r="AD108" i="45"/>
  <c r="AA108" i="45"/>
  <c r="V118" i="45"/>
  <c r="V121" i="45"/>
  <c r="AH128" i="45"/>
  <c r="AH132" i="45"/>
  <c r="AH154" i="45"/>
  <c r="W85" i="45"/>
  <c r="X62" i="45"/>
  <c r="U118" i="45"/>
  <c r="U121" i="45"/>
  <c r="AG128" i="45"/>
  <c r="Y81" i="45"/>
  <c r="Z58" i="45"/>
  <c r="AD104" i="45"/>
  <c r="Y102" i="45"/>
  <c r="Y111" i="45"/>
  <c r="Y122" i="45"/>
  <c r="AK129" i="45"/>
  <c r="Z111" i="45"/>
  <c r="Z122" i="45"/>
  <c r="AL129" i="45"/>
  <c r="AE154" i="45"/>
  <c r="AD134" i="45"/>
  <c r="L150" i="45"/>
  <c r="E33" i="34"/>
  <c r="W76" i="45"/>
  <c r="X53" i="45"/>
  <c r="AC101" i="45"/>
  <c r="AA112" i="45"/>
  <c r="H5" i="32"/>
  <c r="G39" i="20"/>
  <c r="D11" i="37"/>
  <c r="H4" i="37"/>
  <c r="H3" i="37"/>
  <c r="E76" i="20"/>
  <c r="C32" i="21"/>
  <c r="W100" i="45"/>
  <c r="Z89" i="45"/>
  <c r="AA66" i="45"/>
  <c r="Z81" i="45"/>
  <c r="AC105" i="45"/>
  <c r="AA58" i="45"/>
  <c r="AG132" i="45"/>
  <c r="W109" i="45"/>
  <c r="Y92" i="45"/>
  <c r="Z69" i="45"/>
  <c r="AB101" i="45"/>
  <c r="AC84" i="45"/>
  <c r="AD61" i="45"/>
  <c r="AA63" i="45"/>
  <c r="Z86" i="45"/>
  <c r="Z110" i="45"/>
  <c r="AA106" i="45"/>
  <c r="Y106" i="45"/>
  <c r="AC67" i="45"/>
  <c r="AB90" i="45"/>
  <c r="AA102" i="45"/>
  <c r="AA103" i="45"/>
  <c r="AA93" i="45"/>
  <c r="AC117" i="45"/>
  <c r="AB70" i="45"/>
  <c r="AB115" i="45"/>
  <c r="G26" i="41"/>
  <c r="G26" i="39"/>
  <c r="Y62" i="45"/>
  <c r="X85" i="45"/>
  <c r="AA110" i="45"/>
  <c r="AA77" i="45"/>
  <c r="AA101" i="45"/>
  <c r="AB54" i="45"/>
  <c r="X116" i="45"/>
  <c r="AC56" i="45"/>
  <c r="AB79" i="45"/>
  <c r="W83" i="45"/>
  <c r="Z107" i="45"/>
  <c r="X60" i="45"/>
  <c r="AC108" i="45"/>
  <c r="AA87" i="45"/>
  <c r="AB64" i="45"/>
  <c r="AC80" i="45"/>
  <c r="AD57" i="45"/>
  <c r="AC65" i="45"/>
  <c r="AB88" i="45"/>
  <c r="AB112" i="45"/>
  <c r="Y82" i="45"/>
  <c r="Z59" i="45"/>
  <c r="AB55" i="45"/>
  <c r="AA78" i="45"/>
  <c r="AC91" i="45"/>
  <c r="AD68" i="45"/>
  <c r="AB103" i="45"/>
  <c r="AD80" i="45"/>
  <c r="AE57" i="45"/>
  <c r="Y60" i="45"/>
  <c r="X83" i="45"/>
  <c r="AE68" i="45"/>
  <c r="AD91" i="45"/>
  <c r="Z105" i="45"/>
  <c r="AC55" i="45"/>
  <c r="AB78" i="45"/>
  <c r="AD56" i="45"/>
  <c r="AC79" i="45"/>
  <c r="Z62" i="45"/>
  <c r="Y85" i="45"/>
  <c r="J70" i="41"/>
  <c r="R70" i="41"/>
  <c r="P70" i="41"/>
  <c r="L70" i="41"/>
  <c r="Q70" i="41"/>
  <c r="K70" i="41"/>
  <c r="S70" i="41"/>
  <c r="I70" i="41"/>
  <c r="G29" i="41"/>
  <c r="G30" i="41"/>
  <c r="N70" i="41"/>
  <c r="H70" i="41"/>
  <c r="H112" i="41"/>
  <c r="H23" i="41"/>
  <c r="H25" i="41"/>
  <c r="H21" i="41"/>
  <c r="H22" i="41"/>
  <c r="M70" i="41"/>
  <c r="O70" i="41"/>
  <c r="G57" i="41"/>
  <c r="AB93" i="45"/>
  <c r="AC70" i="45"/>
  <c r="W107" i="45"/>
  <c r="AD67" i="45"/>
  <c r="AC90" i="45"/>
  <c r="AB63" i="45"/>
  <c r="AA86" i="45"/>
  <c r="Z92" i="45"/>
  <c r="AA69" i="45"/>
  <c r="AA81" i="45"/>
  <c r="AD105" i="45"/>
  <c r="AB58" i="45"/>
  <c r="Z113" i="45"/>
  <c r="AD84" i="45"/>
  <c r="AE61" i="45"/>
  <c r="AF104" i="45"/>
  <c r="AC54" i="45"/>
  <c r="AB77" i="45"/>
  <c r="G98" i="37"/>
  <c r="G113" i="37"/>
  <c r="G131" i="37"/>
  <c r="G67" i="37"/>
  <c r="G15" i="37"/>
  <c r="G23" i="37"/>
  <c r="G102" i="37"/>
  <c r="G68" i="37"/>
  <c r="G14" i="37"/>
  <c r="G17" i="37"/>
  <c r="G50" i="37"/>
  <c r="G85" i="37"/>
  <c r="G118" i="37"/>
  <c r="G59" i="37"/>
  <c r="G108" i="37"/>
  <c r="G66" i="37"/>
  <c r="G43" i="37"/>
  <c r="G96" i="37"/>
  <c r="G57" i="37"/>
  <c r="G20" i="37"/>
  <c r="G123" i="37"/>
  <c r="G34" i="37"/>
  <c r="G56" i="37"/>
  <c r="G32" i="37"/>
  <c r="G62" i="37"/>
  <c r="G73" i="37"/>
  <c r="G90" i="37"/>
  <c r="G24" i="37"/>
  <c r="G107" i="37"/>
  <c r="G28" i="37"/>
  <c r="G47" i="37"/>
  <c r="G83" i="37"/>
  <c r="G128" i="37"/>
  <c r="G61" i="37"/>
  <c r="G82" i="37"/>
  <c r="G35" i="37"/>
  <c r="G70" i="37"/>
  <c r="G71" i="37"/>
  <c r="G120" i="37"/>
  <c r="G92" i="37"/>
  <c r="G81" i="37"/>
  <c r="G54" i="37"/>
  <c r="G78" i="37"/>
  <c r="G74" i="37"/>
  <c r="G105" i="37"/>
  <c r="G21" i="37"/>
  <c r="G97" i="37"/>
  <c r="G126" i="37"/>
  <c r="G104" i="37"/>
  <c r="G69" i="37"/>
  <c r="G25" i="37"/>
  <c r="G99" i="37"/>
  <c r="G48" i="37"/>
  <c r="G77" i="37"/>
  <c r="G55" i="37"/>
  <c r="G26" i="37"/>
  <c r="G103" i="37"/>
  <c r="G40" i="37"/>
  <c r="G31" i="37"/>
  <c r="G37" i="37"/>
  <c r="G58" i="37"/>
  <c r="G44" i="37"/>
  <c r="G27" i="37"/>
  <c r="G87" i="37"/>
  <c r="G39" i="37"/>
  <c r="G91" i="37"/>
  <c r="G129" i="37"/>
  <c r="G46" i="37"/>
  <c r="G53" i="37"/>
  <c r="G16" i="37"/>
  <c r="G95" i="37"/>
  <c r="G106" i="37"/>
  <c r="G130" i="37"/>
  <c r="G115" i="37"/>
  <c r="G101" i="37"/>
  <c r="G38" i="37"/>
  <c r="G117" i="37"/>
  <c r="G49" i="37"/>
  <c r="G36" i="37"/>
  <c r="G60" i="37"/>
  <c r="G63" i="37"/>
  <c r="G121" i="37"/>
  <c r="G125" i="37"/>
  <c r="G84" i="37"/>
  <c r="G122" i="37"/>
  <c r="G45" i="37"/>
  <c r="G22" i="37"/>
  <c r="G13" i="37"/>
  <c r="G94" i="37"/>
  <c r="G89" i="37"/>
  <c r="G112" i="37"/>
  <c r="G127" i="37"/>
  <c r="G64" i="37"/>
  <c r="G79" i="37"/>
  <c r="G100" i="37"/>
  <c r="G33" i="37"/>
  <c r="G42" i="37"/>
  <c r="G12" i="37"/>
  <c r="G29" i="37"/>
  <c r="G86" i="37"/>
  <c r="G51" i="37"/>
  <c r="G88" i="37"/>
  <c r="G52" i="37"/>
  <c r="G111" i="37"/>
  <c r="G110" i="37"/>
  <c r="G72" i="37"/>
  <c r="G119" i="37"/>
  <c r="G65" i="37"/>
  <c r="G116" i="37"/>
  <c r="G19" i="37"/>
  <c r="G30" i="37"/>
  <c r="G109" i="37"/>
  <c r="G41" i="37"/>
  <c r="G93" i="37"/>
  <c r="G75" i="37"/>
  <c r="G124" i="37"/>
  <c r="G114" i="37"/>
  <c r="G80" i="37"/>
  <c r="G18" i="37"/>
  <c r="G76" i="37"/>
  <c r="E30" i="21"/>
  <c r="H39" i="20"/>
  <c r="X76" i="45"/>
  <c r="Y53" i="45"/>
  <c r="AA105" i="45"/>
  <c r="W118" i="45"/>
  <c r="W121" i="45"/>
  <c r="AI128" i="45"/>
  <c r="AI132" i="45"/>
  <c r="AI154" i="45"/>
  <c r="AC112" i="45"/>
  <c r="AC115" i="45"/>
  <c r="AB102" i="45"/>
  <c r="AA59" i="45"/>
  <c r="Z82" i="45"/>
  <c r="Z106" i="45"/>
  <c r="AC88" i="45"/>
  <c r="AD65" i="45"/>
  <c r="AB87" i="45"/>
  <c r="AC64" i="45"/>
  <c r="AC103" i="45"/>
  <c r="X109" i="45"/>
  <c r="O67" i="39"/>
  <c r="M67" i="39"/>
  <c r="H67" i="39"/>
  <c r="H88" i="39"/>
  <c r="H23" i="39"/>
  <c r="H25" i="39"/>
  <c r="H21" i="39"/>
  <c r="H22" i="39"/>
  <c r="L67" i="39"/>
  <c r="I67" i="39"/>
  <c r="K67" i="39"/>
  <c r="N67" i="39"/>
  <c r="P67" i="39"/>
  <c r="J67" i="39"/>
  <c r="G29" i="39"/>
  <c r="G30" i="39"/>
  <c r="G57" i="39"/>
  <c r="Y109" i="45"/>
  <c r="AB114" i="45"/>
  <c r="AG154" i="45"/>
  <c r="AA89" i="45"/>
  <c r="AB66" i="45"/>
  <c r="D12" i="37"/>
  <c r="Y116" i="45"/>
  <c r="AE104" i="45"/>
  <c r="AD64" i="45"/>
  <c r="AC87" i="45"/>
  <c r="X100" i="45"/>
  <c r="X118" i="45"/>
  <c r="X121" i="45"/>
  <c r="AJ128" i="45"/>
  <c r="AJ132" i="45"/>
  <c r="AE67" i="45"/>
  <c r="AD90" i="45"/>
  <c r="AD114" i="45"/>
  <c r="G55" i="41"/>
  <c r="G32" i="41"/>
  <c r="AE56" i="45"/>
  <c r="AD79" i="45"/>
  <c r="AE108" i="45"/>
  <c r="AD88" i="45"/>
  <c r="AE65" i="45"/>
  <c r="AC66" i="45"/>
  <c r="AB89" i="45"/>
  <c r="AG134" i="45"/>
  <c r="M150" i="45"/>
  <c r="Z53" i="45"/>
  <c r="Y76" i="45"/>
  <c r="Y100" i="45"/>
  <c r="AC77" i="45"/>
  <c r="AD54" i="45"/>
  <c r="AF61" i="45"/>
  <c r="AE84" i="45"/>
  <c r="AA92" i="45"/>
  <c r="AA116" i="45"/>
  <c r="AB69" i="45"/>
  <c r="AC114" i="45"/>
  <c r="AF57" i="45"/>
  <c r="AE80" i="45"/>
  <c r="AD103" i="45"/>
  <c r="E12" i="37"/>
  <c r="AB59" i="45"/>
  <c r="AA82" i="45"/>
  <c r="AD117" i="45"/>
  <c r="AB81" i="45"/>
  <c r="AC58" i="45"/>
  <c r="Z109" i="45"/>
  <c r="AB111" i="45"/>
  <c r="AB122" i="45"/>
  <c r="AN129" i="45"/>
  <c r="AE115" i="45"/>
  <c r="G32" i="39"/>
  <c r="G53" i="39"/>
  <c r="I39" i="20"/>
  <c r="G373" i="37"/>
  <c r="H7" i="37"/>
  <c r="AE101" i="45"/>
  <c r="AB86" i="45"/>
  <c r="AC63" i="45"/>
  <c r="AD70" i="45"/>
  <c r="AC93" i="45"/>
  <c r="AA62" i="45"/>
  <c r="Z85" i="45"/>
  <c r="AD55" i="45"/>
  <c r="AC78" i="45"/>
  <c r="AF68" i="45"/>
  <c r="AE91" i="45"/>
  <c r="Z60" i="45"/>
  <c r="Y83" i="45"/>
  <c r="Z116" i="45"/>
  <c r="AD115" i="45"/>
  <c r="AC81" i="45"/>
  <c r="AD58" i="45"/>
  <c r="AF80" i="45"/>
  <c r="AG57" i="45"/>
  <c r="AE64" i="45"/>
  <c r="AD87" i="45"/>
  <c r="AB107" i="45"/>
  <c r="Y107" i="45"/>
  <c r="Y118" i="45"/>
  <c r="Y121" i="45"/>
  <c r="AK128" i="45"/>
  <c r="AK132" i="45"/>
  <c r="AB62" i="45"/>
  <c r="AA85" i="45"/>
  <c r="AF117" i="45"/>
  <c r="AC106" i="45"/>
  <c r="AE102" i="45"/>
  <c r="F12" i="37"/>
  <c r="AF84" i="45"/>
  <c r="AG61" i="45"/>
  <c r="AE88" i="45"/>
  <c r="AF65" i="45"/>
  <c r="AF56" i="45"/>
  <c r="AE79" i="45"/>
  <c r="AC111" i="45"/>
  <c r="AC122" i="45"/>
  <c r="AO129" i="45"/>
  <c r="Z83" i="45"/>
  <c r="AA60" i="45"/>
  <c r="AE55" i="45"/>
  <c r="AD78" i="45"/>
  <c r="AD102" i="45"/>
  <c r="AJ154" i="45"/>
  <c r="AE105" i="45"/>
  <c r="AB105" i="45"/>
  <c r="AD77" i="45"/>
  <c r="AE54" i="45"/>
  <c r="AA53" i="45"/>
  <c r="Z76" i="45"/>
  <c r="AD66" i="45"/>
  <c r="AC89" i="45"/>
  <c r="G33" i="41"/>
  <c r="AF67" i="45"/>
  <c r="AE90" i="45"/>
  <c r="AB116" i="45"/>
  <c r="AD93" i="45"/>
  <c r="AE70" i="45"/>
  <c r="J39" i="20"/>
  <c r="AC69" i="45"/>
  <c r="AB92" i="45"/>
  <c r="AG114" i="45"/>
  <c r="AE114" i="45"/>
  <c r="AD63" i="45"/>
  <c r="AC86" i="45"/>
  <c r="G33" i="39"/>
  <c r="AC59" i="45"/>
  <c r="AB82" i="45"/>
  <c r="AD106" i="45"/>
  <c r="AF91" i="45"/>
  <c r="AG68" i="45"/>
  <c r="AA109" i="45"/>
  <c r="AC110" i="45"/>
  <c r="AD112" i="45"/>
  <c r="AC102" i="45"/>
  <c r="AB110" i="45"/>
  <c r="AD101" i="45"/>
  <c r="AE112" i="45"/>
  <c r="AE103" i="45"/>
  <c r="AC113" i="45"/>
  <c r="AB113" i="45"/>
  <c r="AK154" i="45"/>
  <c r="AF114" i="45"/>
  <c r="AH68" i="45"/>
  <c r="AG91" i="45"/>
  <c r="AD69" i="45"/>
  <c r="AC92" i="45"/>
  <c r="F64" i="41"/>
  <c r="F65" i="41"/>
  <c r="F62" i="41"/>
  <c r="AC82" i="45"/>
  <c r="AD59" i="45"/>
  <c r="K39" i="20"/>
  <c r="AD89" i="45"/>
  <c r="AE66" i="45"/>
  <c r="AE78" i="45"/>
  <c r="AF55" i="45"/>
  <c r="D13" i="37"/>
  <c r="AD111" i="45"/>
  <c r="AD122" i="45"/>
  <c r="AP129" i="45"/>
  <c r="AG80" i="45"/>
  <c r="AH57" i="45"/>
  <c r="AB60" i="45"/>
  <c r="AA83" i="45"/>
  <c r="AD107" i="45"/>
  <c r="AE87" i="45"/>
  <c r="AE111" i="45"/>
  <c r="AE122" i="45"/>
  <c r="AQ129" i="45"/>
  <c r="AF64" i="45"/>
  <c r="AG104" i="45"/>
  <c r="F55" i="39"/>
  <c r="F56" i="39"/>
  <c r="F62" i="39"/>
  <c r="AF115" i="45"/>
  <c r="AA76" i="45"/>
  <c r="AB53" i="45"/>
  <c r="AF79" i="45"/>
  <c r="AG56" i="45"/>
  <c r="AG84" i="45"/>
  <c r="AH61" i="45"/>
  <c r="AD110" i="45"/>
  <c r="AE63" i="45"/>
  <c r="AD86" i="45"/>
  <c r="Z100" i="45"/>
  <c r="Z118" i="45"/>
  <c r="Z121" i="45"/>
  <c r="AL128" i="45"/>
  <c r="AF70" i="45"/>
  <c r="AE93" i="45"/>
  <c r="AF90" i="45"/>
  <c r="AG67" i="45"/>
  <c r="AF54" i="45"/>
  <c r="AE77" i="45"/>
  <c r="AG65" i="45"/>
  <c r="AF88" i="45"/>
  <c r="AF108" i="45"/>
  <c r="H12" i="37"/>
  <c r="AB85" i="45"/>
  <c r="AC62" i="45"/>
  <c r="AE58" i="45"/>
  <c r="AD81" i="45"/>
  <c r="AG105" i="45"/>
  <c r="AB106" i="45"/>
  <c r="AG108" i="45"/>
  <c r="AG64" i="45"/>
  <c r="AF87" i="45"/>
  <c r="AI57" i="45"/>
  <c r="AH80" i="45"/>
  <c r="AD82" i="45"/>
  <c r="AE59" i="45"/>
  <c r="AE81" i="45"/>
  <c r="AF58" i="45"/>
  <c r="AD113" i="45"/>
  <c r="AG88" i="45"/>
  <c r="AH65" i="45"/>
  <c r="AH84" i="45"/>
  <c r="AH108" i="45"/>
  <c r="AI61" i="45"/>
  <c r="AE89" i="45"/>
  <c r="AF66" i="45"/>
  <c r="AH91" i="45"/>
  <c r="AI68" i="45"/>
  <c r="AD116" i="45"/>
  <c r="AB109" i="45"/>
  <c r="AF93" i="45"/>
  <c r="AG70" i="45"/>
  <c r="AH56" i="45"/>
  <c r="AG79" i="45"/>
  <c r="AA100" i="45"/>
  <c r="AF111" i="45"/>
  <c r="AF122" i="45"/>
  <c r="AR129" i="45"/>
  <c r="AB83" i="45"/>
  <c r="AC60" i="45"/>
  <c r="AH104" i="45"/>
  <c r="E13" i="37"/>
  <c r="AH102" i="45"/>
  <c r="AF102" i="45"/>
  <c r="AE117" i="45"/>
  <c r="AC116" i="45"/>
  <c r="AF106" i="45"/>
  <c r="AE69" i="45"/>
  <c r="AD92" i="45"/>
  <c r="AC85" i="45"/>
  <c r="AD62" i="45"/>
  <c r="AG54" i="45"/>
  <c r="AF77" i="45"/>
  <c r="AF101" i="45"/>
  <c r="AF78" i="45"/>
  <c r="AG55" i="45"/>
  <c r="L39" i="20"/>
  <c r="AA107" i="45"/>
  <c r="AF112" i="45"/>
  <c r="AG90" i="45"/>
  <c r="AH67" i="45"/>
  <c r="AL132" i="45"/>
  <c r="AA138" i="45"/>
  <c r="E142" i="45"/>
  <c r="E140" i="6"/>
  <c r="AE86" i="45"/>
  <c r="AF63" i="45"/>
  <c r="AC53" i="45"/>
  <c r="AB76" i="45"/>
  <c r="AF103" i="45"/>
  <c r="AG117" i="45"/>
  <c r="AH115" i="45"/>
  <c r="AG115" i="45"/>
  <c r="AD53" i="45"/>
  <c r="AC76" i="45"/>
  <c r="AH55" i="45"/>
  <c r="AG78" i="45"/>
  <c r="AB100" i="45"/>
  <c r="AB118" i="45"/>
  <c r="AB121" i="45"/>
  <c r="AN128" i="45"/>
  <c r="AN132" i="45"/>
  <c r="AN154" i="45"/>
  <c r="AH54" i="45"/>
  <c r="AG77" i="45"/>
  <c r="AE92" i="45"/>
  <c r="AF69" i="45"/>
  <c r="AI115" i="45"/>
  <c r="AH112" i="45"/>
  <c r="AD100" i="45"/>
  <c r="AH88" i="45"/>
  <c r="AK112" i="45"/>
  <c r="AI65" i="45"/>
  <c r="AF59" i="45"/>
  <c r="AE82" i="45"/>
  <c r="AG111" i="45"/>
  <c r="AG122" i="45"/>
  <c r="AS129" i="45"/>
  <c r="AD85" i="45"/>
  <c r="AE62" i="45"/>
  <c r="AE106" i="45"/>
  <c r="AG87" i="45"/>
  <c r="AH64" i="45"/>
  <c r="AG112" i="45"/>
  <c r="AL154" i="45"/>
  <c r="AG136" i="45"/>
  <c r="H146" i="45"/>
  <c r="AJ134" i="45"/>
  <c r="N150" i="45"/>
  <c r="AG102" i="45"/>
  <c r="AD109" i="45"/>
  <c r="H13" i="37"/>
  <c r="F13" i="37"/>
  <c r="AD60" i="45"/>
  <c r="AC83" i="45"/>
  <c r="AA118" i="45"/>
  <c r="AA121" i="45"/>
  <c r="AM128" i="45"/>
  <c r="AG103" i="45"/>
  <c r="AC109" i="45"/>
  <c r="AG66" i="45"/>
  <c r="AF89" i="45"/>
  <c r="AE110" i="45"/>
  <c r="AJ61" i="45"/>
  <c r="AI84" i="45"/>
  <c r="AF81" i="45"/>
  <c r="AG58" i="45"/>
  <c r="E145" i="6"/>
  <c r="F26" i="10"/>
  <c r="F26" i="34"/>
  <c r="AG93" i="45"/>
  <c r="AH70" i="45"/>
  <c r="AF86" i="45"/>
  <c r="AG63" i="45"/>
  <c r="AI67" i="45"/>
  <c r="AH90" i="45"/>
  <c r="M39" i="20"/>
  <c r="AH79" i="45"/>
  <c r="AI56" i="45"/>
  <c r="AI91" i="45"/>
  <c r="AJ68" i="45"/>
  <c r="AI80" i="45"/>
  <c r="AJ57" i="45"/>
  <c r="AE113" i="45"/>
  <c r="AI104" i="45"/>
  <c r="AJ104" i="45"/>
  <c r="AI79" i="45"/>
  <c r="AJ56" i="45"/>
  <c r="N39" i="20"/>
  <c r="AF105" i="45"/>
  <c r="AF113" i="45"/>
  <c r="AD83" i="45"/>
  <c r="AE60" i="45"/>
  <c r="D14" i="37"/>
  <c r="AF110" i="45"/>
  <c r="AG59" i="45"/>
  <c r="AF82" i="45"/>
  <c r="AD118" i="45"/>
  <c r="AD121" i="45"/>
  <c r="AP128" i="45"/>
  <c r="AP132" i="45"/>
  <c r="AE116" i="45"/>
  <c r="N69" i="34"/>
  <c r="K69" i="34"/>
  <c r="J69" i="34"/>
  <c r="R69" i="34"/>
  <c r="H69" i="34"/>
  <c r="I69" i="34"/>
  <c r="O69" i="34"/>
  <c r="L69" i="34"/>
  <c r="P69" i="34"/>
  <c r="M69" i="34"/>
  <c r="G69" i="34"/>
  <c r="G112" i="34"/>
  <c r="G23" i="34"/>
  <c r="G25" i="34"/>
  <c r="G21" i="34"/>
  <c r="G22" i="34"/>
  <c r="Q69" i="34"/>
  <c r="F57" i="34"/>
  <c r="AH103" i="45"/>
  <c r="AH66" i="45"/>
  <c r="AG89" i="45"/>
  <c r="AG113" i="45"/>
  <c r="AM132" i="45"/>
  <c r="AH87" i="45"/>
  <c r="AI64" i="45"/>
  <c r="AI54" i="45"/>
  <c r="AH77" i="45"/>
  <c r="AI103" i="45"/>
  <c r="AJ108" i="45"/>
  <c r="AI108" i="45"/>
  <c r="AG101" i="45"/>
  <c r="AI55" i="45"/>
  <c r="AH78" i="45"/>
  <c r="AH101" i="45"/>
  <c r="AK68" i="45"/>
  <c r="AJ91" i="45"/>
  <c r="AI90" i="45"/>
  <c r="AJ67" i="45"/>
  <c r="L65" i="10"/>
  <c r="F29" i="10"/>
  <c r="F30" i="10"/>
  <c r="H65" i="10"/>
  <c r="I65" i="10"/>
  <c r="J65" i="10"/>
  <c r="N65" i="10"/>
  <c r="M65" i="10"/>
  <c r="K65" i="10"/>
  <c r="Q65" i="10"/>
  <c r="P65" i="10"/>
  <c r="G65" i="10"/>
  <c r="G83" i="10"/>
  <c r="G84" i="10"/>
  <c r="G106" i="10"/>
  <c r="G23" i="10"/>
  <c r="G25" i="10"/>
  <c r="G21" i="10"/>
  <c r="G22" i="10"/>
  <c r="R65" i="10"/>
  <c r="O65" i="10"/>
  <c r="F55" i="10"/>
  <c r="AK61" i="45"/>
  <c r="AJ84" i="45"/>
  <c r="AF62" i="45"/>
  <c r="AE85" i="45"/>
  <c r="AJ80" i="45"/>
  <c r="AK57" i="45"/>
  <c r="AJ115" i="45"/>
  <c r="AG86" i="45"/>
  <c r="AH63" i="45"/>
  <c r="AI70" i="45"/>
  <c r="AH93" i="45"/>
  <c r="AH117" i="45"/>
  <c r="D23" i="21"/>
  <c r="F9" i="20"/>
  <c r="F7" i="20"/>
  <c r="F25" i="20"/>
  <c r="AH58" i="45"/>
  <c r="AG81" i="45"/>
  <c r="AI117" i="45"/>
  <c r="AC107" i="45"/>
  <c r="AI88" i="45"/>
  <c r="AJ65" i="45"/>
  <c r="AF92" i="45"/>
  <c r="AG69" i="45"/>
  <c r="AH114" i="45"/>
  <c r="AC100" i="45"/>
  <c r="AC118" i="45"/>
  <c r="AC121" i="45"/>
  <c r="AO128" i="45"/>
  <c r="AO132" i="45"/>
  <c r="AO154" i="45"/>
  <c r="AD76" i="45"/>
  <c r="AE53" i="45"/>
  <c r="F53" i="10"/>
  <c r="F32" i="10"/>
  <c r="AE109" i="45"/>
  <c r="AI112" i="45"/>
  <c r="F35" i="20"/>
  <c r="AH86" i="45"/>
  <c r="AI63" i="45"/>
  <c r="AK84" i="45"/>
  <c r="AL61" i="45"/>
  <c r="AL68" i="45"/>
  <c r="AK91" i="45"/>
  <c r="AJ55" i="45"/>
  <c r="AI78" i="45"/>
  <c r="AI114" i="45"/>
  <c r="AI87" i="45"/>
  <c r="AJ64" i="45"/>
  <c r="AG82" i="45"/>
  <c r="AH59" i="45"/>
  <c r="AE83" i="45"/>
  <c r="AF60" i="45"/>
  <c r="AI58" i="45"/>
  <c r="AH81" i="45"/>
  <c r="AH105" i="45"/>
  <c r="AG110" i="45"/>
  <c r="AF85" i="45"/>
  <c r="AG62" i="45"/>
  <c r="AH110" i="45"/>
  <c r="AI66" i="45"/>
  <c r="AH89" i="45"/>
  <c r="AF116" i="45"/>
  <c r="AP154" i="45"/>
  <c r="E14" i="37"/>
  <c r="O39" i="20"/>
  <c r="AJ103" i="45"/>
  <c r="AE76" i="45"/>
  <c r="AF53" i="45"/>
  <c r="D28" i="21"/>
  <c r="D42" i="21"/>
  <c r="D3" i="25"/>
  <c r="AG92" i="45"/>
  <c r="AH69" i="45"/>
  <c r="AK65" i="45"/>
  <c r="AJ88" i="45"/>
  <c r="AJ112" i="45"/>
  <c r="AH111" i="45"/>
  <c r="AH122" i="45"/>
  <c r="AT129" i="45"/>
  <c r="F20" i="20"/>
  <c r="F17" i="20"/>
  <c r="D17" i="21"/>
  <c r="D12" i="21"/>
  <c r="AI93" i="45"/>
  <c r="AJ70" i="45"/>
  <c r="AL57" i="45"/>
  <c r="AK80" i="45"/>
  <c r="AJ90" i="45"/>
  <c r="AK67" i="45"/>
  <c r="AI102" i="45"/>
  <c r="AI77" i="45"/>
  <c r="AJ54" i="45"/>
  <c r="AM154" i="45"/>
  <c r="AM134" i="45"/>
  <c r="O150" i="45"/>
  <c r="AG106" i="45"/>
  <c r="AK56" i="45"/>
  <c r="AJ79" i="45"/>
  <c r="AM57" i="45"/>
  <c r="AL80" i="45"/>
  <c r="AL56" i="45"/>
  <c r="AK79" i="45"/>
  <c r="AJ77" i="45"/>
  <c r="AK54" i="45"/>
  <c r="AK104" i="45"/>
  <c r="AJ93" i="45"/>
  <c r="AK70" i="45"/>
  <c r="P39" i="20"/>
  <c r="AG100" i="45"/>
  <c r="AI81" i="45"/>
  <c r="AJ58" i="45"/>
  <c r="AF83" i="45"/>
  <c r="AG60" i="45"/>
  <c r="AJ78" i="45"/>
  <c r="AK55" i="45"/>
  <c r="AM61" i="45"/>
  <c r="AL84" i="45"/>
  <c r="AG116" i="45"/>
  <c r="F33" i="10"/>
  <c r="AH62" i="45"/>
  <c r="AG85" i="45"/>
  <c r="AK108" i="45"/>
  <c r="AL108" i="45"/>
  <c r="AL67" i="45"/>
  <c r="AK90" i="45"/>
  <c r="AL65" i="45"/>
  <c r="AK88" i="45"/>
  <c r="AE107" i="45"/>
  <c r="AH113" i="45"/>
  <c r="AL104" i="45"/>
  <c r="F14" i="37"/>
  <c r="AI89" i="45"/>
  <c r="AJ66" i="45"/>
  <c r="AI59" i="45"/>
  <c r="AH82" i="45"/>
  <c r="AL91" i="45"/>
  <c r="AM68" i="45"/>
  <c r="AI111" i="45"/>
  <c r="AI122" i="45"/>
  <c r="AU129" i="45"/>
  <c r="AF109" i="45"/>
  <c r="AF107" i="45"/>
  <c r="AI101" i="45"/>
  <c r="D32" i="21"/>
  <c r="D11" i="25"/>
  <c r="F76" i="20"/>
  <c r="H3" i="25"/>
  <c r="H4" i="25"/>
  <c r="AL115" i="45"/>
  <c r="AK115" i="45"/>
  <c r="AK103" i="45"/>
  <c r="AK114" i="45"/>
  <c r="AJ114" i="45"/>
  <c r="F31" i="34"/>
  <c r="F28" i="34"/>
  <c r="F31" i="41"/>
  <c r="AI69" i="45"/>
  <c r="AH92" i="45"/>
  <c r="AF76" i="45"/>
  <c r="AF100" i="45"/>
  <c r="AF118" i="45"/>
  <c r="AF121" i="45"/>
  <c r="AR128" i="45"/>
  <c r="AR132" i="45"/>
  <c r="AR154" i="45"/>
  <c r="AG53" i="45"/>
  <c r="AE100" i="45"/>
  <c r="AE118" i="45"/>
  <c r="AE121" i="45"/>
  <c r="AQ128" i="45"/>
  <c r="AI113" i="45"/>
  <c r="AJ87" i="45"/>
  <c r="AJ111" i="45"/>
  <c r="AJ122" i="45"/>
  <c r="AV129" i="45"/>
  <c r="AK64" i="45"/>
  <c r="AI86" i="45"/>
  <c r="AJ63" i="45"/>
  <c r="AK63" i="45"/>
  <c r="AJ86" i="45"/>
  <c r="AK87" i="45"/>
  <c r="AL64" i="45"/>
  <c r="AQ132" i="45"/>
  <c r="AK117" i="45"/>
  <c r="G92" i="25"/>
  <c r="G72" i="25"/>
  <c r="G26" i="25"/>
  <c r="G55" i="25"/>
  <c r="G81" i="25"/>
  <c r="G12" i="25"/>
  <c r="G97" i="25"/>
  <c r="G44" i="25"/>
  <c r="G32" i="25"/>
  <c r="G107" i="25"/>
  <c r="G78" i="25"/>
  <c r="G114" i="25"/>
  <c r="G35" i="25"/>
  <c r="G127" i="25"/>
  <c r="G121" i="25"/>
  <c r="G42" i="25"/>
  <c r="G101" i="25"/>
  <c r="G88" i="25"/>
  <c r="G100" i="25"/>
  <c r="G71" i="25"/>
  <c r="G41" i="25"/>
  <c r="G19" i="25"/>
  <c r="G77" i="25"/>
  <c r="G112" i="25"/>
  <c r="G13" i="25"/>
  <c r="G105" i="25"/>
  <c r="G33" i="25"/>
  <c r="G109" i="25"/>
  <c r="G28" i="25"/>
  <c r="G68" i="25"/>
  <c r="G63" i="25"/>
  <c r="G85" i="25"/>
  <c r="G104" i="25"/>
  <c r="G67" i="25"/>
  <c r="G130" i="25"/>
  <c r="G106" i="25"/>
  <c r="G15" i="25"/>
  <c r="G52" i="25"/>
  <c r="G51" i="25"/>
  <c r="G118" i="25"/>
  <c r="G60" i="25"/>
  <c r="G39" i="25"/>
  <c r="G115" i="25"/>
  <c r="G89" i="25"/>
  <c r="G96" i="25"/>
  <c r="G25" i="25"/>
  <c r="G47" i="25"/>
  <c r="G18" i="25"/>
  <c r="G17" i="25"/>
  <c r="G56" i="25"/>
  <c r="G73" i="25"/>
  <c r="G74" i="25"/>
  <c r="G124" i="25"/>
  <c r="G102" i="25"/>
  <c r="G103" i="25"/>
  <c r="G113" i="25"/>
  <c r="G128" i="25"/>
  <c r="G91" i="25"/>
  <c r="G110" i="25"/>
  <c r="G14" i="25"/>
  <c r="G54" i="25"/>
  <c r="G120" i="25"/>
  <c r="G62" i="25"/>
  <c r="G43" i="25"/>
  <c r="G40" i="25"/>
  <c r="G117" i="25"/>
  <c r="G79" i="25"/>
  <c r="G27" i="25"/>
  <c r="G80" i="25"/>
  <c r="G29" i="25"/>
  <c r="G65" i="25"/>
  <c r="G34" i="25"/>
  <c r="G99" i="25"/>
  <c r="G131" i="25"/>
  <c r="G95" i="25"/>
  <c r="G48" i="25"/>
  <c r="G36" i="25"/>
  <c r="G24" i="25"/>
  <c r="G94" i="25"/>
  <c r="G98" i="25"/>
  <c r="G20" i="25"/>
  <c r="G122" i="25"/>
  <c r="G90" i="25"/>
  <c r="G119" i="25"/>
  <c r="G46" i="25"/>
  <c r="G45" i="25"/>
  <c r="G22" i="25"/>
  <c r="G58" i="25"/>
  <c r="G86" i="25"/>
  <c r="G83" i="25"/>
  <c r="G82" i="25"/>
  <c r="G70" i="25"/>
  <c r="G111" i="25"/>
  <c r="G66" i="25"/>
  <c r="G59" i="25"/>
  <c r="G123" i="25"/>
  <c r="G129" i="25"/>
  <c r="G16" i="25"/>
  <c r="G57" i="25"/>
  <c r="G87" i="25"/>
  <c r="G37" i="25"/>
  <c r="G61" i="25"/>
  <c r="G23" i="25"/>
  <c r="G76" i="25"/>
  <c r="G125" i="25"/>
  <c r="G108" i="25"/>
  <c r="G75" i="25"/>
  <c r="G69" i="25"/>
  <c r="G49" i="25"/>
  <c r="G31" i="25"/>
  <c r="G126" i="25"/>
  <c r="G53" i="25"/>
  <c r="G50" i="25"/>
  <c r="G21" i="25"/>
  <c r="G84" i="25"/>
  <c r="G116" i="25"/>
  <c r="G64" i="25"/>
  <c r="G38" i="25"/>
  <c r="G93" i="25"/>
  <c r="G30" i="25"/>
  <c r="AM67" i="45"/>
  <c r="AL90" i="45"/>
  <c r="AI105" i="45"/>
  <c r="AK93" i="45"/>
  <c r="AL70" i="45"/>
  <c r="AL54" i="45"/>
  <c r="AK77" i="45"/>
  <c r="AI110" i="45"/>
  <c r="F29" i="34"/>
  <c r="F30" i="34"/>
  <c r="AI106" i="45"/>
  <c r="AM65" i="45"/>
  <c r="AL88" i="45"/>
  <c r="AH106" i="45"/>
  <c r="AH53" i="45"/>
  <c r="AG76" i="45"/>
  <c r="AI82" i="45"/>
  <c r="AJ59" i="45"/>
  <c r="D15" i="37"/>
  <c r="E60" i="10"/>
  <c r="AL55" i="45"/>
  <c r="AK78" i="45"/>
  <c r="AH116" i="45"/>
  <c r="AL103" i="45"/>
  <c r="AK101" i="45"/>
  <c r="AK66" i="45"/>
  <c r="AJ89" i="45"/>
  <c r="AJ110" i="45"/>
  <c r="AN61" i="45"/>
  <c r="AM84" i="45"/>
  <c r="AG83" i="45"/>
  <c r="AH60" i="45"/>
  <c r="AJ117" i="45"/>
  <c r="AN57" i="45"/>
  <c r="AM80" i="45"/>
  <c r="AI92" i="45"/>
  <c r="AJ69" i="45"/>
  <c r="D12" i="25"/>
  <c r="AM91" i="45"/>
  <c r="AN68" i="45"/>
  <c r="AG109" i="45"/>
  <c r="H14" i="37"/>
  <c r="AJ101" i="45"/>
  <c r="AI62" i="45"/>
  <c r="AH85" i="45"/>
  <c r="AK102" i="45"/>
  <c r="AJ102" i="45"/>
  <c r="AK58" i="45"/>
  <c r="AJ81" i="45"/>
  <c r="Q39" i="20"/>
  <c r="AM56" i="45"/>
  <c r="AL79" i="45"/>
  <c r="AJ62" i="45"/>
  <c r="AI85" i="45"/>
  <c r="AL66" i="45"/>
  <c r="AK89" i="45"/>
  <c r="AM90" i="45"/>
  <c r="AN67" i="45"/>
  <c r="AM79" i="45"/>
  <c r="AN56" i="45"/>
  <c r="R39" i="20"/>
  <c r="AI109" i="45"/>
  <c r="AH109" i="45"/>
  <c r="AK69" i="45"/>
  <c r="AJ92" i="45"/>
  <c r="AG107" i="45"/>
  <c r="AG118" i="45"/>
  <c r="AG121" i="45"/>
  <c r="AS128" i="45"/>
  <c r="AM113" i="45"/>
  <c r="AJ113" i="45"/>
  <c r="E15" i="37"/>
  <c r="AM88" i="45"/>
  <c r="AN65" i="45"/>
  <c r="AL114" i="45"/>
  <c r="AM114" i="45"/>
  <c r="AL87" i="45"/>
  <c r="AM64" i="45"/>
  <c r="D13" i="25"/>
  <c r="E12" i="25"/>
  <c r="AJ116" i="45"/>
  <c r="AJ105" i="45"/>
  <c r="AK105" i="45"/>
  <c r="AN91" i="45"/>
  <c r="AO68" i="45"/>
  <c r="AM104" i="45"/>
  <c r="AO61" i="45"/>
  <c r="AN84" i="45"/>
  <c r="AH76" i="45"/>
  <c r="AI53" i="45"/>
  <c r="AL93" i="45"/>
  <c r="AM70" i="45"/>
  <c r="AM108" i="45"/>
  <c r="AN108" i="45"/>
  <c r="AM54" i="45"/>
  <c r="AL77" i="45"/>
  <c r="AK111" i="45"/>
  <c r="AK122" i="45"/>
  <c r="AW129" i="45"/>
  <c r="AK81" i="45"/>
  <c r="AL58" i="45"/>
  <c r="AN115" i="45"/>
  <c r="AN80" i="45"/>
  <c r="AO57" i="45"/>
  <c r="AI60" i="45"/>
  <c r="AH83" i="45"/>
  <c r="AM55" i="45"/>
  <c r="AL78" i="45"/>
  <c r="AK59" i="45"/>
  <c r="AJ82" i="45"/>
  <c r="AI116" i="45"/>
  <c r="AL112" i="45"/>
  <c r="AM112" i="45"/>
  <c r="F55" i="34"/>
  <c r="F32" i="34"/>
  <c r="AM115" i="45"/>
  <c r="G373" i="25"/>
  <c r="H7" i="25"/>
  <c r="AQ154" i="45"/>
  <c r="AM136" i="45"/>
  <c r="I146" i="45"/>
  <c r="AP134" i="45"/>
  <c r="P150" i="45"/>
  <c r="AL63" i="45"/>
  <c r="AK86" i="45"/>
  <c r="AM110" i="45"/>
  <c r="AK113" i="45"/>
  <c r="AM93" i="45"/>
  <c r="AN70" i="45"/>
  <c r="AP61" i="45"/>
  <c r="AO84" i="45"/>
  <c r="E13" i="25"/>
  <c r="H13" i="25"/>
  <c r="D14" i="25"/>
  <c r="AO65" i="45"/>
  <c r="AN88" i="45"/>
  <c r="AO80" i="45"/>
  <c r="AO104" i="45"/>
  <c r="AP57" i="45"/>
  <c r="H12" i="25"/>
  <c r="AK92" i="45"/>
  <c r="AL69" i="45"/>
  <c r="AJ85" i="45"/>
  <c r="AK62" i="45"/>
  <c r="AM66" i="45"/>
  <c r="AL89" i="45"/>
  <c r="AL86" i="45"/>
  <c r="AM63" i="45"/>
  <c r="AJ106" i="45"/>
  <c r="AN55" i="45"/>
  <c r="AM78" i="45"/>
  <c r="AM77" i="45"/>
  <c r="AN54" i="45"/>
  <c r="AM117" i="45"/>
  <c r="AO91" i="45"/>
  <c r="AP68" i="45"/>
  <c r="AL101" i="45"/>
  <c r="F15" i="37"/>
  <c r="AH107" i="45"/>
  <c r="S39" i="20"/>
  <c r="AN90" i="45"/>
  <c r="AO67" i="45"/>
  <c r="AL111" i="45"/>
  <c r="AL122" i="45"/>
  <c r="AX129" i="45"/>
  <c r="AL110" i="45"/>
  <c r="AK110" i="45"/>
  <c r="AM102" i="45"/>
  <c r="AN104" i="45"/>
  <c r="AM58" i="45"/>
  <c r="AL81" i="45"/>
  <c r="AL102" i="45"/>
  <c r="F33" i="34"/>
  <c r="AK82" i="45"/>
  <c r="AL59" i="45"/>
  <c r="AJ60" i="45"/>
  <c r="AI83" i="45"/>
  <c r="AI107" i="45"/>
  <c r="AH100" i="45"/>
  <c r="AP108" i="45"/>
  <c r="AJ53" i="45"/>
  <c r="AI76" i="45"/>
  <c r="AM87" i="45"/>
  <c r="AN64" i="45"/>
  <c r="AS132" i="45"/>
  <c r="AN79" i="45"/>
  <c r="AO56" i="45"/>
  <c r="AM103" i="45"/>
  <c r="AL117" i="45"/>
  <c r="AL116" i="45"/>
  <c r="AM111" i="45"/>
  <c r="AM122" i="45"/>
  <c r="AY129" i="45"/>
  <c r="AJ76" i="45"/>
  <c r="AK53" i="45"/>
  <c r="AJ83" i="45"/>
  <c r="AK60" i="45"/>
  <c r="AL105" i="45"/>
  <c r="AM89" i="45"/>
  <c r="AN66" i="45"/>
  <c r="AO88" i="45"/>
  <c r="AP65" i="45"/>
  <c r="AQ61" i="45"/>
  <c r="AP84" i="45"/>
  <c r="AM59" i="45"/>
  <c r="AL82" i="45"/>
  <c r="E64" i="34"/>
  <c r="E62" i="34"/>
  <c r="D16" i="37"/>
  <c r="AL62" i="45"/>
  <c r="AK85" i="45"/>
  <c r="E14" i="25"/>
  <c r="D15" i="25"/>
  <c r="AS154" i="45"/>
  <c r="AN58" i="45"/>
  <c r="AM81" i="45"/>
  <c r="H26" i="39"/>
  <c r="H26" i="41"/>
  <c r="T39" i="20"/>
  <c r="H15" i="37"/>
  <c r="AQ68" i="45"/>
  <c r="AP91" i="45"/>
  <c r="AO54" i="45"/>
  <c r="AN77" i="45"/>
  <c r="AK109" i="45"/>
  <c r="AJ109" i="45"/>
  <c r="AL92" i="45"/>
  <c r="AM69" i="45"/>
  <c r="AR104" i="45"/>
  <c r="AN78" i="45"/>
  <c r="AO55" i="45"/>
  <c r="AN63" i="45"/>
  <c r="AM86" i="45"/>
  <c r="AP80" i="45"/>
  <c r="AQ57" i="45"/>
  <c r="AN93" i="45"/>
  <c r="AO70" i="45"/>
  <c r="AO79" i="45"/>
  <c r="AP56" i="45"/>
  <c r="AH118" i="45"/>
  <c r="AH121" i="45"/>
  <c r="AT128" i="45"/>
  <c r="AN114" i="45"/>
  <c r="AN103" i="45"/>
  <c r="AO64" i="45"/>
  <c r="AN87" i="45"/>
  <c r="AI100" i="45"/>
  <c r="AI118" i="45"/>
  <c r="AI121" i="45"/>
  <c r="AU128" i="45"/>
  <c r="AU132" i="45"/>
  <c r="AU154" i="45"/>
  <c r="AJ100" i="45"/>
  <c r="AO90" i="45"/>
  <c r="AO114" i="45"/>
  <c r="AP67" i="45"/>
  <c r="AO115" i="45"/>
  <c r="AP115" i="45"/>
  <c r="AK106" i="45"/>
  <c r="AL113" i="45"/>
  <c r="AK116" i="45"/>
  <c r="AO112" i="45"/>
  <c r="AO108" i="45"/>
  <c r="AM101" i="45"/>
  <c r="AN112" i="45"/>
  <c r="AQ67" i="45"/>
  <c r="AP90" i="45"/>
  <c r="AP70" i="45"/>
  <c r="AO93" i="45"/>
  <c r="AO117" i="45"/>
  <c r="AM105" i="45"/>
  <c r="AQ101" i="45"/>
  <c r="AN101" i="45"/>
  <c r="L68" i="39"/>
  <c r="J68" i="39"/>
  <c r="I68" i="39"/>
  <c r="I88" i="39"/>
  <c r="I23" i="39"/>
  <c r="I25" i="39"/>
  <c r="I21" i="39"/>
  <c r="I22" i="39"/>
  <c r="M68" i="39"/>
  <c r="N68" i="39"/>
  <c r="H29" i="39"/>
  <c r="H30" i="39"/>
  <c r="K68" i="39"/>
  <c r="O68" i="39"/>
  <c r="P68" i="39"/>
  <c r="H57" i="39"/>
  <c r="H14" i="25"/>
  <c r="AL85" i="45"/>
  <c r="AM62" i="45"/>
  <c r="AM82" i="45"/>
  <c r="AM106" i="45"/>
  <c r="AN59" i="45"/>
  <c r="AO66" i="45"/>
  <c r="AN89" i="45"/>
  <c r="AN113" i="45"/>
  <c r="AL53" i="45"/>
  <c r="AK76" i="45"/>
  <c r="AP114" i="45"/>
  <c r="AP64" i="45"/>
  <c r="AO87" i="45"/>
  <c r="E16" i="37"/>
  <c r="AP79" i="45"/>
  <c r="AQ56" i="45"/>
  <c r="AR57" i="45"/>
  <c r="AQ80" i="45"/>
  <c r="AP55" i="45"/>
  <c r="AO78" i="45"/>
  <c r="AN102" i="45"/>
  <c r="AN69" i="45"/>
  <c r="AM92" i="45"/>
  <c r="U39" i="20"/>
  <c r="AN81" i="45"/>
  <c r="AO58" i="45"/>
  <c r="AQ84" i="45"/>
  <c r="AR61" i="45"/>
  <c r="AL60" i="45"/>
  <c r="AK83" i="45"/>
  <c r="AN111" i="45"/>
  <c r="AN122" i="45"/>
  <c r="AZ129" i="45"/>
  <c r="AT132" i="45"/>
  <c r="AO63" i="45"/>
  <c r="AN86" i="45"/>
  <c r="AP54" i="45"/>
  <c r="AO77" i="45"/>
  <c r="AQ108" i="45"/>
  <c r="AP103" i="45"/>
  <c r="AP104" i="45"/>
  <c r="AQ104" i="45"/>
  <c r="AO102" i="45"/>
  <c r="AN117" i="45"/>
  <c r="AM116" i="45"/>
  <c r="AQ91" i="45"/>
  <c r="AQ115" i="45"/>
  <c r="AR68" i="45"/>
  <c r="H29" i="41"/>
  <c r="H30" i="41"/>
  <c r="P71" i="41"/>
  <c r="I71" i="41"/>
  <c r="I112" i="41"/>
  <c r="I23" i="41"/>
  <c r="I25" i="41"/>
  <c r="I21" i="41"/>
  <c r="I22" i="41"/>
  <c r="Q71" i="41"/>
  <c r="L71" i="41"/>
  <c r="S71" i="41"/>
  <c r="T71" i="41"/>
  <c r="J71" i="41"/>
  <c r="R71" i="41"/>
  <c r="K71" i="41"/>
  <c r="O71" i="41"/>
  <c r="M71" i="41"/>
  <c r="N71" i="41"/>
  <c r="H57" i="41"/>
  <c r="E15" i="25"/>
  <c r="D16" i="25"/>
  <c r="AL109" i="45"/>
  <c r="AL106" i="45"/>
  <c r="AP88" i="45"/>
  <c r="AP112" i="45"/>
  <c r="AQ65" i="45"/>
  <c r="AJ107" i="45"/>
  <c r="AJ118" i="45"/>
  <c r="AJ121" i="45"/>
  <c r="AV128" i="45"/>
  <c r="AV132" i="45"/>
  <c r="AO103" i="45"/>
  <c r="AV154" i="45"/>
  <c r="H15" i="25"/>
  <c r="H55" i="41"/>
  <c r="H32" i="41"/>
  <c r="V39" i="20"/>
  <c r="E16" i="25"/>
  <c r="H16" i="25"/>
  <c r="D17" i="25"/>
  <c r="AP77" i="45"/>
  <c r="AQ54" i="45"/>
  <c r="AT154" i="45"/>
  <c r="AS134" i="45"/>
  <c r="Q150" i="45"/>
  <c r="AQ55" i="45"/>
  <c r="AP78" i="45"/>
  <c r="AN92" i="45"/>
  <c r="AO69" i="45"/>
  <c r="AQ88" i="45"/>
  <c r="AR65" i="45"/>
  <c r="AR91" i="45"/>
  <c r="AS68" i="45"/>
  <c r="AP63" i="45"/>
  <c r="AO86" i="45"/>
  <c r="AK107" i="45"/>
  <c r="AS61" i="45"/>
  <c r="AR84" i="45"/>
  <c r="AP58" i="45"/>
  <c r="AO81" i="45"/>
  <c r="AR80" i="45"/>
  <c r="AS57" i="45"/>
  <c r="H16" i="37"/>
  <c r="F16" i="37"/>
  <c r="AN82" i="45"/>
  <c r="AO59" i="45"/>
  <c r="H53" i="39"/>
  <c r="H32" i="39"/>
  <c r="AP93" i="45"/>
  <c r="AQ70" i="45"/>
  <c r="AQ90" i="45"/>
  <c r="AR67" i="45"/>
  <c r="AK100" i="45"/>
  <c r="AK118" i="45"/>
  <c r="AK121" i="45"/>
  <c r="AW128" i="45"/>
  <c r="AW132" i="45"/>
  <c r="AW154" i="45"/>
  <c r="AM53" i="45"/>
  <c r="AL76" i="45"/>
  <c r="AM85" i="45"/>
  <c r="AN62" i="45"/>
  <c r="AR115" i="45"/>
  <c r="AP101" i="45"/>
  <c r="AO101" i="45"/>
  <c r="AM60" i="45"/>
  <c r="AL83" i="45"/>
  <c r="AO105" i="45"/>
  <c r="AR56" i="45"/>
  <c r="AQ79" i="45"/>
  <c r="AQ64" i="45"/>
  <c r="AP87" i="45"/>
  <c r="AP66" i="45"/>
  <c r="AO89" i="45"/>
  <c r="AN110" i="45"/>
  <c r="AO111" i="45"/>
  <c r="AO122" i="45"/>
  <c r="BA129" i="45"/>
  <c r="AP117" i="45"/>
  <c r="AN105" i="45"/>
  <c r="AM107" i="45"/>
  <c r="AL100" i="45"/>
  <c r="AP59" i="45"/>
  <c r="AO82" i="45"/>
  <c r="D17" i="37"/>
  <c r="AQ58" i="45"/>
  <c r="AP81" i="45"/>
  <c r="AS65" i="45"/>
  <c r="AR88" i="45"/>
  <c r="AR112" i="45"/>
  <c r="AO92" i="45"/>
  <c r="AP69" i="45"/>
  <c r="AP113" i="45"/>
  <c r="AS67" i="45"/>
  <c r="AR90" i="45"/>
  <c r="H33" i="39"/>
  <c r="AQ66" i="45"/>
  <c r="AP89" i="45"/>
  <c r="AR79" i="45"/>
  <c r="AS56" i="45"/>
  <c r="AQ112" i="45"/>
  <c r="AN85" i="45"/>
  <c r="AO62" i="45"/>
  <c r="AQ114" i="45"/>
  <c r="AT61" i="45"/>
  <c r="AS84" i="45"/>
  <c r="AS108" i="45"/>
  <c r="AT68" i="45"/>
  <c r="AS91" i="45"/>
  <c r="AO110" i="45"/>
  <c r="AQ78" i="45"/>
  <c r="AR55" i="45"/>
  <c r="W39" i="20"/>
  <c r="H33" i="41"/>
  <c r="AP110" i="45"/>
  <c r="AQ87" i="45"/>
  <c r="AR64" i="45"/>
  <c r="AM83" i="45"/>
  <c r="AN60" i="45"/>
  <c r="AM76" i="45"/>
  <c r="AN53" i="45"/>
  <c r="AO106" i="45"/>
  <c r="AS80" i="45"/>
  <c r="AT57" i="45"/>
  <c r="AP102" i="45"/>
  <c r="AQ102" i="45"/>
  <c r="AO113" i="45"/>
  <c r="AN106" i="45"/>
  <c r="AP111" i="45"/>
  <c r="AP122" i="45"/>
  <c r="BB129" i="45"/>
  <c r="AN109" i="45"/>
  <c r="AM109" i="45"/>
  <c r="AQ93" i="45"/>
  <c r="AQ117" i="45"/>
  <c r="AR70" i="45"/>
  <c r="AR114" i="45"/>
  <c r="AL107" i="45"/>
  <c r="AQ63" i="45"/>
  <c r="AP86" i="45"/>
  <c r="AQ103" i="45"/>
  <c r="AN116" i="45"/>
  <c r="AQ77" i="45"/>
  <c r="AR54" i="45"/>
  <c r="D18" i="25"/>
  <c r="E17" i="25"/>
  <c r="AR108" i="45"/>
  <c r="AR63" i="45"/>
  <c r="AQ86" i="45"/>
  <c r="H17" i="25"/>
  <c r="AR93" i="45"/>
  <c r="AS70" i="45"/>
  <c r="AS104" i="45"/>
  <c r="G64" i="41"/>
  <c r="G65" i="41"/>
  <c r="G62" i="41"/>
  <c r="AS115" i="45"/>
  <c r="AT84" i="45"/>
  <c r="AU61" i="45"/>
  <c r="AT56" i="45"/>
  <c r="AS79" i="45"/>
  <c r="AT67" i="45"/>
  <c r="AS90" i="45"/>
  <c r="AO116" i="45"/>
  <c r="AR117" i="45"/>
  <c r="AP62" i="45"/>
  <c r="AO85" i="45"/>
  <c r="AR103" i="45"/>
  <c r="AS105" i="45"/>
  <c r="AP105" i="45"/>
  <c r="AS54" i="45"/>
  <c r="AR77" i="45"/>
  <c r="AP107" i="45"/>
  <c r="AQ111" i="45"/>
  <c r="AQ122" i="45"/>
  <c r="BC129" i="45"/>
  <c r="X39" i="20"/>
  <c r="G55" i="39"/>
  <c r="G56" i="39"/>
  <c r="G62" i="39"/>
  <c r="AS88" i="45"/>
  <c r="AT65" i="45"/>
  <c r="AQ81" i="45"/>
  <c r="AQ105" i="45"/>
  <c r="AR58" i="45"/>
  <c r="AM100" i="45"/>
  <c r="AM118" i="45"/>
  <c r="AM121" i="45"/>
  <c r="AY128" i="45"/>
  <c r="D19" i="25"/>
  <c r="E18" i="25"/>
  <c r="AN83" i="45"/>
  <c r="AO60" i="45"/>
  <c r="AT91" i="45"/>
  <c r="AT115" i="45"/>
  <c r="AU68" i="45"/>
  <c r="AT80" i="45"/>
  <c r="AT104" i="45"/>
  <c r="AU57" i="45"/>
  <c r="AO53" i="45"/>
  <c r="AN76" i="45"/>
  <c r="AR87" i="45"/>
  <c r="AS64" i="45"/>
  <c r="AR78" i="45"/>
  <c r="AT102" i="45"/>
  <c r="AS55" i="45"/>
  <c r="AQ89" i="45"/>
  <c r="AR66" i="45"/>
  <c r="AS114" i="45"/>
  <c r="AQ69" i="45"/>
  <c r="AP92" i="45"/>
  <c r="E17" i="37"/>
  <c r="AQ59" i="45"/>
  <c r="AP82" i="45"/>
  <c r="AL118" i="45"/>
  <c r="AL121" i="45"/>
  <c r="AX128" i="45"/>
  <c r="AP106" i="45"/>
  <c r="AR111" i="45"/>
  <c r="AR122" i="45"/>
  <c r="BD129" i="45"/>
  <c r="AS78" i="45"/>
  <c r="AT55" i="45"/>
  <c r="AN100" i="45"/>
  <c r="AU91" i="45"/>
  <c r="AV68" i="45"/>
  <c r="AX132" i="45"/>
  <c r="AM138" i="45"/>
  <c r="F142" i="45"/>
  <c r="F140" i="6"/>
  <c r="AQ113" i="45"/>
  <c r="AT64" i="45"/>
  <c r="AS87" i="45"/>
  <c r="AV57" i="45"/>
  <c r="AU80" i="45"/>
  <c r="AP60" i="45"/>
  <c r="AO83" i="45"/>
  <c r="AO107" i="45"/>
  <c r="AS103" i="45"/>
  <c r="AS58" i="45"/>
  <c r="AR81" i="45"/>
  <c r="AP116" i="45"/>
  <c r="Y39" i="20"/>
  <c r="AS112" i="45"/>
  <c r="AT90" i="45"/>
  <c r="AU67" i="45"/>
  <c r="AT108" i="45"/>
  <c r="AU104" i="45"/>
  <c r="AR105" i="45"/>
  <c r="AQ110" i="45"/>
  <c r="AR59" i="45"/>
  <c r="AQ82" i="45"/>
  <c r="AY132" i="45"/>
  <c r="AT88" i="45"/>
  <c r="AU65" i="45"/>
  <c r="AT103" i="45"/>
  <c r="AN107" i="45"/>
  <c r="AQ62" i="45"/>
  <c r="AP85" i="45"/>
  <c r="AU56" i="45"/>
  <c r="AT79" i="45"/>
  <c r="AR86" i="45"/>
  <c r="AS63" i="45"/>
  <c r="AO109" i="45"/>
  <c r="H18" i="25"/>
  <c r="F17" i="37"/>
  <c r="D18" i="37"/>
  <c r="AR69" i="45"/>
  <c r="AQ92" i="45"/>
  <c r="AR89" i="45"/>
  <c r="AS66" i="45"/>
  <c r="AS102" i="45"/>
  <c r="AR102" i="45"/>
  <c r="AO76" i="45"/>
  <c r="AP53" i="45"/>
  <c r="AU115" i="45"/>
  <c r="D20" i="25"/>
  <c r="E19" i="25"/>
  <c r="H19" i="25"/>
  <c r="AR106" i="45"/>
  <c r="AT112" i="45"/>
  <c r="AT54" i="45"/>
  <c r="AS77" i="45"/>
  <c r="AT114" i="45"/>
  <c r="AV61" i="45"/>
  <c r="AU84" i="45"/>
  <c r="AT70" i="45"/>
  <c r="AS93" i="45"/>
  <c r="AR101" i="45"/>
  <c r="AV84" i="45"/>
  <c r="AW61" i="45"/>
  <c r="E20" i="25"/>
  <c r="H20" i="25"/>
  <c r="D21" i="25"/>
  <c r="AT66" i="45"/>
  <c r="AS89" i="45"/>
  <c r="E18" i="37"/>
  <c r="AS86" i="45"/>
  <c r="AT63" i="45"/>
  <c r="AS101" i="45"/>
  <c r="AY154" i="45"/>
  <c r="AV80" i="45"/>
  <c r="AW57" i="45"/>
  <c r="H17" i="37"/>
  <c r="AS110" i="45"/>
  <c r="AO100" i="45"/>
  <c r="AO118" i="45"/>
  <c r="AO121" i="45"/>
  <c r="BA128" i="45"/>
  <c r="BA132" i="45"/>
  <c r="BA154" i="45"/>
  <c r="AU88" i="45"/>
  <c r="AV65" i="45"/>
  <c r="AV91" i="45"/>
  <c r="AW68" i="45"/>
  <c r="AT78" i="45"/>
  <c r="AU55" i="45"/>
  <c r="AQ109" i="45"/>
  <c r="AR110" i="45"/>
  <c r="AS59" i="45"/>
  <c r="AR82" i="45"/>
  <c r="Z39" i="20"/>
  <c r="AQ60" i="45"/>
  <c r="AP83" i="45"/>
  <c r="AT87" i="45"/>
  <c r="AU64" i="45"/>
  <c r="G26" i="10"/>
  <c r="G26" i="34"/>
  <c r="F145" i="6"/>
  <c r="AU112" i="45"/>
  <c r="AT93" i="45"/>
  <c r="AU70" i="45"/>
  <c r="AP100" i="45"/>
  <c r="AP118" i="45"/>
  <c r="AP121" i="45"/>
  <c r="BB128" i="45"/>
  <c r="BB132" i="45"/>
  <c r="AT77" i="45"/>
  <c r="AU54" i="45"/>
  <c r="AS111" i="45"/>
  <c r="AS122" i="45"/>
  <c r="BE129" i="45"/>
  <c r="AS117" i="45"/>
  <c r="AT117" i="45"/>
  <c r="AU108" i="45"/>
  <c r="AV108" i="45"/>
  <c r="AQ53" i="45"/>
  <c r="AP76" i="45"/>
  <c r="AR92" i="45"/>
  <c r="AS69" i="45"/>
  <c r="AP109" i="45"/>
  <c r="AU79" i="45"/>
  <c r="AU103" i="45"/>
  <c r="AV56" i="45"/>
  <c r="AR62" i="45"/>
  <c r="AQ85" i="45"/>
  <c r="AU90" i="45"/>
  <c r="AV67" i="45"/>
  <c r="AS113" i="45"/>
  <c r="AT58" i="45"/>
  <c r="AS81" i="45"/>
  <c r="AR113" i="45"/>
  <c r="AX154" i="45"/>
  <c r="AV134" i="45"/>
  <c r="R150" i="45"/>
  <c r="AS136" i="45"/>
  <c r="J146" i="45"/>
  <c r="AN118" i="45"/>
  <c r="AN121" i="45"/>
  <c r="AZ128" i="45"/>
  <c r="AQ116" i="45"/>
  <c r="AQ106" i="45"/>
  <c r="AU58" i="45"/>
  <c r="AT81" i="45"/>
  <c r="AS92" i="45"/>
  <c r="AS116" i="45"/>
  <c r="AT69" i="45"/>
  <c r="AW67" i="45"/>
  <c r="AV90" i="45"/>
  <c r="AV79" i="45"/>
  <c r="AW56" i="45"/>
  <c r="AR53" i="45"/>
  <c r="AQ76" i="45"/>
  <c r="AU77" i="45"/>
  <c r="AV54" i="45"/>
  <c r="E23" i="21"/>
  <c r="G25" i="20"/>
  <c r="G9" i="20"/>
  <c r="G7" i="20"/>
  <c r="AT111" i="45"/>
  <c r="AT122" i="45"/>
  <c r="BF129" i="45"/>
  <c r="AV114" i="45"/>
  <c r="AV55" i="45"/>
  <c r="AU78" i="45"/>
  <c r="AV88" i="45"/>
  <c r="AW65" i="45"/>
  <c r="AQ100" i="45"/>
  <c r="AU101" i="45"/>
  <c r="H18" i="37"/>
  <c r="F18" i="37"/>
  <c r="D19" i="37"/>
  <c r="D22" i="25"/>
  <c r="E21" i="25"/>
  <c r="H21" i="25"/>
  <c r="AV104" i="45"/>
  <c r="AU63" i="45"/>
  <c r="AT86" i="45"/>
  <c r="AV103" i="45"/>
  <c r="S70" i="34"/>
  <c r="H70" i="34"/>
  <c r="H112" i="34"/>
  <c r="H23" i="34"/>
  <c r="H25" i="34"/>
  <c r="H21" i="34"/>
  <c r="H22" i="34"/>
  <c r="K70" i="34"/>
  <c r="N70" i="34"/>
  <c r="M70" i="34"/>
  <c r="P70" i="34"/>
  <c r="J70" i="34"/>
  <c r="Q70" i="34"/>
  <c r="I70" i="34"/>
  <c r="O70" i="34"/>
  <c r="R70" i="34"/>
  <c r="L70" i="34"/>
  <c r="G57" i="34"/>
  <c r="AA39" i="20"/>
  <c r="AX57" i="45"/>
  <c r="AW80" i="45"/>
  <c r="AZ132" i="45"/>
  <c r="AR116" i="45"/>
  <c r="BB154" i="45"/>
  <c r="L66" i="10"/>
  <c r="M66" i="10"/>
  <c r="I66" i="10"/>
  <c r="P66" i="10"/>
  <c r="R66" i="10"/>
  <c r="J66" i="10"/>
  <c r="S66" i="10"/>
  <c r="N66" i="10"/>
  <c r="K66" i="10"/>
  <c r="G29" i="10"/>
  <c r="G30" i="10"/>
  <c r="H66" i="10"/>
  <c r="H83" i="10"/>
  <c r="H84" i="10"/>
  <c r="H106" i="10"/>
  <c r="H23" i="10"/>
  <c r="H25" i="10"/>
  <c r="H21" i="10"/>
  <c r="H22" i="10"/>
  <c r="O66" i="10"/>
  <c r="Q66" i="10"/>
  <c r="G55" i="10"/>
  <c r="AR60" i="45"/>
  <c r="AQ83" i="45"/>
  <c r="AT59" i="45"/>
  <c r="AS82" i="45"/>
  <c r="AW91" i="45"/>
  <c r="AX68" i="45"/>
  <c r="AS62" i="45"/>
  <c r="AR85" i="45"/>
  <c r="AS100" i="45"/>
  <c r="AU93" i="45"/>
  <c r="AV70" i="45"/>
  <c r="AV64" i="45"/>
  <c r="AU87" i="45"/>
  <c r="AW103" i="45"/>
  <c r="AV115" i="45"/>
  <c r="AW115" i="45"/>
  <c r="AU114" i="45"/>
  <c r="AU66" i="45"/>
  <c r="AT89" i="45"/>
  <c r="AX61" i="45"/>
  <c r="AW84" i="45"/>
  <c r="AS106" i="45"/>
  <c r="AT101" i="45"/>
  <c r="AV111" i="45"/>
  <c r="AV122" i="45"/>
  <c r="BH129" i="45"/>
  <c r="AW70" i="45"/>
  <c r="AV93" i="45"/>
  <c r="AR83" i="45"/>
  <c r="AS60" i="45"/>
  <c r="AY57" i="45"/>
  <c r="AX80" i="45"/>
  <c r="AX84" i="45"/>
  <c r="AY61" i="45"/>
  <c r="AV87" i="45"/>
  <c r="AW64" i="45"/>
  <c r="G32" i="10"/>
  <c r="G53" i="10"/>
  <c r="AR109" i="45"/>
  <c r="AX104" i="45"/>
  <c r="AU102" i="45"/>
  <c r="AW104" i="45"/>
  <c r="AX65" i="45"/>
  <c r="AW88" i="45"/>
  <c r="AV78" i="45"/>
  <c r="AV102" i="45"/>
  <c r="AW55" i="45"/>
  <c r="E28" i="21"/>
  <c r="AQ107" i="45"/>
  <c r="D23" i="25"/>
  <c r="E22" i="25"/>
  <c r="H22" i="25"/>
  <c r="AS53" i="45"/>
  <c r="AR76" i="45"/>
  <c r="AX67" i="45"/>
  <c r="AW90" i="45"/>
  <c r="AV58" i="45"/>
  <c r="AU81" i="45"/>
  <c r="AW108" i="45"/>
  <c r="AX108" i="45"/>
  <c r="AU117" i="45"/>
  <c r="AV117" i="45"/>
  <c r="AX91" i="45"/>
  <c r="AY68" i="45"/>
  <c r="AU59" i="45"/>
  <c r="AT82" i="45"/>
  <c r="AV112" i="45"/>
  <c r="AU86" i="45"/>
  <c r="AV63" i="45"/>
  <c r="E19" i="37"/>
  <c r="AV77" i="45"/>
  <c r="AW54" i="45"/>
  <c r="AW79" i="45"/>
  <c r="AX56" i="45"/>
  <c r="AT105" i="45"/>
  <c r="AT92" i="45"/>
  <c r="AU69" i="45"/>
  <c r="AT110" i="45"/>
  <c r="AU89" i="45"/>
  <c r="AV66" i="45"/>
  <c r="AT62" i="45"/>
  <c r="AS85" i="45"/>
  <c r="AS109" i="45"/>
  <c r="AW112" i="45"/>
  <c r="AU111" i="45"/>
  <c r="AU122" i="45"/>
  <c r="BG129" i="45"/>
  <c r="AX115" i="45"/>
  <c r="AZ154" i="45"/>
  <c r="AY134" i="45"/>
  <c r="S150" i="45"/>
  <c r="AT113" i="45"/>
  <c r="AQ118" i="45"/>
  <c r="AQ121" i="45"/>
  <c r="BC128" i="45"/>
  <c r="E17" i="21"/>
  <c r="E12" i="21"/>
  <c r="E42" i="21"/>
  <c r="D3" i="28"/>
  <c r="G20" i="20"/>
  <c r="G17" i="20"/>
  <c r="G35" i="20"/>
  <c r="AW114" i="45"/>
  <c r="H4" i="28"/>
  <c r="E32" i="21"/>
  <c r="G76" i="20"/>
  <c r="H3" i="28"/>
  <c r="D11" i="28"/>
  <c r="BC132" i="45"/>
  <c r="H19" i="37"/>
  <c r="F19" i="37"/>
  <c r="D20" i="37"/>
  <c r="AX90" i="45"/>
  <c r="AY67" i="45"/>
  <c r="AS83" i="45"/>
  <c r="AT60" i="45"/>
  <c r="AW66" i="45"/>
  <c r="AV89" i="45"/>
  <c r="AU116" i="45"/>
  <c r="AT116" i="45"/>
  <c r="AX54" i="45"/>
  <c r="AW77" i="45"/>
  <c r="AZ68" i="45"/>
  <c r="AY91" i="45"/>
  <c r="AY115" i="45"/>
  <c r="AX114" i="45"/>
  <c r="AU113" i="45"/>
  <c r="AX70" i="45"/>
  <c r="AW93" i="45"/>
  <c r="AV101" i="45"/>
  <c r="AX88" i="45"/>
  <c r="AY65" i="45"/>
  <c r="AT85" i="45"/>
  <c r="AU62" i="45"/>
  <c r="AX79" i="45"/>
  <c r="AY56" i="45"/>
  <c r="AW63" i="45"/>
  <c r="AV86" i="45"/>
  <c r="AU105" i="45"/>
  <c r="E23" i="25"/>
  <c r="H23" i="25"/>
  <c r="D24" i="25"/>
  <c r="J23" i="25"/>
  <c r="AR100" i="45"/>
  <c r="AX55" i="45"/>
  <c r="AW78" i="45"/>
  <c r="AT106" i="45"/>
  <c r="AR107" i="45"/>
  <c r="AS107" i="45"/>
  <c r="AS118" i="45"/>
  <c r="AS121" i="45"/>
  <c r="BE128" i="45"/>
  <c r="BE132" i="45"/>
  <c r="G28" i="34"/>
  <c r="G31" i="34"/>
  <c r="G31" i="41"/>
  <c r="AV69" i="45"/>
  <c r="AU92" i="45"/>
  <c r="AZ103" i="45"/>
  <c r="AX103" i="45"/>
  <c r="AV59" i="45"/>
  <c r="AU82" i="45"/>
  <c r="AV81" i="45"/>
  <c r="AW58" i="45"/>
  <c r="AT53" i="45"/>
  <c r="AS76" i="45"/>
  <c r="AU110" i="45"/>
  <c r="AW102" i="45"/>
  <c r="AV113" i="45"/>
  <c r="G33" i="10"/>
  <c r="AW87" i="45"/>
  <c r="AX64" i="45"/>
  <c r="AY84" i="45"/>
  <c r="AZ61" i="45"/>
  <c r="AZ57" i="45"/>
  <c r="AY80" i="45"/>
  <c r="AY104" i="45"/>
  <c r="AW117" i="45"/>
  <c r="BA61" i="45"/>
  <c r="AZ84" i="45"/>
  <c r="AV110" i="45"/>
  <c r="D12" i="28"/>
  <c r="AU106" i="45"/>
  <c r="BA57" i="45"/>
  <c r="AZ80" i="45"/>
  <c r="AX87" i="45"/>
  <c r="AY64" i="45"/>
  <c r="F60" i="10"/>
  <c r="AU53" i="45"/>
  <c r="AT76" i="45"/>
  <c r="AX78" i="45"/>
  <c r="AY55" i="45"/>
  <c r="D25" i="25"/>
  <c r="E24" i="25"/>
  <c r="H24" i="25"/>
  <c r="AX112" i="45"/>
  <c r="AW89" i="45"/>
  <c r="AX66" i="45"/>
  <c r="E20" i="37"/>
  <c r="BC154" i="45"/>
  <c r="G107" i="28"/>
  <c r="G16" i="28"/>
  <c r="G99" i="28"/>
  <c r="G28" i="28"/>
  <c r="G76" i="28"/>
  <c r="G125" i="28"/>
  <c r="G124" i="28"/>
  <c r="G48" i="28"/>
  <c r="G30" i="28"/>
  <c r="G105" i="28"/>
  <c r="G18" i="28"/>
  <c r="G77" i="28"/>
  <c r="G70" i="28"/>
  <c r="G108" i="28"/>
  <c r="G78" i="28"/>
  <c r="G95" i="28"/>
  <c r="G129" i="28"/>
  <c r="G17" i="28"/>
  <c r="G73" i="28"/>
  <c r="G65" i="28"/>
  <c r="G40" i="28"/>
  <c r="G54" i="28"/>
  <c r="G74" i="28"/>
  <c r="G82" i="28"/>
  <c r="G123" i="28"/>
  <c r="G68" i="28"/>
  <c r="G47" i="28"/>
  <c r="G69" i="28"/>
  <c r="G106" i="28"/>
  <c r="G34" i="28"/>
  <c r="G20" i="28"/>
  <c r="G101" i="28"/>
  <c r="G67" i="28"/>
  <c r="G29" i="28"/>
  <c r="G52" i="28"/>
  <c r="G33" i="28"/>
  <c r="G75" i="28"/>
  <c r="G24" i="28"/>
  <c r="G45" i="28"/>
  <c r="G102" i="28"/>
  <c r="G114" i="28"/>
  <c r="G98" i="28"/>
  <c r="G87" i="28"/>
  <c r="G94" i="28"/>
  <c r="G92" i="28"/>
  <c r="G64" i="28"/>
  <c r="G122" i="28"/>
  <c r="G86" i="28"/>
  <c r="G104" i="28"/>
  <c r="G21" i="28"/>
  <c r="G85" i="28"/>
  <c r="G117" i="28"/>
  <c r="G15" i="28"/>
  <c r="G58" i="28"/>
  <c r="G46" i="28"/>
  <c r="G23" i="28"/>
  <c r="G31" i="28"/>
  <c r="G27" i="28"/>
  <c r="G63" i="28"/>
  <c r="G14" i="28"/>
  <c r="G116" i="28"/>
  <c r="G61" i="28"/>
  <c r="G121" i="28"/>
  <c r="G91" i="28"/>
  <c r="G115" i="28"/>
  <c r="G26" i="28"/>
  <c r="G127" i="28"/>
  <c r="G41" i="28"/>
  <c r="G90" i="28"/>
  <c r="G62" i="28"/>
  <c r="G50" i="28"/>
  <c r="G13" i="28"/>
  <c r="G38" i="28"/>
  <c r="G120" i="28"/>
  <c r="G89" i="28"/>
  <c r="G66" i="28"/>
  <c r="G72" i="28"/>
  <c r="G35" i="28"/>
  <c r="G32" i="28"/>
  <c r="G39" i="28"/>
  <c r="G56" i="28"/>
  <c r="G25" i="28"/>
  <c r="G109" i="28"/>
  <c r="G84" i="28"/>
  <c r="G100" i="28"/>
  <c r="G55" i="28"/>
  <c r="G60" i="28"/>
  <c r="G118" i="28"/>
  <c r="G110" i="28"/>
  <c r="G83" i="28"/>
  <c r="G51" i="28"/>
  <c r="G71" i="28"/>
  <c r="G111" i="28"/>
  <c r="G81" i="28"/>
  <c r="G36" i="28"/>
  <c r="G103" i="28"/>
  <c r="G19" i="28"/>
  <c r="G113" i="28"/>
  <c r="G42" i="28"/>
  <c r="G96" i="28"/>
  <c r="G44" i="28"/>
  <c r="G126" i="28"/>
  <c r="G93" i="28"/>
  <c r="G130" i="28"/>
  <c r="G97" i="28"/>
  <c r="G128" i="28"/>
  <c r="G88" i="28"/>
  <c r="G49" i="28"/>
  <c r="G59" i="28"/>
  <c r="G131" i="28"/>
  <c r="G12" i="28"/>
  <c r="G80" i="28"/>
  <c r="G37" i="28"/>
  <c r="G112" i="28"/>
  <c r="G53" i="28"/>
  <c r="G57" i="28"/>
  <c r="G22" i="28"/>
  <c r="G119" i="28"/>
  <c r="G79" i="28"/>
  <c r="G43" i="28"/>
  <c r="AZ108" i="45"/>
  <c r="AV105" i="45"/>
  <c r="AW59" i="45"/>
  <c r="AV82" i="45"/>
  <c r="G29" i="34"/>
  <c r="G30" i="34"/>
  <c r="AR118" i="45"/>
  <c r="AR121" i="45"/>
  <c r="BD128" i="45"/>
  <c r="AW86" i="45"/>
  <c r="AX63" i="45"/>
  <c r="AT109" i="45"/>
  <c r="AY108" i="45"/>
  <c r="AZ67" i="45"/>
  <c r="AY90" i="45"/>
  <c r="AW110" i="45"/>
  <c r="AW111" i="45"/>
  <c r="AW122" i="45"/>
  <c r="BI129" i="45"/>
  <c r="AX111" i="45"/>
  <c r="AX122" i="45"/>
  <c r="BJ129" i="45"/>
  <c r="AX58" i="45"/>
  <c r="AW81" i="45"/>
  <c r="AV62" i="45"/>
  <c r="AU85" i="45"/>
  <c r="AX93" i="45"/>
  <c r="AY70" i="45"/>
  <c r="AZ104" i="45"/>
  <c r="AW69" i="45"/>
  <c r="AV92" i="45"/>
  <c r="AV116" i="45"/>
  <c r="BE154" i="45"/>
  <c r="AX102" i="45"/>
  <c r="AY79" i="45"/>
  <c r="AZ56" i="45"/>
  <c r="AY88" i="45"/>
  <c r="AZ65" i="45"/>
  <c r="AW101" i="45"/>
  <c r="BA68" i="45"/>
  <c r="AZ91" i="45"/>
  <c r="AY54" i="45"/>
  <c r="AX77" i="45"/>
  <c r="AU60" i="45"/>
  <c r="AT83" i="45"/>
  <c r="AY114" i="45"/>
  <c r="AY103" i="45"/>
  <c r="AZ88" i="45"/>
  <c r="BA65" i="45"/>
  <c r="AW92" i="45"/>
  <c r="AX69" i="45"/>
  <c r="AY117" i="45"/>
  <c r="AX81" i="45"/>
  <c r="AY58" i="45"/>
  <c r="AZ115" i="45"/>
  <c r="G32" i="34"/>
  <c r="G55" i="34"/>
  <c r="AV106" i="45"/>
  <c r="AX89" i="45"/>
  <c r="AY66" i="45"/>
  <c r="E12" i="28"/>
  <c r="D13" i="28"/>
  <c r="BB61" i="45"/>
  <c r="BA84" i="45"/>
  <c r="AY77" i="45"/>
  <c r="AZ54" i="45"/>
  <c r="AU109" i="45"/>
  <c r="F20" i="37"/>
  <c r="D21" i="37"/>
  <c r="D26" i="25"/>
  <c r="E25" i="25"/>
  <c r="H25" i="25"/>
  <c r="BA80" i="45"/>
  <c r="BB57" i="45"/>
  <c r="AV60" i="45"/>
  <c r="AU83" i="45"/>
  <c r="AU107" i="45"/>
  <c r="AV85" i="45"/>
  <c r="AW62" i="45"/>
  <c r="AX101" i="45"/>
  <c r="AT107" i="45"/>
  <c r="AX117" i="45"/>
  <c r="AY78" i="45"/>
  <c r="AZ55" i="45"/>
  <c r="AT100" i="45"/>
  <c r="AT118" i="45"/>
  <c r="AT121" i="45"/>
  <c r="BF128" i="45"/>
  <c r="BF132" i="45"/>
  <c r="AY87" i="45"/>
  <c r="AZ64" i="45"/>
  <c r="I26" i="39"/>
  <c r="I26" i="41"/>
  <c r="AZ112" i="45"/>
  <c r="AX59" i="45"/>
  <c r="AW82" i="45"/>
  <c r="AW113" i="45"/>
  <c r="AY112" i="45"/>
  <c r="AZ79" i="45"/>
  <c r="BA56" i="45"/>
  <c r="BB68" i="45"/>
  <c r="BA91" i="45"/>
  <c r="AY93" i="45"/>
  <c r="AZ70" i="45"/>
  <c r="AX105" i="45"/>
  <c r="AW105" i="45"/>
  <c r="AZ90" i="45"/>
  <c r="BA67" i="45"/>
  <c r="AY63" i="45"/>
  <c r="AX86" i="45"/>
  <c r="BD132" i="45"/>
  <c r="G373" i="28"/>
  <c r="H7" i="28"/>
  <c r="AY102" i="45"/>
  <c r="AU76" i="45"/>
  <c r="AV53" i="45"/>
  <c r="AW106" i="45"/>
  <c r="BB67" i="45"/>
  <c r="BA90" i="45"/>
  <c r="BA79" i="45"/>
  <c r="BB56" i="45"/>
  <c r="M69" i="39"/>
  <c r="M88" i="39"/>
  <c r="M23" i="39"/>
  <c r="M25" i="39"/>
  <c r="M21" i="39"/>
  <c r="M22" i="39"/>
  <c r="M30" i="39"/>
  <c r="L69" i="39"/>
  <c r="L88" i="39"/>
  <c r="L23" i="39"/>
  <c r="L25" i="39"/>
  <c r="L21" i="39"/>
  <c r="L22" i="39"/>
  <c r="L30" i="39"/>
  <c r="K69" i="39"/>
  <c r="K88" i="39"/>
  <c r="K23" i="39"/>
  <c r="K25" i="39"/>
  <c r="K21" i="39"/>
  <c r="K22" i="39"/>
  <c r="K30" i="39"/>
  <c r="P69" i="39"/>
  <c r="P88" i="39"/>
  <c r="P23" i="39"/>
  <c r="P25" i="39"/>
  <c r="P21" i="39"/>
  <c r="P22" i="39"/>
  <c r="P30" i="39"/>
  <c r="N69" i="39"/>
  <c r="N88" i="39"/>
  <c r="N23" i="39"/>
  <c r="N25" i="39"/>
  <c r="N21" i="39"/>
  <c r="N22" i="39"/>
  <c r="N30" i="39"/>
  <c r="O69" i="39"/>
  <c r="O88" i="39"/>
  <c r="O23" i="39"/>
  <c r="O25" i="39"/>
  <c r="O21" i="39"/>
  <c r="O22" i="39"/>
  <c r="O30" i="39"/>
  <c r="I29" i="39"/>
  <c r="I30" i="39"/>
  <c r="J69" i="39"/>
  <c r="J88" i="39"/>
  <c r="J23" i="39"/>
  <c r="J25" i="39"/>
  <c r="J21" i="39"/>
  <c r="J22" i="39"/>
  <c r="J30" i="39"/>
  <c r="D26" i="39"/>
  <c r="P57" i="39"/>
  <c r="L57" i="39"/>
  <c r="I57" i="39"/>
  <c r="N57" i="39"/>
  <c r="K57" i="39"/>
  <c r="J57" i="39"/>
  <c r="M57" i="39"/>
  <c r="O57" i="39"/>
  <c r="E21" i="37"/>
  <c r="BA88" i="45"/>
  <c r="BB65" i="45"/>
  <c r="AV76" i="45"/>
  <c r="AW53" i="45"/>
  <c r="AX82" i="45"/>
  <c r="AY59" i="45"/>
  <c r="M72" i="41"/>
  <c r="M112" i="41"/>
  <c r="M23" i="41"/>
  <c r="M25" i="41"/>
  <c r="M21" i="41"/>
  <c r="M22" i="41"/>
  <c r="M30" i="41"/>
  <c r="P72" i="41"/>
  <c r="P112" i="41"/>
  <c r="P23" i="41"/>
  <c r="P25" i="41"/>
  <c r="P21" i="41"/>
  <c r="P22" i="41"/>
  <c r="P30" i="41"/>
  <c r="T72" i="41"/>
  <c r="T112" i="41"/>
  <c r="T23" i="41"/>
  <c r="T25" i="41"/>
  <c r="T21" i="41"/>
  <c r="T22" i="41"/>
  <c r="T30" i="41"/>
  <c r="Q72" i="41"/>
  <c r="Q112" i="41"/>
  <c r="Q23" i="41"/>
  <c r="Q25" i="41"/>
  <c r="Q21" i="41"/>
  <c r="Q22" i="41"/>
  <c r="Q30" i="41"/>
  <c r="I29" i="41"/>
  <c r="I30" i="41"/>
  <c r="R72" i="41"/>
  <c r="R112" i="41"/>
  <c r="R23" i="41"/>
  <c r="R25" i="41"/>
  <c r="R21" i="41"/>
  <c r="R22" i="41"/>
  <c r="R30" i="41"/>
  <c r="K72" i="41"/>
  <c r="K112" i="41"/>
  <c r="K23" i="41"/>
  <c r="K25" i="41"/>
  <c r="K21" i="41"/>
  <c r="K22" i="41"/>
  <c r="K30" i="41"/>
  <c r="O72" i="41"/>
  <c r="O112" i="41"/>
  <c r="O23" i="41"/>
  <c r="O25" i="41"/>
  <c r="O21" i="41"/>
  <c r="O22" i="41"/>
  <c r="O30" i="41"/>
  <c r="N72" i="41"/>
  <c r="N112" i="41"/>
  <c r="N23" i="41"/>
  <c r="N25" i="41"/>
  <c r="N21" i="41"/>
  <c r="N22" i="41"/>
  <c r="N30" i="41"/>
  <c r="J72" i="41"/>
  <c r="J112" i="41"/>
  <c r="J23" i="41"/>
  <c r="J25" i="41"/>
  <c r="J21" i="41"/>
  <c r="J22" i="41"/>
  <c r="J30" i="41"/>
  <c r="L72" i="41"/>
  <c r="L112" i="41"/>
  <c r="L23" i="41"/>
  <c r="L25" i="41"/>
  <c r="L21" i="41"/>
  <c r="L22" i="41"/>
  <c r="L30" i="41"/>
  <c r="U72" i="41"/>
  <c r="U112" i="41"/>
  <c r="U23" i="41"/>
  <c r="U25" i="41"/>
  <c r="U21" i="41"/>
  <c r="U22" i="41"/>
  <c r="U30" i="41"/>
  <c r="S72" i="41"/>
  <c r="S112" i="41"/>
  <c r="S23" i="41"/>
  <c r="S25" i="41"/>
  <c r="S21" i="41"/>
  <c r="S22" i="41"/>
  <c r="S30" i="41"/>
  <c r="D26" i="41"/>
  <c r="R57" i="41"/>
  <c r="U57" i="41"/>
  <c r="O57" i="41"/>
  <c r="I57" i="41"/>
  <c r="J57" i="41"/>
  <c r="T57" i="41"/>
  <c r="M57" i="41"/>
  <c r="K57" i="41"/>
  <c r="V57" i="41"/>
  <c r="N57" i="41"/>
  <c r="S57" i="41"/>
  <c r="P57" i="41"/>
  <c r="Q57" i="41"/>
  <c r="X57" i="41"/>
  <c r="Y57" i="41"/>
  <c r="L57" i="41"/>
  <c r="W57" i="41"/>
  <c r="AW85" i="45"/>
  <c r="AX62" i="45"/>
  <c r="AV83" i="45"/>
  <c r="AW60" i="45"/>
  <c r="E26" i="25"/>
  <c r="H26" i="25"/>
  <c r="D27" i="25"/>
  <c r="D14" i="28"/>
  <c r="E13" i="28"/>
  <c r="H13" i="28"/>
  <c r="AY89" i="45"/>
  <c r="AZ66" i="45"/>
  <c r="AW116" i="45"/>
  <c r="BF154" i="45"/>
  <c r="BC57" i="45"/>
  <c r="BB80" i="45"/>
  <c r="H12" i="28"/>
  <c r="AX110" i="45"/>
  <c r="BA114" i="45"/>
  <c r="BA70" i="45"/>
  <c r="AZ93" i="45"/>
  <c r="AY110" i="45"/>
  <c r="AZ114" i="45"/>
  <c r="AV109" i="45"/>
  <c r="BA104" i="45"/>
  <c r="BB104" i="45"/>
  <c r="H20" i="37"/>
  <c r="AZ77" i="45"/>
  <c r="BA54" i="45"/>
  <c r="BB108" i="45"/>
  <c r="BA108" i="45"/>
  <c r="G33" i="34"/>
  <c r="AY111" i="45"/>
  <c r="AY122" i="45"/>
  <c r="BK129" i="45"/>
  <c r="AV100" i="45"/>
  <c r="AU100" i="45"/>
  <c r="AU118" i="45"/>
  <c r="AU121" i="45"/>
  <c r="BG128" i="45"/>
  <c r="BG132" i="45"/>
  <c r="BG154" i="45"/>
  <c r="BD154" i="45"/>
  <c r="AY136" i="45"/>
  <c r="K146" i="45"/>
  <c r="BB134" i="45"/>
  <c r="T150" i="45"/>
  <c r="AZ63" i="45"/>
  <c r="AY86" i="45"/>
  <c r="BB91" i="45"/>
  <c r="BC68" i="45"/>
  <c r="BA115" i="45"/>
  <c r="BA64" i="45"/>
  <c r="AZ87" i="45"/>
  <c r="AZ78" i="45"/>
  <c r="AZ102" i="45"/>
  <c r="BA55" i="45"/>
  <c r="BC61" i="45"/>
  <c r="BB84" i="45"/>
  <c r="AZ58" i="45"/>
  <c r="AY81" i="45"/>
  <c r="AX92" i="45"/>
  <c r="AY69" i="45"/>
  <c r="AY101" i="45"/>
  <c r="AX113" i="45"/>
  <c r="P32" i="39"/>
  <c r="AY105" i="45"/>
  <c r="BD61" i="45"/>
  <c r="BC84" i="45"/>
  <c r="BB55" i="45"/>
  <c r="BA78" i="45"/>
  <c r="BC91" i="45"/>
  <c r="BD68" i="45"/>
  <c r="AZ86" i="45"/>
  <c r="BA63" i="45"/>
  <c r="AZ101" i="45"/>
  <c r="BB70" i="45"/>
  <c r="BA93" i="45"/>
  <c r="BD57" i="45"/>
  <c r="BC80" i="45"/>
  <c r="D15" i="28"/>
  <c r="E14" i="28"/>
  <c r="AV107" i="45"/>
  <c r="L55" i="41"/>
  <c r="L32" i="41"/>
  <c r="K55" i="41"/>
  <c r="K32" i="41"/>
  <c r="T55" i="41"/>
  <c r="T32" i="41"/>
  <c r="BB112" i="45"/>
  <c r="BA112" i="45"/>
  <c r="N32" i="39"/>
  <c r="N53" i="39"/>
  <c r="M32" i="39"/>
  <c r="M53" i="39"/>
  <c r="BB90" i="45"/>
  <c r="BC67" i="45"/>
  <c r="AZ81" i="45"/>
  <c r="BA58" i="45"/>
  <c r="BA102" i="45"/>
  <c r="BB115" i="45"/>
  <c r="R32" i="41"/>
  <c r="R55" i="41"/>
  <c r="AW76" i="45"/>
  <c r="AW100" i="45"/>
  <c r="AX53" i="45"/>
  <c r="J53" i="39"/>
  <c r="J32" i="39"/>
  <c r="AZ111" i="45"/>
  <c r="AZ122" i="45"/>
  <c r="BL129" i="45"/>
  <c r="E58" i="41"/>
  <c r="S55" i="41"/>
  <c r="S32" i="41"/>
  <c r="N32" i="41"/>
  <c r="N55" i="41"/>
  <c r="I55" i="41"/>
  <c r="I32" i="41"/>
  <c r="M55" i="41"/>
  <c r="M32" i="41"/>
  <c r="F21" i="37"/>
  <c r="D22" i="37"/>
  <c r="I32" i="39"/>
  <c r="I53" i="39"/>
  <c r="K32" i="39"/>
  <c r="K53" i="39"/>
  <c r="BA103" i="45"/>
  <c r="AY113" i="45"/>
  <c r="AX106" i="45"/>
  <c r="BA66" i="45"/>
  <c r="AZ89" i="45"/>
  <c r="D28" i="25"/>
  <c r="E27" i="25"/>
  <c r="H27" i="25"/>
  <c r="AY62" i="45"/>
  <c r="AX85" i="45"/>
  <c r="J55" i="41"/>
  <c r="J32" i="41"/>
  <c r="P32" i="41"/>
  <c r="P55" i="41"/>
  <c r="BC56" i="45"/>
  <c r="BB79" i="45"/>
  <c r="AY92" i="45"/>
  <c r="AZ69" i="45"/>
  <c r="AX116" i="45"/>
  <c r="AY116" i="45"/>
  <c r="BC108" i="45"/>
  <c r="BA87" i="45"/>
  <c r="BB64" i="45"/>
  <c r="AV118" i="45"/>
  <c r="AV121" i="45"/>
  <c r="BH128" i="45"/>
  <c r="BH132" i="45"/>
  <c r="F64" i="34"/>
  <c r="F65" i="34"/>
  <c r="F62" i="34"/>
  <c r="BB54" i="45"/>
  <c r="BA77" i="45"/>
  <c r="AZ117" i="45"/>
  <c r="BE134" i="45"/>
  <c r="U150" i="45"/>
  <c r="AX60" i="45"/>
  <c r="AW83" i="45"/>
  <c r="AW109" i="45"/>
  <c r="U55" i="41"/>
  <c r="D120" i="41"/>
  <c r="D134" i="41"/>
  <c r="X35" i="41"/>
  <c r="U32" i="41"/>
  <c r="O55" i="41"/>
  <c r="O32" i="41"/>
  <c r="Q55" i="41"/>
  <c r="Q32" i="41"/>
  <c r="AZ59" i="45"/>
  <c r="AY82" i="45"/>
  <c r="BC65" i="45"/>
  <c r="BB88" i="45"/>
  <c r="E58" i="39"/>
  <c r="O32" i="39"/>
  <c r="O53" i="39"/>
  <c r="L53" i="39"/>
  <c r="L32" i="39"/>
  <c r="O35" i="39"/>
  <c r="AX109" i="45"/>
  <c r="BC115" i="45"/>
  <c r="AW118" i="45"/>
  <c r="AW121" i="45"/>
  <c r="BI128" i="45"/>
  <c r="BI132" i="45"/>
  <c r="BI154" i="45"/>
  <c r="AY106" i="45"/>
  <c r="AY60" i="45"/>
  <c r="AX83" i="45"/>
  <c r="D29" i="25"/>
  <c r="E28" i="25"/>
  <c r="H28" i="25"/>
  <c r="BB103" i="45"/>
  <c r="E22" i="37"/>
  <c r="BB114" i="45"/>
  <c r="BE57" i="45"/>
  <c r="BD80" i="45"/>
  <c r="AZ110" i="45"/>
  <c r="O37" i="39"/>
  <c r="O36" i="39"/>
  <c r="R43" i="39"/>
  <c r="BC112" i="45"/>
  <c r="AZ82" i="45"/>
  <c r="BA59" i="45"/>
  <c r="BA101" i="45"/>
  <c r="E60" i="39"/>
  <c r="F60" i="39"/>
  <c r="G60" i="39"/>
  <c r="X36" i="41"/>
  <c r="N38" i="41"/>
  <c r="Z55" i="41"/>
  <c r="D37" i="41"/>
  <c r="N39" i="41"/>
  <c r="X37" i="41"/>
  <c r="AX107" i="45"/>
  <c r="BC64" i="45"/>
  <c r="BB87" i="45"/>
  <c r="E60" i="41"/>
  <c r="F60" i="41"/>
  <c r="G60" i="41"/>
  <c r="H60" i="41"/>
  <c r="BA111" i="45"/>
  <c r="BA122" i="45"/>
  <c r="BM129" i="45"/>
  <c r="AX76" i="45"/>
  <c r="AY53" i="45"/>
  <c r="BC90" i="45"/>
  <c r="BD67" i="45"/>
  <c r="BC104" i="45"/>
  <c r="BD104" i="45"/>
  <c r="BA86" i="45"/>
  <c r="BB63" i="45"/>
  <c r="AZ105" i="45"/>
  <c r="AX100" i="45"/>
  <c r="AX118" i="45"/>
  <c r="AX121" i="45"/>
  <c r="BJ128" i="45"/>
  <c r="BC55" i="45"/>
  <c r="BB78" i="45"/>
  <c r="BH154" i="45"/>
  <c r="BD56" i="45"/>
  <c r="BC79" i="45"/>
  <c r="BC103" i="45"/>
  <c r="AY109" i="45"/>
  <c r="AZ113" i="45"/>
  <c r="N33" i="39"/>
  <c r="P33" i="39"/>
  <c r="J33" i="39"/>
  <c r="O33" i="39"/>
  <c r="I33" i="39"/>
  <c r="L33" i="39"/>
  <c r="K33" i="39"/>
  <c r="M33" i="39"/>
  <c r="H21" i="37"/>
  <c r="Q33" i="41"/>
  <c r="U33" i="41"/>
  <c r="S33" i="41"/>
  <c r="V33" i="41"/>
  <c r="I33" i="41"/>
  <c r="X33" i="41"/>
  <c r="W33" i="41"/>
  <c r="O33" i="41"/>
  <c r="N33" i="41"/>
  <c r="P33" i="41"/>
  <c r="R33" i="41"/>
  <c r="Y33" i="41"/>
  <c r="J33" i="41"/>
  <c r="K33" i="41"/>
  <c r="L33" i="41"/>
  <c r="M33" i="41"/>
  <c r="T33" i="41"/>
  <c r="BA81" i="45"/>
  <c r="BB58" i="45"/>
  <c r="H14" i="28"/>
  <c r="BA117" i="45"/>
  <c r="BE68" i="45"/>
  <c r="BD91" i="45"/>
  <c r="BD65" i="45"/>
  <c r="BC88" i="45"/>
  <c r="BC54" i="45"/>
  <c r="BB77" i="45"/>
  <c r="BA69" i="45"/>
  <c r="AZ92" i="45"/>
  <c r="AZ62" i="45"/>
  <c r="AY85" i="45"/>
  <c r="BB66" i="45"/>
  <c r="BA89" i="45"/>
  <c r="AW107" i="45"/>
  <c r="D16" i="28"/>
  <c r="E15" i="28"/>
  <c r="H15" i="28"/>
  <c r="BB93" i="45"/>
  <c r="BB117" i="45"/>
  <c r="BC70" i="45"/>
  <c r="BD84" i="45"/>
  <c r="BD108" i="45"/>
  <c r="BE61" i="45"/>
  <c r="P53" i="39"/>
  <c r="D37" i="39"/>
  <c r="R44" i="39"/>
  <c r="G61" i="39"/>
  <c r="G59" i="39"/>
  <c r="G63" i="39"/>
  <c r="H60" i="39"/>
  <c r="BB89" i="45"/>
  <c r="BC66" i="45"/>
  <c r="BD54" i="45"/>
  <c r="BC77" i="45"/>
  <c r="BF68" i="45"/>
  <c r="BE91" i="45"/>
  <c r="M62" i="41"/>
  <c r="M65" i="41"/>
  <c r="L64" i="41"/>
  <c r="N64" i="41"/>
  <c r="O65" i="41"/>
  <c r="O62" i="41"/>
  <c r="I56" i="39"/>
  <c r="H55" i="39"/>
  <c r="I62" i="39"/>
  <c r="H62" i="39"/>
  <c r="H56" i="39"/>
  <c r="N56" i="39"/>
  <c r="N62" i="39"/>
  <c r="M55" i="39"/>
  <c r="AZ116" i="45"/>
  <c r="BA113" i="45"/>
  <c r="BE115" i="45"/>
  <c r="BD115" i="45"/>
  <c r="BB81" i="45"/>
  <c r="BC58" i="45"/>
  <c r="T62" i="41"/>
  <c r="T65" i="41"/>
  <c r="S64" i="41"/>
  <c r="J65" i="41"/>
  <c r="I64" i="41"/>
  <c r="J62" i="41"/>
  <c r="M64" i="41"/>
  <c r="N62" i="41"/>
  <c r="N65" i="41"/>
  <c r="I62" i="41"/>
  <c r="I65" i="41"/>
  <c r="H64" i="41"/>
  <c r="H62" i="41"/>
  <c r="H65" i="41"/>
  <c r="Q62" i="41"/>
  <c r="Q65" i="41"/>
  <c r="P64" i="41"/>
  <c r="L62" i="39"/>
  <c r="L56" i="39"/>
  <c r="K55" i="39"/>
  <c r="O55" i="39"/>
  <c r="P56" i="39"/>
  <c r="P62" i="39"/>
  <c r="D35" i="39"/>
  <c r="R42" i="39"/>
  <c r="BD79" i="45"/>
  <c r="BE56" i="45"/>
  <c r="BC78" i="45"/>
  <c r="BD55" i="45"/>
  <c r="E59" i="41"/>
  <c r="E61" i="41"/>
  <c r="BB101" i="45"/>
  <c r="D17" i="28"/>
  <c r="E16" i="28"/>
  <c r="BA105" i="45"/>
  <c r="Y62" i="41"/>
  <c r="D35" i="41"/>
  <c r="N37" i="41"/>
  <c r="Y65" i="41"/>
  <c r="X64" i="41"/>
  <c r="U64" i="41"/>
  <c r="V62" i="41"/>
  <c r="V65" i="41"/>
  <c r="BJ132" i="45"/>
  <c r="AY138" i="45"/>
  <c r="G142" i="45"/>
  <c r="G140" i="6"/>
  <c r="BC63" i="45"/>
  <c r="BB86" i="45"/>
  <c r="BE67" i="45"/>
  <c r="BD90" i="45"/>
  <c r="AY76" i="45"/>
  <c r="AZ53" i="45"/>
  <c r="H61" i="41"/>
  <c r="H59" i="41"/>
  <c r="H63" i="41"/>
  <c r="I60" i="41"/>
  <c r="BF61" i="45"/>
  <c r="BE84" i="45"/>
  <c r="BC93" i="45"/>
  <c r="BD70" i="45"/>
  <c r="BB69" i="45"/>
  <c r="BA92" i="45"/>
  <c r="BD112" i="45"/>
  <c r="K64" i="41"/>
  <c r="L62" i="41"/>
  <c r="L65" i="41"/>
  <c r="R65" i="41"/>
  <c r="Q64" i="41"/>
  <c r="R62" i="41"/>
  <c r="V64" i="41"/>
  <c r="W62" i="41"/>
  <c r="W65" i="41"/>
  <c r="S62" i="41"/>
  <c r="S65" i="41"/>
  <c r="R64" i="41"/>
  <c r="L55" i="39"/>
  <c r="M62" i="39"/>
  <c r="M56" i="39"/>
  <c r="O62" i="39"/>
  <c r="N55" i="39"/>
  <c r="O56" i="39"/>
  <c r="BD103" i="45"/>
  <c r="BD114" i="45"/>
  <c r="G59" i="41"/>
  <c r="G63" i="41"/>
  <c r="G61" i="41"/>
  <c r="BC87" i="45"/>
  <c r="BD64" i="45"/>
  <c r="E59" i="39"/>
  <c r="E61" i="39"/>
  <c r="BB111" i="45"/>
  <c r="BB122" i="45"/>
  <c r="BN129" i="45"/>
  <c r="BA110" i="45"/>
  <c r="BC114" i="45"/>
  <c r="BC111" i="45"/>
  <c r="BC122" i="45"/>
  <c r="BO129" i="45"/>
  <c r="AZ106" i="45"/>
  <c r="F59" i="39"/>
  <c r="F63" i="39"/>
  <c r="F61" i="39"/>
  <c r="BE80" i="45"/>
  <c r="BF57" i="45"/>
  <c r="D30" i="25"/>
  <c r="E29" i="25"/>
  <c r="H29" i="25"/>
  <c r="AY83" i="45"/>
  <c r="AZ60" i="45"/>
  <c r="BE108" i="45"/>
  <c r="BA62" i="45"/>
  <c r="AZ85" i="45"/>
  <c r="BE65" i="45"/>
  <c r="BD88" i="45"/>
  <c r="K62" i="41"/>
  <c r="J64" i="41"/>
  <c r="K65" i="41"/>
  <c r="O64" i="41"/>
  <c r="P62" i="41"/>
  <c r="P65" i="41"/>
  <c r="G39" i="41"/>
  <c r="O40" i="41" s="1"/>
  <c r="F39" i="41"/>
  <c r="N40" i="41" s="1"/>
  <c r="W64" i="41"/>
  <c r="X62" i="41"/>
  <c r="X65" i="41"/>
  <c r="U62" i="41"/>
  <c r="T64" i="41"/>
  <c r="U65" i="41"/>
  <c r="K56" i="39"/>
  <c r="J55" i="39"/>
  <c r="K62" i="39"/>
  <c r="J62" i="39"/>
  <c r="J56" i="39"/>
  <c r="I55" i="39"/>
  <c r="BC102" i="45"/>
  <c r="BB102" i="45"/>
  <c r="F59" i="41"/>
  <c r="F63" i="41"/>
  <c r="F61" i="41"/>
  <c r="BA82" i="45"/>
  <c r="BB59" i="45"/>
  <c r="F22" i="37"/>
  <c r="D23" i="37"/>
  <c r="BB105" i="45"/>
  <c r="H16" i="28"/>
  <c r="BD78" i="45"/>
  <c r="BE55" i="45"/>
  <c r="BD101" i="45"/>
  <c r="BC101" i="45"/>
  <c r="E23" i="37"/>
  <c r="E53" i="20"/>
  <c r="E51" i="20"/>
  <c r="E62" i="20"/>
  <c r="C38" i="21"/>
  <c r="D37" i="21"/>
  <c r="J23" i="37"/>
  <c r="C33" i="21"/>
  <c r="BB62" i="45"/>
  <c r="BA85" i="45"/>
  <c r="E30" i="25"/>
  <c r="H30" i="25"/>
  <c r="D31" i="25"/>
  <c r="BF65" i="45"/>
  <c r="BE88" i="45"/>
  <c r="AZ107" i="45"/>
  <c r="E63" i="39"/>
  <c r="D60" i="39"/>
  <c r="BE70" i="45"/>
  <c r="BD93" i="45"/>
  <c r="G145" i="6"/>
  <c r="H26" i="10"/>
  <c r="H26" i="34"/>
  <c r="AY107" i="45"/>
  <c r="E39" i="39"/>
  <c r="S45" i="39"/>
  <c r="E39" i="41"/>
  <c r="BF91" i="45"/>
  <c r="BG68" i="45"/>
  <c r="BB113" i="45"/>
  <c r="H61" i="39"/>
  <c r="H59" i="39"/>
  <c r="I60" i="39"/>
  <c r="AZ109" i="45"/>
  <c r="D39" i="41"/>
  <c r="D39" i="39"/>
  <c r="R45" i="39"/>
  <c r="BA106" i="45"/>
  <c r="BA53" i="45"/>
  <c r="AZ76" i="45"/>
  <c r="BB110" i="45"/>
  <c r="D18" i="28"/>
  <c r="E17" i="28"/>
  <c r="H17" i="28"/>
  <c r="BE104" i="45"/>
  <c r="BD58" i="45"/>
  <c r="BC81" i="45"/>
  <c r="BE54" i="45"/>
  <c r="BD77" i="45"/>
  <c r="BB116" i="45"/>
  <c r="BC59" i="45"/>
  <c r="BB82" i="45"/>
  <c r="BD87" i="45"/>
  <c r="BE64" i="45"/>
  <c r="BA109" i="45"/>
  <c r="BC69" i="45"/>
  <c r="BB92" i="45"/>
  <c r="BF67" i="45"/>
  <c r="BE90" i="45"/>
  <c r="BJ154" i="45"/>
  <c r="BE136" i="45"/>
  <c r="L146" i="45"/>
  <c r="BH134" i="45"/>
  <c r="V150" i="45"/>
  <c r="H22" i="37"/>
  <c r="BC117" i="45"/>
  <c r="BA60" i="45"/>
  <c r="AZ83" i="45"/>
  <c r="BF80" i="45"/>
  <c r="BG57" i="45"/>
  <c r="BF84" i="45"/>
  <c r="BG61" i="45"/>
  <c r="I61" i="41"/>
  <c r="I59" i="41"/>
  <c r="I63" i="41"/>
  <c r="J60" i="41"/>
  <c r="AZ100" i="45"/>
  <c r="AY100" i="45"/>
  <c r="AY118" i="45"/>
  <c r="AY121" i="45"/>
  <c r="BK128" i="45"/>
  <c r="BC86" i="45"/>
  <c r="BD63" i="45"/>
  <c r="BA116" i="45"/>
  <c r="BB106" i="45"/>
  <c r="D60" i="41"/>
  <c r="E63" i="41"/>
  <c r="BF56" i="45"/>
  <c r="BE79" i="45"/>
  <c r="G39" i="39"/>
  <c r="BF115" i="45"/>
  <c r="BD66" i="45"/>
  <c r="BC89" i="45"/>
  <c r="BD111" i="45"/>
  <c r="BD122" i="45"/>
  <c r="BP129" i="45"/>
  <c r="BD102" i="45"/>
  <c r="BK132" i="45"/>
  <c r="D19" i="28"/>
  <c r="E18" i="28"/>
  <c r="BE103" i="45"/>
  <c r="BG104" i="45"/>
  <c r="BC110" i="45"/>
  <c r="J61" i="41"/>
  <c r="J59" i="41"/>
  <c r="J63" i="41"/>
  <c r="K60" i="41"/>
  <c r="BG108" i="45"/>
  <c r="BF108" i="45"/>
  <c r="BG80" i="45"/>
  <c r="BH57" i="45"/>
  <c r="BE114" i="45"/>
  <c r="BC105" i="45"/>
  <c r="BD105" i="45"/>
  <c r="BG103" i="45"/>
  <c r="Q71" i="34"/>
  <c r="N71" i="34"/>
  <c r="L71" i="34"/>
  <c r="R71" i="34"/>
  <c r="P71" i="34"/>
  <c r="M71" i="34"/>
  <c r="I71" i="34"/>
  <c r="I112" i="34"/>
  <c r="I23" i="34"/>
  <c r="I25" i="34"/>
  <c r="I21" i="34"/>
  <c r="I22" i="34"/>
  <c r="T71" i="34"/>
  <c r="O71" i="34"/>
  <c r="J71" i="34"/>
  <c r="S71" i="34"/>
  <c r="K71" i="34"/>
  <c r="H57" i="34"/>
  <c r="BE112" i="45"/>
  <c r="BB85" i="45"/>
  <c r="BC62" i="45"/>
  <c r="BF79" i="45"/>
  <c r="BF103" i="45"/>
  <c r="BG56" i="45"/>
  <c r="BD69" i="45"/>
  <c r="BC92" i="45"/>
  <c r="BE58" i="45"/>
  <c r="BD81" i="45"/>
  <c r="R67" i="10"/>
  <c r="I67" i="10"/>
  <c r="I83" i="10"/>
  <c r="I84" i="10"/>
  <c r="I106" i="10"/>
  <c r="I23" i="10"/>
  <c r="I25" i="10"/>
  <c r="I21" i="10"/>
  <c r="I22" i="10"/>
  <c r="K67" i="10"/>
  <c r="H29" i="10"/>
  <c r="H30" i="10"/>
  <c r="L67" i="10"/>
  <c r="Q67" i="10"/>
  <c r="O67" i="10"/>
  <c r="M67" i="10"/>
  <c r="N67" i="10"/>
  <c r="P67" i="10"/>
  <c r="S67" i="10"/>
  <c r="T67" i="10"/>
  <c r="J67" i="10"/>
  <c r="H55" i="10"/>
  <c r="BD113" i="45"/>
  <c r="BC113" i="45"/>
  <c r="AZ118" i="45"/>
  <c r="AZ121" i="45"/>
  <c r="BL128" i="45"/>
  <c r="BL132" i="45"/>
  <c r="BL154" i="45"/>
  <c r="BA107" i="45"/>
  <c r="BD59" i="45"/>
  <c r="BC82" i="45"/>
  <c r="I61" i="39"/>
  <c r="I59" i="39"/>
  <c r="J60" i="39"/>
  <c r="H9" i="20"/>
  <c r="H25" i="20"/>
  <c r="F23" i="21"/>
  <c r="BC106" i="45"/>
  <c r="BF90" i="45"/>
  <c r="BG67" i="45"/>
  <c r="BB53" i="45"/>
  <c r="BA76" i="45"/>
  <c r="BG65" i="45"/>
  <c r="BF88" i="45"/>
  <c r="E31" i="25"/>
  <c r="H31" i="25"/>
  <c r="D32" i="25"/>
  <c r="BD89" i="45"/>
  <c r="BE66" i="45"/>
  <c r="BE63" i="45"/>
  <c r="BD86" i="45"/>
  <c r="BH61" i="45"/>
  <c r="BG84" i="45"/>
  <c r="BB60" i="45"/>
  <c r="BA83" i="45"/>
  <c r="BE87" i="45"/>
  <c r="BF64" i="45"/>
  <c r="BE77" i="45"/>
  <c r="BF54" i="45"/>
  <c r="H63" i="39"/>
  <c r="BG91" i="45"/>
  <c r="BG115" i="45"/>
  <c r="BH68" i="45"/>
  <c r="BC116" i="45"/>
  <c r="BE93" i="45"/>
  <c r="BE117" i="45"/>
  <c r="BF70" i="45"/>
  <c r="BF104" i="45"/>
  <c r="F23" i="37"/>
  <c r="D24" i="37"/>
  <c r="B51" i="19"/>
  <c r="B55" i="19"/>
  <c r="BF55" i="45"/>
  <c r="BE78" i="45"/>
  <c r="BE102" i="45"/>
  <c r="BD117" i="45"/>
  <c r="BH104" i="45"/>
  <c r="BG55" i="45"/>
  <c r="BF78" i="45"/>
  <c r="BF93" i="45"/>
  <c r="BG70" i="45"/>
  <c r="BH91" i="45"/>
  <c r="BI68" i="45"/>
  <c r="BF112" i="45"/>
  <c r="BB100" i="45"/>
  <c r="BK154" i="45"/>
  <c r="BC60" i="45"/>
  <c r="BB83" i="45"/>
  <c r="BH65" i="45"/>
  <c r="BG88" i="45"/>
  <c r="BG112" i="45"/>
  <c r="J59" i="39"/>
  <c r="J63" i="39"/>
  <c r="J61" i="39"/>
  <c r="K60" i="39"/>
  <c r="H18" i="28"/>
  <c r="BG54" i="45"/>
  <c r="BF77" i="45"/>
  <c r="BF87" i="45"/>
  <c r="BG64" i="45"/>
  <c r="BE89" i="45"/>
  <c r="BF66" i="45"/>
  <c r="E32" i="25"/>
  <c r="H32" i="25"/>
  <c r="D33" i="25"/>
  <c r="BH67" i="45"/>
  <c r="BG90" i="45"/>
  <c r="F17" i="21"/>
  <c r="F12" i="21"/>
  <c r="F42" i="21"/>
  <c r="D3" i="33"/>
  <c r="H20" i="20"/>
  <c r="H17" i="20"/>
  <c r="I63" i="39"/>
  <c r="BD82" i="45"/>
  <c r="BE59" i="45"/>
  <c r="H32" i="10"/>
  <c r="H53" i="10"/>
  <c r="BH56" i="45"/>
  <c r="BG79" i="45"/>
  <c r="BD62" i="45"/>
  <c r="BC85" i="45"/>
  <c r="BD116" i="45"/>
  <c r="BI57" i="45"/>
  <c r="BH80" i="45"/>
  <c r="D20" i="28"/>
  <c r="E19" i="28"/>
  <c r="H19" i="28"/>
  <c r="B57" i="19"/>
  <c r="BE86" i="45"/>
  <c r="BF63" i="45"/>
  <c r="BC53" i="45"/>
  <c r="BB76" i="45"/>
  <c r="F28" i="21"/>
  <c r="BD92" i="45"/>
  <c r="BE69" i="45"/>
  <c r="E24" i="37"/>
  <c r="BF102" i="45"/>
  <c r="H23" i="37"/>
  <c r="BF117" i="45"/>
  <c r="BE101" i="45"/>
  <c r="BE111" i="45"/>
  <c r="BE122" i="45"/>
  <c r="BQ129" i="45"/>
  <c r="BI61" i="45"/>
  <c r="BH84" i="45"/>
  <c r="BF114" i="45"/>
  <c r="H7" i="20"/>
  <c r="H35" i="20"/>
  <c r="H108" i="20"/>
  <c r="BE81" i="45"/>
  <c r="BF58" i="45"/>
  <c r="BI103" i="45"/>
  <c r="BC109" i="45"/>
  <c r="BB109" i="45"/>
  <c r="BA100" i="45"/>
  <c r="BA118" i="45"/>
  <c r="BA121" i="45"/>
  <c r="BM128" i="45"/>
  <c r="K59" i="41"/>
  <c r="K61" i="41"/>
  <c r="L60" i="41"/>
  <c r="BD110" i="45"/>
  <c r="H76" i="20"/>
  <c r="F32" i="21"/>
  <c r="H3" i="33"/>
  <c r="H4" i="33"/>
  <c r="D11" i="33"/>
  <c r="BE106" i="45"/>
  <c r="BF110" i="45"/>
  <c r="BE82" i="45"/>
  <c r="BF59" i="45"/>
  <c r="BF69" i="45"/>
  <c r="BE92" i="45"/>
  <c r="BI56" i="45"/>
  <c r="BH79" i="45"/>
  <c r="K63" i="41"/>
  <c r="BF101" i="45"/>
  <c r="BH108" i="45"/>
  <c r="F24" i="37"/>
  <c r="D25" i="37"/>
  <c r="BF86" i="45"/>
  <c r="BG63" i="45"/>
  <c r="BE62" i="45"/>
  <c r="BD85" i="45"/>
  <c r="H28" i="34"/>
  <c r="H31" i="34"/>
  <c r="H31" i="41"/>
  <c r="BI67" i="45"/>
  <c r="BH90" i="45"/>
  <c r="BH64" i="45"/>
  <c r="BG87" i="45"/>
  <c r="K61" i="39"/>
  <c r="K59" i="39"/>
  <c r="L60" i="39"/>
  <c r="BH88" i="45"/>
  <c r="BI65" i="45"/>
  <c r="BH103" i="45"/>
  <c r="BI91" i="45"/>
  <c r="BJ68" i="45"/>
  <c r="BG102" i="45"/>
  <c r="BE110" i="45"/>
  <c r="BJ57" i="45"/>
  <c r="BI80" i="45"/>
  <c r="BG78" i="45"/>
  <c r="BH55" i="45"/>
  <c r="BG58" i="45"/>
  <c r="BF81" i="45"/>
  <c r="E20" i="28"/>
  <c r="H20" i="28"/>
  <c r="D21" i="28"/>
  <c r="H33" i="10"/>
  <c r="BB107" i="45"/>
  <c r="BB118" i="45"/>
  <c r="BB121" i="45"/>
  <c r="BN128" i="45"/>
  <c r="BD60" i="45"/>
  <c r="BC83" i="45"/>
  <c r="BC107" i="45"/>
  <c r="BE113" i="45"/>
  <c r="BG93" i="45"/>
  <c r="BH70" i="45"/>
  <c r="L61" i="41"/>
  <c r="L59" i="41"/>
  <c r="L63" i="41"/>
  <c r="M60" i="41"/>
  <c r="BI84" i="45"/>
  <c r="BJ61" i="45"/>
  <c r="BF89" i="45"/>
  <c r="BG66" i="45"/>
  <c r="BM132" i="45"/>
  <c r="BF111" i="45"/>
  <c r="BF122" i="45"/>
  <c r="BR129" i="45"/>
  <c r="BC76" i="45"/>
  <c r="BD53" i="45"/>
  <c r="B62" i="19"/>
  <c r="C8" i="21"/>
  <c r="C10" i="21"/>
  <c r="C20" i="21"/>
  <c r="C35" i="21"/>
  <c r="B61" i="19"/>
  <c r="BI108" i="45"/>
  <c r="BD109" i="45"/>
  <c r="BE105" i="45"/>
  <c r="BG114" i="45"/>
  <c r="D34" i="25"/>
  <c r="E33" i="25"/>
  <c r="H33" i="25"/>
  <c r="BH54" i="45"/>
  <c r="BG77" i="45"/>
  <c r="BG101" i="45"/>
  <c r="BH115" i="45"/>
  <c r="BD106" i="45"/>
  <c r="BG111" i="45"/>
  <c r="BG122" i="45"/>
  <c r="BS129" i="45"/>
  <c r="BN132" i="45"/>
  <c r="BG113" i="45"/>
  <c r="BH78" i="45"/>
  <c r="BI55" i="45"/>
  <c r="E25" i="37"/>
  <c r="BI79" i="45"/>
  <c r="BJ56" i="45"/>
  <c r="BH66" i="45"/>
  <c r="BG89" i="45"/>
  <c r="M61" i="41"/>
  <c r="M59" i="41"/>
  <c r="M63" i="41"/>
  <c r="N60" i="41"/>
  <c r="BI70" i="45"/>
  <c r="BH93" i="45"/>
  <c r="BD83" i="45"/>
  <c r="BE60" i="45"/>
  <c r="G60" i="10"/>
  <c r="E21" i="28"/>
  <c r="H21" i="28"/>
  <c r="D22" i="28"/>
  <c r="BH58" i="45"/>
  <c r="BG81" i="45"/>
  <c r="BI115" i="45"/>
  <c r="K63" i="39"/>
  <c r="BI64" i="45"/>
  <c r="BH87" i="45"/>
  <c r="BF62" i="45"/>
  <c r="BE85" i="45"/>
  <c r="BF92" i="45"/>
  <c r="BG69" i="45"/>
  <c r="BF82" i="45"/>
  <c r="BG59" i="45"/>
  <c r="E34" i="25"/>
  <c r="H34" i="25"/>
  <c r="D35" i="25"/>
  <c r="B64" i="19"/>
  <c r="E42" i="20"/>
  <c r="BM154" i="45"/>
  <c r="BK134" i="45"/>
  <c r="W150" i="45"/>
  <c r="BJ84" i="45"/>
  <c r="BK61" i="45"/>
  <c r="BJ80" i="45"/>
  <c r="BK57" i="45"/>
  <c r="BJ67" i="45"/>
  <c r="BI90" i="45"/>
  <c r="BI114" i="45"/>
  <c r="H24" i="37"/>
  <c r="D12" i="33"/>
  <c r="BD76" i="45"/>
  <c r="BE53" i="45"/>
  <c r="BG117" i="45"/>
  <c r="BH117" i="45"/>
  <c r="BJ65" i="45"/>
  <c r="BI88" i="45"/>
  <c r="H29" i="34"/>
  <c r="H30" i="34"/>
  <c r="BI104" i="45"/>
  <c r="BF106" i="45"/>
  <c r="BH112" i="45"/>
  <c r="BI54" i="45"/>
  <c r="BH77" i="45"/>
  <c r="BH114" i="45"/>
  <c r="BF113" i="45"/>
  <c r="BD100" i="45"/>
  <c r="BF105" i="45"/>
  <c r="BJ91" i="45"/>
  <c r="BK68" i="45"/>
  <c r="BC100" i="45"/>
  <c r="BC118" i="45"/>
  <c r="BC121" i="45"/>
  <c r="BO128" i="45"/>
  <c r="BO132" i="45"/>
  <c r="BO154" i="45"/>
  <c r="L61" i="39"/>
  <c r="L59" i="39"/>
  <c r="M60" i="39"/>
  <c r="BG86" i="45"/>
  <c r="BH63" i="45"/>
  <c r="BE116" i="45"/>
  <c r="BH111" i="45"/>
  <c r="BH122" i="45"/>
  <c r="BT129" i="45"/>
  <c r="G42" i="33"/>
  <c r="G54" i="33"/>
  <c r="G62" i="33"/>
  <c r="G112" i="33"/>
  <c r="G57" i="33"/>
  <c r="G91" i="33"/>
  <c r="G36" i="33"/>
  <c r="G99" i="33"/>
  <c r="G24" i="33"/>
  <c r="G64" i="33"/>
  <c r="G61" i="33"/>
  <c r="G85" i="33"/>
  <c r="G102" i="33"/>
  <c r="G118" i="33"/>
  <c r="G98" i="33"/>
  <c r="G90" i="33"/>
  <c r="G113" i="33"/>
  <c r="G35" i="33"/>
  <c r="G44" i="33"/>
  <c r="G117" i="33"/>
  <c r="G46" i="33"/>
  <c r="G73" i="33"/>
  <c r="G128" i="33"/>
  <c r="G27" i="33"/>
  <c r="G50" i="33"/>
  <c r="G77" i="33"/>
  <c r="G31" i="33"/>
  <c r="G100" i="33"/>
  <c r="G18" i="33"/>
  <c r="G122" i="33"/>
  <c r="G97" i="33"/>
  <c r="G121" i="33"/>
  <c r="G82" i="33"/>
  <c r="G107" i="33"/>
  <c r="G127" i="33"/>
  <c r="G66" i="33"/>
  <c r="G30" i="33"/>
  <c r="G120" i="33"/>
  <c r="G105" i="33"/>
  <c r="G123" i="33"/>
  <c r="G78" i="33"/>
  <c r="G43" i="33"/>
  <c r="G116" i="33"/>
  <c r="G74" i="33"/>
  <c r="G80" i="33"/>
  <c r="G69" i="33"/>
  <c r="G104" i="33"/>
  <c r="G130" i="33"/>
  <c r="G86" i="33"/>
  <c r="G53" i="33"/>
  <c r="G48" i="33"/>
  <c r="G51" i="33"/>
  <c r="G15" i="33"/>
  <c r="G26" i="33"/>
  <c r="G38" i="33"/>
  <c r="G21" i="33"/>
  <c r="G34" i="33"/>
  <c r="G84" i="33"/>
  <c r="G129" i="33"/>
  <c r="G103" i="33"/>
  <c r="G83" i="33"/>
  <c r="G114" i="33"/>
  <c r="G45" i="33"/>
  <c r="G95" i="33"/>
  <c r="G52" i="33"/>
  <c r="G111" i="33"/>
  <c r="G63" i="33"/>
  <c r="G28" i="33"/>
  <c r="G55" i="33"/>
  <c r="G67" i="33"/>
  <c r="G96" i="33"/>
  <c r="G87" i="33"/>
  <c r="G71" i="33"/>
  <c r="G17" i="33"/>
  <c r="G125" i="33"/>
  <c r="G108" i="33"/>
  <c r="G13" i="33"/>
  <c r="G32" i="33"/>
  <c r="G29" i="33"/>
  <c r="G79" i="33"/>
  <c r="G109" i="33"/>
  <c r="G47" i="33"/>
  <c r="G33" i="33"/>
  <c r="G70" i="33"/>
  <c r="G60" i="33"/>
  <c r="G68" i="33"/>
  <c r="G131" i="33"/>
  <c r="G22" i="33"/>
  <c r="G101" i="33"/>
  <c r="G41" i="33"/>
  <c r="G65" i="33"/>
  <c r="G49" i="33"/>
  <c r="G93" i="33"/>
  <c r="G88" i="33"/>
  <c r="G126" i="33"/>
  <c r="G75" i="33"/>
  <c r="G106" i="33"/>
  <c r="G37" i="33"/>
  <c r="G20" i="33"/>
  <c r="G39" i="33"/>
  <c r="G124" i="33"/>
  <c r="G56" i="33"/>
  <c r="G92" i="33"/>
  <c r="G16" i="33"/>
  <c r="G12" i="33"/>
  <c r="G14" i="33"/>
  <c r="G59" i="33"/>
  <c r="G72" i="33"/>
  <c r="G40" i="33"/>
  <c r="G81" i="33"/>
  <c r="G94" i="33"/>
  <c r="G58" i="33"/>
  <c r="G76" i="33"/>
  <c r="G115" i="33"/>
  <c r="G110" i="33"/>
  <c r="G89" i="33"/>
  <c r="G25" i="33"/>
  <c r="G119" i="33"/>
  <c r="G19" i="33"/>
  <c r="G23" i="33"/>
  <c r="BJ115" i="45"/>
  <c r="BI111" i="45"/>
  <c r="BI122" i="45"/>
  <c r="BU129" i="45"/>
  <c r="BL68" i="45"/>
  <c r="BK91" i="45"/>
  <c r="BJ112" i="45"/>
  <c r="BL57" i="45"/>
  <c r="BK80" i="45"/>
  <c r="BH69" i="45"/>
  <c r="BG92" i="45"/>
  <c r="BH81" i="45"/>
  <c r="BI58" i="45"/>
  <c r="G373" i="33"/>
  <c r="H7" i="33"/>
  <c r="BI63" i="45"/>
  <c r="BH86" i="45"/>
  <c r="BK67" i="45"/>
  <c r="BJ90" i="45"/>
  <c r="BJ108" i="45"/>
  <c r="D36" i="25"/>
  <c r="E35" i="25"/>
  <c r="H35" i="25"/>
  <c r="J35" i="25"/>
  <c r="BJ64" i="45"/>
  <c r="BI87" i="45"/>
  <c r="BE83" i="45"/>
  <c r="BE107" i="45"/>
  <c r="BF60" i="45"/>
  <c r="N59" i="41"/>
  <c r="N61" i="41"/>
  <c r="O60" i="41"/>
  <c r="BI66" i="45"/>
  <c r="BH89" i="45"/>
  <c r="BJ79" i="45"/>
  <c r="BK56" i="45"/>
  <c r="BI78" i="45"/>
  <c r="BJ55" i="45"/>
  <c r="BN154" i="45"/>
  <c r="M59" i="39"/>
  <c r="M61" i="39"/>
  <c r="N60" i="39"/>
  <c r="BE109" i="45"/>
  <c r="L63" i="39"/>
  <c r="BK115" i="45"/>
  <c r="BD118" i="45"/>
  <c r="BD121" i="45"/>
  <c r="BP128" i="45"/>
  <c r="BP132" i="45"/>
  <c r="BN134" i="45"/>
  <c r="X150" i="45"/>
  <c r="BJ88" i="45"/>
  <c r="BK65" i="45"/>
  <c r="BE76" i="45"/>
  <c r="BF53" i="45"/>
  <c r="E12" i="33"/>
  <c r="D13" i="33"/>
  <c r="BH101" i="45"/>
  <c r="BG116" i="45"/>
  <c r="BG62" i="45"/>
  <c r="BF85" i="45"/>
  <c r="E22" i="28"/>
  <c r="H22" i="28"/>
  <c r="D23" i="28"/>
  <c r="BJ104" i="45"/>
  <c r="BG105" i="45"/>
  <c r="BF116" i="45"/>
  <c r="BG110" i="45"/>
  <c r="BH110" i="45"/>
  <c r="BI112" i="45"/>
  <c r="BD107" i="45"/>
  <c r="BJ54" i="45"/>
  <c r="BI77" i="45"/>
  <c r="H32" i="34"/>
  <c r="H55" i="34"/>
  <c r="BJ103" i="45"/>
  <c r="BJ114" i="45"/>
  <c r="BH102" i="45"/>
  <c r="BL61" i="45"/>
  <c r="BK84" i="45"/>
  <c r="BK108" i="45"/>
  <c r="F40" i="20"/>
  <c r="E37" i="20"/>
  <c r="BG82" i="45"/>
  <c r="BH59" i="45"/>
  <c r="BJ70" i="45"/>
  <c r="BI93" i="45"/>
  <c r="H25" i="37"/>
  <c r="F25" i="37"/>
  <c r="D26" i="37"/>
  <c r="E26" i="37"/>
  <c r="BH82" i="45"/>
  <c r="BI59" i="45"/>
  <c r="BJ77" i="45"/>
  <c r="BK54" i="45"/>
  <c r="H12" i="33"/>
  <c r="M63" i="39"/>
  <c r="BI89" i="45"/>
  <c r="BJ66" i="45"/>
  <c r="BF83" i="45"/>
  <c r="BF107" i="45"/>
  <c r="BG60" i="45"/>
  <c r="BI86" i="45"/>
  <c r="BJ63" i="45"/>
  <c r="BJ58" i="45"/>
  <c r="BI81" i="45"/>
  <c r="BL80" i="45"/>
  <c r="BM57" i="45"/>
  <c r="BL91" i="45"/>
  <c r="BM68" i="45"/>
  <c r="BH106" i="45"/>
  <c r="BG106" i="45"/>
  <c r="BG85" i="45"/>
  <c r="BH62" i="45"/>
  <c r="BF76" i="45"/>
  <c r="BG53" i="45"/>
  <c r="BI105" i="45"/>
  <c r="BH105" i="45"/>
  <c r="BI69" i="45"/>
  <c r="BH92" i="45"/>
  <c r="BJ93" i="45"/>
  <c r="BK70" i="45"/>
  <c r="BM61" i="45"/>
  <c r="BL84" i="45"/>
  <c r="H33" i="34"/>
  <c r="D24" i="28"/>
  <c r="E23" i="28"/>
  <c r="H23" i="28"/>
  <c r="J23" i="28"/>
  <c r="N61" i="39"/>
  <c r="N59" i="39"/>
  <c r="O60" i="39"/>
  <c r="E36" i="25"/>
  <c r="BE100" i="45"/>
  <c r="BE118" i="45"/>
  <c r="BE121" i="45"/>
  <c r="BQ128" i="45"/>
  <c r="BQ132" i="45"/>
  <c r="BF109" i="45"/>
  <c r="BF100" i="45"/>
  <c r="BP154" i="45"/>
  <c r="BK136" i="45"/>
  <c r="M146" i="45"/>
  <c r="BK79" i="45"/>
  <c r="BL56" i="45"/>
  <c r="O61" i="41"/>
  <c r="O59" i="41"/>
  <c r="O63" i="41"/>
  <c r="P60" i="41"/>
  <c r="BK64" i="45"/>
  <c r="BJ87" i="45"/>
  <c r="BL67" i="45"/>
  <c r="BK90" i="45"/>
  <c r="BI117" i="45"/>
  <c r="E61" i="20"/>
  <c r="E64" i="20"/>
  <c r="E66" i="20"/>
  <c r="P14" i="32"/>
  <c r="E13" i="33"/>
  <c r="H13" i="33"/>
  <c r="D14" i="33"/>
  <c r="BL65" i="45"/>
  <c r="BK88" i="45"/>
  <c r="BI101" i="45"/>
  <c r="BJ78" i="45"/>
  <c r="BK55" i="45"/>
  <c r="BI113" i="45"/>
  <c r="BH113" i="45"/>
  <c r="N63" i="41"/>
  <c r="BI102" i="45"/>
  <c r="BK104" i="45"/>
  <c r="BI110" i="45"/>
  <c r="BJ102" i="45"/>
  <c r="BL55" i="45"/>
  <c r="BK78" i="45"/>
  <c r="BM65" i="45"/>
  <c r="BL88" i="45"/>
  <c r="P59" i="41"/>
  <c r="P61" i="41"/>
  <c r="Q60" i="41"/>
  <c r="BN103" i="45"/>
  <c r="BK103" i="45"/>
  <c r="BQ154" i="45"/>
  <c r="G64" i="34"/>
  <c r="G65" i="34"/>
  <c r="G62" i="34"/>
  <c r="BL70" i="45"/>
  <c r="BK93" i="45"/>
  <c r="BI62" i="45"/>
  <c r="BH85" i="45"/>
  <c r="BJ117" i="45"/>
  <c r="BN57" i="45"/>
  <c r="BM80" i="45"/>
  <c r="BK114" i="45"/>
  <c r="BH60" i="45"/>
  <c r="BG83" i="45"/>
  <c r="BJ101" i="45"/>
  <c r="P32" i="32"/>
  <c r="P15" i="32"/>
  <c r="BM67" i="45"/>
  <c r="BL90" i="45"/>
  <c r="BL114" i="45"/>
  <c r="F36" i="25"/>
  <c r="H36" i="25"/>
  <c r="O59" i="39"/>
  <c r="O61" i="39"/>
  <c r="P60" i="39"/>
  <c r="BH53" i="45"/>
  <c r="BG76" i="45"/>
  <c r="BK117" i="45"/>
  <c r="BM91" i="45"/>
  <c r="BN68" i="45"/>
  <c r="BH116" i="45"/>
  <c r="BK63" i="45"/>
  <c r="BJ86" i="45"/>
  <c r="BJ111" i="45"/>
  <c r="BJ122" i="45"/>
  <c r="BV129" i="45"/>
  <c r="BK66" i="45"/>
  <c r="BJ89" i="45"/>
  <c r="D15" i="33"/>
  <c r="E14" i="33"/>
  <c r="H14" i="33"/>
  <c r="BK87" i="45"/>
  <c r="BL64" i="45"/>
  <c r="BI92" i="45"/>
  <c r="BI116" i="45"/>
  <c r="BJ69" i="45"/>
  <c r="BG109" i="45"/>
  <c r="BL104" i="45"/>
  <c r="BM104" i="45"/>
  <c r="BJ81" i="45"/>
  <c r="BK58" i="45"/>
  <c r="BG107" i="45"/>
  <c r="BH109" i="45"/>
  <c r="BK112" i="45"/>
  <c r="BL79" i="45"/>
  <c r="BM56" i="45"/>
  <c r="BF118" i="45"/>
  <c r="BF121" i="45"/>
  <c r="BR128" i="45"/>
  <c r="BR132" i="45"/>
  <c r="BR154" i="45"/>
  <c r="N63" i="39"/>
  <c r="E24" i="28"/>
  <c r="H24" i="28"/>
  <c r="D25" i="28"/>
  <c r="BM84" i="45"/>
  <c r="BN61" i="45"/>
  <c r="BL108" i="45"/>
  <c r="BM115" i="45"/>
  <c r="BL115" i="45"/>
  <c r="BJ110" i="45"/>
  <c r="BJ113" i="45"/>
  <c r="BK77" i="45"/>
  <c r="BL54" i="45"/>
  <c r="BI82" i="45"/>
  <c r="BJ59" i="45"/>
  <c r="F26" i="37"/>
  <c r="D27" i="37"/>
  <c r="BK101" i="45"/>
  <c r="BK59" i="45"/>
  <c r="BJ82" i="45"/>
  <c r="E25" i="28"/>
  <c r="H25" i="28"/>
  <c r="D26" i="28"/>
  <c r="BL87" i="45"/>
  <c r="BM64" i="45"/>
  <c r="BL63" i="45"/>
  <c r="BK86" i="45"/>
  <c r="O63" i="39"/>
  <c r="BN67" i="45"/>
  <c r="BM90" i="45"/>
  <c r="P33" i="32"/>
  <c r="P50" i="32"/>
  <c r="P51" i="32"/>
  <c r="BI60" i="45"/>
  <c r="BH83" i="45"/>
  <c r="BN80" i="45"/>
  <c r="BO57" i="45"/>
  <c r="P63" i="41"/>
  <c r="BN65" i="45"/>
  <c r="BM88" i="45"/>
  <c r="BM112" i="45"/>
  <c r="BJ106" i="45"/>
  <c r="BI106" i="45"/>
  <c r="BM79" i="45"/>
  <c r="BN56" i="45"/>
  <c r="BK111" i="45"/>
  <c r="BK122" i="45"/>
  <c r="BW129" i="45"/>
  <c r="BM103" i="45"/>
  <c r="BL103" i="45"/>
  <c r="BJ105" i="45"/>
  <c r="BK105" i="45"/>
  <c r="BJ92" i="45"/>
  <c r="BK69" i="45"/>
  <c r="BO68" i="45"/>
  <c r="BN91" i="45"/>
  <c r="BI53" i="45"/>
  <c r="BH76" i="45"/>
  <c r="P59" i="39"/>
  <c r="P61" i="39"/>
  <c r="F39" i="39"/>
  <c r="BL102" i="45"/>
  <c r="Q59" i="41"/>
  <c r="Q63" i="41"/>
  <c r="Q61" i="41"/>
  <c r="R60" i="41"/>
  <c r="BM55" i="45"/>
  <c r="BL78" i="45"/>
  <c r="BL58" i="45"/>
  <c r="BK81" i="45"/>
  <c r="BL66" i="45"/>
  <c r="BK89" i="45"/>
  <c r="BH100" i="45"/>
  <c r="D37" i="25"/>
  <c r="E27" i="37"/>
  <c r="BL77" i="45"/>
  <c r="BM54" i="45"/>
  <c r="BO61" i="45"/>
  <c r="BN84" i="45"/>
  <c r="H26" i="37"/>
  <c r="BL111" i="45"/>
  <c r="BL122" i="45"/>
  <c r="BX129" i="45"/>
  <c r="BG100" i="45"/>
  <c r="BG118" i="45"/>
  <c r="BG121" i="45"/>
  <c r="BS128" i="45"/>
  <c r="BS132" i="45"/>
  <c r="BM108" i="45"/>
  <c r="BK102" i="45"/>
  <c r="D16" i="33"/>
  <c r="E15" i="33"/>
  <c r="BK110" i="45"/>
  <c r="BJ62" i="45"/>
  <c r="BI85" i="45"/>
  <c r="BL93" i="45"/>
  <c r="BM70" i="45"/>
  <c r="BL112" i="45"/>
  <c r="BN104" i="45"/>
  <c r="BL117" i="45"/>
  <c r="E16" i="33"/>
  <c r="H16" i="33"/>
  <c r="D17" i="33"/>
  <c r="BM77" i="45"/>
  <c r="BN54" i="45"/>
  <c r="E37" i="25"/>
  <c r="BN55" i="45"/>
  <c r="BM78" i="45"/>
  <c r="BJ53" i="45"/>
  <c r="BI76" i="45"/>
  <c r="BJ116" i="45"/>
  <c r="BK116" i="45"/>
  <c r="BO56" i="45"/>
  <c r="BN79" i="45"/>
  <c r="BK113" i="45"/>
  <c r="D27" i="28"/>
  <c r="E26" i="28"/>
  <c r="H26" i="28"/>
  <c r="BN108" i="45"/>
  <c r="F27" i="37"/>
  <c r="D28" i="37"/>
  <c r="R59" i="41"/>
  <c r="R61" i="41"/>
  <c r="S60" i="41"/>
  <c r="BO91" i="45"/>
  <c r="BP68" i="45"/>
  <c r="BO65" i="45"/>
  <c r="BN88" i="45"/>
  <c r="BI83" i="45"/>
  <c r="BJ60" i="45"/>
  <c r="BN90" i="45"/>
  <c r="BN114" i="45"/>
  <c r="BO67" i="45"/>
  <c r="BM87" i="45"/>
  <c r="BN64" i="45"/>
  <c r="BS154" i="45"/>
  <c r="BQ134" i="45"/>
  <c r="Y150" i="45"/>
  <c r="BM66" i="45"/>
  <c r="BL89" i="45"/>
  <c r="BO115" i="45"/>
  <c r="BN112" i="45"/>
  <c r="BI107" i="45"/>
  <c r="BH107" i="45"/>
  <c r="BH118" i="45"/>
  <c r="BH121" i="45"/>
  <c r="BT128" i="45"/>
  <c r="BT132" i="45"/>
  <c r="BM114" i="45"/>
  <c r="BM101" i="45"/>
  <c r="BJ85" i="45"/>
  <c r="BK62" i="45"/>
  <c r="BI109" i="45"/>
  <c r="BM93" i="45"/>
  <c r="BN70" i="45"/>
  <c r="BN115" i="45"/>
  <c r="H15" i="33"/>
  <c r="BL101" i="45"/>
  <c r="BP61" i="45"/>
  <c r="BO84" i="45"/>
  <c r="BL81" i="45"/>
  <c r="BM58" i="45"/>
  <c r="BL69" i="45"/>
  <c r="BK92" i="45"/>
  <c r="BP57" i="45"/>
  <c r="BO80" i="45"/>
  <c r="BM63" i="45"/>
  <c r="BL86" i="45"/>
  <c r="BK82" i="45"/>
  <c r="BL59" i="45"/>
  <c r="BT154" i="45"/>
  <c r="BL92" i="45"/>
  <c r="BM69" i="45"/>
  <c r="BO108" i="45"/>
  <c r="BO64" i="45"/>
  <c r="BN87" i="45"/>
  <c r="D28" i="28"/>
  <c r="E27" i="28"/>
  <c r="H27" i="28"/>
  <c r="BM102" i="45"/>
  <c r="BM117" i="45"/>
  <c r="BP84" i="45"/>
  <c r="BQ61" i="45"/>
  <c r="BK106" i="45"/>
  <c r="BL116" i="45"/>
  <c r="BL105" i="45"/>
  <c r="BO70" i="45"/>
  <c r="BN93" i="45"/>
  <c r="BN66" i="45"/>
  <c r="BM89" i="45"/>
  <c r="R63" i="41"/>
  <c r="BO79" i="45"/>
  <c r="BP56" i="45"/>
  <c r="BJ100" i="45"/>
  <c r="BN111" i="45"/>
  <c r="BN122" i="45"/>
  <c r="BZ129" i="45"/>
  <c r="BM111" i="45"/>
  <c r="BM122" i="45"/>
  <c r="BY129" i="45"/>
  <c r="BP65" i="45"/>
  <c r="BO88" i="45"/>
  <c r="S59" i="41"/>
  <c r="S61" i="41"/>
  <c r="T60" i="41"/>
  <c r="E28" i="37"/>
  <c r="BJ109" i="45"/>
  <c r="BN78" i="45"/>
  <c r="BN102" i="45"/>
  <c r="BO55" i="45"/>
  <c r="H37" i="25"/>
  <c r="F37" i="25"/>
  <c r="BI100" i="45"/>
  <c r="BI118" i="45"/>
  <c r="BI121" i="45"/>
  <c r="BU128" i="45"/>
  <c r="BU132" i="45"/>
  <c r="BU154" i="45"/>
  <c r="BP80" i="45"/>
  <c r="BP104" i="45"/>
  <c r="BQ57" i="45"/>
  <c r="BP67" i="45"/>
  <c r="BO90" i="45"/>
  <c r="BO114" i="45"/>
  <c r="BJ76" i="45"/>
  <c r="BK53" i="45"/>
  <c r="E17" i="33"/>
  <c r="D18" i="33"/>
  <c r="BM59" i="45"/>
  <c r="BL82" i="45"/>
  <c r="BN63" i="45"/>
  <c r="BM86" i="45"/>
  <c r="BN58" i="45"/>
  <c r="BM81" i="45"/>
  <c r="BK85" i="45"/>
  <c r="BL62" i="45"/>
  <c r="BL110" i="45"/>
  <c r="BJ83" i="45"/>
  <c r="BJ107" i="45"/>
  <c r="BK60" i="45"/>
  <c r="BQ68" i="45"/>
  <c r="BP91" i="45"/>
  <c r="H27" i="37"/>
  <c r="BO104" i="45"/>
  <c r="BQ103" i="45"/>
  <c r="BL113" i="45"/>
  <c r="BO54" i="45"/>
  <c r="BN77" i="45"/>
  <c r="BO103" i="45"/>
  <c r="BP54" i="45"/>
  <c r="BO77" i="45"/>
  <c r="BL60" i="45"/>
  <c r="BK83" i="45"/>
  <c r="BM62" i="45"/>
  <c r="BL85" i="45"/>
  <c r="H17" i="33"/>
  <c r="BQ67" i="45"/>
  <c r="BP90" i="45"/>
  <c r="D38" i="25"/>
  <c r="F28" i="37"/>
  <c r="D29" i="37"/>
  <c r="BO112" i="45"/>
  <c r="BK107" i="45"/>
  <c r="BL53" i="45"/>
  <c r="BK76" i="45"/>
  <c r="BP88" i="45"/>
  <c r="BQ65" i="45"/>
  <c r="BO93" i="45"/>
  <c r="BP70" i="45"/>
  <c r="E28" i="28"/>
  <c r="H28" i="28"/>
  <c r="D29" i="28"/>
  <c r="BN69" i="45"/>
  <c r="BM92" i="45"/>
  <c r="BQ115" i="45"/>
  <c r="BM105" i="45"/>
  <c r="BP55" i="45"/>
  <c r="BO78" i="45"/>
  <c r="BN89" i="45"/>
  <c r="BN113" i="45"/>
  <c r="BO66" i="45"/>
  <c r="BL106" i="45"/>
  <c r="BQ108" i="45"/>
  <c r="BO87" i="45"/>
  <c r="BP64" i="45"/>
  <c r="BP108" i="45"/>
  <c r="BK109" i="45"/>
  <c r="BN59" i="45"/>
  <c r="BM82" i="45"/>
  <c r="BR57" i="45"/>
  <c r="BQ80" i="45"/>
  <c r="T59" i="41"/>
  <c r="T61" i="41"/>
  <c r="U60" i="41"/>
  <c r="BJ118" i="45"/>
  <c r="BJ121" i="45"/>
  <c r="BV128" i="45"/>
  <c r="BM113" i="45"/>
  <c r="BN101" i="45"/>
  <c r="BR68" i="45"/>
  <c r="BQ91" i="45"/>
  <c r="BO58" i="45"/>
  <c r="BN81" i="45"/>
  <c r="BN86" i="45"/>
  <c r="BO63" i="45"/>
  <c r="E18" i="33"/>
  <c r="H18" i="33"/>
  <c r="D19" i="33"/>
  <c r="BP114" i="45"/>
  <c r="S63" i="41"/>
  <c r="BP112" i="45"/>
  <c r="BQ56" i="45"/>
  <c r="BP79" i="45"/>
  <c r="BP115" i="45"/>
  <c r="BN110" i="45"/>
  <c r="BQ84" i="45"/>
  <c r="BR61" i="45"/>
  <c r="BM110" i="45"/>
  <c r="BN117" i="45"/>
  <c r="BR56" i="45"/>
  <c r="BQ79" i="45"/>
  <c r="BP58" i="45"/>
  <c r="BO81" i="45"/>
  <c r="BR80" i="45"/>
  <c r="BS57" i="45"/>
  <c r="BO102" i="45"/>
  <c r="BO111" i="45"/>
  <c r="BO122" i="45"/>
  <c r="CA129" i="45"/>
  <c r="E38" i="25"/>
  <c r="BP63" i="45"/>
  <c r="BO86" i="45"/>
  <c r="D20" i="33"/>
  <c r="E19" i="33"/>
  <c r="H19" i="33"/>
  <c r="BR91" i="45"/>
  <c r="BS68" i="45"/>
  <c r="BV132" i="45"/>
  <c r="BK138" i="45"/>
  <c r="H142" i="45"/>
  <c r="H140" i="6"/>
  <c r="BQ104" i="45"/>
  <c r="BP87" i="45"/>
  <c r="BQ64" i="45"/>
  <c r="BO89" i="45"/>
  <c r="BP66" i="45"/>
  <c r="BP111" i="45"/>
  <c r="BP122" i="45"/>
  <c r="CB129" i="45"/>
  <c r="BK100" i="45"/>
  <c r="BK118" i="45"/>
  <c r="BK121" i="45"/>
  <c r="BW128" i="45"/>
  <c r="BN92" i="45"/>
  <c r="BO69" i="45"/>
  <c r="BP103" i="45"/>
  <c r="BQ90" i="45"/>
  <c r="BR67" i="45"/>
  <c r="BM60" i="45"/>
  <c r="BL83" i="45"/>
  <c r="BP101" i="45"/>
  <c r="U61" i="41"/>
  <c r="U59" i="41"/>
  <c r="V60" i="41"/>
  <c r="BQ70" i="45"/>
  <c r="BP93" i="45"/>
  <c r="BO117" i="45"/>
  <c r="BP117" i="45"/>
  <c r="BM53" i="45"/>
  <c r="BL76" i="45"/>
  <c r="BQ112" i="45"/>
  <c r="H28" i="37"/>
  <c r="BM85" i="45"/>
  <c r="BN62" i="45"/>
  <c r="BP77" i="45"/>
  <c r="BQ54" i="45"/>
  <c r="BL109" i="45"/>
  <c r="E29" i="37"/>
  <c r="BS61" i="45"/>
  <c r="BR84" i="45"/>
  <c r="BO113" i="45"/>
  <c r="BO101" i="45"/>
  <c r="BQ55" i="45"/>
  <c r="BP78" i="45"/>
  <c r="T63" i="41"/>
  <c r="BN82" i="45"/>
  <c r="BO59" i="45"/>
  <c r="BL100" i="45"/>
  <c r="BN105" i="45"/>
  <c r="BN116" i="45"/>
  <c r="BM116" i="45"/>
  <c r="E29" i="28"/>
  <c r="H29" i="28"/>
  <c r="D30" i="28"/>
  <c r="BR65" i="45"/>
  <c r="BQ88" i="45"/>
  <c r="BM106" i="45"/>
  <c r="BR115" i="45"/>
  <c r="I26" i="10"/>
  <c r="I26" i="34"/>
  <c r="H145" i="6"/>
  <c r="BT68" i="45"/>
  <c r="BS91" i="45"/>
  <c r="E20" i="33"/>
  <c r="H20" i="33"/>
  <c r="D21" i="33"/>
  <c r="BQ63" i="45"/>
  <c r="BP86" i="45"/>
  <c r="BS80" i="45"/>
  <c r="BT57" i="45"/>
  <c r="BR88" i="45"/>
  <c r="BS65" i="45"/>
  <c r="BQ77" i="45"/>
  <c r="BR54" i="45"/>
  <c r="BV154" i="45"/>
  <c r="BT134" i="45"/>
  <c r="Z150" i="45"/>
  <c r="BQ136" i="45"/>
  <c r="N146" i="45"/>
  <c r="H38" i="25"/>
  <c r="F38" i="25"/>
  <c r="BR79" i="45"/>
  <c r="BS56" i="45"/>
  <c r="BR108" i="45"/>
  <c r="BM76" i="45"/>
  <c r="BN53" i="45"/>
  <c r="BR90" i="45"/>
  <c r="BS67" i="45"/>
  <c r="BO116" i="45"/>
  <c r="BR104" i="45"/>
  <c r="BP102" i="45"/>
  <c r="BO105" i="45"/>
  <c r="BQ78" i="45"/>
  <c r="BR55" i="45"/>
  <c r="H29" i="37"/>
  <c r="F29" i="37"/>
  <c r="D30" i="37"/>
  <c r="BN109" i="45"/>
  <c r="BM109" i="45"/>
  <c r="V61" i="41"/>
  <c r="V59" i="41"/>
  <c r="W60" i="41"/>
  <c r="BL107" i="45"/>
  <c r="BL118" i="45"/>
  <c r="BL121" i="45"/>
  <c r="BX128" i="45"/>
  <c r="E30" i="28"/>
  <c r="H30" i="28"/>
  <c r="D31" i="28"/>
  <c r="BT61" i="45"/>
  <c r="BS84" i="45"/>
  <c r="U63" i="41"/>
  <c r="BN60" i="45"/>
  <c r="BM83" i="45"/>
  <c r="BO92" i="45"/>
  <c r="BP69" i="45"/>
  <c r="BP89" i="45"/>
  <c r="BQ66" i="45"/>
  <c r="BS108" i="45"/>
  <c r="BS115" i="45"/>
  <c r="BO82" i="45"/>
  <c r="BP59" i="45"/>
  <c r="BQ102" i="45"/>
  <c r="BN85" i="45"/>
  <c r="BO62" i="45"/>
  <c r="BQ93" i="45"/>
  <c r="BR70" i="45"/>
  <c r="BR114" i="45"/>
  <c r="BQ114" i="45"/>
  <c r="BN106" i="45"/>
  <c r="BW132" i="45"/>
  <c r="BR64" i="45"/>
  <c r="BQ87" i="45"/>
  <c r="BP110" i="45"/>
  <c r="BO110" i="45"/>
  <c r="BP81" i="45"/>
  <c r="BP105" i="45"/>
  <c r="BQ58" i="45"/>
  <c r="BX132" i="45"/>
  <c r="BX154" i="45"/>
  <c r="BS70" i="45"/>
  <c r="BR93" i="45"/>
  <c r="BT56" i="45"/>
  <c r="BS79" i="45"/>
  <c r="BM100" i="45"/>
  <c r="BR103" i="45"/>
  <c r="S68" i="10"/>
  <c r="N68" i="10"/>
  <c r="M68" i="10"/>
  <c r="J68" i="10"/>
  <c r="J83" i="10"/>
  <c r="J84" i="10"/>
  <c r="J106" i="10"/>
  <c r="J23" i="10"/>
  <c r="J25" i="10"/>
  <c r="J21" i="10"/>
  <c r="J22" i="10"/>
  <c r="O68" i="10"/>
  <c r="I29" i="10"/>
  <c r="I30" i="10"/>
  <c r="Q68" i="10"/>
  <c r="R68" i="10"/>
  <c r="L68" i="10"/>
  <c r="P68" i="10"/>
  <c r="U68" i="10"/>
  <c r="T68" i="10"/>
  <c r="K68" i="10"/>
  <c r="I55" i="10"/>
  <c r="BT84" i="45"/>
  <c r="BU61" i="45"/>
  <c r="BR63" i="45"/>
  <c r="BQ86" i="45"/>
  <c r="BT91" i="45"/>
  <c r="BU68" i="45"/>
  <c r="BW154" i="45"/>
  <c r="BO109" i="45"/>
  <c r="BQ59" i="45"/>
  <c r="BP82" i="45"/>
  <c r="BP113" i="45"/>
  <c r="BO60" i="45"/>
  <c r="BN83" i="45"/>
  <c r="BT108" i="45"/>
  <c r="BM107" i="45"/>
  <c r="V63" i="41"/>
  <c r="BQ111" i="45"/>
  <c r="BQ122" i="45"/>
  <c r="CC129" i="45"/>
  <c r="BS54" i="45"/>
  <c r="BR77" i="45"/>
  <c r="BS88" i="45"/>
  <c r="BT65" i="45"/>
  <c r="BU57" i="45"/>
  <c r="BT80" i="45"/>
  <c r="E21" i="33"/>
  <c r="H21" i="33"/>
  <c r="D22" i="33"/>
  <c r="I25" i="20"/>
  <c r="G23" i="21"/>
  <c r="I9" i="20"/>
  <c r="I7" i="20"/>
  <c r="BR102" i="45"/>
  <c r="BQ81" i="45"/>
  <c r="BR58" i="45"/>
  <c r="BR87" i="45"/>
  <c r="BS64" i="45"/>
  <c r="BQ117" i="45"/>
  <c r="BR117" i="45"/>
  <c r="BQ89" i="45"/>
  <c r="BR66" i="45"/>
  <c r="W59" i="41"/>
  <c r="W63" i="41"/>
  <c r="W61" i="41"/>
  <c r="X60" i="41"/>
  <c r="BR78" i="45"/>
  <c r="BS55" i="45"/>
  <c r="BR111" i="45"/>
  <c r="BR122" i="45"/>
  <c r="CD129" i="45"/>
  <c r="BO85" i="45"/>
  <c r="BP62" i="45"/>
  <c r="BP106" i="45"/>
  <c r="BQ69" i="45"/>
  <c r="BP92" i="45"/>
  <c r="BP116" i="45"/>
  <c r="E31" i="28"/>
  <c r="H31" i="28"/>
  <c r="D32" i="28"/>
  <c r="E30" i="37"/>
  <c r="BT67" i="45"/>
  <c r="BS90" i="45"/>
  <c r="BO53" i="45"/>
  <c r="BN76" i="45"/>
  <c r="D39" i="25"/>
  <c r="BQ101" i="45"/>
  <c r="BR112" i="45"/>
  <c r="BS104" i="45"/>
  <c r="R72" i="34"/>
  <c r="U72" i="34"/>
  <c r="S72" i="34"/>
  <c r="N72" i="34"/>
  <c r="P72" i="34"/>
  <c r="J72" i="34"/>
  <c r="J112" i="34"/>
  <c r="J23" i="34"/>
  <c r="J25" i="34"/>
  <c r="J21" i="34"/>
  <c r="J22" i="34"/>
  <c r="O72" i="34"/>
  <c r="K72" i="34"/>
  <c r="T72" i="34"/>
  <c r="Q72" i="34"/>
  <c r="M72" i="34"/>
  <c r="L72" i="34"/>
  <c r="I57" i="34"/>
  <c r="BO106" i="45"/>
  <c r="BS78" i="45"/>
  <c r="BT55" i="45"/>
  <c r="BS112" i="45"/>
  <c r="E39" i="25"/>
  <c r="F30" i="37"/>
  <c r="D31" i="37"/>
  <c r="BR69" i="45"/>
  <c r="BQ92" i="45"/>
  <c r="BQ62" i="45"/>
  <c r="BP85" i="45"/>
  <c r="BS103" i="45"/>
  <c r="X59" i="41"/>
  <c r="X61" i="41"/>
  <c r="Y60" i="41"/>
  <c r="BT64" i="45"/>
  <c r="BS87" i="45"/>
  <c r="I20" i="20"/>
  <c r="I17" i="20"/>
  <c r="G17" i="21"/>
  <c r="G12" i="21"/>
  <c r="BV57" i="45"/>
  <c r="BU80" i="45"/>
  <c r="BT54" i="45"/>
  <c r="BS77" i="45"/>
  <c r="BU67" i="45"/>
  <c r="BT90" i="45"/>
  <c r="D33" i="28"/>
  <c r="E32" i="28"/>
  <c r="H32" i="28"/>
  <c r="BS111" i="45"/>
  <c r="BS122" i="45"/>
  <c r="CE129" i="45"/>
  <c r="D23" i="33"/>
  <c r="E22" i="33"/>
  <c r="H22" i="33"/>
  <c r="BT88" i="45"/>
  <c r="BU65" i="45"/>
  <c r="BQ116" i="45"/>
  <c r="BQ82" i="45"/>
  <c r="BR59" i="45"/>
  <c r="I53" i="10"/>
  <c r="I32" i="10"/>
  <c r="BS114" i="45"/>
  <c r="BS93" i="45"/>
  <c r="BT70" i="45"/>
  <c r="BO100" i="45"/>
  <c r="BO118" i="45"/>
  <c r="BO121" i="45"/>
  <c r="CA128" i="45"/>
  <c r="CA132" i="45"/>
  <c r="CA154" i="45"/>
  <c r="BN100" i="45"/>
  <c r="BS58" i="45"/>
  <c r="BR81" i="45"/>
  <c r="BP60" i="45"/>
  <c r="BO83" i="45"/>
  <c r="BP53" i="45"/>
  <c r="BO76" i="45"/>
  <c r="BS102" i="45"/>
  <c r="BS66" i="45"/>
  <c r="BR89" i="45"/>
  <c r="G28" i="21"/>
  <c r="G42" i="21"/>
  <c r="D3" i="35"/>
  <c r="BT104" i="45"/>
  <c r="BU104" i="45"/>
  <c r="BS101" i="45"/>
  <c r="BR101" i="45"/>
  <c r="BR105" i="45"/>
  <c r="BV68" i="45"/>
  <c r="BU91" i="45"/>
  <c r="BU84" i="45"/>
  <c r="BV61" i="45"/>
  <c r="BM118" i="45"/>
  <c r="BM121" i="45"/>
  <c r="BY128" i="45"/>
  <c r="BT79" i="45"/>
  <c r="BT103" i="45"/>
  <c r="BU56" i="45"/>
  <c r="BO107" i="45"/>
  <c r="BN107" i="45"/>
  <c r="BR113" i="45"/>
  <c r="I35" i="20"/>
  <c r="BS63" i="45"/>
  <c r="BR86" i="45"/>
  <c r="BQ113" i="45"/>
  <c r="BQ106" i="45"/>
  <c r="BQ105" i="45"/>
  <c r="BT115" i="45"/>
  <c r="BU115" i="45"/>
  <c r="BU108" i="45"/>
  <c r="BQ110" i="45"/>
  <c r="E33" i="28"/>
  <c r="H33" i="28"/>
  <c r="D34" i="28"/>
  <c r="BU54" i="45"/>
  <c r="BT77" i="45"/>
  <c r="I31" i="41"/>
  <c r="I31" i="34"/>
  <c r="I28" i="34"/>
  <c r="Y59" i="41"/>
  <c r="Y61" i="41"/>
  <c r="E31" i="37"/>
  <c r="BS117" i="45"/>
  <c r="BS86" i="45"/>
  <c r="BT63" i="45"/>
  <c r="BV56" i="45"/>
  <c r="BU79" i="45"/>
  <c r="BV91" i="45"/>
  <c r="BW68" i="45"/>
  <c r="H4" i="35"/>
  <c r="H3" i="35"/>
  <c r="D11" i="35"/>
  <c r="G32" i="21"/>
  <c r="I76" i="20"/>
  <c r="BS89" i="45"/>
  <c r="BT66" i="45"/>
  <c r="BT112" i="45"/>
  <c r="BN118" i="45"/>
  <c r="BN121" i="45"/>
  <c r="BZ128" i="45"/>
  <c r="BZ132" i="45"/>
  <c r="BT93" i="45"/>
  <c r="BU70" i="45"/>
  <c r="I33" i="10"/>
  <c r="BV65" i="45"/>
  <c r="BU88" i="45"/>
  <c r="BR92" i="45"/>
  <c r="BS69" i="45"/>
  <c r="BV84" i="45"/>
  <c r="BW61" i="45"/>
  <c r="BP76" i="45"/>
  <c r="BQ53" i="45"/>
  <c r="BY132" i="45"/>
  <c r="BS59" i="45"/>
  <c r="BR82" i="45"/>
  <c r="BP109" i="45"/>
  <c r="BT111" i="45"/>
  <c r="BT122" i="45"/>
  <c r="CF129" i="45"/>
  <c r="BQ85" i="45"/>
  <c r="BR62" i="45"/>
  <c r="H30" i="37"/>
  <c r="H39" i="25"/>
  <c r="F39" i="25"/>
  <c r="BU55" i="45"/>
  <c r="BT78" i="45"/>
  <c r="BQ60" i="45"/>
  <c r="BP83" i="45"/>
  <c r="BT58" i="45"/>
  <c r="BS81" i="45"/>
  <c r="BS110" i="45"/>
  <c r="BR110" i="45"/>
  <c r="D24" i="33"/>
  <c r="E23" i="33"/>
  <c r="H23" i="33"/>
  <c r="J23" i="33"/>
  <c r="BU90" i="45"/>
  <c r="BV67" i="45"/>
  <c r="BW57" i="45"/>
  <c r="BV80" i="45"/>
  <c r="BU64" i="45"/>
  <c r="BT87" i="45"/>
  <c r="X63" i="41"/>
  <c r="BR116" i="45"/>
  <c r="BT114" i="45"/>
  <c r="BS105" i="45"/>
  <c r="BV103" i="45"/>
  <c r="BV112" i="45"/>
  <c r="BU111" i="45"/>
  <c r="BU122" i="45"/>
  <c r="CG129" i="45"/>
  <c r="BV90" i="45"/>
  <c r="BW67" i="45"/>
  <c r="BU58" i="45"/>
  <c r="BT81" i="45"/>
  <c r="D40" i="25"/>
  <c r="BY154" i="45"/>
  <c r="BW134" i="45"/>
  <c r="AA150" i="45"/>
  <c r="BP100" i="45"/>
  <c r="BU112" i="45"/>
  <c r="H60" i="10"/>
  <c r="BV70" i="45"/>
  <c r="BU93" i="45"/>
  <c r="BT89" i="45"/>
  <c r="BU66" i="45"/>
  <c r="D12" i="35"/>
  <c r="BV115" i="45"/>
  <c r="BU114" i="45"/>
  <c r="BZ154" i="45"/>
  <c r="G60" i="35"/>
  <c r="G56" i="35"/>
  <c r="G41" i="35"/>
  <c r="G103" i="35"/>
  <c r="G124" i="35"/>
  <c r="G18" i="35"/>
  <c r="G13" i="35"/>
  <c r="G84" i="35"/>
  <c r="G32" i="35"/>
  <c r="G87" i="35"/>
  <c r="G68" i="35"/>
  <c r="G37" i="35"/>
  <c r="G20" i="35"/>
  <c r="G82" i="35"/>
  <c r="G85" i="35"/>
  <c r="G110" i="35"/>
  <c r="G95" i="35"/>
  <c r="G81" i="35"/>
  <c r="G51" i="35"/>
  <c r="G50" i="35"/>
  <c r="G52" i="35"/>
  <c r="G39" i="35"/>
  <c r="G111" i="35"/>
  <c r="G102" i="35"/>
  <c r="G17" i="35"/>
  <c r="G123" i="35"/>
  <c r="G62" i="35"/>
  <c r="G74" i="35"/>
  <c r="G25" i="35"/>
  <c r="G69" i="35"/>
  <c r="G120" i="35"/>
  <c r="G57" i="35"/>
  <c r="G38" i="35"/>
  <c r="G64" i="35"/>
  <c r="G55" i="35"/>
  <c r="G61" i="35"/>
  <c r="G72" i="35"/>
  <c r="G78" i="35"/>
  <c r="G36" i="35"/>
  <c r="G45" i="35"/>
  <c r="G30" i="35"/>
  <c r="G16" i="35"/>
  <c r="G67" i="35"/>
  <c r="G34" i="35"/>
  <c r="G116" i="35"/>
  <c r="G22" i="35"/>
  <c r="G54" i="35"/>
  <c r="G89" i="35"/>
  <c r="G92" i="35"/>
  <c r="G104" i="35"/>
  <c r="G106" i="35"/>
  <c r="G58" i="35"/>
  <c r="G73" i="35"/>
  <c r="G130" i="35"/>
  <c r="G125" i="35"/>
  <c r="G93" i="35"/>
  <c r="G94" i="35"/>
  <c r="G66" i="35"/>
  <c r="G80" i="35"/>
  <c r="G90" i="35"/>
  <c r="G42" i="35"/>
  <c r="G65" i="35"/>
  <c r="G29" i="35"/>
  <c r="G128" i="35"/>
  <c r="G86" i="35"/>
  <c r="G14" i="35"/>
  <c r="G105" i="35"/>
  <c r="G21" i="35"/>
  <c r="G15" i="35"/>
  <c r="G98" i="35"/>
  <c r="G33" i="35"/>
  <c r="G117" i="35"/>
  <c r="G91" i="35"/>
  <c r="G12" i="35"/>
  <c r="G118" i="35"/>
  <c r="G122" i="35"/>
  <c r="G63" i="35"/>
  <c r="G126" i="35"/>
  <c r="G100" i="35"/>
  <c r="G79" i="35"/>
  <c r="G71" i="35"/>
  <c r="G46" i="35"/>
  <c r="G113" i="35"/>
  <c r="G109" i="35"/>
  <c r="G114" i="35"/>
  <c r="G24" i="35"/>
  <c r="G77" i="35"/>
  <c r="G26" i="35"/>
  <c r="G101" i="35"/>
  <c r="G35" i="35"/>
  <c r="G112" i="35"/>
  <c r="G44" i="35"/>
  <c r="G70" i="35"/>
  <c r="G47" i="35"/>
  <c r="G127" i="35"/>
  <c r="G49" i="35"/>
  <c r="G23" i="35"/>
  <c r="G97" i="35"/>
  <c r="G75" i="35"/>
  <c r="G28" i="35"/>
  <c r="G99" i="35"/>
  <c r="G119" i="35"/>
  <c r="G76" i="35"/>
  <c r="G83" i="35"/>
  <c r="G31" i="35"/>
  <c r="G48" i="35"/>
  <c r="G107" i="35"/>
  <c r="G96" i="35"/>
  <c r="G40" i="35"/>
  <c r="G59" i="35"/>
  <c r="G53" i="35"/>
  <c r="G19" i="35"/>
  <c r="G121" i="35"/>
  <c r="G131" i="35"/>
  <c r="G129" i="35"/>
  <c r="G115" i="35"/>
  <c r="G43" i="35"/>
  <c r="G27" i="35"/>
  <c r="G88" i="35"/>
  <c r="G108" i="35"/>
  <c r="BV79" i="45"/>
  <c r="BW56" i="45"/>
  <c r="H31" i="37"/>
  <c r="F31" i="37"/>
  <c r="D32" i="37"/>
  <c r="I29" i="34"/>
  <c r="I30" i="34"/>
  <c r="BV54" i="45"/>
  <c r="BU77" i="45"/>
  <c r="BT117" i="45"/>
  <c r="BV114" i="45"/>
  <c r="BV64" i="45"/>
  <c r="BU87" i="45"/>
  <c r="BP107" i="45"/>
  <c r="BS106" i="45"/>
  <c r="BS92" i="45"/>
  <c r="BT69" i="45"/>
  <c r="BT86" i="45"/>
  <c r="BU63" i="45"/>
  <c r="BU101" i="45"/>
  <c r="BW104" i="45"/>
  <c r="E24" i="33"/>
  <c r="H24" i="33"/>
  <c r="D25" i="33"/>
  <c r="BR60" i="45"/>
  <c r="BQ83" i="45"/>
  <c r="BQ107" i="45"/>
  <c r="BT102" i="45"/>
  <c r="BT59" i="45"/>
  <c r="BS82" i="45"/>
  <c r="BW84" i="45"/>
  <c r="BW108" i="45"/>
  <c r="BX61" i="45"/>
  <c r="BS116" i="45"/>
  <c r="BW65" i="45"/>
  <c r="BV88" i="45"/>
  <c r="BX57" i="45"/>
  <c r="BW80" i="45"/>
  <c r="BR106" i="45"/>
  <c r="BT105" i="45"/>
  <c r="BQ109" i="45"/>
  <c r="BV55" i="45"/>
  <c r="BU78" i="45"/>
  <c r="BU102" i="45"/>
  <c r="BS62" i="45"/>
  <c r="BR85" i="45"/>
  <c r="BV104" i="45"/>
  <c r="BU103" i="45"/>
  <c r="BQ76" i="45"/>
  <c r="BQ100" i="45"/>
  <c r="BQ118" i="45"/>
  <c r="BQ121" i="45"/>
  <c r="CC128" i="45"/>
  <c r="CC132" i="45"/>
  <c r="BR53" i="45"/>
  <c r="BV108" i="45"/>
  <c r="BT101" i="45"/>
  <c r="BS113" i="45"/>
  <c r="BX68" i="45"/>
  <c r="BW91" i="45"/>
  <c r="BW115" i="45"/>
  <c r="D35" i="28"/>
  <c r="E34" i="28"/>
  <c r="H34" i="28"/>
  <c r="BT113" i="45"/>
  <c r="CC154" i="45"/>
  <c r="BY68" i="45"/>
  <c r="BX91" i="45"/>
  <c r="BS85" i="45"/>
  <c r="BT62" i="45"/>
  <c r="BX84" i="45"/>
  <c r="BY61" i="45"/>
  <c r="BU59" i="45"/>
  <c r="BT82" i="45"/>
  <c r="BT116" i="45"/>
  <c r="BW64" i="45"/>
  <c r="BV87" i="45"/>
  <c r="BV77" i="45"/>
  <c r="BW54" i="45"/>
  <c r="E40" i="25"/>
  <c r="D36" i="28"/>
  <c r="E35" i="28"/>
  <c r="H35" i="28"/>
  <c r="J35" i="28"/>
  <c r="I32" i="34"/>
  <c r="I55" i="34"/>
  <c r="E12" i="35"/>
  <c r="D13" i="35"/>
  <c r="BW55" i="45"/>
  <c r="BV78" i="45"/>
  <c r="BV102" i="45"/>
  <c r="BR83" i="45"/>
  <c r="BS60" i="45"/>
  <c r="BV63" i="45"/>
  <c r="BU86" i="45"/>
  <c r="BX56" i="45"/>
  <c r="BW79" i="45"/>
  <c r="G373" i="35"/>
  <c r="H7" i="35"/>
  <c r="BU89" i="45"/>
  <c r="BV66" i="45"/>
  <c r="BP118" i="45"/>
  <c r="BP121" i="45"/>
  <c r="CB128" i="45"/>
  <c r="BU117" i="45"/>
  <c r="BU81" i="45"/>
  <c r="BU105" i="45"/>
  <c r="BV58" i="45"/>
  <c r="BR107" i="45"/>
  <c r="BR76" i="45"/>
  <c r="BS53" i="45"/>
  <c r="BX80" i="45"/>
  <c r="BY57" i="45"/>
  <c r="BX65" i="45"/>
  <c r="BW88" i="45"/>
  <c r="BX108" i="45"/>
  <c r="BV93" i="45"/>
  <c r="BW70" i="45"/>
  <c r="BX115" i="45"/>
  <c r="BR109" i="45"/>
  <c r="D26" i="33"/>
  <c r="E25" i="33"/>
  <c r="H25" i="33"/>
  <c r="BT110" i="45"/>
  <c r="BU110" i="45"/>
  <c r="BT92" i="45"/>
  <c r="BU69" i="45"/>
  <c r="BV111" i="45"/>
  <c r="BV122" i="45"/>
  <c r="CH129" i="45"/>
  <c r="E32" i="37"/>
  <c r="BX67" i="45"/>
  <c r="BW90" i="45"/>
  <c r="BX104" i="45"/>
  <c r="BT106" i="45"/>
  <c r="BY108" i="45"/>
  <c r="BX70" i="45"/>
  <c r="BW93" i="45"/>
  <c r="BV110" i="45"/>
  <c r="BX55" i="45"/>
  <c r="BW78" i="45"/>
  <c r="E13" i="35"/>
  <c r="H13" i="35"/>
  <c r="D14" i="35"/>
  <c r="E36" i="28"/>
  <c r="BX64" i="45"/>
  <c r="BW87" i="45"/>
  <c r="BW111" i="45"/>
  <c r="BW122" i="45"/>
  <c r="CI129" i="45"/>
  <c r="BY91" i="45"/>
  <c r="BZ68" i="45"/>
  <c r="CB132" i="45"/>
  <c r="BV86" i="45"/>
  <c r="BW63" i="45"/>
  <c r="H12" i="35"/>
  <c r="BX54" i="45"/>
  <c r="BW77" i="45"/>
  <c r="BU82" i="45"/>
  <c r="BV59" i="45"/>
  <c r="BW114" i="45"/>
  <c r="F32" i="37"/>
  <c r="D33" i="37"/>
  <c r="BV69" i="45"/>
  <c r="BU92" i="45"/>
  <c r="BZ57" i="45"/>
  <c r="BY80" i="45"/>
  <c r="BY104" i="45"/>
  <c r="BR100" i="45"/>
  <c r="BR118" i="45"/>
  <c r="BR121" i="45"/>
  <c r="CD128" i="45"/>
  <c r="CD132" i="45"/>
  <c r="BW58" i="45"/>
  <c r="BV81" i="45"/>
  <c r="BV89" i="45"/>
  <c r="BW66" i="45"/>
  <c r="BX79" i="45"/>
  <c r="BY56" i="45"/>
  <c r="BV105" i="45"/>
  <c r="F40" i="25"/>
  <c r="H40" i="25"/>
  <c r="BW101" i="45"/>
  <c r="BV101" i="45"/>
  <c r="BZ61" i="45"/>
  <c r="BY84" i="45"/>
  <c r="BU62" i="45"/>
  <c r="BT85" i="45"/>
  <c r="E26" i="33"/>
  <c r="H26" i="33"/>
  <c r="D27" i="33"/>
  <c r="BV117" i="45"/>
  <c r="BX88" i="45"/>
  <c r="BY65" i="45"/>
  <c r="BT53" i="45"/>
  <c r="BS76" i="45"/>
  <c r="BW103" i="45"/>
  <c r="BX90" i="45"/>
  <c r="BY67" i="45"/>
  <c r="BU116" i="45"/>
  <c r="BW112" i="45"/>
  <c r="BU113" i="45"/>
  <c r="BS83" i="45"/>
  <c r="BT60" i="45"/>
  <c r="I33" i="34"/>
  <c r="BW117" i="45"/>
  <c r="BW102" i="45"/>
  <c r="BS109" i="45"/>
  <c r="H64" i="34"/>
  <c r="H62" i="34"/>
  <c r="H65" i="34"/>
  <c r="BU60" i="45"/>
  <c r="BT83" i="45"/>
  <c r="BY90" i="45"/>
  <c r="BZ67" i="45"/>
  <c r="BT76" i="45"/>
  <c r="BU53" i="45"/>
  <c r="BU85" i="45"/>
  <c r="BV62" i="45"/>
  <c r="BW89" i="45"/>
  <c r="BX66" i="45"/>
  <c r="BS100" i="45"/>
  <c r="BT100" i="45"/>
  <c r="BT118" i="45"/>
  <c r="BT121" i="45"/>
  <c r="CF128" i="45"/>
  <c r="CF132" i="45"/>
  <c r="BU109" i="45"/>
  <c r="BT109" i="45"/>
  <c r="BX58" i="45"/>
  <c r="BW81" i="45"/>
  <c r="CA57" i="45"/>
  <c r="BZ80" i="45"/>
  <c r="H32" i="37"/>
  <c r="BW59" i="45"/>
  <c r="BV82" i="45"/>
  <c r="BV106" i="45"/>
  <c r="BY115" i="45"/>
  <c r="BY64" i="45"/>
  <c r="BX87" i="45"/>
  <c r="E14" i="35"/>
  <c r="D15" i="35"/>
  <c r="BX117" i="45"/>
  <c r="BX93" i="45"/>
  <c r="BY70" i="45"/>
  <c r="BU106" i="45"/>
  <c r="BS107" i="45"/>
  <c r="BZ65" i="45"/>
  <c r="BY88" i="45"/>
  <c r="E27" i="33"/>
  <c r="H27" i="33"/>
  <c r="D28" i="33"/>
  <c r="BV113" i="45"/>
  <c r="BW113" i="45"/>
  <c r="BW69" i="45"/>
  <c r="BV92" i="45"/>
  <c r="BX114" i="45"/>
  <c r="CB154" i="45"/>
  <c r="BW136" i="45"/>
  <c r="O146" i="45"/>
  <c r="BZ134" i="45"/>
  <c r="CD154" i="45"/>
  <c r="F36" i="28"/>
  <c r="BX112" i="45"/>
  <c r="BZ84" i="45"/>
  <c r="BZ108" i="45"/>
  <c r="CA61" i="45"/>
  <c r="D41" i="25"/>
  <c r="BY79" i="45"/>
  <c r="BY103" i="45"/>
  <c r="BZ56" i="45"/>
  <c r="BZ104" i="45"/>
  <c r="E33" i="37"/>
  <c r="BX77" i="45"/>
  <c r="BY54" i="45"/>
  <c r="BW86" i="45"/>
  <c r="BX63" i="45"/>
  <c r="CA68" i="45"/>
  <c r="BZ91" i="45"/>
  <c r="BT107" i="45"/>
  <c r="BX78" i="45"/>
  <c r="BY55" i="45"/>
  <c r="BX103" i="45"/>
  <c r="BV116" i="45"/>
  <c r="BZ79" i="45"/>
  <c r="CA56" i="45"/>
  <c r="CA84" i="45"/>
  <c r="CB61" i="45"/>
  <c r="BZ55" i="45"/>
  <c r="BY78" i="45"/>
  <c r="BY102" i="45"/>
  <c r="F33" i="37"/>
  <c r="D34" i="37"/>
  <c r="BX102" i="45"/>
  <c r="BY112" i="45"/>
  <c r="H14" i="35"/>
  <c r="BZ115" i="45"/>
  <c r="CA104" i="45"/>
  <c r="BV60" i="45"/>
  <c r="BU83" i="45"/>
  <c r="BU107" i="45"/>
  <c r="BY77" i="45"/>
  <c r="BZ54" i="45"/>
  <c r="D37" i="28"/>
  <c r="CA65" i="45"/>
  <c r="BZ88" i="45"/>
  <c r="CB57" i="45"/>
  <c r="CA80" i="45"/>
  <c r="CB68" i="45"/>
  <c r="CA91" i="45"/>
  <c r="CA115" i="45"/>
  <c r="BZ103" i="45"/>
  <c r="CA108" i="45"/>
  <c r="H36" i="28"/>
  <c r="E28" i="33"/>
  <c r="H28" i="33"/>
  <c r="D29" i="33"/>
  <c r="BY87" i="45"/>
  <c r="BZ64" i="45"/>
  <c r="BW110" i="45"/>
  <c r="BX59" i="45"/>
  <c r="BW82" i="45"/>
  <c r="BW105" i="45"/>
  <c r="BS118" i="45"/>
  <c r="BS121" i="45"/>
  <c r="CE128" i="45"/>
  <c r="CE132" i="45"/>
  <c r="BV109" i="45"/>
  <c r="BY114" i="45"/>
  <c r="CF154" i="45"/>
  <c r="BV85" i="45"/>
  <c r="BW62" i="45"/>
  <c r="BZ90" i="45"/>
  <c r="CA67" i="45"/>
  <c r="BX111" i="45"/>
  <c r="BX122" i="45"/>
  <c r="CJ129" i="45"/>
  <c r="BY63" i="45"/>
  <c r="BX86" i="45"/>
  <c r="E41" i="25"/>
  <c r="BX110" i="45"/>
  <c r="AF150" i="45"/>
  <c r="AB150" i="45"/>
  <c r="BX101" i="45"/>
  <c r="BX69" i="45"/>
  <c r="BW92" i="45"/>
  <c r="BW116" i="45"/>
  <c r="BY93" i="45"/>
  <c r="BY117" i="45"/>
  <c r="BZ70" i="45"/>
  <c r="D16" i="35"/>
  <c r="E15" i="35"/>
  <c r="H15" i="35"/>
  <c r="BX81" i="45"/>
  <c r="BY58" i="45"/>
  <c r="BX89" i="45"/>
  <c r="BX113" i="45"/>
  <c r="BY66" i="45"/>
  <c r="BU76" i="45"/>
  <c r="BV53" i="45"/>
  <c r="BW109" i="45"/>
  <c r="CE154" i="45"/>
  <c r="CC134" i="45"/>
  <c r="AC150" i="45"/>
  <c r="BW106" i="45"/>
  <c r="CC57" i="45"/>
  <c r="CB80" i="45"/>
  <c r="CB65" i="45"/>
  <c r="CA88" i="45"/>
  <c r="BW60" i="45"/>
  <c r="BV83" i="45"/>
  <c r="CB56" i="45"/>
  <c r="CA79" i="45"/>
  <c r="H33" i="37"/>
  <c r="CA55" i="45"/>
  <c r="BZ78" i="45"/>
  <c r="BZ102" i="45"/>
  <c r="CB84" i="45"/>
  <c r="CC61" i="45"/>
  <c r="BY113" i="45"/>
  <c r="CA70" i="45"/>
  <c r="BZ93" i="45"/>
  <c r="BY69" i="45"/>
  <c r="BX92" i="45"/>
  <c r="BV76" i="45"/>
  <c r="BW53" i="45"/>
  <c r="H41" i="25"/>
  <c r="F41" i="25"/>
  <c r="D42" i="25"/>
  <c r="CA90" i="45"/>
  <c r="CB67" i="45"/>
  <c r="BX105" i="45"/>
  <c r="BY59" i="45"/>
  <c r="BX82" i="45"/>
  <c r="BX106" i="45"/>
  <c r="E29" i="33"/>
  <c r="H29" i="33"/>
  <c r="D30" i="33"/>
  <c r="E37" i="28"/>
  <c r="E34" i="37"/>
  <c r="CA103" i="45"/>
  <c r="BU100" i="45"/>
  <c r="BU118" i="45"/>
  <c r="BU121" i="45"/>
  <c r="CG128" i="45"/>
  <c r="CG132" i="45"/>
  <c r="BZ114" i="45"/>
  <c r="CA114" i="45"/>
  <c r="CB91" i="45"/>
  <c r="CC68" i="45"/>
  <c r="BZ66" i="45"/>
  <c r="BY89" i="45"/>
  <c r="BY81" i="45"/>
  <c r="BZ58" i="45"/>
  <c r="E16" i="35"/>
  <c r="H16" i="35"/>
  <c r="D17" i="35"/>
  <c r="BY86" i="45"/>
  <c r="BZ63" i="45"/>
  <c r="BX62" i="45"/>
  <c r="BW85" i="45"/>
  <c r="BX116" i="45"/>
  <c r="BZ87" i="45"/>
  <c r="CA64" i="45"/>
  <c r="BY101" i="45"/>
  <c r="CB104" i="45"/>
  <c r="BZ112" i="45"/>
  <c r="CA112" i="45"/>
  <c r="CA54" i="45"/>
  <c r="BZ77" i="45"/>
  <c r="BV107" i="45"/>
  <c r="BY111" i="45"/>
  <c r="BY122" i="45"/>
  <c r="CK129" i="45"/>
  <c r="CB108" i="45"/>
  <c r="BZ101" i="45"/>
  <c r="BZ81" i="45"/>
  <c r="CA58" i="45"/>
  <c r="D31" i="33"/>
  <c r="E30" i="33"/>
  <c r="H30" i="33"/>
  <c r="CA77" i="45"/>
  <c r="CB54" i="45"/>
  <c r="CA87" i="45"/>
  <c r="CB64" i="45"/>
  <c r="BZ89" i="45"/>
  <c r="CA66" i="45"/>
  <c r="CA117" i="45"/>
  <c r="BZ59" i="45"/>
  <c r="BY82" i="45"/>
  <c r="E42" i="25"/>
  <c r="BW76" i="45"/>
  <c r="BX53" i="45"/>
  <c r="BZ69" i="45"/>
  <c r="BY92" i="45"/>
  <c r="BW83" i="45"/>
  <c r="BX60" i="45"/>
  <c r="CB79" i="45"/>
  <c r="CC56" i="45"/>
  <c r="CD57" i="45"/>
  <c r="CC80" i="45"/>
  <c r="CG154" i="45"/>
  <c r="H34" i="37"/>
  <c r="F34" i="37"/>
  <c r="D35" i="37"/>
  <c r="CC67" i="45"/>
  <c r="CB90" i="45"/>
  <c r="BZ117" i="45"/>
  <c r="CA93" i="45"/>
  <c r="CB70" i="45"/>
  <c r="CB55" i="45"/>
  <c r="CA78" i="45"/>
  <c r="CA111" i="45"/>
  <c r="CA122" i="45"/>
  <c r="CM129" i="45"/>
  <c r="BY62" i="45"/>
  <c r="BX85" i="45"/>
  <c r="BZ105" i="45"/>
  <c r="BZ86" i="45"/>
  <c r="CA63" i="45"/>
  <c r="CD68" i="45"/>
  <c r="CC91" i="45"/>
  <c r="CA101" i="45"/>
  <c r="BY110" i="45"/>
  <c r="E17" i="35"/>
  <c r="H17" i="35"/>
  <c r="D18" i="35"/>
  <c r="BV100" i="45"/>
  <c r="BV118" i="45"/>
  <c r="BV121" i="45"/>
  <c r="CH128" i="45"/>
  <c r="CC103" i="45"/>
  <c r="H37" i="28"/>
  <c r="F37" i="28"/>
  <c r="BY106" i="45"/>
  <c r="BY105" i="45"/>
  <c r="CC84" i="45"/>
  <c r="CD61" i="45"/>
  <c r="CB115" i="45"/>
  <c r="BZ111" i="45"/>
  <c r="BZ122" i="45"/>
  <c r="CL129" i="45"/>
  <c r="BW107" i="45"/>
  <c r="CC65" i="45"/>
  <c r="CB88" i="45"/>
  <c r="CC112" i="45"/>
  <c r="CB112" i="45"/>
  <c r="CD91" i="45"/>
  <c r="CE68" i="45"/>
  <c r="BZ62" i="45"/>
  <c r="BY85" i="45"/>
  <c r="F53" i="20"/>
  <c r="F51" i="20"/>
  <c r="F62" i="20"/>
  <c r="D38" i="21"/>
  <c r="E37" i="21"/>
  <c r="E35" i="37"/>
  <c r="J35" i="37"/>
  <c r="D33" i="21"/>
  <c r="CC104" i="45"/>
  <c r="BY53" i="45"/>
  <c r="BX76" i="45"/>
  <c r="BZ113" i="45"/>
  <c r="CC54" i="45"/>
  <c r="CB77" i="45"/>
  <c r="E31" i="33"/>
  <c r="H31" i="33"/>
  <c r="D32" i="33"/>
  <c r="CD65" i="45"/>
  <c r="CC88" i="45"/>
  <c r="D19" i="35"/>
  <c r="E18" i="35"/>
  <c r="H18" i="35"/>
  <c r="CB63" i="45"/>
  <c r="CA86" i="45"/>
  <c r="CA102" i="45"/>
  <c r="CB102" i="45"/>
  <c r="CD80" i="45"/>
  <c r="CE57" i="45"/>
  <c r="BZ82" i="45"/>
  <c r="CA59" i="45"/>
  <c r="CB101" i="45"/>
  <c r="CD84" i="45"/>
  <c r="CE61" i="45"/>
  <c r="CH132" i="45"/>
  <c r="BW138" i="45"/>
  <c r="I142" i="45"/>
  <c r="I140" i="6"/>
  <c r="CA110" i="45"/>
  <c r="BZ110" i="45"/>
  <c r="CB78" i="45"/>
  <c r="CC55" i="45"/>
  <c r="CC114" i="45"/>
  <c r="CD56" i="45"/>
  <c r="CC79" i="45"/>
  <c r="BY60" i="45"/>
  <c r="BX83" i="45"/>
  <c r="BY116" i="45"/>
  <c r="BZ116" i="45"/>
  <c r="H42" i="25"/>
  <c r="F42" i="25"/>
  <c r="D43" i="25"/>
  <c r="CC64" i="45"/>
  <c r="CB87" i="45"/>
  <c r="CB114" i="45"/>
  <c r="D38" i="28"/>
  <c r="CD115" i="45"/>
  <c r="CC115" i="45"/>
  <c r="BW100" i="45"/>
  <c r="BW118" i="45"/>
  <c r="BW121" i="45"/>
  <c r="CI128" i="45"/>
  <c r="BX109" i="45"/>
  <c r="CC70" i="45"/>
  <c r="CB93" i="45"/>
  <c r="CC90" i="45"/>
  <c r="CD67" i="45"/>
  <c r="CB103" i="45"/>
  <c r="CC108" i="45"/>
  <c r="CA69" i="45"/>
  <c r="BZ92" i="45"/>
  <c r="CB66" i="45"/>
  <c r="CA89" i="45"/>
  <c r="CA81" i="45"/>
  <c r="CB58" i="45"/>
  <c r="CB111" i="45"/>
  <c r="CB122" i="45"/>
  <c r="CN129" i="45"/>
  <c r="CB110" i="45"/>
  <c r="BY107" i="45"/>
  <c r="CA105" i="45"/>
  <c r="CB69" i="45"/>
  <c r="CA92" i="45"/>
  <c r="CA116" i="45"/>
  <c r="CB117" i="45"/>
  <c r="CE56" i="45"/>
  <c r="CD79" i="45"/>
  <c r="CC102" i="45"/>
  <c r="CE84" i="45"/>
  <c r="CF61" i="45"/>
  <c r="CA113" i="45"/>
  <c r="CE80" i="45"/>
  <c r="CF57" i="45"/>
  <c r="CC77" i="45"/>
  <c r="CD54" i="45"/>
  <c r="F35" i="37"/>
  <c r="D36" i="37"/>
  <c r="C51" i="19"/>
  <c r="C55" i="19"/>
  <c r="E19" i="35"/>
  <c r="H19" i="35"/>
  <c r="D20" i="35"/>
  <c r="D33" i="33"/>
  <c r="E32" i="33"/>
  <c r="H32" i="33"/>
  <c r="CB81" i="45"/>
  <c r="CC58" i="45"/>
  <c r="CC66" i="45"/>
  <c r="CB89" i="45"/>
  <c r="BX107" i="45"/>
  <c r="CE67" i="45"/>
  <c r="CD90" i="45"/>
  <c r="CD108" i="45"/>
  <c r="CC87" i="45"/>
  <c r="CD64" i="45"/>
  <c r="BZ60" i="45"/>
  <c r="BY83" i="45"/>
  <c r="J26" i="34"/>
  <c r="J26" i="10"/>
  <c r="I145" i="6"/>
  <c r="CB59" i="45"/>
  <c r="CA82" i="45"/>
  <c r="BX100" i="45"/>
  <c r="BX118" i="45"/>
  <c r="BX121" i="45"/>
  <c r="CJ128" i="45"/>
  <c r="CJ132" i="45"/>
  <c r="CJ154" i="45"/>
  <c r="BY76" i="45"/>
  <c r="BZ53" i="45"/>
  <c r="BY109" i="45"/>
  <c r="CE91" i="45"/>
  <c r="CF68" i="45"/>
  <c r="CB113" i="45"/>
  <c r="CC93" i="45"/>
  <c r="CD70" i="45"/>
  <c r="CI132" i="45"/>
  <c r="E38" i="28"/>
  <c r="E43" i="25"/>
  <c r="CD103" i="45"/>
  <c r="CC78" i="45"/>
  <c r="CD55" i="45"/>
  <c r="CH154" i="45"/>
  <c r="CC136" i="45"/>
  <c r="P146" i="45"/>
  <c r="CF134" i="45"/>
  <c r="AD150" i="45"/>
  <c r="CA106" i="45"/>
  <c r="CC63" i="45"/>
  <c r="CB86" i="45"/>
  <c r="CE65" i="45"/>
  <c r="CD88" i="45"/>
  <c r="BZ106" i="45"/>
  <c r="CD104" i="45"/>
  <c r="CA62" i="45"/>
  <c r="BZ85" i="45"/>
  <c r="CE115" i="45"/>
  <c r="CD114" i="45"/>
  <c r="CE108" i="45"/>
  <c r="H43" i="25"/>
  <c r="F43" i="25"/>
  <c r="D44" i="25"/>
  <c r="CI154" i="45"/>
  <c r="CG68" i="45"/>
  <c r="CF91" i="45"/>
  <c r="CE64" i="45"/>
  <c r="CD87" i="45"/>
  <c r="CD58" i="45"/>
  <c r="CC81" i="45"/>
  <c r="CA109" i="45"/>
  <c r="CC117" i="45"/>
  <c r="BZ109" i="45"/>
  <c r="CC59" i="45"/>
  <c r="CB82" i="45"/>
  <c r="CA60" i="45"/>
  <c r="BZ83" i="45"/>
  <c r="CC89" i="45"/>
  <c r="CD66" i="45"/>
  <c r="E20" i="35"/>
  <c r="H20" i="35"/>
  <c r="D21" i="35"/>
  <c r="CE54" i="45"/>
  <c r="CD77" i="45"/>
  <c r="CG57" i="45"/>
  <c r="CF80" i="45"/>
  <c r="CE79" i="45"/>
  <c r="CF56" i="45"/>
  <c r="CB92" i="45"/>
  <c r="CC69" i="45"/>
  <c r="CD63" i="45"/>
  <c r="CC86" i="45"/>
  <c r="S69" i="10"/>
  <c r="K69" i="10"/>
  <c r="K83" i="10"/>
  <c r="K84" i="10"/>
  <c r="K106" i="10"/>
  <c r="K23" i="10"/>
  <c r="K25" i="10"/>
  <c r="K21" i="10"/>
  <c r="K22" i="10"/>
  <c r="U69" i="10"/>
  <c r="M69" i="10"/>
  <c r="J29" i="10"/>
  <c r="J30" i="10"/>
  <c r="P69" i="10"/>
  <c r="L69" i="10"/>
  <c r="R69" i="10"/>
  <c r="Q69" i="10"/>
  <c r="T69" i="10"/>
  <c r="O69" i="10"/>
  <c r="V69" i="10"/>
  <c r="N69" i="10"/>
  <c r="J55" i="10"/>
  <c r="CE104" i="45"/>
  <c r="E36" i="37"/>
  <c r="CB62" i="45"/>
  <c r="CA85" i="45"/>
  <c r="H23" i="21"/>
  <c r="J9" i="20"/>
  <c r="J7" i="20"/>
  <c r="J25" i="20"/>
  <c r="CF67" i="45"/>
  <c r="CE90" i="45"/>
  <c r="C57" i="19"/>
  <c r="CD101" i="45"/>
  <c r="CC101" i="45"/>
  <c r="CD112" i="45"/>
  <c r="CF115" i="45"/>
  <c r="CA53" i="45"/>
  <c r="BZ76" i="45"/>
  <c r="CF65" i="45"/>
  <c r="CE88" i="45"/>
  <c r="CE55" i="45"/>
  <c r="CD78" i="45"/>
  <c r="F38" i="28"/>
  <c r="H38" i="28"/>
  <c r="CD93" i="45"/>
  <c r="CE70" i="45"/>
  <c r="N73" i="34"/>
  <c r="T73" i="34"/>
  <c r="V73" i="34"/>
  <c r="R73" i="34"/>
  <c r="K73" i="34"/>
  <c r="K112" i="34"/>
  <c r="K23" i="34"/>
  <c r="K25" i="34"/>
  <c r="K21" i="34"/>
  <c r="K22" i="34"/>
  <c r="P73" i="34"/>
  <c r="Q73" i="34"/>
  <c r="O73" i="34"/>
  <c r="U73" i="34"/>
  <c r="S73" i="34"/>
  <c r="L73" i="34"/>
  <c r="M73" i="34"/>
  <c r="J57" i="34"/>
  <c r="BY100" i="45"/>
  <c r="BY118" i="45"/>
  <c r="BY121" i="45"/>
  <c r="CK128" i="45"/>
  <c r="CK132" i="45"/>
  <c r="CK154" i="45"/>
  <c r="D34" i="33"/>
  <c r="E33" i="33"/>
  <c r="H33" i="33"/>
  <c r="H35" i="37"/>
  <c r="CG61" i="45"/>
  <c r="CF84" i="45"/>
  <c r="CE103" i="45"/>
  <c r="CB105" i="45"/>
  <c r="CC111" i="45"/>
  <c r="CC122" i="45"/>
  <c r="CO129" i="45"/>
  <c r="CC113" i="45"/>
  <c r="CH61" i="45"/>
  <c r="CG84" i="45"/>
  <c r="CE93" i="45"/>
  <c r="CF70" i="45"/>
  <c r="J53" i="10"/>
  <c r="J32" i="10"/>
  <c r="J33" i="10"/>
  <c r="CB116" i="45"/>
  <c r="E21" i="35"/>
  <c r="H21" i="35"/>
  <c r="D22" i="35"/>
  <c r="CI134" i="45"/>
  <c r="AE150" i="45"/>
  <c r="BZ107" i="45"/>
  <c r="CF108" i="45"/>
  <c r="CF88" i="45"/>
  <c r="CG65" i="45"/>
  <c r="H17" i="21"/>
  <c r="H12" i="21"/>
  <c r="J20" i="20"/>
  <c r="J17" i="20"/>
  <c r="J35" i="20"/>
  <c r="CB85" i="45"/>
  <c r="CC62" i="45"/>
  <c r="CC105" i="45"/>
  <c r="CD69" i="45"/>
  <c r="CC92" i="45"/>
  <c r="CE77" i="45"/>
  <c r="CF54" i="45"/>
  <c r="CE112" i="45"/>
  <c r="CE87" i="45"/>
  <c r="CF64" i="45"/>
  <c r="CH68" i="45"/>
  <c r="CG91" i="45"/>
  <c r="E44" i="25"/>
  <c r="CD117" i="45"/>
  <c r="CE78" i="45"/>
  <c r="CF55" i="45"/>
  <c r="BZ100" i="45"/>
  <c r="CE114" i="45"/>
  <c r="H28" i="21"/>
  <c r="H42" i="21"/>
  <c r="D3" i="46"/>
  <c r="F36" i="37"/>
  <c r="D37" i="37"/>
  <c r="CC110" i="45"/>
  <c r="CG56" i="45"/>
  <c r="CF79" i="45"/>
  <c r="CH57" i="45"/>
  <c r="CG80" i="45"/>
  <c r="CD89" i="45"/>
  <c r="CE66" i="45"/>
  <c r="CA83" i="45"/>
  <c r="CB60" i="45"/>
  <c r="CD59" i="45"/>
  <c r="CC82" i="45"/>
  <c r="CD81" i="45"/>
  <c r="CE58" i="45"/>
  <c r="CB106" i="45"/>
  <c r="CD102" i="45"/>
  <c r="E34" i="33"/>
  <c r="H34" i="33"/>
  <c r="D35" i="33"/>
  <c r="D39" i="28"/>
  <c r="CA76" i="45"/>
  <c r="CB53" i="45"/>
  <c r="C62" i="19"/>
  <c r="D8" i="21"/>
  <c r="D10" i="21"/>
  <c r="D20" i="21"/>
  <c r="D35" i="21"/>
  <c r="C61" i="19"/>
  <c r="CG67" i="45"/>
  <c r="CF90" i="45"/>
  <c r="CB109" i="45"/>
  <c r="CE102" i="45"/>
  <c r="CE63" i="45"/>
  <c r="CD86" i="45"/>
  <c r="CF103" i="45"/>
  <c r="CE101" i="45"/>
  <c r="CF104" i="45"/>
  <c r="CD113" i="45"/>
  <c r="CD111" i="45"/>
  <c r="CD122" i="45"/>
  <c r="CP129" i="45"/>
  <c r="CF112" i="45"/>
  <c r="CG112" i="45"/>
  <c r="CI57" i="45"/>
  <c r="CH80" i="45"/>
  <c r="E37" i="37"/>
  <c r="I60" i="10"/>
  <c r="CA107" i="45"/>
  <c r="C64" i="19"/>
  <c r="F42" i="20"/>
  <c r="CC60" i="45"/>
  <c r="CB83" i="45"/>
  <c r="CB107" i="45"/>
  <c r="CG104" i="45"/>
  <c r="CD110" i="45"/>
  <c r="CE117" i="45"/>
  <c r="CG115" i="45"/>
  <c r="CH104" i="45"/>
  <c r="CG70" i="45"/>
  <c r="CF93" i="45"/>
  <c r="CF63" i="45"/>
  <c r="CE86" i="45"/>
  <c r="D36" i="33"/>
  <c r="E35" i="33"/>
  <c r="H35" i="33"/>
  <c r="J35" i="33"/>
  <c r="D11" i="46"/>
  <c r="H32" i="21"/>
  <c r="J76" i="20"/>
  <c r="H3" i="46"/>
  <c r="H4" i="46"/>
  <c r="CG55" i="45"/>
  <c r="CF78" i="45"/>
  <c r="CH91" i="45"/>
  <c r="CI68" i="45"/>
  <c r="CD62" i="45"/>
  <c r="CC85" i="45"/>
  <c r="CH65" i="45"/>
  <c r="CG88" i="45"/>
  <c r="CF114" i="45"/>
  <c r="E39" i="28"/>
  <c r="CF66" i="45"/>
  <c r="CE89" i="45"/>
  <c r="H36" i="37"/>
  <c r="CA100" i="45"/>
  <c r="CA118" i="45"/>
  <c r="CA121" i="45"/>
  <c r="CM128" i="45"/>
  <c r="CM132" i="45"/>
  <c r="CM154" i="45"/>
  <c r="CF87" i="45"/>
  <c r="CG64" i="45"/>
  <c r="CG108" i="45"/>
  <c r="CD105" i="45"/>
  <c r="CC116" i="45"/>
  <c r="CH84" i="45"/>
  <c r="CI61" i="45"/>
  <c r="CC109" i="45"/>
  <c r="CG90" i="45"/>
  <c r="CH67" i="45"/>
  <c r="CB76" i="45"/>
  <c r="CC53" i="45"/>
  <c r="CF58" i="45"/>
  <c r="CE81" i="45"/>
  <c r="CE59" i="45"/>
  <c r="CD82" i="45"/>
  <c r="CD106" i="45"/>
  <c r="CE113" i="45"/>
  <c r="CG79" i="45"/>
  <c r="CH56" i="45"/>
  <c r="BZ118" i="45"/>
  <c r="BZ121" i="45"/>
  <c r="CL128" i="45"/>
  <c r="H44" i="25"/>
  <c r="F44" i="25"/>
  <c r="D45" i="25"/>
  <c r="CF111" i="45"/>
  <c r="CF122" i="45"/>
  <c r="CR129" i="45"/>
  <c r="CF77" i="45"/>
  <c r="CG54" i="45"/>
  <c r="CD92" i="45"/>
  <c r="CE69" i="45"/>
  <c r="J31" i="41"/>
  <c r="J31" i="34"/>
  <c r="J28" i="34"/>
  <c r="J29" i="34"/>
  <c r="J30" i="34"/>
  <c r="CC106" i="45"/>
  <c r="D23" i="35"/>
  <c r="E22" i="35"/>
  <c r="H22" i="35"/>
  <c r="CE111" i="45"/>
  <c r="CE122" i="45"/>
  <c r="CQ129" i="45"/>
  <c r="CG114" i="45"/>
  <c r="J32" i="34"/>
  <c r="J33" i="34"/>
  <c r="J55" i="34"/>
  <c r="CH90" i="45"/>
  <c r="CI67" i="45"/>
  <c r="CH70" i="45"/>
  <c r="CG93" i="45"/>
  <c r="F37" i="20"/>
  <c r="G40" i="20"/>
  <c r="CF69" i="45"/>
  <c r="CE92" i="45"/>
  <c r="CG77" i="45"/>
  <c r="CH54" i="45"/>
  <c r="E45" i="25"/>
  <c r="CE82" i="45"/>
  <c r="CF59" i="45"/>
  <c r="CG103" i="45"/>
  <c r="CJ68" i="45"/>
  <c r="CI91" i="45"/>
  <c r="G21" i="46"/>
  <c r="G105" i="46"/>
  <c r="G18" i="46"/>
  <c r="G130" i="46"/>
  <c r="G60" i="46"/>
  <c r="G111" i="46"/>
  <c r="G128" i="46"/>
  <c r="G101" i="46"/>
  <c r="G51" i="46"/>
  <c r="G54" i="46"/>
  <c r="G103" i="46"/>
  <c r="G102" i="46"/>
  <c r="G119" i="46"/>
  <c r="G121" i="46"/>
  <c r="G86" i="46"/>
  <c r="G46" i="46"/>
  <c r="G29" i="46"/>
  <c r="G23" i="46"/>
  <c r="G32" i="46"/>
  <c r="G109" i="46"/>
  <c r="G126" i="46"/>
  <c r="G76" i="46"/>
  <c r="G83" i="46"/>
  <c r="G67" i="46"/>
  <c r="G99" i="46"/>
  <c r="G113" i="46"/>
  <c r="G72" i="46"/>
  <c r="G125" i="46"/>
  <c r="G106" i="46"/>
  <c r="G77" i="46"/>
  <c r="G30" i="46"/>
  <c r="G98" i="46"/>
  <c r="G50" i="46"/>
  <c r="G123" i="46"/>
  <c r="G48" i="46"/>
  <c r="G34" i="46"/>
  <c r="G81" i="46"/>
  <c r="G59" i="46"/>
  <c r="G42" i="46"/>
  <c r="G15" i="46"/>
  <c r="G71" i="46"/>
  <c r="G88" i="46"/>
  <c r="G57" i="46"/>
  <c r="G35" i="46"/>
  <c r="G70" i="46"/>
  <c r="G80" i="46"/>
  <c r="G115" i="46"/>
  <c r="G47" i="46"/>
  <c r="G56" i="46"/>
  <c r="G94" i="46"/>
  <c r="G74" i="46"/>
  <c r="G62" i="46"/>
  <c r="G117" i="46"/>
  <c r="G124" i="46"/>
  <c r="G116" i="46"/>
  <c r="G75" i="46"/>
  <c r="G25" i="46"/>
  <c r="G33" i="46"/>
  <c r="G107" i="46"/>
  <c r="G96" i="46"/>
  <c r="G95" i="46"/>
  <c r="G91" i="46"/>
  <c r="G45" i="46"/>
  <c r="G19" i="46"/>
  <c r="G92" i="46"/>
  <c r="G87" i="46"/>
  <c r="G108" i="46"/>
  <c r="G90" i="46"/>
  <c r="G64" i="46"/>
  <c r="G58" i="46"/>
  <c r="G120" i="46"/>
  <c r="G89" i="46"/>
  <c r="G28" i="46"/>
  <c r="G84" i="46"/>
  <c r="G129" i="46"/>
  <c r="G17" i="46"/>
  <c r="G43" i="46"/>
  <c r="G53" i="46"/>
  <c r="G14" i="46"/>
  <c r="G110" i="46"/>
  <c r="G65" i="46"/>
  <c r="G55" i="46"/>
  <c r="G26" i="46"/>
  <c r="G22" i="46"/>
  <c r="G93" i="46"/>
  <c r="G127" i="46"/>
  <c r="G100" i="46"/>
  <c r="G85" i="46"/>
  <c r="G16" i="46"/>
  <c r="G36" i="46"/>
  <c r="G38" i="46"/>
  <c r="G104" i="46"/>
  <c r="G73" i="46"/>
  <c r="G37" i="46"/>
  <c r="G82" i="46"/>
  <c r="G49" i="46"/>
  <c r="G39" i="46"/>
  <c r="G24" i="46"/>
  <c r="G122" i="46"/>
  <c r="G31" i="46"/>
  <c r="G112" i="46"/>
  <c r="G118" i="46"/>
  <c r="G13" i="46"/>
  <c r="G12" i="46"/>
  <c r="G68" i="46"/>
  <c r="G40" i="46"/>
  <c r="G114" i="46"/>
  <c r="G63" i="46"/>
  <c r="G27" i="46"/>
  <c r="G61" i="46"/>
  <c r="G78" i="46"/>
  <c r="G20" i="46"/>
  <c r="G52" i="46"/>
  <c r="G131" i="46"/>
  <c r="G97" i="46"/>
  <c r="G66" i="46"/>
  <c r="G69" i="46"/>
  <c r="G44" i="46"/>
  <c r="G79" i="46"/>
  <c r="G41" i="46"/>
  <c r="D12" i="46"/>
  <c r="CF117" i="45"/>
  <c r="CG117" i="45"/>
  <c r="CC83" i="45"/>
  <c r="CD60" i="45"/>
  <c r="CE106" i="45"/>
  <c r="CG101" i="45"/>
  <c r="CJ61" i="45"/>
  <c r="CI84" i="45"/>
  <c r="CG87" i="45"/>
  <c r="CH64" i="45"/>
  <c r="CI65" i="45"/>
  <c r="CH88" i="45"/>
  <c r="CH112" i="45"/>
  <c r="CI115" i="45"/>
  <c r="E36" i="33"/>
  <c r="CJ57" i="45"/>
  <c r="CI80" i="45"/>
  <c r="CL132" i="45"/>
  <c r="CF81" i="45"/>
  <c r="CF105" i="45"/>
  <c r="CG58" i="45"/>
  <c r="CH108" i="45"/>
  <c r="CG111" i="45"/>
  <c r="CG122" i="45"/>
  <c r="CS129" i="45"/>
  <c r="CF113" i="45"/>
  <c r="H39" i="28"/>
  <c r="F39" i="28"/>
  <c r="CF102" i="45"/>
  <c r="CE110" i="45"/>
  <c r="CF101" i="45"/>
  <c r="CH115" i="45"/>
  <c r="H37" i="37"/>
  <c r="F37" i="37"/>
  <c r="D38" i="37"/>
  <c r="CI108" i="45"/>
  <c r="D24" i="35"/>
  <c r="E23" i="35"/>
  <c r="H23" i="35"/>
  <c r="J23" i="35"/>
  <c r="CH79" i="45"/>
  <c r="CI56" i="45"/>
  <c r="CD53" i="45"/>
  <c r="CC76" i="45"/>
  <c r="CD116" i="45"/>
  <c r="CF89" i="45"/>
  <c r="CG66" i="45"/>
  <c r="CE62" i="45"/>
  <c r="CD85" i="45"/>
  <c r="CG78" i="45"/>
  <c r="CH55" i="45"/>
  <c r="CG63" i="45"/>
  <c r="CF86" i="45"/>
  <c r="CE105" i="45"/>
  <c r="CB100" i="45"/>
  <c r="CB118" i="45"/>
  <c r="CB121" i="45"/>
  <c r="CN128" i="45"/>
  <c r="CN132" i="45"/>
  <c r="CN154" i="45"/>
  <c r="CE116" i="45"/>
  <c r="CF110" i="45"/>
  <c r="CC100" i="45"/>
  <c r="CC118" i="45"/>
  <c r="CC121" i="45"/>
  <c r="CO128" i="45"/>
  <c r="CO132" i="45"/>
  <c r="D25" i="35"/>
  <c r="E24" i="35"/>
  <c r="H24" i="35"/>
  <c r="E38" i="37"/>
  <c r="D40" i="28"/>
  <c r="CG81" i="45"/>
  <c r="CH58" i="45"/>
  <c r="H36" i="33"/>
  <c r="F36" i="33"/>
  <c r="CJ65" i="45"/>
  <c r="CI88" i="45"/>
  <c r="CI112" i="45"/>
  <c r="CJ84" i="45"/>
  <c r="CK61" i="45"/>
  <c r="CI104" i="45"/>
  <c r="CC107" i="45"/>
  <c r="G373" i="46"/>
  <c r="H7" i="46"/>
  <c r="CI54" i="45"/>
  <c r="CH77" i="45"/>
  <c r="CG69" i="45"/>
  <c r="CF92" i="45"/>
  <c r="CH93" i="45"/>
  <c r="CI70" i="45"/>
  <c r="CI90" i="45"/>
  <c r="CJ67" i="45"/>
  <c r="CH63" i="45"/>
  <c r="CG86" i="45"/>
  <c r="CI64" i="45"/>
  <c r="CH87" i="45"/>
  <c r="CH66" i="45"/>
  <c r="CG89" i="45"/>
  <c r="CD109" i="45"/>
  <c r="CH111" i="45"/>
  <c r="CH122" i="45"/>
  <c r="CT129" i="45"/>
  <c r="D13" i="46"/>
  <c r="E12" i="46"/>
  <c r="F61" i="20"/>
  <c r="F64" i="20"/>
  <c r="F66" i="20"/>
  <c r="Q14" i="32"/>
  <c r="I64" i="34"/>
  <c r="I62" i="34"/>
  <c r="I65" i="34"/>
  <c r="CE85" i="45"/>
  <c r="CF62" i="45"/>
  <c r="CE53" i="45"/>
  <c r="CD76" i="45"/>
  <c r="CJ80" i="45"/>
  <c r="CK57" i="45"/>
  <c r="CK68" i="45"/>
  <c r="CJ91" i="45"/>
  <c r="CI55" i="45"/>
  <c r="CH78" i="45"/>
  <c r="CG105" i="45"/>
  <c r="CD100" i="45"/>
  <c r="CH114" i="45"/>
  <c r="CH102" i="45"/>
  <c r="CG102" i="45"/>
  <c r="CG113" i="45"/>
  <c r="CH103" i="45"/>
  <c r="CI79" i="45"/>
  <c r="CJ56" i="45"/>
  <c r="CG110" i="45"/>
  <c r="CL134" i="45"/>
  <c r="CL154" i="45"/>
  <c r="CI136" i="45"/>
  <c r="Q146" i="45"/>
  <c r="CJ108" i="45"/>
  <c r="CD83" i="45"/>
  <c r="CE60" i="45"/>
  <c r="CF82" i="45"/>
  <c r="CG59" i="45"/>
  <c r="F45" i="25"/>
  <c r="D46" i="25"/>
  <c r="CF116" i="45"/>
  <c r="CI114" i="45"/>
  <c r="H45" i="25"/>
  <c r="CF60" i="45"/>
  <c r="CE83" i="45"/>
  <c r="CF109" i="45"/>
  <c r="CI78" i="45"/>
  <c r="CJ55" i="45"/>
  <c r="CL57" i="45"/>
  <c r="CK80" i="45"/>
  <c r="CF85" i="45"/>
  <c r="CG62" i="45"/>
  <c r="Q32" i="32"/>
  <c r="Q15" i="32"/>
  <c r="D14" i="46"/>
  <c r="E13" i="46"/>
  <c r="H13" i="46"/>
  <c r="CI66" i="45"/>
  <c r="CH89" i="45"/>
  <c r="CJ64" i="45"/>
  <c r="CI87" i="45"/>
  <c r="CJ90" i="45"/>
  <c r="CK67" i="45"/>
  <c r="CG116" i="45"/>
  <c r="H38" i="37"/>
  <c r="F38" i="37"/>
  <c r="D39" i="37"/>
  <c r="CO154" i="45"/>
  <c r="CF106" i="45"/>
  <c r="CD118" i="45"/>
  <c r="CD121" i="45"/>
  <c r="CP128" i="45"/>
  <c r="CP132" i="45"/>
  <c r="CP154" i="45"/>
  <c r="CJ115" i="45"/>
  <c r="CI93" i="45"/>
  <c r="CJ70" i="45"/>
  <c r="CH101" i="45"/>
  <c r="CJ88" i="45"/>
  <c r="CK65" i="45"/>
  <c r="E25" i="35"/>
  <c r="H25" i="35"/>
  <c r="D26" i="35"/>
  <c r="CH59" i="45"/>
  <c r="CG82" i="45"/>
  <c r="CE107" i="45"/>
  <c r="CK104" i="45"/>
  <c r="CH86" i="45"/>
  <c r="CI63" i="45"/>
  <c r="CG92" i="45"/>
  <c r="CH69" i="45"/>
  <c r="CJ104" i="45"/>
  <c r="E40" i="28"/>
  <c r="E46" i="25"/>
  <c r="CJ112" i="45"/>
  <c r="CJ79" i="45"/>
  <c r="CK56" i="45"/>
  <c r="CI102" i="45"/>
  <c r="CK91" i="45"/>
  <c r="CL68" i="45"/>
  <c r="CE76" i="45"/>
  <c r="CE100" i="45"/>
  <c r="CE118" i="45"/>
  <c r="CE121" i="45"/>
  <c r="CQ128" i="45"/>
  <c r="CQ132" i="45"/>
  <c r="CQ154" i="45"/>
  <c r="CF53" i="45"/>
  <c r="H12" i="46"/>
  <c r="CI111" i="45"/>
  <c r="CI122" i="45"/>
  <c r="CU129" i="45"/>
  <c r="CH117" i="45"/>
  <c r="CI117" i="45"/>
  <c r="CI77" i="45"/>
  <c r="CI101" i="45"/>
  <c r="CJ54" i="45"/>
  <c r="CD107" i="45"/>
  <c r="CL61" i="45"/>
  <c r="CK84" i="45"/>
  <c r="D37" i="33"/>
  <c r="CI58" i="45"/>
  <c r="CH81" i="45"/>
  <c r="CI103" i="45"/>
  <c r="CE109" i="45"/>
  <c r="CL91" i="45"/>
  <c r="CM68" i="45"/>
  <c r="CH82" i="45"/>
  <c r="CI59" i="45"/>
  <c r="E39" i="37"/>
  <c r="CJ114" i="45"/>
  <c r="CH113" i="45"/>
  <c r="Q50" i="32"/>
  <c r="Q51" i="32"/>
  <c r="Q33" i="32"/>
  <c r="CM61" i="45"/>
  <c r="CL84" i="45"/>
  <c r="CG53" i="45"/>
  <c r="CF76" i="45"/>
  <c r="CK79" i="45"/>
  <c r="CL56" i="45"/>
  <c r="H46" i="25"/>
  <c r="F46" i="25"/>
  <c r="D47" i="25"/>
  <c r="CI86" i="45"/>
  <c r="CJ63" i="45"/>
  <c r="CJ111" i="45"/>
  <c r="CJ122" i="45"/>
  <c r="CV129" i="45"/>
  <c r="CG85" i="45"/>
  <c r="CH62" i="45"/>
  <c r="CJ78" i="45"/>
  <c r="CK55" i="45"/>
  <c r="CJ77" i="45"/>
  <c r="CK54" i="45"/>
  <c r="CH105" i="45"/>
  <c r="CL108" i="45"/>
  <c r="CJ101" i="45"/>
  <c r="CL115" i="45"/>
  <c r="CK88" i="45"/>
  <c r="CL65" i="45"/>
  <c r="CK70" i="45"/>
  <c r="CJ93" i="45"/>
  <c r="CJ117" i="45"/>
  <c r="CO134" i="45"/>
  <c r="AG150" i="45"/>
  <c r="CJ66" i="45"/>
  <c r="CI89" i="45"/>
  <c r="CM57" i="45"/>
  <c r="CL80" i="45"/>
  <c r="CJ58" i="45"/>
  <c r="CI81" i="45"/>
  <c r="E37" i="33"/>
  <c r="CJ103" i="45"/>
  <c r="F40" i="28"/>
  <c r="CH92" i="45"/>
  <c r="CI69" i="45"/>
  <c r="CH110" i="45"/>
  <c r="E26" i="35"/>
  <c r="H26" i="35"/>
  <c r="D27" i="35"/>
  <c r="CK115" i="45"/>
  <c r="CG106" i="45"/>
  <c r="CK108" i="45"/>
  <c r="CL67" i="45"/>
  <c r="CK90" i="45"/>
  <c r="CK64" i="45"/>
  <c r="CJ87" i="45"/>
  <c r="D15" i="46"/>
  <c r="E14" i="46"/>
  <c r="CJ102" i="45"/>
  <c r="CG60" i="45"/>
  <c r="CF83" i="45"/>
  <c r="CL104" i="45"/>
  <c r="CJ105" i="45"/>
  <c r="CG107" i="45"/>
  <c r="CF107" i="45"/>
  <c r="CL64" i="45"/>
  <c r="CK87" i="45"/>
  <c r="CI92" i="45"/>
  <c r="CI116" i="45"/>
  <c r="CJ69" i="45"/>
  <c r="CM80" i="45"/>
  <c r="CN57" i="45"/>
  <c r="CH109" i="45"/>
  <c r="CK112" i="45"/>
  <c r="E47" i="25"/>
  <c r="J47" i="25"/>
  <c r="CF100" i="45"/>
  <c r="CF118" i="45"/>
  <c r="CF121" i="45"/>
  <c r="CR128" i="45"/>
  <c r="CR132" i="45"/>
  <c r="CI113" i="45"/>
  <c r="CH53" i="45"/>
  <c r="CG76" i="45"/>
  <c r="CJ59" i="45"/>
  <c r="CI82" i="45"/>
  <c r="CI106" i="45"/>
  <c r="CH116" i="45"/>
  <c r="CN68" i="45"/>
  <c r="CM91" i="45"/>
  <c r="E15" i="46"/>
  <c r="H15" i="46"/>
  <c r="D16" i="46"/>
  <c r="CL90" i="45"/>
  <c r="CM67" i="45"/>
  <c r="D41" i="28"/>
  <c r="CJ81" i="45"/>
  <c r="CK58" i="45"/>
  <c r="CK66" i="45"/>
  <c r="CJ89" i="45"/>
  <c r="CL70" i="45"/>
  <c r="CK93" i="45"/>
  <c r="CK77" i="45"/>
  <c r="CL54" i="45"/>
  <c r="CK63" i="45"/>
  <c r="CJ86" i="45"/>
  <c r="CM56" i="45"/>
  <c r="CL79" i="45"/>
  <c r="CM84" i="45"/>
  <c r="CN61" i="45"/>
  <c r="H39" i="37"/>
  <c r="F39" i="37"/>
  <c r="D40" i="37"/>
  <c r="CH106" i="45"/>
  <c r="CH60" i="45"/>
  <c r="CG83" i="45"/>
  <c r="H14" i="46"/>
  <c r="CL114" i="45"/>
  <c r="CJ113" i="45"/>
  <c r="CK117" i="45"/>
  <c r="CK78" i="45"/>
  <c r="CK102" i="45"/>
  <c r="CL55" i="45"/>
  <c r="CK111" i="45"/>
  <c r="CK122" i="45"/>
  <c r="CW129" i="45"/>
  <c r="D28" i="35"/>
  <c r="E27" i="35"/>
  <c r="H27" i="35"/>
  <c r="H40" i="28"/>
  <c r="F37" i="33"/>
  <c r="CM104" i="45"/>
  <c r="CL88" i="45"/>
  <c r="CL112" i="45"/>
  <c r="CM65" i="45"/>
  <c r="CI105" i="45"/>
  <c r="CH85" i="45"/>
  <c r="CI62" i="45"/>
  <c r="CI110" i="45"/>
  <c r="CJ110" i="45"/>
  <c r="CK114" i="45"/>
  <c r="CG109" i="45"/>
  <c r="CK103" i="45"/>
  <c r="CM88" i="45"/>
  <c r="CN65" i="45"/>
  <c r="CN67" i="45"/>
  <c r="CM90" i="45"/>
  <c r="CM114" i="45"/>
  <c r="H47" i="25"/>
  <c r="F47" i="25"/>
  <c r="D48" i="25"/>
  <c r="CL78" i="45"/>
  <c r="CL102" i="45"/>
  <c r="CM55" i="45"/>
  <c r="CI60" i="45"/>
  <c r="CH83" i="45"/>
  <c r="CO61" i="45"/>
  <c r="CN84" i="45"/>
  <c r="CN108" i="45"/>
  <c r="CK110" i="45"/>
  <c r="CL77" i="45"/>
  <c r="CM54" i="45"/>
  <c r="CM70" i="45"/>
  <c r="CL93" i="45"/>
  <c r="CG100" i="45"/>
  <c r="CG118" i="45"/>
  <c r="CG121" i="45"/>
  <c r="CS128" i="45"/>
  <c r="CS132" i="45"/>
  <c r="CS154" i="45"/>
  <c r="CJ92" i="45"/>
  <c r="CK69" i="45"/>
  <c r="E40" i="37"/>
  <c r="CL103" i="45"/>
  <c r="CL66" i="45"/>
  <c r="CK89" i="45"/>
  <c r="CN115" i="45"/>
  <c r="CM115" i="45"/>
  <c r="CK59" i="45"/>
  <c r="CJ82" i="45"/>
  <c r="CN80" i="45"/>
  <c r="CO57" i="45"/>
  <c r="CI85" i="45"/>
  <c r="CJ62" i="45"/>
  <c r="D38" i="33"/>
  <c r="E28" i="35"/>
  <c r="H28" i="35"/>
  <c r="D29" i="35"/>
  <c r="CK86" i="45"/>
  <c r="CL63" i="45"/>
  <c r="CM108" i="45"/>
  <c r="CJ106" i="45"/>
  <c r="CI53" i="45"/>
  <c r="CH76" i="45"/>
  <c r="CI109" i="45"/>
  <c r="CM112" i="45"/>
  <c r="H37" i="33"/>
  <c r="CM79" i="45"/>
  <c r="CM103" i="45"/>
  <c r="CN56" i="45"/>
  <c r="CL58" i="45"/>
  <c r="CK81" i="45"/>
  <c r="E41" i="28"/>
  <c r="E16" i="46"/>
  <c r="D17" i="46"/>
  <c r="CN91" i="45"/>
  <c r="CO68" i="45"/>
  <c r="CR154" i="45"/>
  <c r="CH107" i="45"/>
  <c r="CM64" i="45"/>
  <c r="CL87" i="45"/>
  <c r="CK101" i="45"/>
  <c r="CJ116" i="45"/>
  <c r="D18" i="46"/>
  <c r="E17" i="46"/>
  <c r="H17" i="46"/>
  <c r="CM63" i="45"/>
  <c r="CL86" i="45"/>
  <c r="CK105" i="45"/>
  <c r="CM87" i="45"/>
  <c r="CM111" i="45"/>
  <c r="CM122" i="45"/>
  <c r="CY129" i="45"/>
  <c r="CN64" i="45"/>
  <c r="CM102" i="45"/>
  <c r="E38" i="33"/>
  <c r="CN104" i="45"/>
  <c r="CK116" i="45"/>
  <c r="CP61" i="45"/>
  <c r="CO84" i="45"/>
  <c r="CN55" i="45"/>
  <c r="CM78" i="45"/>
  <c r="CL117" i="45"/>
  <c r="CO65" i="45"/>
  <c r="CN88" i="45"/>
  <c r="H16" i="46"/>
  <c r="CL81" i="45"/>
  <c r="CM58" i="45"/>
  <c r="CJ53" i="45"/>
  <c r="CI76" i="45"/>
  <c r="CL110" i="45"/>
  <c r="D30" i="35"/>
  <c r="E29" i="35"/>
  <c r="H29" i="35"/>
  <c r="CJ85" i="45"/>
  <c r="CK62" i="45"/>
  <c r="CM66" i="45"/>
  <c r="CL89" i="45"/>
  <c r="CK113" i="45"/>
  <c r="CH100" i="45"/>
  <c r="CH118" i="45"/>
  <c r="CH121" i="45"/>
  <c r="CT128" i="45"/>
  <c r="CN70" i="45"/>
  <c r="CM93" i="45"/>
  <c r="CM117" i="45"/>
  <c r="CO67" i="45"/>
  <c r="CN90" i="45"/>
  <c r="CN112" i="45"/>
  <c r="CL105" i="45"/>
  <c r="CN79" i="45"/>
  <c r="CO56" i="45"/>
  <c r="CL111" i="45"/>
  <c r="CL122" i="45"/>
  <c r="CX129" i="45"/>
  <c r="CO91" i="45"/>
  <c r="CP68" i="45"/>
  <c r="F41" i="28"/>
  <c r="D42" i="28"/>
  <c r="CO80" i="45"/>
  <c r="CP57" i="45"/>
  <c r="CL59" i="45"/>
  <c r="CK82" i="45"/>
  <c r="H40" i="37"/>
  <c r="F40" i="37"/>
  <c r="D41" i="37"/>
  <c r="CL69" i="45"/>
  <c r="CK92" i="45"/>
  <c r="CN54" i="45"/>
  <c r="CM77" i="45"/>
  <c r="CI83" i="45"/>
  <c r="CJ60" i="45"/>
  <c r="E48" i="25"/>
  <c r="CL101" i="45"/>
  <c r="CL113" i="45"/>
  <c r="CJ109" i="45"/>
  <c r="CK106" i="45"/>
  <c r="CN58" i="45"/>
  <c r="CM81" i="45"/>
  <c r="F48" i="25"/>
  <c r="D49" i="25"/>
  <c r="CQ57" i="45"/>
  <c r="CP80" i="45"/>
  <c r="CP91" i="45"/>
  <c r="CQ68" i="45"/>
  <c r="CM101" i="45"/>
  <c r="CL92" i="45"/>
  <c r="CM69" i="45"/>
  <c r="CP104" i="45"/>
  <c r="E30" i="35"/>
  <c r="H30" i="35"/>
  <c r="D31" i="35"/>
  <c r="CO88" i="45"/>
  <c r="CP65" i="45"/>
  <c r="CM113" i="45"/>
  <c r="CN87" i="45"/>
  <c r="CO64" i="45"/>
  <c r="CJ83" i="45"/>
  <c r="CK60" i="45"/>
  <c r="CN77" i="45"/>
  <c r="CO54" i="45"/>
  <c r="E42" i="28"/>
  <c r="CL62" i="45"/>
  <c r="CK85" i="45"/>
  <c r="CN114" i="45"/>
  <c r="CO55" i="45"/>
  <c r="CN78" i="45"/>
  <c r="CM86" i="45"/>
  <c r="CN63" i="45"/>
  <c r="CJ107" i="45"/>
  <c r="E41" i="37"/>
  <c r="CL82" i="45"/>
  <c r="CM59" i="45"/>
  <c r="H41" i="28"/>
  <c r="CP56" i="45"/>
  <c r="CO79" i="45"/>
  <c r="CI107" i="45"/>
  <c r="CO90" i="45"/>
  <c r="CP67" i="45"/>
  <c r="CO70" i="45"/>
  <c r="CN93" i="45"/>
  <c r="CN66" i="45"/>
  <c r="CM89" i="45"/>
  <c r="CK53" i="45"/>
  <c r="CJ76" i="45"/>
  <c r="CP108" i="45"/>
  <c r="CO108" i="45"/>
  <c r="CO115" i="45"/>
  <c r="CI100" i="45"/>
  <c r="CI118" i="45"/>
  <c r="CI121" i="45"/>
  <c r="CU128" i="45"/>
  <c r="CN111" i="45"/>
  <c r="CN122" i="45"/>
  <c r="CZ129" i="45"/>
  <c r="CT132" i="45"/>
  <c r="CI138" i="45"/>
  <c r="J142" i="45"/>
  <c r="J140" i="6"/>
  <c r="CP115" i="45"/>
  <c r="CN103" i="45"/>
  <c r="CO112" i="45"/>
  <c r="CN101" i="45"/>
  <c r="CQ61" i="45"/>
  <c r="CP84" i="45"/>
  <c r="CO104" i="45"/>
  <c r="F38" i="33"/>
  <c r="E18" i="46"/>
  <c r="D19" i="46"/>
  <c r="CM105" i="45"/>
  <c r="D39" i="33"/>
  <c r="CQ84" i="45"/>
  <c r="CR61" i="45"/>
  <c r="CP70" i="45"/>
  <c r="CO93" i="45"/>
  <c r="CN86" i="45"/>
  <c r="CO63" i="45"/>
  <c r="CO78" i="45"/>
  <c r="CP55" i="45"/>
  <c r="CL109" i="45"/>
  <c r="H42" i="28"/>
  <c r="F42" i="28"/>
  <c r="D43" i="28"/>
  <c r="CK107" i="45"/>
  <c r="CO87" i="45"/>
  <c r="CP64" i="45"/>
  <c r="CQ65" i="45"/>
  <c r="CP88" i="45"/>
  <c r="CO58" i="45"/>
  <c r="CN81" i="45"/>
  <c r="H38" i="33"/>
  <c r="K26" i="10"/>
  <c r="J145" i="6"/>
  <c r="K26" i="34"/>
  <c r="D20" i="46"/>
  <c r="E19" i="46"/>
  <c r="H19" i="46"/>
  <c r="CT154" i="45"/>
  <c r="CR134" i="45"/>
  <c r="AH150" i="45"/>
  <c r="CO136" i="45"/>
  <c r="R146" i="45"/>
  <c r="CK76" i="45"/>
  <c r="CL53" i="45"/>
  <c r="H41" i="37"/>
  <c r="F41" i="37"/>
  <c r="D42" i="37"/>
  <c r="H18" i="46"/>
  <c r="CQ108" i="45"/>
  <c r="CO103" i="45"/>
  <c r="CK109" i="45"/>
  <c r="CN59" i="45"/>
  <c r="CM82" i="45"/>
  <c r="CJ100" i="45"/>
  <c r="CJ118" i="45"/>
  <c r="CJ121" i="45"/>
  <c r="CV128" i="45"/>
  <c r="CV132" i="45"/>
  <c r="CV154" i="45"/>
  <c r="CK83" i="45"/>
  <c r="CL60" i="45"/>
  <c r="D32" i="35"/>
  <c r="E31" i="35"/>
  <c r="H31" i="35"/>
  <c r="CN117" i="45"/>
  <c r="CM92" i="45"/>
  <c r="CN69" i="45"/>
  <c r="CQ91" i="45"/>
  <c r="CR68" i="45"/>
  <c r="CL116" i="45"/>
  <c r="CN105" i="45"/>
  <c r="CL106" i="45"/>
  <c r="CP90" i="45"/>
  <c r="CQ67" i="45"/>
  <c r="CP79" i="45"/>
  <c r="CQ56" i="45"/>
  <c r="CN110" i="45"/>
  <c r="CM110" i="45"/>
  <c r="CM62" i="45"/>
  <c r="CL85" i="45"/>
  <c r="CP54" i="45"/>
  <c r="CO77" i="45"/>
  <c r="CO101" i="45"/>
  <c r="CO111" i="45"/>
  <c r="CO122" i="45"/>
  <c r="DA129" i="45"/>
  <c r="CP112" i="45"/>
  <c r="CQ104" i="45"/>
  <c r="E49" i="25"/>
  <c r="CU132" i="45"/>
  <c r="CN89" i="45"/>
  <c r="CO66" i="45"/>
  <c r="CN102" i="45"/>
  <c r="CO114" i="45"/>
  <c r="CQ80" i="45"/>
  <c r="CR57" i="45"/>
  <c r="H48" i="25"/>
  <c r="CR115" i="45"/>
  <c r="CM116" i="45"/>
  <c r="W74" i="34"/>
  <c r="V74" i="34"/>
  <c r="T74" i="34"/>
  <c r="O74" i="34"/>
  <c r="N74" i="34"/>
  <c r="R74" i="34"/>
  <c r="M74" i="34"/>
  <c r="S74" i="34"/>
  <c r="L74" i="34"/>
  <c r="L112" i="34"/>
  <c r="L23" i="34"/>
  <c r="L25" i="34"/>
  <c r="L21" i="34"/>
  <c r="L22" i="34"/>
  <c r="P74" i="34"/>
  <c r="Q74" i="34"/>
  <c r="U74" i="34"/>
  <c r="K57" i="34"/>
  <c r="CO102" i="45"/>
  <c r="CU154" i="45"/>
  <c r="E32" i="35"/>
  <c r="H32" i="35"/>
  <c r="D33" i="35"/>
  <c r="CL83" i="45"/>
  <c r="CM60" i="45"/>
  <c r="CP114" i="45"/>
  <c r="K9" i="20"/>
  <c r="K7" i="20"/>
  <c r="K25" i="20"/>
  <c r="I23" i="21"/>
  <c r="I28" i="21"/>
  <c r="CO81" i="45"/>
  <c r="CP58" i="45"/>
  <c r="CQ112" i="45"/>
  <c r="CP63" i="45"/>
  <c r="CO86" i="45"/>
  <c r="CO117" i="45"/>
  <c r="CR84" i="45"/>
  <c r="CS61" i="45"/>
  <c r="CS57" i="45"/>
  <c r="CR80" i="45"/>
  <c r="CN113" i="45"/>
  <c r="CQ54" i="45"/>
  <c r="CP77" i="45"/>
  <c r="CO59" i="45"/>
  <c r="CN82" i="45"/>
  <c r="CM53" i="45"/>
  <c r="CL76" i="45"/>
  <c r="L70" i="10"/>
  <c r="L83" i="10"/>
  <c r="L84" i="10"/>
  <c r="L106" i="10"/>
  <c r="L23" i="10"/>
  <c r="L25" i="10"/>
  <c r="L21" i="10"/>
  <c r="L22" i="10"/>
  <c r="Q70" i="10"/>
  <c r="M70" i="10"/>
  <c r="T70" i="10"/>
  <c r="S70" i="10"/>
  <c r="R70" i="10"/>
  <c r="W70" i="10"/>
  <c r="N70" i="10"/>
  <c r="V70" i="10"/>
  <c r="K29" i="10"/>
  <c r="K30" i="10"/>
  <c r="O70" i="10"/>
  <c r="P70" i="10"/>
  <c r="U70" i="10"/>
  <c r="K55" i="10"/>
  <c r="CR65" i="45"/>
  <c r="CQ88" i="45"/>
  <c r="CQ70" i="45"/>
  <c r="CP93" i="45"/>
  <c r="CR108" i="45"/>
  <c r="CO110" i="45"/>
  <c r="F49" i="25"/>
  <c r="D50" i="25"/>
  <c r="CM85" i="45"/>
  <c r="CN62" i="45"/>
  <c r="CP66" i="45"/>
  <c r="CO89" i="45"/>
  <c r="CO113" i="45"/>
  <c r="CQ79" i="45"/>
  <c r="CQ103" i="45"/>
  <c r="CR56" i="45"/>
  <c r="CN92" i="45"/>
  <c r="CN116" i="45"/>
  <c r="CO69" i="45"/>
  <c r="CP103" i="45"/>
  <c r="CR104" i="45"/>
  <c r="CM106" i="45"/>
  <c r="CM109" i="45"/>
  <c r="CQ90" i="45"/>
  <c r="CR67" i="45"/>
  <c r="CS68" i="45"/>
  <c r="CR91" i="45"/>
  <c r="CQ115" i="45"/>
  <c r="E42" i="37"/>
  <c r="CK100" i="45"/>
  <c r="CK118" i="45"/>
  <c r="CK121" i="45"/>
  <c r="CW128" i="45"/>
  <c r="CW132" i="45"/>
  <c r="CW154" i="45"/>
  <c r="D21" i="46"/>
  <c r="E20" i="46"/>
  <c r="CP87" i="45"/>
  <c r="CQ64" i="45"/>
  <c r="E43" i="28"/>
  <c r="CP78" i="45"/>
  <c r="CQ55" i="45"/>
  <c r="E39" i="33"/>
  <c r="CL100" i="45"/>
  <c r="CS67" i="45"/>
  <c r="CR90" i="45"/>
  <c r="E50" i="25"/>
  <c r="K32" i="10"/>
  <c r="K33" i="10"/>
  <c r="K53" i="10"/>
  <c r="F39" i="33"/>
  <c r="CQ78" i="45"/>
  <c r="CR55" i="45"/>
  <c r="CR64" i="45"/>
  <c r="CQ87" i="45"/>
  <c r="CQ111" i="45"/>
  <c r="CQ122" i="45"/>
  <c r="DC129" i="45"/>
  <c r="E21" i="46"/>
  <c r="H21" i="46"/>
  <c r="D22" i="46"/>
  <c r="CS91" i="45"/>
  <c r="CT68" i="45"/>
  <c r="CP69" i="45"/>
  <c r="CO92" i="45"/>
  <c r="CM76" i="45"/>
  <c r="CN53" i="45"/>
  <c r="CP101" i="45"/>
  <c r="CP86" i="45"/>
  <c r="CQ63" i="45"/>
  <c r="CL107" i="45"/>
  <c r="CP111" i="45"/>
  <c r="CP122" i="45"/>
  <c r="DB129" i="45"/>
  <c r="CP102" i="45"/>
  <c r="CQ77" i="45"/>
  <c r="CR54" i="45"/>
  <c r="D34" i="35"/>
  <c r="E33" i="35"/>
  <c r="H33" i="35"/>
  <c r="CL118" i="45"/>
  <c r="CL121" i="45"/>
  <c r="CX128" i="45"/>
  <c r="CX132" i="45"/>
  <c r="CQ114" i="45"/>
  <c r="CR79" i="45"/>
  <c r="CS56" i="45"/>
  <c r="CQ66" i="45"/>
  <c r="CP89" i="45"/>
  <c r="H49" i="25"/>
  <c r="CP117" i="45"/>
  <c r="CR112" i="45"/>
  <c r="CN106" i="45"/>
  <c r="CS80" i="45"/>
  <c r="CT57" i="45"/>
  <c r="I17" i="21"/>
  <c r="I12" i="21"/>
  <c r="K20" i="20"/>
  <c r="K17" i="20"/>
  <c r="K35" i="20"/>
  <c r="CU134" i="45"/>
  <c r="AI150" i="45"/>
  <c r="CO105" i="45"/>
  <c r="CN109" i="45"/>
  <c r="CP113" i="45"/>
  <c r="H43" i="28"/>
  <c r="F43" i="28"/>
  <c r="D44" i="28"/>
  <c r="H20" i="46"/>
  <c r="H42" i="37"/>
  <c r="F42" i="37"/>
  <c r="D43" i="37"/>
  <c r="CN85" i="45"/>
  <c r="CO62" i="45"/>
  <c r="CQ93" i="45"/>
  <c r="CR70" i="45"/>
  <c r="CR88" i="45"/>
  <c r="CS65" i="45"/>
  <c r="CM100" i="45"/>
  <c r="CO82" i="45"/>
  <c r="CP59" i="45"/>
  <c r="CT61" i="45"/>
  <c r="CS84" i="45"/>
  <c r="CP110" i="45"/>
  <c r="CQ58" i="45"/>
  <c r="CP81" i="45"/>
  <c r="CN60" i="45"/>
  <c r="CM83" i="45"/>
  <c r="CR103" i="45"/>
  <c r="CM107" i="45"/>
  <c r="CQ81" i="45"/>
  <c r="CQ105" i="45"/>
  <c r="CR58" i="45"/>
  <c r="CU61" i="45"/>
  <c r="CT84" i="45"/>
  <c r="CM118" i="45"/>
  <c r="CM121" i="45"/>
  <c r="CY128" i="45"/>
  <c r="CY132" i="45"/>
  <c r="CY154" i="45"/>
  <c r="CR93" i="45"/>
  <c r="CS70" i="45"/>
  <c r="CR66" i="45"/>
  <c r="CQ89" i="45"/>
  <c r="CQ110" i="45"/>
  <c r="E22" i="46"/>
  <c r="H22" i="46"/>
  <c r="D23" i="46"/>
  <c r="CS55" i="45"/>
  <c r="CR78" i="45"/>
  <c r="CS104" i="45"/>
  <c r="F50" i="25"/>
  <c r="D51" i="25"/>
  <c r="CX154" i="45"/>
  <c r="E34" i="35"/>
  <c r="H34" i="35"/>
  <c r="D35" i="35"/>
  <c r="CP105" i="45"/>
  <c r="CS108" i="45"/>
  <c r="CQ69" i="45"/>
  <c r="CP92" i="45"/>
  <c r="CP82" i="45"/>
  <c r="CQ59" i="45"/>
  <c r="CS88" i="45"/>
  <c r="CT65" i="45"/>
  <c r="CO85" i="45"/>
  <c r="CP62" i="45"/>
  <c r="E43" i="37"/>
  <c r="CO116" i="45"/>
  <c r="CP106" i="45"/>
  <c r="CS54" i="45"/>
  <c r="CR77" i="45"/>
  <c r="CQ102" i="45"/>
  <c r="CO53" i="45"/>
  <c r="CN76" i="45"/>
  <c r="CT91" i="45"/>
  <c r="CU68" i="45"/>
  <c r="D40" i="33"/>
  <c r="CR114" i="45"/>
  <c r="CN83" i="45"/>
  <c r="CO60" i="45"/>
  <c r="CQ117" i="45"/>
  <c r="CS79" i="45"/>
  <c r="CT56" i="45"/>
  <c r="CT108" i="45"/>
  <c r="CO106" i="45"/>
  <c r="CO109" i="45"/>
  <c r="E44" i="28"/>
  <c r="K28" i="34"/>
  <c r="K29" i="34"/>
  <c r="K30" i="34"/>
  <c r="K31" i="34"/>
  <c r="K31" i="41"/>
  <c r="CT80" i="45"/>
  <c r="CU57" i="45"/>
  <c r="CQ101" i="45"/>
  <c r="CR101" i="45"/>
  <c r="CR63" i="45"/>
  <c r="CQ86" i="45"/>
  <c r="CQ113" i="45"/>
  <c r="CN100" i="45"/>
  <c r="CS115" i="45"/>
  <c r="CT115" i="45"/>
  <c r="CR87" i="45"/>
  <c r="CS64" i="45"/>
  <c r="H39" i="33"/>
  <c r="J60" i="10"/>
  <c r="CS90" i="45"/>
  <c r="CT67" i="45"/>
  <c r="K32" i="34"/>
  <c r="K33" i="34"/>
  <c r="K55" i="34"/>
  <c r="CU56" i="45"/>
  <c r="CT79" i="45"/>
  <c r="CS114" i="45"/>
  <c r="CS87" i="45"/>
  <c r="CT64" i="45"/>
  <c r="F44" i="28"/>
  <c r="D45" i="28"/>
  <c r="E40" i="33"/>
  <c r="CP53" i="45"/>
  <c r="CO76" i="45"/>
  <c r="H43" i="37"/>
  <c r="F43" i="37"/>
  <c r="D44" i="37"/>
  <c r="CS112" i="45"/>
  <c r="CQ92" i="45"/>
  <c r="CR69" i="45"/>
  <c r="CR102" i="45"/>
  <c r="CR89" i="45"/>
  <c r="CS66" i="45"/>
  <c r="CR81" i="45"/>
  <c r="CS58" i="45"/>
  <c r="CR117" i="45"/>
  <c r="CR111" i="45"/>
  <c r="CR122" i="45"/>
  <c r="DD129" i="45"/>
  <c r="CS111" i="45"/>
  <c r="CS122" i="45"/>
  <c r="DE129" i="45"/>
  <c r="CR86" i="45"/>
  <c r="CS63" i="45"/>
  <c r="CV57" i="45"/>
  <c r="CU80" i="45"/>
  <c r="CP60" i="45"/>
  <c r="CO83" i="45"/>
  <c r="CQ62" i="45"/>
  <c r="CP85" i="45"/>
  <c r="CR59" i="45"/>
  <c r="CQ82" i="45"/>
  <c r="E35" i="35"/>
  <c r="H35" i="35"/>
  <c r="D36" i="35"/>
  <c r="J35" i="35"/>
  <c r="E51" i="25"/>
  <c r="CS78" i="45"/>
  <c r="CT55" i="45"/>
  <c r="CS103" i="45"/>
  <c r="CT103" i="45"/>
  <c r="CP109" i="45"/>
  <c r="H50" i="25"/>
  <c r="D24" i="46"/>
  <c r="E23" i="46"/>
  <c r="H23" i="46"/>
  <c r="J23" i="46"/>
  <c r="CN107" i="45"/>
  <c r="CN118" i="45"/>
  <c r="CN121" i="45"/>
  <c r="CZ128" i="45"/>
  <c r="CZ132" i="45"/>
  <c r="CQ106" i="45"/>
  <c r="CT90" i="45"/>
  <c r="CU67" i="45"/>
  <c r="CT104" i="45"/>
  <c r="CV68" i="45"/>
  <c r="CU91" i="45"/>
  <c r="CU115" i="45"/>
  <c r="CO100" i="45"/>
  <c r="CS77" i="45"/>
  <c r="CS101" i="45"/>
  <c r="CT54" i="45"/>
  <c r="CT88" i="45"/>
  <c r="CU65" i="45"/>
  <c r="CR110" i="45"/>
  <c r="CP116" i="45"/>
  <c r="CQ116" i="45"/>
  <c r="CO107" i="45"/>
  <c r="CR113" i="45"/>
  <c r="CS93" i="45"/>
  <c r="CT70" i="45"/>
  <c r="CV61" i="45"/>
  <c r="CU84" i="45"/>
  <c r="CR105" i="45"/>
  <c r="CT112" i="45"/>
  <c r="CZ154" i="45"/>
  <c r="CX134" i="45"/>
  <c r="AJ150" i="45"/>
  <c r="CU136" i="45"/>
  <c r="S146" i="45"/>
  <c r="CT93" i="45"/>
  <c r="CU70" i="45"/>
  <c r="CV65" i="45"/>
  <c r="CU88" i="45"/>
  <c r="CO118" i="45"/>
  <c r="CO121" i="45"/>
  <c r="DA128" i="45"/>
  <c r="DA132" i="45"/>
  <c r="E24" i="46"/>
  <c r="H24" i="46"/>
  <c r="D25" i="46"/>
  <c r="CR62" i="45"/>
  <c r="CQ85" i="45"/>
  <c r="CV80" i="45"/>
  <c r="CW57" i="45"/>
  <c r="CR92" i="45"/>
  <c r="CS69" i="45"/>
  <c r="E44" i="37"/>
  <c r="H44" i="28"/>
  <c r="CV56" i="45"/>
  <c r="CU79" i="45"/>
  <c r="CS117" i="45"/>
  <c r="CU112" i="45"/>
  <c r="CU55" i="45"/>
  <c r="CT78" i="45"/>
  <c r="CT63" i="45"/>
  <c r="CS86" i="45"/>
  <c r="CT114" i="45"/>
  <c r="CU108" i="45"/>
  <c r="CT77" i="45"/>
  <c r="CU54" i="45"/>
  <c r="CV115" i="45"/>
  <c r="CU90" i="45"/>
  <c r="CV67" i="45"/>
  <c r="CT102" i="45"/>
  <c r="CS102" i="45"/>
  <c r="E36" i="35"/>
  <c r="CS59" i="45"/>
  <c r="CR82" i="45"/>
  <c r="CR106" i="45"/>
  <c r="CQ60" i="45"/>
  <c r="CP83" i="45"/>
  <c r="CS89" i="45"/>
  <c r="CT66" i="45"/>
  <c r="CU64" i="45"/>
  <c r="CT87" i="45"/>
  <c r="J64" i="34"/>
  <c r="J62" i="34"/>
  <c r="J65" i="34"/>
  <c r="CV84" i="45"/>
  <c r="CW61" i="45"/>
  <c r="CT101" i="45"/>
  <c r="CV91" i="45"/>
  <c r="CW68" i="45"/>
  <c r="CU114" i="45"/>
  <c r="H51" i="25"/>
  <c r="F51" i="25"/>
  <c r="D52" i="25"/>
  <c r="CQ109" i="45"/>
  <c r="CU104" i="45"/>
  <c r="CT58" i="45"/>
  <c r="CS81" i="45"/>
  <c r="CS113" i="45"/>
  <c r="CQ53" i="45"/>
  <c r="CP76" i="45"/>
  <c r="CP100" i="45"/>
  <c r="H40" i="33"/>
  <c r="F40" i="33"/>
  <c r="E45" i="28"/>
  <c r="DA154" i="45"/>
  <c r="D41" i="33"/>
  <c r="CW115" i="45"/>
  <c r="CS82" i="45"/>
  <c r="CS106" i="45"/>
  <c r="CT59" i="45"/>
  <c r="CT69" i="45"/>
  <c r="CS92" i="45"/>
  <c r="CS62" i="45"/>
  <c r="CR85" i="45"/>
  <c r="CV70" i="45"/>
  <c r="CU93" i="45"/>
  <c r="CU58" i="45"/>
  <c r="CT81" i="45"/>
  <c r="CW84" i="45"/>
  <c r="CX61" i="45"/>
  <c r="CT111" i="45"/>
  <c r="CT122" i="45"/>
  <c r="DF129" i="45"/>
  <c r="CU111" i="45"/>
  <c r="CU122" i="45"/>
  <c r="DG129" i="45"/>
  <c r="F36" i="35"/>
  <c r="CS110" i="45"/>
  <c r="CW80" i="45"/>
  <c r="CX57" i="45"/>
  <c r="E52" i="25"/>
  <c r="CU87" i="45"/>
  <c r="CV64" i="45"/>
  <c r="CT89" i="45"/>
  <c r="CU66" i="45"/>
  <c r="CR60" i="45"/>
  <c r="CQ83" i="45"/>
  <c r="CQ107" i="45"/>
  <c r="CW108" i="45"/>
  <c r="CU63" i="45"/>
  <c r="CT86" i="45"/>
  <c r="CT117" i="45"/>
  <c r="CV79" i="45"/>
  <c r="CW56" i="45"/>
  <c r="F44" i="37"/>
  <c r="D45" i="37"/>
  <c r="CV104" i="45"/>
  <c r="CR116" i="45"/>
  <c r="CU103" i="45"/>
  <c r="F45" i="28"/>
  <c r="D46" i="28"/>
  <c r="CQ76" i="45"/>
  <c r="CQ100" i="45"/>
  <c r="CQ118" i="45"/>
  <c r="CQ121" i="45"/>
  <c r="DC128" i="45"/>
  <c r="DC132" i="45"/>
  <c r="DC154" i="45"/>
  <c r="CR53" i="45"/>
  <c r="CX68" i="45"/>
  <c r="CW91" i="45"/>
  <c r="CP107" i="45"/>
  <c r="CP118" i="45"/>
  <c r="CP121" i="45"/>
  <c r="DB128" i="45"/>
  <c r="DB132" i="45"/>
  <c r="CS105" i="45"/>
  <c r="CT113" i="45"/>
  <c r="CV90" i="45"/>
  <c r="CW67" i="45"/>
  <c r="CU77" i="45"/>
  <c r="CV54" i="45"/>
  <c r="CV108" i="45"/>
  <c r="CU78" i="45"/>
  <c r="CV55" i="45"/>
  <c r="CR109" i="45"/>
  <c r="D26" i="46"/>
  <c r="E25" i="46"/>
  <c r="H25" i="46"/>
  <c r="CV88" i="45"/>
  <c r="CW65" i="45"/>
  <c r="CV114" i="45"/>
  <c r="CW104" i="45"/>
  <c r="DB154" i="45"/>
  <c r="DA134" i="45"/>
  <c r="AK150" i="45"/>
  <c r="CV66" i="45"/>
  <c r="CU89" i="45"/>
  <c r="CX84" i="45"/>
  <c r="CX108" i="45"/>
  <c r="CY61" i="45"/>
  <c r="CW55" i="45"/>
  <c r="CV78" i="45"/>
  <c r="E45" i="37"/>
  <c r="CU113" i="45"/>
  <c r="CW88" i="45"/>
  <c r="CX65" i="45"/>
  <c r="CW54" i="45"/>
  <c r="CV77" i="45"/>
  <c r="CR76" i="45"/>
  <c r="CS53" i="45"/>
  <c r="CX56" i="45"/>
  <c r="CW79" i="45"/>
  <c r="CR83" i="45"/>
  <c r="CS60" i="45"/>
  <c r="CT110" i="45"/>
  <c r="CU81" i="45"/>
  <c r="CV58" i="45"/>
  <c r="CT62" i="45"/>
  <c r="CS85" i="45"/>
  <c r="CW70" i="45"/>
  <c r="CV93" i="45"/>
  <c r="CS116" i="45"/>
  <c r="CU117" i="45"/>
  <c r="CW112" i="45"/>
  <c r="CV112" i="45"/>
  <c r="CV101" i="45"/>
  <c r="CU101" i="45"/>
  <c r="CR100" i="45"/>
  <c r="CV63" i="45"/>
  <c r="CU86" i="45"/>
  <c r="CY57" i="45"/>
  <c r="CX80" i="45"/>
  <c r="CV103" i="45"/>
  <c r="CT82" i="45"/>
  <c r="CT106" i="45"/>
  <c r="CU59" i="45"/>
  <c r="E41" i="33"/>
  <c r="CW90" i="45"/>
  <c r="CX67" i="45"/>
  <c r="E46" i="28"/>
  <c r="F52" i="25"/>
  <c r="D53" i="25"/>
  <c r="CX104" i="45"/>
  <c r="D37" i="35"/>
  <c r="E26" i="46"/>
  <c r="H26" i="46"/>
  <c r="D27" i="46"/>
  <c r="CV102" i="45"/>
  <c r="CU102" i="45"/>
  <c r="CY68" i="45"/>
  <c r="CX91" i="45"/>
  <c r="H45" i="28"/>
  <c r="H44" i="37"/>
  <c r="CW64" i="45"/>
  <c r="CV87" i="45"/>
  <c r="H36" i="35"/>
  <c r="CS109" i="45"/>
  <c r="CT92" i="45"/>
  <c r="CU69" i="45"/>
  <c r="CT105" i="45"/>
  <c r="CW103" i="45"/>
  <c r="CU110" i="45"/>
  <c r="CX103" i="45"/>
  <c r="CX115" i="45"/>
  <c r="D28" i="46"/>
  <c r="E27" i="46"/>
  <c r="H27" i="46"/>
  <c r="CW63" i="45"/>
  <c r="CV86" i="45"/>
  <c r="CR107" i="45"/>
  <c r="CW87" i="45"/>
  <c r="CX64" i="45"/>
  <c r="CW114" i="45"/>
  <c r="H52" i="25"/>
  <c r="H46" i="28"/>
  <c r="F46" i="28"/>
  <c r="D47" i="28"/>
  <c r="CU82" i="45"/>
  <c r="CV59" i="45"/>
  <c r="CT116" i="45"/>
  <c r="CT85" i="45"/>
  <c r="CU62" i="45"/>
  <c r="CT60" i="45"/>
  <c r="CS83" i="45"/>
  <c r="CY56" i="45"/>
  <c r="CX79" i="45"/>
  <c r="CW77" i="45"/>
  <c r="CX54" i="45"/>
  <c r="CY84" i="45"/>
  <c r="CZ61" i="45"/>
  <c r="CV89" i="45"/>
  <c r="CW66" i="45"/>
  <c r="F45" i="37"/>
  <c r="D46" i="37"/>
  <c r="CV69" i="45"/>
  <c r="CU92" i="45"/>
  <c r="CY91" i="45"/>
  <c r="CZ68" i="45"/>
  <c r="CX90" i="45"/>
  <c r="CX114" i="45"/>
  <c r="CY67" i="45"/>
  <c r="H41" i="33"/>
  <c r="F41" i="33"/>
  <c r="D42" i="33"/>
  <c r="CV105" i="45"/>
  <c r="CU105" i="45"/>
  <c r="CV111" i="45"/>
  <c r="CV122" i="45"/>
  <c r="DH129" i="45"/>
  <c r="CX88" i="45"/>
  <c r="CY65" i="45"/>
  <c r="CV117" i="45"/>
  <c r="CU106" i="45"/>
  <c r="CW58" i="45"/>
  <c r="CV81" i="45"/>
  <c r="CT53" i="45"/>
  <c r="CS76" i="45"/>
  <c r="CY108" i="45"/>
  <c r="E37" i="35"/>
  <c r="E53" i="25"/>
  <c r="CY80" i="45"/>
  <c r="CY104" i="45"/>
  <c r="CZ57" i="45"/>
  <c r="CR118" i="45"/>
  <c r="CR121" i="45"/>
  <c r="DD128" i="45"/>
  <c r="DD132" i="45"/>
  <c r="CW93" i="45"/>
  <c r="CX70" i="45"/>
  <c r="CT109" i="45"/>
  <c r="CX55" i="45"/>
  <c r="CW78" i="45"/>
  <c r="CY115" i="45"/>
  <c r="DD154" i="45"/>
  <c r="H53" i="25"/>
  <c r="F53" i="25"/>
  <c r="D54" i="25"/>
  <c r="CY88" i="45"/>
  <c r="CZ65" i="45"/>
  <c r="CW102" i="45"/>
  <c r="CX102" i="45"/>
  <c r="CZ80" i="45"/>
  <c r="DA57" i="45"/>
  <c r="CX58" i="45"/>
  <c r="CW81" i="45"/>
  <c r="CX112" i="45"/>
  <c r="CV92" i="45"/>
  <c r="CW69" i="45"/>
  <c r="CX66" i="45"/>
  <c r="CW89" i="45"/>
  <c r="CY54" i="45"/>
  <c r="CX77" i="45"/>
  <c r="CW59" i="45"/>
  <c r="CV82" i="45"/>
  <c r="CV106" i="45"/>
  <c r="E47" i="28"/>
  <c r="J47" i="28"/>
  <c r="CX87" i="45"/>
  <c r="CY64" i="45"/>
  <c r="CS107" i="45"/>
  <c r="CY55" i="45"/>
  <c r="CX78" i="45"/>
  <c r="CX93" i="45"/>
  <c r="CY70" i="45"/>
  <c r="CZ104" i="45"/>
  <c r="CS100" i="45"/>
  <c r="CS118" i="45"/>
  <c r="CS121" i="45"/>
  <c r="DE128" i="45"/>
  <c r="DE132" i="45"/>
  <c r="DE154" i="45"/>
  <c r="CY90" i="45"/>
  <c r="CY114" i="45"/>
  <c r="CZ67" i="45"/>
  <c r="E46" i="37"/>
  <c r="CV113" i="45"/>
  <c r="CX101" i="45"/>
  <c r="CW101" i="45"/>
  <c r="CT83" i="45"/>
  <c r="CU60" i="45"/>
  <c r="E28" i="46"/>
  <c r="H28" i="46"/>
  <c r="D29" i="46"/>
  <c r="CW111" i="45"/>
  <c r="CW122" i="45"/>
  <c r="DI129" i="45"/>
  <c r="CW117" i="45"/>
  <c r="F37" i="35"/>
  <c r="CT76" i="45"/>
  <c r="CU53" i="45"/>
  <c r="H45" i="37"/>
  <c r="CZ84" i="45"/>
  <c r="DA61" i="45"/>
  <c r="CV62" i="45"/>
  <c r="CU85" i="45"/>
  <c r="CV110" i="45"/>
  <c r="CU116" i="45"/>
  <c r="CX63" i="45"/>
  <c r="CW86" i="45"/>
  <c r="E42" i="33"/>
  <c r="DA68" i="45"/>
  <c r="CZ91" i="45"/>
  <c r="CV116" i="45"/>
  <c r="CY79" i="45"/>
  <c r="CZ56" i="45"/>
  <c r="CZ115" i="45"/>
  <c r="DB61" i="45"/>
  <c r="DA84" i="45"/>
  <c r="D38" i="35"/>
  <c r="CX117" i="45"/>
  <c r="F42" i="33"/>
  <c r="D43" i="33"/>
  <c r="CX86" i="45"/>
  <c r="CY63" i="45"/>
  <c r="CY103" i="45"/>
  <c r="CV53" i="45"/>
  <c r="CU76" i="45"/>
  <c r="DA56" i="45"/>
  <c r="CZ79" i="45"/>
  <c r="CW110" i="45"/>
  <c r="CV60" i="45"/>
  <c r="CU83" i="45"/>
  <c r="F46" i="37"/>
  <c r="D47" i="37"/>
  <c r="DA67" i="45"/>
  <c r="CZ90" i="45"/>
  <c r="CT100" i="45"/>
  <c r="CY93" i="45"/>
  <c r="CZ70" i="45"/>
  <c r="H47" i="28"/>
  <c r="F47" i="28"/>
  <c r="D48" i="28"/>
  <c r="CX59" i="45"/>
  <c r="CW82" i="45"/>
  <c r="CZ54" i="45"/>
  <c r="CY77" i="45"/>
  <c r="CZ88" i="45"/>
  <c r="DA65" i="45"/>
  <c r="E54" i="25"/>
  <c r="CY87" i="45"/>
  <c r="CZ64" i="45"/>
  <c r="CT107" i="45"/>
  <c r="CX113" i="45"/>
  <c r="CZ112" i="45"/>
  <c r="CU109" i="45"/>
  <c r="DB68" i="45"/>
  <c r="DA91" i="45"/>
  <c r="CV85" i="45"/>
  <c r="CW62" i="45"/>
  <c r="CZ108" i="45"/>
  <c r="DA108" i="45"/>
  <c r="H37" i="35"/>
  <c r="D30" i="46"/>
  <c r="E29" i="46"/>
  <c r="H29" i="46"/>
  <c r="CW113" i="45"/>
  <c r="CU100" i="45"/>
  <c r="CX111" i="45"/>
  <c r="CX122" i="45"/>
  <c r="DJ129" i="45"/>
  <c r="CX89" i="45"/>
  <c r="CY66" i="45"/>
  <c r="CY58" i="45"/>
  <c r="CX81" i="45"/>
  <c r="CX105" i="45"/>
  <c r="CW105" i="45"/>
  <c r="CZ103" i="45"/>
  <c r="CY78" i="45"/>
  <c r="CZ55" i="45"/>
  <c r="CY101" i="45"/>
  <c r="CX69" i="45"/>
  <c r="CW92" i="45"/>
  <c r="CY112" i="45"/>
  <c r="DA80" i="45"/>
  <c r="DB57" i="45"/>
  <c r="CY117" i="45"/>
  <c r="E30" i="46"/>
  <c r="H30" i="46"/>
  <c r="D31" i="46"/>
  <c r="DA64" i="45"/>
  <c r="CZ87" i="45"/>
  <c r="DA54" i="45"/>
  <c r="CZ77" i="45"/>
  <c r="CV76" i="45"/>
  <c r="CW53" i="45"/>
  <c r="CX110" i="45"/>
  <c r="CU107" i="45"/>
  <c r="CU118" i="45"/>
  <c r="CU121" i="45"/>
  <c r="DG128" i="45"/>
  <c r="DA112" i="45"/>
  <c r="CY81" i="45"/>
  <c r="CZ58" i="45"/>
  <c r="CY69" i="45"/>
  <c r="CX92" i="45"/>
  <c r="DB91" i="45"/>
  <c r="DC68" i="45"/>
  <c r="DA104" i="45"/>
  <c r="CY102" i="45"/>
  <c r="F54" i="25"/>
  <c r="D55" i="25"/>
  <c r="CX82" i="45"/>
  <c r="CY59" i="45"/>
  <c r="G53" i="20"/>
  <c r="G51" i="20"/>
  <c r="G62" i="20"/>
  <c r="E38" i="21"/>
  <c r="F37" i="21"/>
  <c r="E47" i="37"/>
  <c r="J47" i="37"/>
  <c r="E33" i="21"/>
  <c r="DA115" i="45"/>
  <c r="H42" i="33"/>
  <c r="E38" i="35"/>
  <c r="CV109" i="45"/>
  <c r="CW116" i="45"/>
  <c r="DC57" i="45"/>
  <c r="DB80" i="45"/>
  <c r="DA55" i="45"/>
  <c r="CZ78" i="45"/>
  <c r="CY89" i="45"/>
  <c r="CZ66" i="45"/>
  <c r="CW85" i="45"/>
  <c r="CX62" i="45"/>
  <c r="CZ111" i="45"/>
  <c r="CZ122" i="45"/>
  <c r="DL129" i="45"/>
  <c r="CY111" i="45"/>
  <c r="CY122" i="45"/>
  <c r="DK129" i="45"/>
  <c r="CW106" i="45"/>
  <c r="DA70" i="45"/>
  <c r="CZ93" i="45"/>
  <c r="DA90" i="45"/>
  <c r="DB67" i="45"/>
  <c r="CW60" i="45"/>
  <c r="CV83" i="45"/>
  <c r="E43" i="33"/>
  <c r="DB84" i="45"/>
  <c r="DC61" i="45"/>
  <c r="CZ114" i="45"/>
  <c r="DB65" i="45"/>
  <c r="DA88" i="45"/>
  <c r="E48" i="28"/>
  <c r="CT118" i="45"/>
  <c r="CT121" i="45"/>
  <c r="DF128" i="45"/>
  <c r="H46" i="37"/>
  <c r="DB56" i="45"/>
  <c r="DA79" i="45"/>
  <c r="CV100" i="45"/>
  <c r="CY86" i="45"/>
  <c r="CZ63" i="45"/>
  <c r="CW109" i="45"/>
  <c r="CY110" i="45"/>
  <c r="DG132" i="45"/>
  <c r="DF132" i="45"/>
  <c r="CU138" i="45"/>
  <c r="K142" i="45"/>
  <c r="K140" i="6"/>
  <c r="CW83" i="45"/>
  <c r="CX60" i="45"/>
  <c r="DA93" i="45"/>
  <c r="DB70" i="45"/>
  <c r="CW76" i="45"/>
  <c r="CW100" i="45"/>
  <c r="CW118" i="45"/>
  <c r="CW121" i="45"/>
  <c r="DI128" i="45"/>
  <c r="DI132" i="45"/>
  <c r="DI154" i="45"/>
  <c r="CX53" i="45"/>
  <c r="DB64" i="45"/>
  <c r="DA87" i="45"/>
  <c r="D32" i="46"/>
  <c r="E31" i="46"/>
  <c r="H31" i="46"/>
  <c r="H48" i="28"/>
  <c r="F48" i="28"/>
  <c r="D49" i="28"/>
  <c r="DC84" i="45"/>
  <c r="DD61" i="45"/>
  <c r="DB90" i="45"/>
  <c r="DB114" i="45"/>
  <c r="DC67" i="45"/>
  <c r="CZ101" i="45"/>
  <c r="CV107" i="45"/>
  <c r="CV118" i="45"/>
  <c r="CV121" i="45"/>
  <c r="DH128" i="45"/>
  <c r="CW107" i="45"/>
  <c r="DA117" i="45"/>
  <c r="CY62" i="45"/>
  <c r="CX85" i="45"/>
  <c r="CZ102" i="45"/>
  <c r="CX116" i="45"/>
  <c r="H47" i="37"/>
  <c r="F47" i="37"/>
  <c r="D48" i="37"/>
  <c r="D51" i="19"/>
  <c r="D55" i="19"/>
  <c r="CY82" i="45"/>
  <c r="CZ59" i="45"/>
  <c r="CY105" i="45"/>
  <c r="DA111" i="45"/>
  <c r="DA122" i="45"/>
  <c r="DM129" i="45"/>
  <c r="CZ89" i="45"/>
  <c r="DA66" i="45"/>
  <c r="DC104" i="45"/>
  <c r="F38" i="35"/>
  <c r="E55" i="25"/>
  <c r="CY92" i="45"/>
  <c r="CZ69" i="45"/>
  <c r="DA77" i="45"/>
  <c r="DB54" i="45"/>
  <c r="DB115" i="45"/>
  <c r="DA78" i="45"/>
  <c r="DB55" i="45"/>
  <c r="CZ86" i="45"/>
  <c r="CZ110" i="45"/>
  <c r="DA63" i="45"/>
  <c r="DA103" i="45"/>
  <c r="DB112" i="45"/>
  <c r="F43" i="33"/>
  <c r="D44" i="33"/>
  <c r="CX106" i="45"/>
  <c r="DC56" i="45"/>
  <c r="DB79" i="45"/>
  <c r="DC65" i="45"/>
  <c r="DB88" i="45"/>
  <c r="DC108" i="45"/>
  <c r="CY113" i="45"/>
  <c r="DD57" i="45"/>
  <c r="DC80" i="45"/>
  <c r="CZ117" i="45"/>
  <c r="H54" i="25"/>
  <c r="DB104" i="45"/>
  <c r="DC91" i="45"/>
  <c r="DD68" i="45"/>
  <c r="CZ81" i="45"/>
  <c r="DA58" i="45"/>
  <c r="DB108" i="45"/>
  <c r="DA114" i="45"/>
  <c r="DH132" i="45"/>
  <c r="DH154" i="45"/>
  <c r="DD91" i="45"/>
  <c r="DD115" i="45"/>
  <c r="DE68" i="45"/>
  <c r="DC88" i="45"/>
  <c r="DD65" i="45"/>
  <c r="DB77" i="45"/>
  <c r="DC54" i="45"/>
  <c r="CZ82" i="45"/>
  <c r="DA59" i="45"/>
  <c r="DB87" i="45"/>
  <c r="DC64" i="45"/>
  <c r="DB93" i="45"/>
  <c r="DC70" i="45"/>
  <c r="DB63" i="45"/>
  <c r="DA86" i="45"/>
  <c r="DB101" i="45"/>
  <c r="DC115" i="45"/>
  <c r="DB58" i="45"/>
  <c r="DA81" i="45"/>
  <c r="DC79" i="45"/>
  <c r="DD56" i="45"/>
  <c r="DA105" i="45"/>
  <c r="CZ105" i="45"/>
  <c r="H43" i="33"/>
  <c r="CZ113" i="45"/>
  <c r="E48" i="37"/>
  <c r="DD67" i="45"/>
  <c r="DC90" i="45"/>
  <c r="E49" i="28"/>
  <c r="DB111" i="45"/>
  <c r="DB122" i="45"/>
  <c r="DN129" i="45"/>
  <c r="CY53" i="45"/>
  <c r="CX76" i="45"/>
  <c r="DF154" i="45"/>
  <c r="DD134" i="45"/>
  <c r="AL150" i="45"/>
  <c r="DA136" i="45"/>
  <c r="T146" i="45"/>
  <c r="CY85" i="45"/>
  <c r="CZ62" i="45"/>
  <c r="DE61" i="45"/>
  <c r="DD84" i="45"/>
  <c r="DA101" i="45"/>
  <c r="CY106" i="45"/>
  <c r="DG134" i="45"/>
  <c r="AM150" i="45"/>
  <c r="DG154" i="45"/>
  <c r="DD104" i="45"/>
  <c r="DE57" i="45"/>
  <c r="DD80" i="45"/>
  <c r="H55" i="25"/>
  <c r="F55" i="25"/>
  <c r="D56" i="25"/>
  <c r="CX100" i="45"/>
  <c r="DB78" i="45"/>
  <c r="DC55" i="45"/>
  <c r="D39" i="35"/>
  <c r="E44" i="33"/>
  <c r="DB103" i="45"/>
  <c r="DB102" i="45"/>
  <c r="CZ92" i="45"/>
  <c r="DA69" i="45"/>
  <c r="DA102" i="45"/>
  <c r="H38" i="35"/>
  <c r="DB66" i="45"/>
  <c r="DA89" i="45"/>
  <c r="D57" i="19"/>
  <c r="CX109" i="45"/>
  <c r="D33" i="46"/>
  <c r="E32" i="46"/>
  <c r="H32" i="46"/>
  <c r="CX83" i="45"/>
  <c r="CY60" i="45"/>
  <c r="K145" i="6"/>
  <c r="L26" i="10"/>
  <c r="L26" i="34"/>
  <c r="CY116" i="45"/>
  <c r="DC114" i="45"/>
  <c r="P71" i="10"/>
  <c r="S71" i="10"/>
  <c r="T71" i="10"/>
  <c r="O71" i="10"/>
  <c r="U71" i="10"/>
  <c r="W71" i="10"/>
  <c r="Q71" i="10"/>
  <c r="M71" i="10"/>
  <c r="M83" i="10"/>
  <c r="M84" i="10"/>
  <c r="M106" i="10"/>
  <c r="M23" i="10"/>
  <c r="M25" i="10"/>
  <c r="M21" i="10"/>
  <c r="M22" i="10"/>
  <c r="R71" i="10"/>
  <c r="L29" i="10"/>
  <c r="L30" i="10"/>
  <c r="X71" i="10"/>
  <c r="V71" i="10"/>
  <c r="N71" i="10"/>
  <c r="L55" i="10"/>
  <c r="DF57" i="45"/>
  <c r="DF80" i="45"/>
  <c r="DF104" i="45"/>
  <c r="DE80" i="45"/>
  <c r="DA62" i="45"/>
  <c r="CZ85" i="45"/>
  <c r="F48" i="37"/>
  <c r="D49" i="37"/>
  <c r="CY83" i="45"/>
  <c r="CZ60" i="45"/>
  <c r="CZ106" i="45"/>
  <c r="DA113" i="45"/>
  <c r="DA92" i="45"/>
  <c r="DB69" i="45"/>
  <c r="H44" i="33"/>
  <c r="F44" i="33"/>
  <c r="D45" i="33"/>
  <c r="T75" i="34"/>
  <c r="P75" i="34"/>
  <c r="S75" i="34"/>
  <c r="V75" i="34"/>
  <c r="U75" i="34"/>
  <c r="Q75" i="34"/>
  <c r="X75" i="34"/>
  <c r="W75" i="34"/>
  <c r="O75" i="34"/>
  <c r="N75" i="34"/>
  <c r="M75" i="34"/>
  <c r="M112" i="34"/>
  <c r="M23" i="34"/>
  <c r="M25" i="34"/>
  <c r="M21" i="34"/>
  <c r="M22" i="34"/>
  <c r="R75" i="34"/>
  <c r="L57" i="34"/>
  <c r="CX107" i="45"/>
  <c r="CX118" i="45"/>
  <c r="CX121" i="45"/>
  <c r="DJ128" i="45"/>
  <c r="E33" i="46"/>
  <c r="H33" i="46"/>
  <c r="D34" i="46"/>
  <c r="D62" i="19"/>
  <c r="E8" i="21"/>
  <c r="E10" i="21"/>
  <c r="E20" i="21"/>
  <c r="E35" i="21"/>
  <c r="D61" i="19"/>
  <c r="DC66" i="45"/>
  <c r="DB89" i="45"/>
  <c r="DA116" i="45"/>
  <c r="E39" i="35"/>
  <c r="DE104" i="45"/>
  <c r="DE84" i="45"/>
  <c r="DE108" i="45"/>
  <c r="DF61" i="45"/>
  <c r="DF84" i="45"/>
  <c r="DD90" i="45"/>
  <c r="DE67" i="45"/>
  <c r="DE56" i="45"/>
  <c r="DD79" i="45"/>
  <c r="DD103" i="45"/>
  <c r="DB117" i="45"/>
  <c r="DC117" i="45"/>
  <c r="DB59" i="45"/>
  <c r="DA82" i="45"/>
  <c r="DA110" i="45"/>
  <c r="DC87" i="45"/>
  <c r="DD64" i="45"/>
  <c r="DD88" i="45"/>
  <c r="DE65" i="45"/>
  <c r="L9" i="20"/>
  <c r="L7" i="20"/>
  <c r="L25" i="20"/>
  <c r="J23" i="21"/>
  <c r="J28" i="21"/>
  <c r="DC78" i="45"/>
  <c r="DD55" i="45"/>
  <c r="E56" i="25"/>
  <c r="CY109" i="45"/>
  <c r="CY76" i="45"/>
  <c r="CY100" i="45"/>
  <c r="CZ53" i="45"/>
  <c r="H49" i="28"/>
  <c r="F49" i="28"/>
  <c r="D50" i="28"/>
  <c r="DB86" i="45"/>
  <c r="DC63" i="45"/>
  <c r="DC111" i="45"/>
  <c r="DC122" i="45"/>
  <c r="DO129" i="45"/>
  <c r="DD112" i="45"/>
  <c r="DC112" i="45"/>
  <c r="DD114" i="45"/>
  <c r="CZ116" i="45"/>
  <c r="DC58" i="45"/>
  <c r="DB81" i="45"/>
  <c r="DC103" i="45"/>
  <c r="DD70" i="45"/>
  <c r="DC93" i="45"/>
  <c r="DC77" i="45"/>
  <c r="DD54" i="45"/>
  <c r="DE91" i="45"/>
  <c r="DF68" i="45"/>
  <c r="DF91" i="45"/>
  <c r="DD108" i="45"/>
  <c r="DJ132" i="45"/>
  <c r="DE115" i="45"/>
  <c r="DF115" i="45"/>
  <c r="DD58" i="45"/>
  <c r="DC81" i="45"/>
  <c r="DE55" i="45"/>
  <c r="DD78" i="45"/>
  <c r="J17" i="21"/>
  <c r="J12" i="21"/>
  <c r="L20" i="20"/>
  <c r="L17" i="20"/>
  <c r="DD87" i="45"/>
  <c r="DE64" i="45"/>
  <c r="DB110" i="45"/>
  <c r="DB82" i="45"/>
  <c r="DC59" i="45"/>
  <c r="DF67" i="45"/>
  <c r="DF90" i="45"/>
  <c r="DF114" i="45"/>
  <c r="DE90" i="45"/>
  <c r="CY107" i="45"/>
  <c r="CY118" i="45"/>
  <c r="CY121" i="45"/>
  <c r="DK128" i="45"/>
  <c r="E45" i="33"/>
  <c r="DB113" i="45"/>
  <c r="CZ83" i="45"/>
  <c r="DA60" i="45"/>
  <c r="DC101" i="45"/>
  <c r="H56" i="25"/>
  <c r="F56" i="25"/>
  <c r="D57" i="25"/>
  <c r="DF65" i="45"/>
  <c r="DF88" i="45"/>
  <c r="DE88" i="45"/>
  <c r="DF112" i="45"/>
  <c r="DC89" i="45"/>
  <c r="DD66" i="45"/>
  <c r="D35" i="46"/>
  <c r="E34" i="46"/>
  <c r="H34" i="46"/>
  <c r="DB92" i="45"/>
  <c r="DC69" i="45"/>
  <c r="H48" i="37"/>
  <c r="CZ109" i="45"/>
  <c r="DD77" i="45"/>
  <c r="DE54" i="45"/>
  <c r="DD93" i="45"/>
  <c r="DD117" i="45"/>
  <c r="DE70" i="45"/>
  <c r="DA53" i="45"/>
  <c r="CZ76" i="45"/>
  <c r="L35" i="20"/>
  <c r="DD111" i="45"/>
  <c r="DD122" i="45"/>
  <c r="DP129" i="45"/>
  <c r="DC102" i="45"/>
  <c r="DE114" i="45"/>
  <c r="F39" i="35"/>
  <c r="H39" i="35"/>
  <c r="E49" i="37"/>
  <c r="DB105" i="45"/>
  <c r="DC86" i="45"/>
  <c r="DD63" i="45"/>
  <c r="E50" i="28"/>
  <c r="DE112" i="45"/>
  <c r="DA106" i="45"/>
  <c r="DE79" i="45"/>
  <c r="DF56" i="45"/>
  <c r="DF79" i="45"/>
  <c r="DF108" i="45"/>
  <c r="D64" i="19"/>
  <c r="G42" i="20"/>
  <c r="DB62" i="45"/>
  <c r="DA85" i="45"/>
  <c r="L53" i="10"/>
  <c r="L32" i="10"/>
  <c r="L33" i="10"/>
  <c r="DC110" i="45"/>
  <c r="DK132" i="45"/>
  <c r="DK154" i="45"/>
  <c r="K60" i="10"/>
  <c r="DC62" i="45"/>
  <c r="DB85" i="45"/>
  <c r="G37" i="20"/>
  <c r="H40" i="20"/>
  <c r="DE103" i="45"/>
  <c r="DF103" i="45"/>
  <c r="DE87" i="45"/>
  <c r="DF64" i="45"/>
  <c r="DF87" i="45"/>
  <c r="DA109" i="45"/>
  <c r="DB109" i="45"/>
  <c r="H50" i="28"/>
  <c r="F50" i="28"/>
  <c r="D51" i="28"/>
  <c r="H49" i="37"/>
  <c r="F49" i="37"/>
  <c r="D50" i="37"/>
  <c r="DB116" i="45"/>
  <c r="E57" i="25"/>
  <c r="DD101" i="45"/>
  <c r="DB60" i="45"/>
  <c r="DA83" i="45"/>
  <c r="F45" i="33"/>
  <c r="D46" i="33"/>
  <c r="DE77" i="45"/>
  <c r="DF54" i="45"/>
  <c r="DF77" i="45"/>
  <c r="DF101" i="45"/>
  <c r="DC105" i="45"/>
  <c r="DD86" i="45"/>
  <c r="DE63" i="45"/>
  <c r="CZ107" i="45"/>
  <c r="DA76" i="45"/>
  <c r="DB53" i="45"/>
  <c r="E35" i="46"/>
  <c r="H35" i="46"/>
  <c r="D36" i="46"/>
  <c r="J35" i="46"/>
  <c r="DE101" i="45"/>
  <c r="DC82" i="45"/>
  <c r="DD59" i="45"/>
  <c r="DE78" i="45"/>
  <c r="DE102" i="45"/>
  <c r="DF55" i="45"/>
  <c r="DF78" i="45"/>
  <c r="DD81" i="45"/>
  <c r="DE58" i="45"/>
  <c r="DD102" i="45"/>
  <c r="CZ100" i="45"/>
  <c r="CZ118" i="45"/>
  <c r="CZ121" i="45"/>
  <c r="DL128" i="45"/>
  <c r="DL132" i="45"/>
  <c r="DL154" i="45"/>
  <c r="D40" i="35"/>
  <c r="DE93" i="45"/>
  <c r="DE117" i="45"/>
  <c r="DF70" i="45"/>
  <c r="DF93" i="45"/>
  <c r="DD69" i="45"/>
  <c r="DC92" i="45"/>
  <c r="DD89" i="45"/>
  <c r="DE66" i="45"/>
  <c r="DD110" i="45"/>
  <c r="DC113" i="45"/>
  <c r="DB106" i="45"/>
  <c r="L31" i="34"/>
  <c r="L28" i="34"/>
  <c r="L29" i="34"/>
  <c r="L30" i="34"/>
  <c r="L31" i="41"/>
  <c r="DA107" i="45"/>
  <c r="DJ154" i="45"/>
  <c r="L55" i="34"/>
  <c r="L32" i="34"/>
  <c r="L33" i="34"/>
  <c r="DE105" i="45"/>
  <c r="E36" i="46"/>
  <c r="E46" i="33"/>
  <c r="DA100" i="45"/>
  <c r="DA118" i="45"/>
  <c r="DA121" i="45"/>
  <c r="DM128" i="45"/>
  <c r="DM132" i="45"/>
  <c r="DJ134" i="45"/>
  <c r="AN150" i="45"/>
  <c r="DE89" i="45"/>
  <c r="DE113" i="45"/>
  <c r="DF66" i="45"/>
  <c r="DF89" i="45"/>
  <c r="E40" i="35"/>
  <c r="DE81" i="45"/>
  <c r="DF58" i="45"/>
  <c r="DF81" i="45"/>
  <c r="DD82" i="45"/>
  <c r="DD106" i="45"/>
  <c r="DE59" i="45"/>
  <c r="DC53" i="45"/>
  <c r="DB76" i="45"/>
  <c r="DF117" i="45"/>
  <c r="DB83" i="45"/>
  <c r="DC60" i="45"/>
  <c r="E50" i="37"/>
  <c r="E51" i="28"/>
  <c r="DD62" i="45"/>
  <c r="DC85" i="45"/>
  <c r="DB100" i="45"/>
  <c r="DD105" i="45"/>
  <c r="H45" i="33"/>
  <c r="F57" i="25"/>
  <c r="D58" i="25"/>
  <c r="DF113" i="45"/>
  <c r="DF102" i="45"/>
  <c r="DF111" i="45"/>
  <c r="DF122" i="45"/>
  <c r="DR129" i="45"/>
  <c r="DE111" i="45"/>
  <c r="DE122" i="45"/>
  <c r="DQ129" i="45"/>
  <c r="G61" i="20"/>
  <c r="G64" i="20"/>
  <c r="G66" i="20"/>
  <c r="R14" i="32"/>
  <c r="DC106" i="45"/>
  <c r="DD116" i="45"/>
  <c r="DG136" i="45"/>
  <c r="U146" i="45"/>
  <c r="DE69" i="45"/>
  <c r="DD92" i="45"/>
  <c r="DE86" i="45"/>
  <c r="DF63" i="45"/>
  <c r="DF86" i="45"/>
  <c r="DF105" i="45"/>
  <c r="DD113" i="45"/>
  <c r="DC116" i="45"/>
  <c r="DC109" i="45"/>
  <c r="DE92" i="45"/>
  <c r="DF69" i="45"/>
  <c r="DF92" i="45"/>
  <c r="H51" i="28"/>
  <c r="F51" i="28"/>
  <c r="D52" i="28"/>
  <c r="DB107" i="45"/>
  <c r="DF59" i="45"/>
  <c r="DF82" i="45"/>
  <c r="DE82" i="45"/>
  <c r="DE106" i="45"/>
  <c r="DM154" i="45"/>
  <c r="H46" i="33"/>
  <c r="F46" i="33"/>
  <c r="D47" i="33"/>
  <c r="F40" i="35"/>
  <c r="H36" i="46"/>
  <c r="F36" i="46"/>
  <c r="R15" i="32"/>
  <c r="R32" i="32"/>
  <c r="E58" i="25"/>
  <c r="DE62" i="45"/>
  <c r="DD85" i="45"/>
  <c r="DD109" i="45"/>
  <c r="H50" i="37"/>
  <c r="F50" i="37"/>
  <c r="D51" i="37"/>
  <c r="DB118" i="45"/>
  <c r="DB121" i="45"/>
  <c r="DN128" i="45"/>
  <c r="DN132" i="45"/>
  <c r="DN154" i="45"/>
  <c r="DE110" i="45"/>
  <c r="DF110" i="45"/>
  <c r="DE116" i="45"/>
  <c r="DF116" i="45"/>
  <c r="H57" i="25"/>
  <c r="DD60" i="45"/>
  <c r="DC83" i="45"/>
  <c r="DC76" i="45"/>
  <c r="DD53" i="45"/>
  <c r="K64" i="34"/>
  <c r="K62" i="34"/>
  <c r="K65" i="34"/>
  <c r="DD83" i="45"/>
  <c r="DD107" i="45"/>
  <c r="DE60" i="45"/>
  <c r="E51" i="37"/>
  <c r="D37" i="46"/>
  <c r="E52" i="28"/>
  <c r="DE109" i="45"/>
  <c r="H58" i="25"/>
  <c r="F58" i="25"/>
  <c r="D59" i="25"/>
  <c r="R50" i="32"/>
  <c r="R51" i="32"/>
  <c r="R33" i="32"/>
  <c r="D41" i="35"/>
  <c r="DF106" i="45"/>
  <c r="DD76" i="45"/>
  <c r="DE53" i="45"/>
  <c r="DC100" i="45"/>
  <c r="DC107" i="45"/>
  <c r="DE85" i="45"/>
  <c r="DF62" i="45"/>
  <c r="DF85" i="45"/>
  <c r="H40" i="35"/>
  <c r="E47" i="33"/>
  <c r="J47" i="33"/>
  <c r="E37" i="46"/>
  <c r="F51" i="37"/>
  <c r="D52" i="37"/>
  <c r="H47" i="33"/>
  <c r="F47" i="33"/>
  <c r="D48" i="33"/>
  <c r="DF53" i="45"/>
  <c r="DF76" i="45"/>
  <c r="DE76" i="45"/>
  <c r="DF100" i="45"/>
  <c r="DC118" i="45"/>
  <c r="DC121" i="45"/>
  <c r="DO128" i="45"/>
  <c r="DO132" i="45"/>
  <c r="F52" i="28"/>
  <c r="D53" i="28"/>
  <c r="DF60" i="45"/>
  <c r="DF83" i="45"/>
  <c r="DE83" i="45"/>
  <c r="DF109" i="45"/>
  <c r="DD100" i="45"/>
  <c r="DD118" i="45"/>
  <c r="DD121" i="45"/>
  <c r="DP128" i="45"/>
  <c r="DP132" i="45"/>
  <c r="E41" i="35"/>
  <c r="E59" i="25"/>
  <c r="J59" i="25"/>
  <c r="F59" i="25"/>
  <c r="D60" i="25"/>
  <c r="H41" i="35"/>
  <c r="F41" i="35"/>
  <c r="D42" i="35"/>
  <c r="DE107" i="45"/>
  <c r="DF107" i="45"/>
  <c r="DF118" i="45"/>
  <c r="H52" i="28"/>
  <c r="E48" i="33"/>
  <c r="H51" i="37"/>
  <c r="DP154" i="45"/>
  <c r="H37" i="46"/>
  <c r="F37" i="46"/>
  <c r="DO154" i="45"/>
  <c r="DM134" i="45"/>
  <c r="AO150" i="45"/>
  <c r="E53" i="28"/>
  <c r="E52" i="37"/>
  <c r="DE100" i="45"/>
  <c r="DE118" i="45"/>
  <c r="DE121" i="45"/>
  <c r="DQ128" i="45"/>
  <c r="DQ132" i="45"/>
  <c r="DQ154" i="45"/>
  <c r="DF121" i="45"/>
  <c r="DR128" i="45"/>
  <c r="DG118" i="45"/>
  <c r="D38" i="46"/>
  <c r="E42" i="35"/>
  <c r="F52" i="37"/>
  <c r="D53" i="37"/>
  <c r="E60" i="25"/>
  <c r="H53" i="28"/>
  <c r="F53" i="28"/>
  <c r="D54" i="28"/>
  <c r="H48" i="33"/>
  <c r="F48" i="33"/>
  <c r="D49" i="33"/>
  <c r="H59" i="25"/>
  <c r="E53" i="37"/>
  <c r="E54" i="28"/>
  <c r="H52" i="37"/>
  <c r="E38" i="46"/>
  <c r="E49" i="33"/>
  <c r="F60" i="25"/>
  <c r="D61" i="25"/>
  <c r="F42" i="35"/>
  <c r="D43" i="35"/>
  <c r="DR132" i="45"/>
  <c r="B128" i="45"/>
  <c r="DG138" i="45"/>
  <c r="L142" i="45"/>
  <c r="L140" i="6"/>
  <c r="E61" i="25"/>
  <c r="L145" i="6"/>
  <c r="M26" i="10"/>
  <c r="M26" i="34"/>
  <c r="H42" i="35"/>
  <c r="H49" i="33"/>
  <c r="F49" i="33"/>
  <c r="D50" i="33"/>
  <c r="DR154" i="45"/>
  <c r="DP134" i="45"/>
  <c r="AP150" i="45"/>
  <c r="DM136" i="45"/>
  <c r="V146" i="45"/>
  <c r="H60" i="25"/>
  <c r="F38" i="46"/>
  <c r="H54" i="28"/>
  <c r="F54" i="28"/>
  <c r="D55" i="28"/>
  <c r="E43" i="35"/>
  <c r="H53" i="37"/>
  <c r="F53" i="37"/>
  <c r="D54" i="37"/>
  <c r="E54" i="37"/>
  <c r="E55" i="28"/>
  <c r="E50" i="33"/>
  <c r="Q72" i="10"/>
  <c r="Q83" i="10"/>
  <c r="Q84" i="10"/>
  <c r="Q106" i="10"/>
  <c r="R72" i="10"/>
  <c r="R83" i="10"/>
  <c r="R84" i="10"/>
  <c r="R106" i="10"/>
  <c r="S72" i="10"/>
  <c r="S83" i="10"/>
  <c r="S84" i="10"/>
  <c r="S106" i="10"/>
  <c r="V72" i="10"/>
  <c r="V83" i="10"/>
  <c r="V84" i="10"/>
  <c r="V106" i="10"/>
  <c r="X72" i="10"/>
  <c r="X83" i="10"/>
  <c r="X84" i="10"/>
  <c r="X106" i="10"/>
  <c r="W72" i="10"/>
  <c r="W83" i="10"/>
  <c r="W84" i="10"/>
  <c r="W106" i="10"/>
  <c r="N72" i="10"/>
  <c r="N83" i="10"/>
  <c r="N84" i="10"/>
  <c r="N106" i="10"/>
  <c r="N23" i="10"/>
  <c r="N25" i="10"/>
  <c r="N21" i="10"/>
  <c r="N22" i="10"/>
  <c r="N30" i="10"/>
  <c r="O72" i="10"/>
  <c r="O83" i="10"/>
  <c r="O84" i="10"/>
  <c r="O106" i="10"/>
  <c r="O23" i="10"/>
  <c r="O25" i="10"/>
  <c r="O21" i="10"/>
  <c r="O22" i="10"/>
  <c r="O30" i="10"/>
  <c r="T72" i="10"/>
  <c r="T83" i="10"/>
  <c r="T84" i="10"/>
  <c r="T106" i="10"/>
  <c r="U72" i="10"/>
  <c r="U83" i="10"/>
  <c r="U84" i="10"/>
  <c r="U106" i="10"/>
  <c r="P72" i="10"/>
  <c r="P83" i="10"/>
  <c r="P84" i="10"/>
  <c r="P106" i="10"/>
  <c r="P23" i="10"/>
  <c r="P25" i="10"/>
  <c r="P21" i="10"/>
  <c r="P22" i="10"/>
  <c r="P30" i="10"/>
  <c r="M29" i="10"/>
  <c r="M30" i="10"/>
  <c r="V55" i="10"/>
  <c r="D26" i="10"/>
  <c r="X55" i="10"/>
  <c r="W55" i="10"/>
  <c r="R55" i="10"/>
  <c r="P55" i="10"/>
  <c r="O55" i="10"/>
  <c r="S55" i="10"/>
  <c r="U55" i="10"/>
  <c r="M55" i="10"/>
  <c r="N55" i="10"/>
  <c r="Q55" i="10"/>
  <c r="T55" i="10"/>
  <c r="M25" i="20"/>
  <c r="K23" i="21"/>
  <c r="K28" i="21"/>
  <c r="M9" i="20"/>
  <c r="N25" i="20"/>
  <c r="AA145" i="6"/>
  <c r="D39" i="46"/>
  <c r="H43" i="35"/>
  <c r="F43" i="35"/>
  <c r="D44" i="35"/>
  <c r="H38" i="46"/>
  <c r="S76" i="34"/>
  <c r="S112" i="34"/>
  <c r="S23" i="34"/>
  <c r="S25" i="34"/>
  <c r="S21" i="34"/>
  <c r="S22" i="34"/>
  <c r="S30" i="34"/>
  <c r="U76" i="34"/>
  <c r="U112" i="34"/>
  <c r="U23" i="34"/>
  <c r="U25" i="34"/>
  <c r="U21" i="34"/>
  <c r="U22" i="34"/>
  <c r="U30" i="34"/>
  <c r="O76" i="34"/>
  <c r="O112" i="34"/>
  <c r="O23" i="34"/>
  <c r="O25" i="34"/>
  <c r="O21" i="34"/>
  <c r="O22" i="34"/>
  <c r="V76" i="34"/>
  <c r="V112" i="34"/>
  <c r="V23" i="34"/>
  <c r="V25" i="34"/>
  <c r="V21" i="34"/>
  <c r="V22" i="34"/>
  <c r="V30" i="34"/>
  <c r="P76" i="34"/>
  <c r="P112" i="34"/>
  <c r="P23" i="34"/>
  <c r="P25" i="34"/>
  <c r="P21" i="34"/>
  <c r="P22" i="34"/>
  <c r="P30" i="34"/>
  <c r="T76" i="34"/>
  <c r="T112" i="34"/>
  <c r="T23" i="34"/>
  <c r="T25" i="34"/>
  <c r="T21" i="34"/>
  <c r="T22" i="34"/>
  <c r="T30" i="34"/>
  <c r="Y76" i="34"/>
  <c r="Y112" i="34"/>
  <c r="Y23" i="34"/>
  <c r="Y25" i="34"/>
  <c r="Y21" i="34"/>
  <c r="Y22" i="34"/>
  <c r="Y30" i="34"/>
  <c r="W76" i="34"/>
  <c r="W112" i="34"/>
  <c r="W23" i="34"/>
  <c r="W25" i="34"/>
  <c r="W21" i="34"/>
  <c r="W22" i="34"/>
  <c r="W30" i="34"/>
  <c r="N76" i="34"/>
  <c r="N112" i="34"/>
  <c r="N23" i="34"/>
  <c r="N25" i="34"/>
  <c r="N21" i="34"/>
  <c r="N22" i="34"/>
  <c r="Q76" i="34"/>
  <c r="Q112" i="34"/>
  <c r="Q23" i="34"/>
  <c r="Q25" i="34"/>
  <c r="Q21" i="34"/>
  <c r="Q22" i="34"/>
  <c r="Q30" i="34"/>
  <c r="X76" i="34"/>
  <c r="X112" i="34"/>
  <c r="X23" i="34"/>
  <c r="X25" i="34"/>
  <c r="X21" i="34"/>
  <c r="X22" i="34"/>
  <c r="X30" i="34"/>
  <c r="R76" i="34"/>
  <c r="R112" i="34"/>
  <c r="R23" i="34"/>
  <c r="R25" i="34"/>
  <c r="R21" i="34"/>
  <c r="R22" i="34"/>
  <c r="R30" i="34"/>
  <c r="S57" i="34"/>
  <c r="Y57" i="34"/>
  <c r="T57" i="34"/>
  <c r="U57" i="34"/>
  <c r="X57" i="34"/>
  <c r="O57" i="34"/>
  <c r="P57" i="34"/>
  <c r="N57" i="34"/>
  <c r="D26" i="34"/>
  <c r="M57" i="34"/>
  <c r="R57" i="34"/>
  <c r="Q57" i="34"/>
  <c r="V57" i="34"/>
  <c r="W57" i="34"/>
  <c r="F61" i="25"/>
  <c r="D62" i="25"/>
  <c r="P32" i="34"/>
  <c r="P55" i="34"/>
  <c r="H55" i="28"/>
  <c r="F55" i="28"/>
  <c r="D56" i="28"/>
  <c r="H61" i="25"/>
  <c r="E58" i="34"/>
  <c r="Q32" i="34"/>
  <c r="Q55" i="34"/>
  <c r="T32" i="34"/>
  <c r="T55" i="34"/>
  <c r="E44" i="35"/>
  <c r="M20" i="20"/>
  <c r="M17" i="20"/>
  <c r="K17" i="21"/>
  <c r="K12" i="21"/>
  <c r="U32" i="34"/>
  <c r="D120" i="34"/>
  <c r="D134" i="34"/>
  <c r="X35" i="34"/>
  <c r="U55" i="34"/>
  <c r="E62" i="25"/>
  <c r="R55" i="34"/>
  <c r="R32" i="34"/>
  <c r="W55" i="34"/>
  <c r="W32" i="34"/>
  <c r="S55" i="34"/>
  <c r="S32" i="34"/>
  <c r="E39" i="46"/>
  <c r="M7" i="20"/>
  <c r="M35" i="20"/>
  <c r="N9" i="20"/>
  <c r="M32" i="10"/>
  <c r="M33" i="10"/>
  <c r="M53" i="10"/>
  <c r="O53" i="10"/>
  <c r="O32" i="10"/>
  <c r="O33" i="10"/>
  <c r="N20" i="20"/>
  <c r="N17" i="20"/>
  <c r="L17" i="21"/>
  <c r="L12" i="21"/>
  <c r="M17" i="21"/>
  <c r="M12" i="21"/>
  <c r="X32" i="34"/>
  <c r="X55" i="34"/>
  <c r="Y55" i="34"/>
  <c r="Y32" i="34"/>
  <c r="V32" i="34"/>
  <c r="V55" i="34"/>
  <c r="E56" i="10"/>
  <c r="P53" i="10"/>
  <c r="P32" i="10"/>
  <c r="N32" i="10"/>
  <c r="N33" i="10"/>
  <c r="N53" i="10"/>
  <c r="H50" i="33"/>
  <c r="F50" i="33"/>
  <c r="D51" i="33"/>
  <c r="F54" i="37"/>
  <c r="D55" i="37"/>
  <c r="E55" i="37"/>
  <c r="E58" i="10"/>
  <c r="F58" i="10"/>
  <c r="D37" i="10"/>
  <c r="Z11" i="10" s="1"/>
  <c r="M60" i="10"/>
  <c r="L60" i="10"/>
  <c r="N7" i="20"/>
  <c r="N35" i="20"/>
  <c r="O9" i="20"/>
  <c r="F44" i="35"/>
  <c r="D45" i="35"/>
  <c r="Z55" i="34"/>
  <c r="X36" i="34"/>
  <c r="N38" i="34"/>
  <c r="H54" i="37"/>
  <c r="N60" i="10"/>
  <c r="H62" i="25"/>
  <c r="F62" i="25"/>
  <c r="D63" i="25"/>
  <c r="M28" i="34"/>
  <c r="M29" i="34"/>
  <c r="M30" i="34"/>
  <c r="M31" i="34"/>
  <c r="M31" i="41"/>
  <c r="E60" i="34"/>
  <c r="F60" i="34"/>
  <c r="E51" i="33"/>
  <c r="P33" i="10"/>
  <c r="P60" i="10"/>
  <c r="N31" i="41"/>
  <c r="N31" i="34"/>
  <c r="N28" i="34"/>
  <c r="N29" i="34"/>
  <c r="N30" i="34"/>
  <c r="O31" i="41"/>
  <c r="O28" i="34"/>
  <c r="O31" i="34"/>
  <c r="H39" i="46"/>
  <c r="F39" i="46"/>
  <c r="E56" i="28"/>
  <c r="F59" i="10"/>
  <c r="F57" i="10"/>
  <c r="G58" i="10"/>
  <c r="F59" i="34"/>
  <c r="F63" i="34"/>
  <c r="F61" i="34"/>
  <c r="G60" i="34"/>
  <c r="D40" i="46"/>
  <c r="O29" i="34"/>
  <c r="O30" i="34"/>
  <c r="D28" i="34"/>
  <c r="M55" i="34"/>
  <c r="M32" i="34"/>
  <c r="E45" i="35"/>
  <c r="F56" i="28"/>
  <c r="D57" i="28"/>
  <c r="N32" i="34"/>
  <c r="N33" i="34"/>
  <c r="N55" i="34"/>
  <c r="E63" i="25"/>
  <c r="X37" i="34"/>
  <c r="H44" i="35"/>
  <c r="O7" i="20"/>
  <c r="O35" i="20"/>
  <c r="P9" i="20"/>
  <c r="H51" i="33"/>
  <c r="F51" i="33"/>
  <c r="D52" i="33"/>
  <c r="E59" i="34"/>
  <c r="E61" i="34"/>
  <c r="E57" i="10"/>
  <c r="D58" i="10"/>
  <c r="E42" i="10"/>
  <c r="E59" i="10"/>
  <c r="H55" i="37"/>
  <c r="F55" i="37"/>
  <c r="D56" i="37"/>
  <c r="M64" i="34"/>
  <c r="E56" i="37"/>
  <c r="E52" i="33"/>
  <c r="E40" i="46"/>
  <c r="P7" i="20"/>
  <c r="P35" i="20"/>
  <c r="Q9" i="20"/>
  <c r="E57" i="28"/>
  <c r="G61" i="34"/>
  <c r="G59" i="34"/>
  <c r="H60" i="34"/>
  <c r="F45" i="35"/>
  <c r="D46" i="35"/>
  <c r="G59" i="10"/>
  <c r="G57" i="10"/>
  <c r="H58" i="10"/>
  <c r="D60" i="34"/>
  <c r="E63" i="34"/>
  <c r="F63" i="25"/>
  <c r="D64" i="25"/>
  <c r="H56" i="28"/>
  <c r="M33" i="34"/>
  <c r="O32" i="34"/>
  <c r="O33" i="34"/>
  <c r="N65" i="34"/>
  <c r="O55" i="34"/>
  <c r="D37" i="34"/>
  <c r="R33" i="34"/>
  <c r="F54" i="1"/>
  <c r="G60" i="1"/>
  <c r="F54" i="42"/>
  <c r="G60" i="42"/>
  <c r="N39" i="34"/>
  <c r="P33" i="34"/>
  <c r="S33" i="34"/>
  <c r="M62" i="34"/>
  <c r="L64" i="34"/>
  <c r="M65" i="34"/>
  <c r="L62" i="34"/>
  <c r="L65" i="34"/>
  <c r="G63" i="34"/>
  <c r="Q7" i="20"/>
  <c r="Q35" i="20"/>
  <c r="R9" i="20"/>
  <c r="V33" i="34"/>
  <c r="Q33" i="34"/>
  <c r="T33" i="34"/>
  <c r="U33" i="34"/>
  <c r="E64" i="25"/>
  <c r="H57" i="10"/>
  <c r="H59" i="10"/>
  <c r="I58" i="10"/>
  <c r="H45" i="35"/>
  <c r="F57" i="28"/>
  <c r="D58" i="28"/>
  <c r="N64" i="34"/>
  <c r="O65" i="34"/>
  <c r="O62" i="34"/>
  <c r="E46" i="35"/>
  <c r="F52" i="33"/>
  <c r="D53" i="33"/>
  <c r="N62" i="34"/>
  <c r="W33" i="34"/>
  <c r="X33" i="34"/>
  <c r="Y33" i="34"/>
  <c r="H63" i="25"/>
  <c r="H59" i="34"/>
  <c r="H61" i="34"/>
  <c r="I60" i="34"/>
  <c r="H40" i="46"/>
  <c r="F40" i="46"/>
  <c r="F56" i="37"/>
  <c r="D57" i="37"/>
  <c r="D41" i="46"/>
  <c r="H63" i="34"/>
  <c r="W62" i="34"/>
  <c r="V64" i="34"/>
  <c r="W65" i="34"/>
  <c r="I59" i="10"/>
  <c r="I57" i="10"/>
  <c r="J58" i="10"/>
  <c r="H64" i="25"/>
  <c r="F64" i="25"/>
  <c r="D65" i="25"/>
  <c r="U64" i="34"/>
  <c r="V62" i="34"/>
  <c r="V65" i="34"/>
  <c r="E58" i="28"/>
  <c r="S9" i="20"/>
  <c r="R7" i="20"/>
  <c r="R35" i="20"/>
  <c r="E57" i="37"/>
  <c r="I59" i="34"/>
  <c r="I63" i="34"/>
  <c r="I61" i="34"/>
  <c r="J60" i="34"/>
  <c r="Y65" i="34"/>
  <c r="D35" i="34"/>
  <c r="N37" i="34"/>
  <c r="Y62" i="34"/>
  <c r="X64" i="34"/>
  <c r="E53" i="33"/>
  <c r="H57" i="28"/>
  <c r="T62" i="34"/>
  <c r="T65" i="34"/>
  <c r="S64" i="34"/>
  <c r="P62" i="34"/>
  <c r="P65" i="34"/>
  <c r="O64" i="34"/>
  <c r="R62" i="34"/>
  <c r="R65" i="34"/>
  <c r="Q64" i="34"/>
  <c r="F46" i="35"/>
  <c r="D47" i="35"/>
  <c r="U65" i="34"/>
  <c r="U62" i="34"/>
  <c r="T64" i="34"/>
  <c r="S62" i="34"/>
  <c r="R64" i="34"/>
  <c r="S65" i="34"/>
  <c r="H56" i="37"/>
  <c r="W64" i="34"/>
  <c r="X65" i="34"/>
  <c r="X62" i="34"/>
  <c r="H52" i="33"/>
  <c r="P64" i="34"/>
  <c r="Q65" i="34"/>
  <c r="E41" i="46"/>
  <c r="D39" i="34"/>
  <c r="J59" i="34"/>
  <c r="J61" i="34"/>
  <c r="K60" i="34"/>
  <c r="H57" i="37"/>
  <c r="F57" i="37"/>
  <c r="D58" i="37"/>
  <c r="F58" i="28"/>
  <c r="D59" i="28"/>
  <c r="E65" i="25"/>
  <c r="E47" i="35"/>
  <c r="J47" i="35"/>
  <c r="F53" i="33"/>
  <c r="D54" i="33"/>
  <c r="S7" i="20"/>
  <c r="S35" i="20"/>
  <c r="T9" i="20"/>
  <c r="J57" i="10"/>
  <c r="J59" i="10"/>
  <c r="K58" i="10"/>
  <c r="H46" i="35"/>
  <c r="E39" i="34"/>
  <c r="E54" i="33"/>
  <c r="K57" i="10"/>
  <c r="K59" i="10"/>
  <c r="L58" i="10"/>
  <c r="F47" i="35"/>
  <c r="D48" i="35"/>
  <c r="K61" i="34"/>
  <c r="K59" i="34"/>
  <c r="L60" i="34"/>
  <c r="H53" i="33"/>
  <c r="H58" i="28"/>
  <c r="F41" i="46"/>
  <c r="D42" i="46"/>
  <c r="E59" i="28"/>
  <c r="J59" i="28"/>
  <c r="U9" i="20"/>
  <c r="T7" i="20"/>
  <c r="T35" i="20"/>
  <c r="F65" i="25"/>
  <c r="D66" i="25"/>
  <c r="E58" i="37"/>
  <c r="J63" i="34"/>
  <c r="F58" i="37"/>
  <c r="D59" i="37"/>
  <c r="U7" i="20"/>
  <c r="U35" i="20"/>
  <c r="V9" i="20"/>
  <c r="F59" i="28"/>
  <c r="D60" i="28"/>
  <c r="E48" i="35"/>
  <c r="H65" i="25"/>
  <c r="H41" i="46"/>
  <c r="L59" i="34"/>
  <c r="L63" i="34"/>
  <c r="L61" i="34"/>
  <c r="M60" i="34"/>
  <c r="H47" i="35"/>
  <c r="H54" i="33"/>
  <c r="F54" i="33"/>
  <c r="D55" i="33"/>
  <c r="E66" i="25"/>
  <c r="E42" i="46"/>
  <c r="K63" i="34"/>
  <c r="L57" i="10"/>
  <c r="L59" i="10"/>
  <c r="M58" i="10"/>
  <c r="F42" i="46"/>
  <c r="D43" i="46"/>
  <c r="H48" i="35"/>
  <c r="F48" i="35"/>
  <c r="D49" i="35"/>
  <c r="E59" i="37"/>
  <c r="H53" i="20"/>
  <c r="H51" i="20"/>
  <c r="H62" i="20"/>
  <c r="F38" i="21"/>
  <c r="G37" i="21"/>
  <c r="J59" i="37"/>
  <c r="F33" i="21"/>
  <c r="M59" i="34"/>
  <c r="M61" i="34"/>
  <c r="N60" i="34"/>
  <c r="H59" i="28"/>
  <c r="H58" i="37"/>
  <c r="H66" i="25"/>
  <c r="F66" i="25"/>
  <c r="D67" i="25"/>
  <c r="E60" i="28"/>
  <c r="M59" i="10"/>
  <c r="M57" i="10"/>
  <c r="N58" i="10"/>
  <c r="E55" i="33"/>
  <c r="W9" i="20"/>
  <c r="V7" i="20"/>
  <c r="V35" i="20"/>
  <c r="W7" i="20"/>
  <c r="W35" i="20"/>
  <c r="X9" i="20"/>
  <c r="E67" i="25"/>
  <c r="N61" i="34"/>
  <c r="N59" i="34"/>
  <c r="O60" i="34"/>
  <c r="E49" i="35"/>
  <c r="F60" i="28"/>
  <c r="D61" i="28"/>
  <c r="M63" i="34"/>
  <c r="F59" i="37"/>
  <c r="D60" i="37"/>
  <c r="E51" i="19"/>
  <c r="E55" i="19"/>
  <c r="E43" i="46"/>
  <c r="F55" i="33"/>
  <c r="D56" i="33"/>
  <c r="N59" i="10"/>
  <c r="N57" i="10"/>
  <c r="O58" i="10"/>
  <c r="H42" i="46"/>
  <c r="E57" i="19"/>
  <c r="O61" i="34"/>
  <c r="O59" i="34"/>
  <c r="O63" i="34"/>
  <c r="P60" i="34"/>
  <c r="E61" i="28"/>
  <c r="O59" i="10"/>
  <c r="O57" i="10"/>
  <c r="O60" i="10"/>
  <c r="E39" i="10"/>
  <c r="AA12" i="10" s="1"/>
  <c r="P58" i="10"/>
  <c r="H55" i="33"/>
  <c r="E60" i="37"/>
  <c r="H60" i="28"/>
  <c r="N63" i="34"/>
  <c r="Y9" i="20"/>
  <c r="X7" i="20"/>
  <c r="X35" i="20"/>
  <c r="E56" i="33"/>
  <c r="F67" i="25"/>
  <c r="D68" i="25"/>
  <c r="H43" i="46"/>
  <c r="F43" i="46"/>
  <c r="D44" i="46"/>
  <c r="H59" i="37"/>
  <c r="F49" i="35"/>
  <c r="D50" i="35"/>
  <c r="F56" i="33"/>
  <c r="D57" i="33"/>
  <c r="E44" i="46"/>
  <c r="E50" i="35"/>
  <c r="P57" i="10"/>
  <c r="P59" i="10"/>
  <c r="Q58" i="10"/>
  <c r="H49" i="35"/>
  <c r="H60" i="37"/>
  <c r="F60" i="37"/>
  <c r="D61" i="37"/>
  <c r="F61" i="28"/>
  <c r="D62" i="28"/>
  <c r="E62" i="19"/>
  <c r="F8" i="21"/>
  <c r="F10" i="21"/>
  <c r="F20" i="21"/>
  <c r="F35" i="21"/>
  <c r="E61" i="19"/>
  <c r="E68" i="25"/>
  <c r="H67" i="25"/>
  <c r="Y7" i="20"/>
  <c r="Y35" i="20"/>
  <c r="Z9" i="20"/>
  <c r="P59" i="34"/>
  <c r="P63" i="34"/>
  <c r="P61" i="34"/>
  <c r="Q60" i="34"/>
  <c r="F68" i="25"/>
  <c r="D69" i="25"/>
  <c r="Q59" i="34"/>
  <c r="Q63" i="34"/>
  <c r="Q61" i="34"/>
  <c r="R60" i="34"/>
  <c r="H61" i="28"/>
  <c r="F50" i="35"/>
  <c r="D51" i="35"/>
  <c r="E57" i="33"/>
  <c r="AA9" i="20"/>
  <c r="AA7" i="20"/>
  <c r="AA35" i="20"/>
  <c r="Z7" i="20"/>
  <c r="Z35" i="20"/>
  <c r="E62" i="28"/>
  <c r="F44" i="46"/>
  <c r="D45" i="46"/>
  <c r="E64" i="19"/>
  <c r="H42" i="20"/>
  <c r="E61" i="37"/>
  <c r="Q59" i="10"/>
  <c r="Q57" i="10"/>
  <c r="R58" i="10"/>
  <c r="H56" i="33"/>
  <c r="I40" i="20"/>
  <c r="H37" i="20"/>
  <c r="H57" i="33"/>
  <c r="F57" i="33"/>
  <c r="D58" i="33"/>
  <c r="R59" i="10"/>
  <c r="R57" i="10"/>
  <c r="S58" i="10"/>
  <c r="F61" i="37"/>
  <c r="D62" i="37"/>
  <c r="H44" i="46"/>
  <c r="H50" i="35"/>
  <c r="F62" i="28"/>
  <c r="D63" i="28"/>
  <c r="E69" i="25"/>
  <c r="E45" i="46"/>
  <c r="E51" i="35"/>
  <c r="R59" i="34"/>
  <c r="R61" i="34"/>
  <c r="S60" i="34"/>
  <c r="H68" i="25"/>
  <c r="S59" i="34"/>
  <c r="S61" i="34"/>
  <c r="T60" i="34"/>
  <c r="F51" i="35"/>
  <c r="D52" i="35"/>
  <c r="S59" i="10"/>
  <c r="S57" i="10"/>
  <c r="T58" i="10"/>
  <c r="E63" i="28"/>
  <c r="R63" i="34"/>
  <c r="F45" i="46"/>
  <c r="D46" i="46"/>
  <c r="H62" i="28"/>
  <c r="E62" i="37"/>
  <c r="S14" i="32"/>
  <c r="H61" i="20"/>
  <c r="H64" i="20"/>
  <c r="H66" i="20"/>
  <c r="F69" i="25"/>
  <c r="D70" i="25"/>
  <c r="H61" i="37"/>
  <c r="E58" i="33"/>
  <c r="F62" i="37"/>
  <c r="D63" i="37"/>
  <c r="H45" i="46"/>
  <c r="T57" i="10"/>
  <c r="T59" i="10"/>
  <c r="U58" i="10"/>
  <c r="H51" i="35"/>
  <c r="S15" i="32"/>
  <c r="S32" i="32"/>
  <c r="T61" i="34"/>
  <c r="T59" i="34"/>
  <c r="T63" i="34"/>
  <c r="U60" i="34"/>
  <c r="H58" i="33"/>
  <c r="F58" i="33"/>
  <c r="D59" i="33"/>
  <c r="H69" i="25"/>
  <c r="F63" i="28"/>
  <c r="D64" i="28"/>
  <c r="E70" i="25"/>
  <c r="E46" i="46"/>
  <c r="E52" i="35"/>
  <c r="S63" i="34"/>
  <c r="F52" i="35"/>
  <c r="D53" i="35"/>
  <c r="H70" i="25"/>
  <c r="F70" i="25"/>
  <c r="D71" i="25"/>
  <c r="E59" i="33"/>
  <c r="J59" i="33"/>
  <c r="U57" i="10"/>
  <c r="U59" i="10"/>
  <c r="V58" i="10"/>
  <c r="E64" i="28"/>
  <c r="S33" i="32"/>
  <c r="S50" i="32"/>
  <c r="S51" i="32"/>
  <c r="E63" i="37"/>
  <c r="H63" i="28"/>
  <c r="U61" i="34"/>
  <c r="U59" i="34"/>
  <c r="U63" i="34"/>
  <c r="V60" i="34"/>
  <c r="H62" i="37"/>
  <c r="H46" i="46"/>
  <c r="F46" i="46"/>
  <c r="D47" i="46"/>
  <c r="E47" i="46"/>
  <c r="J47" i="46"/>
  <c r="F64" i="28"/>
  <c r="D65" i="28"/>
  <c r="E71" i="25"/>
  <c r="J71" i="25"/>
  <c r="H59" i="33"/>
  <c r="F59" i="33"/>
  <c r="D60" i="33"/>
  <c r="E53" i="35"/>
  <c r="V59" i="10"/>
  <c r="V57" i="10"/>
  <c r="W58" i="10"/>
  <c r="V59" i="34"/>
  <c r="V61" i="34"/>
  <c r="W60" i="34"/>
  <c r="F63" i="37"/>
  <c r="D64" i="37"/>
  <c r="H52" i="35"/>
  <c r="W59" i="34"/>
  <c r="W61" i="34"/>
  <c r="X60" i="34"/>
  <c r="E60" i="33"/>
  <c r="F71" i="25"/>
  <c r="D72" i="25"/>
  <c r="E64" i="37"/>
  <c r="V63" i="34"/>
  <c r="E65" i="28"/>
  <c r="F47" i="46"/>
  <c r="D48" i="46"/>
  <c r="H63" i="37"/>
  <c r="W57" i="10"/>
  <c r="W59" i="10"/>
  <c r="X58" i="10"/>
  <c r="H53" i="35"/>
  <c r="F53" i="35"/>
  <c r="D54" i="35"/>
  <c r="H64" i="28"/>
  <c r="E54" i="35"/>
  <c r="H64" i="37"/>
  <c r="F64" i="37"/>
  <c r="D65" i="37"/>
  <c r="F60" i="33"/>
  <c r="D61" i="33"/>
  <c r="F65" i="28"/>
  <c r="D66" i="28"/>
  <c r="X61" i="34"/>
  <c r="F39" i="34"/>
  <c r="N40" i="34" s="1"/>
  <c r="X59" i="34"/>
  <c r="X63" i="34"/>
  <c r="Q62" i="34"/>
  <c r="G39" i="34"/>
  <c r="Y60" i="34"/>
  <c r="X59" i="10"/>
  <c r="D39" i="10"/>
  <c r="Z12" i="10" s="1"/>
  <c r="X57" i="10"/>
  <c r="E48" i="46"/>
  <c r="H71" i="25"/>
  <c r="E72" i="25"/>
  <c r="H47" i="46"/>
  <c r="W63" i="34"/>
  <c r="H48" i="46"/>
  <c r="F48" i="46"/>
  <c r="D49" i="46"/>
  <c r="Y59" i="34"/>
  <c r="Y61" i="34"/>
  <c r="H65" i="28"/>
  <c r="E65" i="37"/>
  <c r="H72" i="25"/>
  <c r="F72" i="25"/>
  <c r="D73" i="25"/>
  <c r="E61" i="33"/>
  <c r="H60" i="33"/>
  <c r="E66" i="28"/>
  <c r="F54" i="35"/>
  <c r="D55" i="35"/>
  <c r="F66" i="28"/>
  <c r="D67" i="28"/>
  <c r="E73" i="25"/>
  <c r="F61" i="33"/>
  <c r="D62" i="33"/>
  <c r="H65" i="37"/>
  <c r="F65" i="37"/>
  <c r="D66" i="37"/>
  <c r="E55" i="35"/>
  <c r="H54" i="35"/>
  <c r="E49" i="46"/>
  <c r="E66" i="37"/>
  <c r="H73" i="25"/>
  <c r="F73" i="25"/>
  <c r="D74" i="25"/>
  <c r="E62" i="33"/>
  <c r="E67" i="28"/>
  <c r="F49" i="46"/>
  <c r="D50" i="46"/>
  <c r="H55" i="35"/>
  <c r="F55" i="35"/>
  <c r="D56" i="35"/>
  <c r="H61" i="33"/>
  <c r="H66" i="28"/>
  <c r="E56" i="35"/>
  <c r="E74" i="25"/>
  <c r="E50" i="46"/>
  <c r="H67" i="28"/>
  <c r="F67" i="28"/>
  <c r="D68" i="28"/>
  <c r="H49" i="46"/>
  <c r="F62" i="33"/>
  <c r="D63" i="33"/>
  <c r="H66" i="37"/>
  <c r="F66" i="37"/>
  <c r="D67" i="37"/>
  <c r="E68" i="28"/>
  <c r="H74" i="25"/>
  <c r="F74" i="25"/>
  <c r="D75" i="25"/>
  <c r="E63" i="33"/>
  <c r="H62" i="33"/>
  <c r="E67" i="37"/>
  <c r="F50" i="46"/>
  <c r="D51" i="46"/>
  <c r="F56" i="35"/>
  <c r="D57" i="35"/>
  <c r="H56" i="35"/>
  <c r="F67" i="37"/>
  <c r="D68" i="37"/>
  <c r="E75" i="25"/>
  <c r="E51" i="46"/>
  <c r="H50" i="46"/>
  <c r="E57" i="35"/>
  <c r="H63" i="33"/>
  <c r="F63" i="33"/>
  <c r="D64" i="33"/>
  <c r="F68" i="28"/>
  <c r="D69" i="28"/>
  <c r="E64" i="33"/>
  <c r="E68" i="37"/>
  <c r="F57" i="35"/>
  <c r="D58" i="35"/>
  <c r="H51" i="46"/>
  <c r="F51" i="46"/>
  <c r="D52" i="46"/>
  <c r="H67" i="37"/>
  <c r="E69" i="28"/>
  <c r="H68" i="28"/>
  <c r="F75" i="25"/>
  <c r="D76" i="25"/>
  <c r="E52" i="46"/>
  <c r="E76" i="25"/>
  <c r="E58" i="35"/>
  <c r="H64" i="33"/>
  <c r="F64" i="33"/>
  <c r="D65" i="33"/>
  <c r="F68" i="37"/>
  <c r="D69" i="37"/>
  <c r="H69" i="28"/>
  <c r="F69" i="28"/>
  <c r="D70" i="28"/>
  <c r="H75" i="25"/>
  <c r="H57" i="35"/>
  <c r="E70" i="28"/>
  <c r="E65" i="33"/>
  <c r="E69" i="37"/>
  <c r="H58" i="35"/>
  <c r="F58" i="35"/>
  <c r="D59" i="35"/>
  <c r="F76" i="25"/>
  <c r="D77" i="25"/>
  <c r="H68" i="37"/>
  <c r="H52" i="46"/>
  <c r="F52" i="46"/>
  <c r="D53" i="46"/>
  <c r="E59" i="35"/>
  <c r="J59" i="35"/>
  <c r="F65" i="33"/>
  <c r="D66" i="33"/>
  <c r="E77" i="25"/>
  <c r="F69" i="37"/>
  <c r="D70" i="37"/>
  <c r="E53" i="46"/>
  <c r="H76" i="25"/>
  <c r="F70" i="28"/>
  <c r="D71" i="28"/>
  <c r="F77" i="25"/>
  <c r="D78" i="25"/>
  <c r="H53" i="46"/>
  <c r="F53" i="46"/>
  <c r="D54" i="46"/>
  <c r="H70" i="28"/>
  <c r="E66" i="33"/>
  <c r="H59" i="35"/>
  <c r="F59" i="35"/>
  <c r="D60" i="35"/>
  <c r="E71" i="28"/>
  <c r="J71" i="28"/>
  <c r="E70" i="37"/>
  <c r="H69" i="37"/>
  <c r="H65" i="33"/>
  <c r="E54" i="46"/>
  <c r="H71" i="28"/>
  <c r="F71" i="28"/>
  <c r="D72" i="28"/>
  <c r="F66" i="33"/>
  <c r="D67" i="33"/>
  <c r="E78" i="25"/>
  <c r="F70" i="37"/>
  <c r="D71" i="37"/>
  <c r="E60" i="35"/>
  <c r="H77" i="25"/>
  <c r="F60" i="35"/>
  <c r="D61" i="35"/>
  <c r="H78" i="25"/>
  <c r="F78" i="25"/>
  <c r="D79" i="25"/>
  <c r="E72" i="28"/>
  <c r="E67" i="33"/>
  <c r="F54" i="46"/>
  <c r="D55" i="46"/>
  <c r="I53" i="20"/>
  <c r="I51" i="20"/>
  <c r="I62" i="20"/>
  <c r="G38" i="21"/>
  <c r="H37" i="21"/>
  <c r="E71" i="37"/>
  <c r="J71" i="37"/>
  <c r="G33" i="21"/>
  <c r="H70" i="37"/>
  <c r="H66" i="33"/>
  <c r="F67" i="33"/>
  <c r="D68" i="33"/>
  <c r="E79" i="25"/>
  <c r="F72" i="28"/>
  <c r="D73" i="28"/>
  <c r="E61" i="35"/>
  <c r="E55" i="46"/>
  <c r="H71" i="37"/>
  <c r="F71" i="37"/>
  <c r="D72" i="37"/>
  <c r="F51" i="19"/>
  <c r="F55" i="19"/>
  <c r="H54" i="46"/>
  <c r="H60" i="35"/>
  <c r="F61" i="35"/>
  <c r="D62" i="35"/>
  <c r="E72" i="37"/>
  <c r="F79" i="25"/>
  <c r="D80" i="25"/>
  <c r="E73" i="28"/>
  <c r="E68" i="33"/>
  <c r="F57" i="19"/>
  <c r="F55" i="46"/>
  <c r="D56" i="46"/>
  <c r="H72" i="28"/>
  <c r="H67" i="33"/>
  <c r="F72" i="37"/>
  <c r="D73" i="37"/>
  <c r="F61" i="19"/>
  <c r="F62" i="19"/>
  <c r="G8" i="21"/>
  <c r="G10" i="21"/>
  <c r="G20" i="21"/>
  <c r="G35" i="21"/>
  <c r="H73" i="28"/>
  <c r="F73" i="28"/>
  <c r="D74" i="28"/>
  <c r="E80" i="25"/>
  <c r="E62" i="35"/>
  <c r="E56" i="46"/>
  <c r="H55" i="46"/>
  <c r="F68" i="33"/>
  <c r="D69" i="33"/>
  <c r="H79" i="25"/>
  <c r="H61" i="35"/>
  <c r="E73" i="37"/>
  <c r="H68" i="33"/>
  <c r="H62" i="35"/>
  <c r="F62" i="35"/>
  <c r="D63" i="35"/>
  <c r="E74" i="28"/>
  <c r="H72" i="37"/>
  <c r="E69" i="33"/>
  <c r="H56" i="46"/>
  <c r="F56" i="46"/>
  <c r="D57" i="46"/>
  <c r="F80" i="25"/>
  <c r="D81" i="25"/>
  <c r="F64" i="19"/>
  <c r="I42" i="20"/>
  <c r="J40" i="20"/>
  <c r="I37" i="20"/>
  <c r="E57" i="46"/>
  <c r="E81" i="25"/>
  <c r="H74" i="28"/>
  <c r="F74" i="28"/>
  <c r="D75" i="28"/>
  <c r="F73" i="37"/>
  <c r="D74" i="37"/>
  <c r="H80" i="25"/>
  <c r="F69" i="33"/>
  <c r="D70" i="33"/>
  <c r="E63" i="35"/>
  <c r="F63" i="35"/>
  <c r="D64" i="35"/>
  <c r="E75" i="28"/>
  <c r="F57" i="46"/>
  <c r="D58" i="46"/>
  <c r="E70" i="33"/>
  <c r="F81" i="25"/>
  <c r="D82" i="25"/>
  <c r="T14" i="32"/>
  <c r="I61" i="20"/>
  <c r="I64" i="20"/>
  <c r="I66" i="20"/>
  <c r="E74" i="37"/>
  <c r="H69" i="33"/>
  <c r="H73" i="37"/>
  <c r="F75" i="28"/>
  <c r="D76" i="28"/>
  <c r="H70" i="33"/>
  <c r="F70" i="33"/>
  <c r="D71" i="33"/>
  <c r="F74" i="37"/>
  <c r="D75" i="37"/>
  <c r="E58" i="46"/>
  <c r="E64" i="35"/>
  <c r="T32" i="32"/>
  <c r="T15" i="32"/>
  <c r="E82" i="25"/>
  <c r="H81" i="25"/>
  <c r="H57" i="46"/>
  <c r="H63" i="35"/>
  <c r="T33" i="32"/>
  <c r="T50" i="32"/>
  <c r="T51" i="32"/>
  <c r="E71" i="33"/>
  <c r="J71" i="33"/>
  <c r="H82" i="25"/>
  <c r="F82" i="25"/>
  <c r="D83" i="25"/>
  <c r="E75" i="37"/>
  <c r="E76" i="28"/>
  <c r="F64" i="35"/>
  <c r="D65" i="35"/>
  <c r="H58" i="46"/>
  <c r="F58" i="46"/>
  <c r="D59" i="46"/>
  <c r="H74" i="37"/>
  <c r="H75" i="28"/>
  <c r="E59" i="46"/>
  <c r="J59" i="46"/>
  <c r="F76" i="28"/>
  <c r="D77" i="28"/>
  <c r="E83" i="25"/>
  <c r="J83" i="25"/>
  <c r="E65" i="35"/>
  <c r="F75" i="37"/>
  <c r="D76" i="37"/>
  <c r="H71" i="33"/>
  <c r="F71" i="33"/>
  <c r="D72" i="33"/>
  <c r="H64" i="35"/>
  <c r="F65" i="35"/>
  <c r="D66" i="35"/>
  <c r="H83" i="25"/>
  <c r="F83" i="25"/>
  <c r="D84" i="25"/>
  <c r="E76" i="37"/>
  <c r="E77" i="28"/>
  <c r="E72" i="33"/>
  <c r="H75" i="37"/>
  <c r="H76" i="28"/>
  <c r="F59" i="46"/>
  <c r="D60" i="46"/>
  <c r="F77" i="28"/>
  <c r="D78" i="28"/>
  <c r="E84" i="25"/>
  <c r="E60" i="46"/>
  <c r="E66" i="35"/>
  <c r="F72" i="33"/>
  <c r="D73" i="33"/>
  <c r="H59" i="46"/>
  <c r="F76" i="37"/>
  <c r="D77" i="37"/>
  <c r="H65" i="35"/>
  <c r="H76" i="37"/>
  <c r="F66" i="35"/>
  <c r="D67" i="35"/>
  <c r="E73" i="33"/>
  <c r="E78" i="28"/>
  <c r="F84" i="25"/>
  <c r="D85" i="25"/>
  <c r="E77" i="37"/>
  <c r="H72" i="33"/>
  <c r="F60" i="46"/>
  <c r="D61" i="46"/>
  <c r="H77" i="28"/>
  <c r="F77" i="37"/>
  <c r="D78" i="37"/>
  <c r="E67" i="35"/>
  <c r="H60" i="46"/>
  <c r="H84" i="25"/>
  <c r="E61" i="46"/>
  <c r="F78" i="28"/>
  <c r="D79" i="28"/>
  <c r="H66" i="35"/>
  <c r="E85" i="25"/>
  <c r="F73" i="33"/>
  <c r="D74" i="33"/>
  <c r="F61" i="46"/>
  <c r="D62" i="46"/>
  <c r="E74" i="33"/>
  <c r="E79" i="28"/>
  <c r="E78" i="37"/>
  <c r="F67" i="35"/>
  <c r="D68" i="35"/>
  <c r="H73" i="33"/>
  <c r="H85" i="25"/>
  <c r="F85" i="25"/>
  <c r="D86" i="25"/>
  <c r="H78" i="28"/>
  <c r="H77" i="37"/>
  <c r="F74" i="33"/>
  <c r="D75" i="33"/>
  <c r="H78" i="37"/>
  <c r="F78" i="37"/>
  <c r="D79" i="37"/>
  <c r="F79" i="28"/>
  <c r="D80" i="28"/>
  <c r="E62" i="46"/>
  <c r="E68" i="35"/>
  <c r="E86" i="25"/>
  <c r="H67" i="35"/>
  <c r="H61" i="46"/>
  <c r="E79" i="37"/>
  <c r="H86" i="25"/>
  <c r="F86" i="25"/>
  <c r="D87" i="25"/>
  <c r="E80" i="28"/>
  <c r="E75" i="33"/>
  <c r="F62" i="46"/>
  <c r="D63" i="46"/>
  <c r="F68" i="35"/>
  <c r="D69" i="35"/>
  <c r="H79" i="28"/>
  <c r="H74" i="33"/>
  <c r="E69" i="35"/>
  <c r="H75" i="33"/>
  <c r="F75" i="33"/>
  <c r="D76" i="33"/>
  <c r="E87" i="25"/>
  <c r="H68" i="35"/>
  <c r="F80" i="28"/>
  <c r="D81" i="28"/>
  <c r="F79" i="37"/>
  <c r="D80" i="37"/>
  <c r="E63" i="46"/>
  <c r="H62" i="46"/>
  <c r="F63" i="46"/>
  <c r="D64" i="46"/>
  <c r="H80" i="28"/>
  <c r="E76" i="33"/>
  <c r="H79" i="37"/>
  <c r="E80" i="37"/>
  <c r="E81" i="28"/>
  <c r="H87" i="25"/>
  <c r="F87" i="25"/>
  <c r="D88" i="25"/>
  <c r="F69" i="35"/>
  <c r="D70" i="35"/>
  <c r="E88" i="25"/>
  <c r="H76" i="33"/>
  <c r="F76" i="33"/>
  <c r="D77" i="33"/>
  <c r="E70" i="35"/>
  <c r="E64" i="46"/>
  <c r="F80" i="37"/>
  <c r="D81" i="37"/>
  <c r="H81" i="28"/>
  <c r="F81" i="28"/>
  <c r="D82" i="28"/>
  <c r="H69" i="35"/>
  <c r="H63" i="46"/>
  <c r="E82" i="28"/>
  <c r="E77" i="33"/>
  <c r="F64" i="46"/>
  <c r="D65" i="46"/>
  <c r="E81" i="37"/>
  <c r="H80" i="37"/>
  <c r="F70" i="35"/>
  <c r="D71" i="35"/>
  <c r="H88" i="25"/>
  <c r="F88" i="25"/>
  <c r="D89" i="25"/>
  <c r="F81" i="37"/>
  <c r="D82" i="37"/>
  <c r="H77" i="33"/>
  <c r="F77" i="33"/>
  <c r="D78" i="33"/>
  <c r="E71" i="35"/>
  <c r="J71" i="35"/>
  <c r="H70" i="35"/>
  <c r="E65" i="46"/>
  <c r="E89" i="25"/>
  <c r="H64" i="46"/>
  <c r="F82" i="28"/>
  <c r="D83" i="28"/>
  <c r="E83" i="28"/>
  <c r="J83" i="28"/>
  <c r="F89" i="25"/>
  <c r="D90" i="25"/>
  <c r="E78" i="33"/>
  <c r="H82" i="28"/>
  <c r="F71" i="35"/>
  <c r="D72" i="35"/>
  <c r="E82" i="37"/>
  <c r="F65" i="46"/>
  <c r="D66" i="46"/>
  <c r="H81" i="37"/>
  <c r="F78" i="33"/>
  <c r="D79" i="33"/>
  <c r="H65" i="46"/>
  <c r="E72" i="35"/>
  <c r="H71" i="35"/>
  <c r="E90" i="25"/>
  <c r="E66" i="46"/>
  <c r="H82" i="37"/>
  <c r="F82" i="37"/>
  <c r="D83" i="37"/>
  <c r="H89" i="25"/>
  <c r="F83" i="28"/>
  <c r="D84" i="28"/>
  <c r="E84" i="28"/>
  <c r="E83" i="37"/>
  <c r="J53" i="20"/>
  <c r="J51" i="20"/>
  <c r="J62" i="20"/>
  <c r="H38" i="21"/>
  <c r="I37" i="21"/>
  <c r="J83" i="37"/>
  <c r="H33" i="21"/>
  <c r="F72" i="35"/>
  <c r="D73" i="35"/>
  <c r="E79" i="33"/>
  <c r="F90" i="25"/>
  <c r="D91" i="25"/>
  <c r="H83" i="28"/>
  <c r="H66" i="46"/>
  <c r="F66" i="46"/>
  <c r="D67" i="46"/>
  <c r="H78" i="33"/>
  <c r="E73" i="35"/>
  <c r="E67" i="46"/>
  <c r="H90" i="25"/>
  <c r="H72" i="35"/>
  <c r="H83" i="37"/>
  <c r="F83" i="37"/>
  <c r="D84" i="37"/>
  <c r="G51" i="19"/>
  <c r="G55" i="19"/>
  <c r="F79" i="33"/>
  <c r="D80" i="33"/>
  <c r="F84" i="28"/>
  <c r="D85" i="28"/>
  <c r="E91" i="25"/>
  <c r="E80" i="33"/>
  <c r="E85" i="28"/>
  <c r="H84" i="28"/>
  <c r="E84" i="37"/>
  <c r="H67" i="46"/>
  <c r="F67" i="46"/>
  <c r="D68" i="46"/>
  <c r="F91" i="25"/>
  <c r="D92" i="25"/>
  <c r="H79" i="33"/>
  <c r="H73" i="35"/>
  <c r="F73" i="35"/>
  <c r="D74" i="35"/>
  <c r="G57" i="19"/>
  <c r="E92" i="25"/>
  <c r="H85" i="28"/>
  <c r="F85" i="28"/>
  <c r="D86" i="28"/>
  <c r="G61" i="19"/>
  <c r="G62" i="19"/>
  <c r="H8" i="21"/>
  <c r="H10" i="21"/>
  <c r="H20" i="21"/>
  <c r="H35" i="21"/>
  <c r="E74" i="35"/>
  <c r="H91" i="25"/>
  <c r="H84" i="37"/>
  <c r="F84" i="37"/>
  <c r="D85" i="37"/>
  <c r="E68" i="46"/>
  <c r="F80" i="33"/>
  <c r="D81" i="33"/>
  <c r="H80" i="33"/>
  <c r="E86" i="28"/>
  <c r="H68" i="46"/>
  <c r="F68" i="46"/>
  <c r="D69" i="46"/>
  <c r="F92" i="25"/>
  <c r="D93" i="25"/>
  <c r="E81" i="33"/>
  <c r="E85" i="37"/>
  <c r="F74" i="35"/>
  <c r="D75" i="35"/>
  <c r="G64" i="19"/>
  <c r="J42" i="20"/>
  <c r="F86" i="28"/>
  <c r="D87" i="28"/>
  <c r="H74" i="35"/>
  <c r="H81" i="33"/>
  <c r="F81" i="33"/>
  <c r="D82" i="33"/>
  <c r="E93" i="25"/>
  <c r="K40" i="20"/>
  <c r="J37" i="20"/>
  <c r="H92" i="25"/>
  <c r="H85" i="37"/>
  <c r="F85" i="37"/>
  <c r="D86" i="37"/>
  <c r="E75" i="35"/>
  <c r="E69" i="46"/>
  <c r="F75" i="35"/>
  <c r="D76" i="35"/>
  <c r="H69" i="46"/>
  <c r="F69" i="46"/>
  <c r="D70" i="46"/>
  <c r="E86" i="37"/>
  <c r="F93" i="25"/>
  <c r="D94" i="25"/>
  <c r="E87" i="28"/>
  <c r="J61" i="20"/>
  <c r="J64" i="20"/>
  <c r="J66" i="20"/>
  <c r="U14" i="32"/>
  <c r="E82" i="33"/>
  <c r="H86" i="28"/>
  <c r="F82" i="33"/>
  <c r="D83" i="33"/>
  <c r="H87" i="28"/>
  <c r="F87" i="28"/>
  <c r="D88" i="28"/>
  <c r="E70" i="46"/>
  <c r="U32" i="32"/>
  <c r="U15" i="32"/>
  <c r="E94" i="25"/>
  <c r="E76" i="35"/>
  <c r="H93" i="25"/>
  <c r="F86" i="37"/>
  <c r="D87" i="37"/>
  <c r="H75" i="35"/>
  <c r="F76" i="35"/>
  <c r="D77" i="35"/>
  <c r="E88" i="28"/>
  <c r="H86" i="37"/>
  <c r="E83" i="33"/>
  <c r="J83" i="33"/>
  <c r="E87" i="37"/>
  <c r="U33" i="32"/>
  <c r="U50" i="32"/>
  <c r="U51" i="32"/>
  <c r="F94" i="25"/>
  <c r="D95" i="25"/>
  <c r="F70" i="46"/>
  <c r="D71" i="46"/>
  <c r="H82" i="33"/>
  <c r="E95" i="25"/>
  <c r="J95" i="25"/>
  <c r="H94" i="25"/>
  <c r="H70" i="46"/>
  <c r="H88" i="28"/>
  <c r="F88" i="28"/>
  <c r="D89" i="28"/>
  <c r="F87" i="37"/>
  <c r="D88" i="37"/>
  <c r="F83" i="33"/>
  <c r="D84" i="33"/>
  <c r="E77" i="35"/>
  <c r="E71" i="46"/>
  <c r="J71" i="46"/>
  <c r="H76" i="35"/>
  <c r="F71" i="46"/>
  <c r="D72" i="46"/>
  <c r="H83" i="33"/>
  <c r="E89" i="28"/>
  <c r="F77" i="35"/>
  <c r="D78" i="35"/>
  <c r="E88" i="37"/>
  <c r="E84" i="33"/>
  <c r="H87" i="37"/>
  <c r="F95" i="25"/>
  <c r="D96" i="25"/>
  <c r="F84" i="33"/>
  <c r="D85" i="33"/>
  <c r="H88" i="37"/>
  <c r="F88" i="37"/>
  <c r="D89" i="37"/>
  <c r="E78" i="35"/>
  <c r="H77" i="35"/>
  <c r="E72" i="46"/>
  <c r="E96" i="25"/>
  <c r="H95" i="25"/>
  <c r="F89" i="28"/>
  <c r="D90" i="28"/>
  <c r="H71" i="46"/>
  <c r="E90" i="28"/>
  <c r="E89" i="37"/>
  <c r="F78" i="35"/>
  <c r="D79" i="35"/>
  <c r="H89" i="28"/>
  <c r="E85" i="33"/>
  <c r="F96" i="25"/>
  <c r="D97" i="25"/>
  <c r="F72" i="46"/>
  <c r="D73" i="46"/>
  <c r="H84" i="33"/>
  <c r="E97" i="25"/>
  <c r="E73" i="46"/>
  <c r="H72" i="46"/>
  <c r="E79" i="35"/>
  <c r="F89" i="37"/>
  <c r="D90" i="37"/>
  <c r="H96" i="25"/>
  <c r="H85" i="33"/>
  <c r="F85" i="33"/>
  <c r="D86" i="33"/>
  <c r="H78" i="35"/>
  <c r="F90" i="28"/>
  <c r="D91" i="28"/>
  <c r="E91" i="28"/>
  <c r="H73" i="46"/>
  <c r="F73" i="46"/>
  <c r="D74" i="46"/>
  <c r="E86" i="33"/>
  <c r="H89" i="37"/>
  <c r="H90" i="28"/>
  <c r="F79" i="35"/>
  <c r="D80" i="35"/>
  <c r="E90" i="37"/>
  <c r="F97" i="25"/>
  <c r="D98" i="25"/>
  <c r="F90" i="37"/>
  <c r="D91" i="37"/>
  <c r="E74" i="46"/>
  <c r="E80" i="35"/>
  <c r="H86" i="33"/>
  <c r="F86" i="33"/>
  <c r="D87" i="33"/>
  <c r="E98" i="25"/>
  <c r="H97" i="25"/>
  <c r="H79" i="35"/>
  <c r="F91" i="28"/>
  <c r="D92" i="28"/>
  <c r="F74" i="46"/>
  <c r="D75" i="46"/>
  <c r="E87" i="33"/>
  <c r="F98" i="25"/>
  <c r="D99" i="25"/>
  <c r="E91" i="37"/>
  <c r="E92" i="28"/>
  <c r="H91" i="28"/>
  <c r="F80" i="35"/>
  <c r="D81" i="35"/>
  <c r="H90" i="37"/>
  <c r="F87" i="33"/>
  <c r="D88" i="33"/>
  <c r="H80" i="35"/>
  <c r="H91" i="37"/>
  <c r="F91" i="37"/>
  <c r="D92" i="37"/>
  <c r="E99" i="25"/>
  <c r="E75" i="46"/>
  <c r="E81" i="35"/>
  <c r="F92" i="28"/>
  <c r="D93" i="28"/>
  <c r="H98" i="25"/>
  <c r="H74" i="46"/>
  <c r="H92" i="28"/>
  <c r="F81" i="35"/>
  <c r="D82" i="35"/>
  <c r="H99" i="25"/>
  <c r="F99" i="25"/>
  <c r="D100" i="25"/>
  <c r="E88" i="33"/>
  <c r="E93" i="28"/>
  <c r="F75" i="46"/>
  <c r="D76" i="46"/>
  <c r="E92" i="37"/>
  <c r="H87" i="33"/>
  <c r="E82" i="35"/>
  <c r="H92" i="37"/>
  <c r="F92" i="37"/>
  <c r="D93" i="37"/>
  <c r="F88" i="33"/>
  <c r="D89" i="33"/>
  <c r="H75" i="46"/>
  <c r="H81" i="35"/>
  <c r="E76" i="46"/>
  <c r="H93" i="28"/>
  <c r="F93" i="28"/>
  <c r="D94" i="28"/>
  <c r="E100" i="25"/>
  <c r="E94" i="28"/>
  <c r="E93" i="37"/>
  <c r="E89" i="33"/>
  <c r="H82" i="35"/>
  <c r="F82" i="35"/>
  <c r="D83" i="35"/>
  <c r="H76" i="46"/>
  <c r="F76" i="46"/>
  <c r="D77" i="46"/>
  <c r="H100" i="25"/>
  <c r="F100" i="25"/>
  <c r="D101" i="25"/>
  <c r="H88" i="33"/>
  <c r="E101" i="25"/>
  <c r="E83" i="35"/>
  <c r="J83" i="35"/>
  <c r="H93" i="37"/>
  <c r="F93" i="37"/>
  <c r="D94" i="37"/>
  <c r="E77" i="46"/>
  <c r="H89" i="33"/>
  <c r="F89" i="33"/>
  <c r="D90" i="33"/>
  <c r="F94" i="28"/>
  <c r="D95" i="28"/>
  <c r="E90" i="33"/>
  <c r="E94" i="37"/>
  <c r="F83" i="35"/>
  <c r="D84" i="35"/>
  <c r="H77" i="46"/>
  <c r="F77" i="46"/>
  <c r="D78" i="46"/>
  <c r="E95" i="28"/>
  <c r="J95" i="28"/>
  <c r="H94" i="28"/>
  <c r="F101" i="25"/>
  <c r="D102" i="25"/>
  <c r="E102" i="25"/>
  <c r="H94" i="37"/>
  <c r="F94" i="37"/>
  <c r="D95" i="37"/>
  <c r="E78" i="46"/>
  <c r="H101" i="25"/>
  <c r="E84" i="35"/>
  <c r="F95" i="28"/>
  <c r="D96" i="28"/>
  <c r="H83" i="35"/>
  <c r="F90" i="33"/>
  <c r="D91" i="33"/>
  <c r="E96" i="28"/>
  <c r="E95" i="37"/>
  <c r="K53" i="20"/>
  <c r="K51" i="20"/>
  <c r="K62" i="20"/>
  <c r="I38" i="21"/>
  <c r="J37" i="21"/>
  <c r="J95" i="37"/>
  <c r="I33" i="21"/>
  <c r="H78" i="46"/>
  <c r="F78" i="46"/>
  <c r="D79" i="46"/>
  <c r="F102" i="25"/>
  <c r="D103" i="25"/>
  <c r="E91" i="33"/>
  <c r="H95" i="28"/>
  <c r="H90" i="33"/>
  <c r="F84" i="35"/>
  <c r="D85" i="35"/>
  <c r="E103" i="25"/>
  <c r="H84" i="35"/>
  <c r="F95" i="37"/>
  <c r="D96" i="37"/>
  <c r="H51" i="19"/>
  <c r="H55" i="19"/>
  <c r="H102" i="25"/>
  <c r="E85" i="35"/>
  <c r="F91" i="33"/>
  <c r="D92" i="33"/>
  <c r="E79" i="46"/>
  <c r="F96" i="28"/>
  <c r="D97" i="28"/>
  <c r="E97" i="28"/>
  <c r="H91" i="33"/>
  <c r="F79" i="46"/>
  <c r="D80" i="46"/>
  <c r="H95" i="37"/>
  <c r="H57" i="19"/>
  <c r="E92" i="33"/>
  <c r="H96" i="28"/>
  <c r="F85" i="35"/>
  <c r="D86" i="35"/>
  <c r="E96" i="37"/>
  <c r="F103" i="25"/>
  <c r="D104" i="25"/>
  <c r="E104" i="25"/>
  <c r="H103" i="25"/>
  <c r="H85" i="35"/>
  <c r="H79" i="46"/>
  <c r="H96" i="37"/>
  <c r="F96" i="37"/>
  <c r="D97" i="37"/>
  <c r="H61" i="19"/>
  <c r="H62" i="19"/>
  <c r="I8" i="21"/>
  <c r="I10" i="21"/>
  <c r="I20" i="21"/>
  <c r="I35" i="21"/>
  <c r="H92" i="33"/>
  <c r="F92" i="33"/>
  <c r="D93" i="33"/>
  <c r="E86" i="35"/>
  <c r="E80" i="46"/>
  <c r="F97" i="28"/>
  <c r="D98" i="28"/>
  <c r="F80" i="46"/>
  <c r="D81" i="46"/>
  <c r="E93" i="33"/>
  <c r="E97" i="37"/>
  <c r="E98" i="28"/>
  <c r="H97" i="28"/>
  <c r="F86" i="35"/>
  <c r="D87" i="35"/>
  <c r="H64" i="19"/>
  <c r="K42" i="20"/>
  <c r="F104" i="25"/>
  <c r="D105" i="25"/>
  <c r="F98" i="28"/>
  <c r="D99" i="28"/>
  <c r="K37" i="20"/>
  <c r="L40" i="20"/>
  <c r="E105" i="25"/>
  <c r="H86" i="35"/>
  <c r="E81" i="46"/>
  <c r="E87" i="35"/>
  <c r="F93" i="33"/>
  <c r="D94" i="33"/>
  <c r="F97" i="37"/>
  <c r="D98" i="37"/>
  <c r="H104" i="25"/>
  <c r="H80" i="46"/>
  <c r="E98" i="37"/>
  <c r="H93" i="33"/>
  <c r="V14" i="32"/>
  <c r="K61" i="20"/>
  <c r="K64" i="20"/>
  <c r="K66" i="20"/>
  <c r="H97" i="37"/>
  <c r="E99" i="28"/>
  <c r="H87" i="35"/>
  <c r="F87" i="35"/>
  <c r="D88" i="35"/>
  <c r="E94" i="33"/>
  <c r="H81" i="46"/>
  <c r="F81" i="46"/>
  <c r="D82" i="46"/>
  <c r="F105" i="25"/>
  <c r="D106" i="25"/>
  <c r="H98" i="28"/>
  <c r="E82" i="46"/>
  <c r="E88" i="35"/>
  <c r="E106" i="25"/>
  <c r="H94" i="33"/>
  <c r="F94" i="33"/>
  <c r="D95" i="33"/>
  <c r="V32" i="32"/>
  <c r="V15" i="32"/>
  <c r="H105" i="25"/>
  <c r="H99" i="28"/>
  <c r="F99" i="28"/>
  <c r="D100" i="28"/>
  <c r="F98" i="37"/>
  <c r="D99" i="37"/>
  <c r="E95" i="33"/>
  <c r="J95" i="33"/>
  <c r="F88" i="35"/>
  <c r="D89" i="35"/>
  <c r="H98" i="37"/>
  <c r="F106" i="25"/>
  <c r="D107" i="25"/>
  <c r="E99" i="37"/>
  <c r="E100" i="28"/>
  <c r="V33" i="32"/>
  <c r="V50" i="32"/>
  <c r="V51" i="32"/>
  <c r="F82" i="46"/>
  <c r="D83" i="46"/>
  <c r="E83" i="46"/>
  <c r="J83" i="46"/>
  <c r="H82" i="46"/>
  <c r="H106" i="25"/>
  <c r="H99" i="37"/>
  <c r="F99" i="37"/>
  <c r="D100" i="37"/>
  <c r="E89" i="35"/>
  <c r="F95" i="33"/>
  <c r="D96" i="33"/>
  <c r="F100" i="28"/>
  <c r="D101" i="28"/>
  <c r="E107" i="25"/>
  <c r="J107" i="25"/>
  <c r="H88" i="35"/>
  <c r="E101" i="28"/>
  <c r="H107" i="25"/>
  <c r="F107" i="25"/>
  <c r="D108" i="25"/>
  <c r="H95" i="33"/>
  <c r="E100" i="37"/>
  <c r="H100" i="28"/>
  <c r="F89" i="35"/>
  <c r="D90" i="35"/>
  <c r="E96" i="33"/>
  <c r="F83" i="46"/>
  <c r="D84" i="46"/>
  <c r="F96" i="33"/>
  <c r="D97" i="33"/>
  <c r="E108" i="25"/>
  <c r="E84" i="46"/>
  <c r="H100" i="37"/>
  <c r="F100" i="37"/>
  <c r="D101" i="37"/>
  <c r="F101" i="28"/>
  <c r="D102" i="28"/>
  <c r="E90" i="35"/>
  <c r="H83" i="46"/>
  <c r="H89" i="35"/>
  <c r="F90" i="35"/>
  <c r="D91" i="35"/>
  <c r="E101" i="37"/>
  <c r="F108" i="25"/>
  <c r="D109" i="25"/>
  <c r="H101" i="28"/>
  <c r="E97" i="33"/>
  <c r="E102" i="28"/>
  <c r="F84" i="46"/>
  <c r="D85" i="46"/>
  <c r="H96" i="33"/>
  <c r="H84" i="46"/>
  <c r="F101" i="37"/>
  <c r="D102" i="37"/>
  <c r="H102" i="28"/>
  <c r="F102" i="28"/>
  <c r="D103" i="28"/>
  <c r="E109" i="25"/>
  <c r="E91" i="35"/>
  <c r="E85" i="46"/>
  <c r="F97" i="33"/>
  <c r="D98" i="33"/>
  <c r="H108" i="25"/>
  <c r="H90" i="35"/>
  <c r="F109" i="25"/>
  <c r="D110" i="25"/>
  <c r="H97" i="33"/>
  <c r="H91" i="35"/>
  <c r="F91" i="35"/>
  <c r="D92" i="35"/>
  <c r="E102" i="37"/>
  <c r="F85" i="46"/>
  <c r="D86" i="46"/>
  <c r="H101" i="37"/>
  <c r="E98" i="33"/>
  <c r="E103" i="28"/>
  <c r="F98" i="33"/>
  <c r="D99" i="33"/>
  <c r="H103" i="28"/>
  <c r="F103" i="28"/>
  <c r="D104" i="28"/>
  <c r="H85" i="46"/>
  <c r="F102" i="37"/>
  <c r="D103" i="37"/>
  <c r="E110" i="25"/>
  <c r="E86" i="46"/>
  <c r="E92" i="35"/>
  <c r="H109" i="25"/>
  <c r="E103" i="37"/>
  <c r="E104" i="28"/>
  <c r="F86" i="46"/>
  <c r="D87" i="46"/>
  <c r="H102" i="37"/>
  <c r="E99" i="33"/>
  <c r="F92" i="35"/>
  <c r="D93" i="35"/>
  <c r="H110" i="25"/>
  <c r="F110" i="25"/>
  <c r="D111" i="25"/>
  <c r="H98" i="33"/>
  <c r="F99" i="33"/>
  <c r="D100" i="33"/>
  <c r="H104" i="28"/>
  <c r="F104" i="28"/>
  <c r="D105" i="28"/>
  <c r="H92" i="35"/>
  <c r="E87" i="46"/>
  <c r="H103" i="37"/>
  <c r="F103" i="37"/>
  <c r="D104" i="37"/>
  <c r="E93" i="35"/>
  <c r="E111" i="25"/>
  <c r="H86" i="46"/>
  <c r="F93" i="35"/>
  <c r="D94" i="35"/>
  <c r="H111" i="25"/>
  <c r="F111" i="25"/>
  <c r="D112" i="25"/>
  <c r="E105" i="28"/>
  <c r="H87" i="46"/>
  <c r="F87" i="46"/>
  <c r="D88" i="46"/>
  <c r="E100" i="33"/>
  <c r="E104" i="37"/>
  <c r="H99" i="33"/>
  <c r="E88" i="46"/>
  <c r="E112" i="25"/>
  <c r="F104" i="37"/>
  <c r="D105" i="37"/>
  <c r="E94" i="35"/>
  <c r="F100" i="33"/>
  <c r="D101" i="33"/>
  <c r="H105" i="28"/>
  <c r="F105" i="28"/>
  <c r="D106" i="28"/>
  <c r="H93" i="35"/>
  <c r="E106" i="28"/>
  <c r="H94" i="35"/>
  <c r="F94" i="35"/>
  <c r="D95" i="35"/>
  <c r="E101" i="33"/>
  <c r="E105" i="37"/>
  <c r="F112" i="25"/>
  <c r="D113" i="25"/>
  <c r="H100" i="33"/>
  <c r="H104" i="37"/>
  <c r="F88" i="46"/>
  <c r="D89" i="46"/>
  <c r="F105" i="37"/>
  <c r="D106" i="37"/>
  <c r="E95" i="35"/>
  <c r="J95" i="35"/>
  <c r="E89" i="46"/>
  <c r="F101" i="33"/>
  <c r="D102" i="33"/>
  <c r="H106" i="28"/>
  <c r="F106" i="28"/>
  <c r="D107" i="28"/>
  <c r="E113" i="25"/>
  <c r="H88" i="46"/>
  <c r="H112" i="25"/>
  <c r="E107" i="28"/>
  <c r="J107" i="28"/>
  <c r="F89" i="46"/>
  <c r="D90" i="46"/>
  <c r="E102" i="33"/>
  <c r="E106" i="37"/>
  <c r="H95" i="35"/>
  <c r="F95" i="35"/>
  <c r="D96" i="35"/>
  <c r="F113" i="25"/>
  <c r="D114" i="25"/>
  <c r="H101" i="33"/>
  <c r="H105" i="37"/>
  <c r="E96" i="35"/>
  <c r="H102" i="33"/>
  <c r="F102" i="33"/>
  <c r="D103" i="33"/>
  <c r="E90" i="46"/>
  <c r="H107" i="28"/>
  <c r="F107" i="28"/>
  <c r="D108" i="28"/>
  <c r="E114" i="25"/>
  <c r="H113" i="25"/>
  <c r="F106" i="37"/>
  <c r="D107" i="37"/>
  <c r="H89" i="46"/>
  <c r="H106" i="37"/>
  <c r="E108" i="28"/>
  <c r="E103" i="33"/>
  <c r="E107" i="37"/>
  <c r="L53" i="20"/>
  <c r="L51" i="20"/>
  <c r="L62" i="20"/>
  <c r="J38" i="21"/>
  <c r="K37" i="21"/>
  <c r="J107" i="37"/>
  <c r="J33" i="21"/>
  <c r="H114" i="25"/>
  <c r="F114" i="25"/>
  <c r="D115" i="25"/>
  <c r="F90" i="46"/>
  <c r="D91" i="46"/>
  <c r="H96" i="35"/>
  <c r="F96" i="35"/>
  <c r="D97" i="35"/>
  <c r="E97" i="35"/>
  <c r="E115" i="25"/>
  <c r="F107" i="37"/>
  <c r="D108" i="37"/>
  <c r="I51" i="19"/>
  <c r="I55" i="19"/>
  <c r="F108" i="28"/>
  <c r="D109" i="28"/>
  <c r="E91" i="46"/>
  <c r="H90" i="46"/>
  <c r="F103" i="33"/>
  <c r="D104" i="33"/>
  <c r="I57" i="19"/>
  <c r="E104" i="33"/>
  <c r="H108" i="28"/>
  <c r="F115" i="25"/>
  <c r="D116" i="25"/>
  <c r="F91" i="46"/>
  <c r="D92" i="46"/>
  <c r="E108" i="37"/>
  <c r="H103" i="33"/>
  <c r="E109" i="28"/>
  <c r="H107" i="37"/>
  <c r="F97" i="35"/>
  <c r="D98" i="35"/>
  <c r="E98" i="35"/>
  <c r="H97" i="35"/>
  <c r="H91" i="46"/>
  <c r="E116" i="25"/>
  <c r="H104" i="33"/>
  <c r="F104" i="33"/>
  <c r="D105" i="33"/>
  <c r="F108" i="37"/>
  <c r="D109" i="37"/>
  <c r="H115" i="25"/>
  <c r="F109" i="28"/>
  <c r="D110" i="28"/>
  <c r="E92" i="46"/>
  <c r="I61" i="19"/>
  <c r="I62" i="19"/>
  <c r="J8" i="21"/>
  <c r="J10" i="21"/>
  <c r="J20" i="21"/>
  <c r="J35" i="21"/>
  <c r="E105" i="33"/>
  <c r="H92" i="46"/>
  <c r="F92" i="46"/>
  <c r="D93" i="46"/>
  <c r="E110" i="28"/>
  <c r="H108" i="37"/>
  <c r="H98" i="35"/>
  <c r="F98" i="35"/>
  <c r="D99" i="35"/>
  <c r="E109" i="37"/>
  <c r="I64" i="19"/>
  <c r="L42" i="20"/>
  <c r="H109" i="28"/>
  <c r="F116" i="25"/>
  <c r="D117" i="25"/>
  <c r="E117" i="25"/>
  <c r="L37" i="20"/>
  <c r="M40" i="20"/>
  <c r="E93" i="46"/>
  <c r="H109" i="37"/>
  <c r="F109" i="37"/>
  <c r="D110" i="37"/>
  <c r="F110" i="28"/>
  <c r="D111" i="28"/>
  <c r="F105" i="33"/>
  <c r="D106" i="33"/>
  <c r="H116" i="25"/>
  <c r="E99" i="35"/>
  <c r="E111" i="28"/>
  <c r="H99" i="35"/>
  <c r="F99" i="35"/>
  <c r="D100" i="35"/>
  <c r="H105" i="33"/>
  <c r="E110" i="37"/>
  <c r="W14" i="32"/>
  <c r="L61" i="20"/>
  <c r="L64" i="20"/>
  <c r="L66" i="20"/>
  <c r="H110" i="28"/>
  <c r="E106" i="33"/>
  <c r="H93" i="46"/>
  <c r="F93" i="46"/>
  <c r="D94" i="46"/>
  <c r="F117" i="25"/>
  <c r="D118" i="25"/>
  <c r="E94" i="46"/>
  <c r="E100" i="35"/>
  <c r="F106" i="33"/>
  <c r="D107" i="33"/>
  <c r="W15" i="32"/>
  <c r="W32" i="32"/>
  <c r="F110" i="37"/>
  <c r="D111" i="37"/>
  <c r="E118" i="25"/>
  <c r="H117" i="25"/>
  <c r="H111" i="28"/>
  <c r="F111" i="28"/>
  <c r="D112" i="28"/>
  <c r="E112" i="28"/>
  <c r="H118" i="25"/>
  <c r="F118" i="25"/>
  <c r="D119" i="25"/>
  <c r="W50" i="32"/>
  <c r="W51" i="32"/>
  <c r="W33" i="32"/>
  <c r="H100" i="35"/>
  <c r="F100" i="35"/>
  <c r="D101" i="35"/>
  <c r="E107" i="33"/>
  <c r="J107" i="33"/>
  <c r="H94" i="46"/>
  <c r="F94" i="46"/>
  <c r="D95" i="46"/>
  <c r="E111" i="37"/>
  <c r="H110" i="37"/>
  <c r="H106" i="33"/>
  <c r="E101" i="35"/>
  <c r="J131" i="25"/>
  <c r="E119" i="25"/>
  <c r="J119" i="25"/>
  <c r="E95" i="46"/>
  <c r="J95" i="46"/>
  <c r="H111" i="37"/>
  <c r="F111" i="37"/>
  <c r="D112" i="37"/>
  <c r="F107" i="33"/>
  <c r="D108" i="33"/>
  <c r="F112" i="28"/>
  <c r="D113" i="28"/>
  <c r="E108" i="33"/>
  <c r="H112" i="28"/>
  <c r="E112" i="37"/>
  <c r="H95" i="46"/>
  <c r="F95" i="46"/>
  <c r="D96" i="46"/>
  <c r="H107" i="33"/>
  <c r="E113" i="28"/>
  <c r="H119" i="25"/>
  <c r="F119" i="25"/>
  <c r="D120" i="25"/>
  <c r="F101" i="35"/>
  <c r="D102" i="35"/>
  <c r="E102" i="35"/>
  <c r="E96" i="46"/>
  <c r="F112" i="37"/>
  <c r="D113" i="37"/>
  <c r="F113" i="28"/>
  <c r="D114" i="28"/>
  <c r="H101" i="35"/>
  <c r="H108" i="33"/>
  <c r="F108" i="33"/>
  <c r="D109" i="33"/>
  <c r="E120" i="25"/>
  <c r="F120" i="25"/>
  <c r="D121" i="25"/>
  <c r="E109" i="33"/>
  <c r="H113" i="28"/>
  <c r="E113" i="37"/>
  <c r="F96" i="46"/>
  <c r="D97" i="46"/>
  <c r="E114" i="28"/>
  <c r="H112" i="37"/>
  <c r="F102" i="35"/>
  <c r="D103" i="35"/>
  <c r="F114" i="28"/>
  <c r="D115" i="28"/>
  <c r="H113" i="37"/>
  <c r="F113" i="37"/>
  <c r="D114" i="37"/>
  <c r="F109" i="33"/>
  <c r="D110" i="33"/>
  <c r="E103" i="35"/>
  <c r="E97" i="46"/>
  <c r="E121" i="25"/>
  <c r="H102" i="35"/>
  <c r="H96" i="46"/>
  <c r="H120" i="25"/>
  <c r="F121" i="25"/>
  <c r="D122" i="25"/>
  <c r="E114" i="37"/>
  <c r="E110" i="33"/>
  <c r="E115" i="28"/>
  <c r="F103" i="35"/>
  <c r="D104" i="35"/>
  <c r="H97" i="46"/>
  <c r="F97" i="46"/>
  <c r="D98" i="46"/>
  <c r="H109" i="33"/>
  <c r="H114" i="28"/>
  <c r="H103" i="35"/>
  <c r="F115" i="28"/>
  <c r="D116" i="28"/>
  <c r="H114" i="37"/>
  <c r="F114" i="37"/>
  <c r="D115" i="37"/>
  <c r="F110" i="33"/>
  <c r="D111" i="33"/>
  <c r="E122" i="25"/>
  <c r="E104" i="35"/>
  <c r="E98" i="46"/>
  <c r="H121" i="25"/>
  <c r="F98" i="46"/>
  <c r="D99" i="46"/>
  <c r="E116" i="28"/>
  <c r="F104" i="35"/>
  <c r="D105" i="35"/>
  <c r="H110" i="33"/>
  <c r="H115" i="28"/>
  <c r="E111" i="33"/>
  <c r="H122" i="25"/>
  <c r="F122" i="25"/>
  <c r="D123" i="25"/>
  <c r="E115" i="37"/>
  <c r="F116" i="28"/>
  <c r="D117" i="28"/>
  <c r="E123" i="25"/>
  <c r="F115" i="37"/>
  <c r="D116" i="37"/>
  <c r="E105" i="35"/>
  <c r="E99" i="46"/>
  <c r="F111" i="33"/>
  <c r="D112" i="33"/>
  <c r="H104" i="35"/>
  <c r="H98" i="46"/>
  <c r="E112" i="33"/>
  <c r="H105" i="35"/>
  <c r="F105" i="35"/>
  <c r="D106" i="35"/>
  <c r="E117" i="28"/>
  <c r="H111" i="33"/>
  <c r="H123" i="25"/>
  <c r="F123" i="25"/>
  <c r="D124" i="25"/>
  <c r="E116" i="37"/>
  <c r="F99" i="46"/>
  <c r="D100" i="46"/>
  <c r="H115" i="37"/>
  <c r="H116" i="28"/>
  <c r="E106" i="35"/>
  <c r="H116" i="37"/>
  <c r="F116" i="37"/>
  <c r="D117" i="37"/>
  <c r="F117" i="28"/>
  <c r="D118" i="28"/>
  <c r="H112" i="33"/>
  <c r="F112" i="33"/>
  <c r="D113" i="33"/>
  <c r="E100" i="46"/>
  <c r="H99" i="46"/>
  <c r="E124" i="25"/>
  <c r="F124" i="25"/>
  <c r="D125" i="25"/>
  <c r="E113" i="33"/>
  <c r="E117" i="37"/>
  <c r="E118" i="28"/>
  <c r="F106" i="35"/>
  <c r="D107" i="35"/>
  <c r="H100" i="46"/>
  <c r="F100" i="46"/>
  <c r="D101" i="46"/>
  <c r="H117" i="28"/>
  <c r="F118" i="28"/>
  <c r="D119" i="28"/>
  <c r="H113" i="33"/>
  <c r="F113" i="33"/>
  <c r="D114" i="33"/>
  <c r="E107" i="35"/>
  <c r="J107" i="35"/>
  <c r="H106" i="35"/>
  <c r="F117" i="37"/>
  <c r="D118" i="37"/>
  <c r="E125" i="25"/>
  <c r="E101" i="46"/>
  <c r="H124" i="25"/>
  <c r="F101" i="46"/>
  <c r="D102" i="46"/>
  <c r="E114" i="33"/>
  <c r="E118" i="37"/>
  <c r="H117" i="37"/>
  <c r="E119" i="28"/>
  <c r="J131" i="28"/>
  <c r="J119" i="28"/>
  <c r="M33" i="21"/>
  <c r="F125" i="25"/>
  <c r="D126" i="25"/>
  <c r="F107" i="35"/>
  <c r="D108" i="35"/>
  <c r="H118" i="28"/>
  <c r="F114" i="33"/>
  <c r="D115" i="33"/>
  <c r="H107" i="35"/>
  <c r="H125" i="25"/>
  <c r="E102" i="46"/>
  <c r="E108" i="35"/>
  <c r="E126" i="25"/>
  <c r="F119" i="28"/>
  <c r="D120" i="28"/>
  <c r="F118" i="37"/>
  <c r="D119" i="37"/>
  <c r="H101" i="46"/>
  <c r="F126" i="25"/>
  <c r="D127" i="25"/>
  <c r="H118" i="37"/>
  <c r="H119" i="28"/>
  <c r="F102" i="46"/>
  <c r="D103" i="46"/>
  <c r="E115" i="33"/>
  <c r="E119" i="37"/>
  <c r="J131" i="37"/>
  <c r="L33" i="21"/>
  <c r="M53" i="20"/>
  <c r="M51" i="20"/>
  <c r="M62" i="20"/>
  <c r="K38" i="21"/>
  <c r="L37" i="21"/>
  <c r="J119" i="37"/>
  <c r="K33" i="21"/>
  <c r="E120" i="28"/>
  <c r="F108" i="35"/>
  <c r="D109" i="35"/>
  <c r="H114" i="33"/>
  <c r="E109" i="35"/>
  <c r="H108" i="35"/>
  <c r="F115" i="33"/>
  <c r="D116" i="33"/>
  <c r="E103" i="46"/>
  <c r="E127" i="25"/>
  <c r="F120" i="28"/>
  <c r="D121" i="28"/>
  <c r="F119" i="37"/>
  <c r="D120" i="37"/>
  <c r="J51" i="19"/>
  <c r="J55" i="19"/>
  <c r="H102" i="46"/>
  <c r="H126" i="25"/>
  <c r="F103" i="46"/>
  <c r="D104" i="46"/>
  <c r="E121" i="28"/>
  <c r="F127" i="25"/>
  <c r="D128" i="25"/>
  <c r="H115" i="33"/>
  <c r="E120" i="37"/>
  <c r="H120" i="28"/>
  <c r="H109" i="35"/>
  <c r="F109" i="35"/>
  <c r="D110" i="35"/>
  <c r="J57" i="19"/>
  <c r="H119" i="37"/>
  <c r="E116" i="33"/>
  <c r="E110" i="35"/>
  <c r="H121" i="28"/>
  <c r="F121" i="28"/>
  <c r="D122" i="28"/>
  <c r="E128" i="25"/>
  <c r="E104" i="46"/>
  <c r="F116" i="33"/>
  <c r="D117" i="33"/>
  <c r="J61" i="19"/>
  <c r="J62" i="19"/>
  <c r="K8" i="21"/>
  <c r="K10" i="21"/>
  <c r="K20" i="21"/>
  <c r="K35" i="21"/>
  <c r="H120" i="37"/>
  <c r="F120" i="37"/>
  <c r="D121" i="37"/>
  <c r="H127" i="25"/>
  <c r="H103" i="46"/>
  <c r="E121" i="37"/>
  <c r="J64" i="19"/>
  <c r="M42" i="20"/>
  <c r="E122" i="28"/>
  <c r="E117" i="33"/>
  <c r="H116" i="33"/>
  <c r="F128" i="25"/>
  <c r="D129" i="25"/>
  <c r="H104" i="46"/>
  <c r="F104" i="46"/>
  <c r="D105" i="46"/>
  <c r="F110" i="35"/>
  <c r="D111" i="35"/>
  <c r="E105" i="46"/>
  <c r="H122" i="28"/>
  <c r="F122" i="28"/>
  <c r="D123" i="28"/>
  <c r="M37" i="20"/>
  <c r="N40" i="20"/>
  <c r="E129" i="25"/>
  <c r="F117" i="33"/>
  <c r="D118" i="33"/>
  <c r="E111" i="35"/>
  <c r="H110" i="35"/>
  <c r="H128" i="25"/>
  <c r="F121" i="37"/>
  <c r="D122" i="37"/>
  <c r="E118" i="33"/>
  <c r="H121" i="37"/>
  <c r="F129" i="25"/>
  <c r="D130" i="25"/>
  <c r="E123" i="28"/>
  <c r="H117" i="33"/>
  <c r="M61" i="20"/>
  <c r="M64" i="20"/>
  <c r="M66" i="20"/>
  <c r="X14" i="32"/>
  <c r="E122" i="37"/>
  <c r="H111" i="35"/>
  <c r="F111" i="35"/>
  <c r="D112" i="35"/>
  <c r="F105" i="46"/>
  <c r="D106" i="46"/>
  <c r="E112" i="35"/>
  <c r="X32" i="32"/>
  <c r="X15" i="32"/>
  <c r="F123" i="28"/>
  <c r="D124" i="28"/>
  <c r="E106" i="46"/>
  <c r="H129" i="25"/>
  <c r="H118" i="33"/>
  <c r="F118" i="33"/>
  <c r="D119" i="33"/>
  <c r="E130" i="25"/>
  <c r="H122" i="37"/>
  <c r="F122" i="37"/>
  <c r="D123" i="37"/>
  <c r="H105" i="46"/>
  <c r="X33" i="32"/>
  <c r="X50" i="32"/>
  <c r="X51" i="32"/>
  <c r="E123" i="37"/>
  <c r="J131" i="33"/>
  <c r="E119" i="33"/>
  <c r="J119" i="33"/>
  <c r="N33" i="21"/>
  <c r="E124" i="28"/>
  <c r="H130" i="25"/>
  <c r="F130" i="25"/>
  <c r="D131" i="25"/>
  <c r="F106" i="46"/>
  <c r="D107" i="46"/>
  <c r="H123" i="28"/>
  <c r="H112" i="35"/>
  <c r="F112" i="35"/>
  <c r="D113" i="35"/>
  <c r="E131" i="25"/>
  <c r="O53" i="20"/>
  <c r="O51" i="20"/>
  <c r="O62" i="20"/>
  <c r="M38" i="21"/>
  <c r="N37" i="21"/>
  <c r="F131" i="25"/>
  <c r="F373" i="25"/>
  <c r="H8" i="25"/>
  <c r="L8" i="25"/>
  <c r="F119" i="33"/>
  <c r="D120" i="33"/>
  <c r="E107" i="46"/>
  <c r="J107" i="46"/>
  <c r="F124" i="28"/>
  <c r="D125" i="28"/>
  <c r="F123" i="37"/>
  <c r="D124" i="37"/>
  <c r="E113" i="35"/>
  <c r="H106" i="46"/>
  <c r="E125" i="28"/>
  <c r="H124" i="28"/>
  <c r="H119" i="33"/>
  <c r="E124" i="37"/>
  <c r="H107" i="46"/>
  <c r="F107" i="46"/>
  <c r="D108" i="46"/>
  <c r="F113" i="35"/>
  <c r="D114" i="35"/>
  <c r="H123" i="37"/>
  <c r="E120" i="33"/>
  <c r="H131" i="25"/>
  <c r="H373" i="25"/>
  <c r="E133" i="25"/>
  <c r="L51" i="19"/>
  <c r="L55" i="19"/>
  <c r="L57" i="19"/>
  <c r="H120" i="33"/>
  <c r="F120" i="33"/>
  <c r="D121" i="33"/>
  <c r="E108" i="46"/>
  <c r="E7" i="25"/>
  <c r="E373" i="25"/>
  <c r="H6" i="25"/>
  <c r="H5" i="25"/>
  <c r="E114" i="35"/>
  <c r="F124" i="37"/>
  <c r="D125" i="37"/>
  <c r="H113" i="35"/>
  <c r="F125" i="28"/>
  <c r="D126" i="28"/>
  <c r="E126" i="28"/>
  <c r="E125" i="37"/>
  <c r="H125" i="28"/>
  <c r="H124" i="37"/>
  <c r="H114" i="35"/>
  <c r="F114" i="35"/>
  <c r="D115" i="35"/>
  <c r="F108" i="46"/>
  <c r="D109" i="46"/>
  <c r="L61" i="19"/>
  <c r="E121" i="33"/>
  <c r="E115" i="35"/>
  <c r="H125" i="37"/>
  <c r="F125" i="37"/>
  <c r="D126" i="37"/>
  <c r="E109" i="46"/>
  <c r="F121" i="33"/>
  <c r="D122" i="33"/>
  <c r="H108" i="46"/>
  <c r="F126" i="28"/>
  <c r="D127" i="28"/>
  <c r="E127" i="28"/>
  <c r="H126" i="28"/>
  <c r="H121" i="33"/>
  <c r="F109" i="46"/>
  <c r="D110" i="46"/>
  <c r="H115" i="35"/>
  <c r="F115" i="35"/>
  <c r="D116" i="35"/>
  <c r="E122" i="33"/>
  <c r="E126" i="37"/>
  <c r="E116" i="35"/>
  <c r="H126" i="37"/>
  <c r="F126" i="37"/>
  <c r="D127" i="37"/>
  <c r="E110" i="46"/>
  <c r="F122" i="33"/>
  <c r="D123" i="33"/>
  <c r="H109" i="46"/>
  <c r="F127" i="28"/>
  <c r="D128" i="28"/>
  <c r="E123" i="33"/>
  <c r="E127" i="37"/>
  <c r="E128" i="28"/>
  <c r="H122" i="33"/>
  <c r="H127" i="28"/>
  <c r="F110" i="46"/>
  <c r="D111" i="46"/>
  <c r="H116" i="35"/>
  <c r="F116" i="35"/>
  <c r="D117" i="35"/>
  <c r="E117" i="35"/>
  <c r="H127" i="37"/>
  <c r="F127" i="37"/>
  <c r="D128" i="37"/>
  <c r="E111" i="46"/>
  <c r="H110" i="46"/>
  <c r="F128" i="28"/>
  <c r="D129" i="28"/>
  <c r="F123" i="33"/>
  <c r="D124" i="33"/>
  <c r="H128" i="28"/>
  <c r="E128" i="37"/>
  <c r="E124" i="33"/>
  <c r="H123" i="33"/>
  <c r="H111" i="46"/>
  <c r="F111" i="46"/>
  <c r="D112" i="46"/>
  <c r="E129" i="28"/>
  <c r="H117" i="35"/>
  <c r="F117" i="35"/>
  <c r="D118" i="35"/>
  <c r="E118" i="35"/>
  <c r="E112" i="46"/>
  <c r="F128" i="37"/>
  <c r="D129" i="37"/>
  <c r="H129" i="28"/>
  <c r="F129" i="28"/>
  <c r="D130" i="28"/>
  <c r="F124" i="33"/>
  <c r="D125" i="33"/>
  <c r="E130" i="28"/>
  <c r="H112" i="46"/>
  <c r="F112" i="46"/>
  <c r="D113" i="46"/>
  <c r="E129" i="37"/>
  <c r="E125" i="33"/>
  <c r="H124" i="33"/>
  <c r="H128" i="37"/>
  <c r="F118" i="35"/>
  <c r="D119" i="35"/>
  <c r="F125" i="33"/>
  <c r="D126" i="33"/>
  <c r="E113" i="46"/>
  <c r="J131" i="35"/>
  <c r="E119" i="35"/>
  <c r="J119" i="35"/>
  <c r="O33" i="21"/>
  <c r="H118" i="35"/>
  <c r="F129" i="37"/>
  <c r="D130" i="37"/>
  <c r="H130" i="28"/>
  <c r="F130" i="28"/>
  <c r="D131" i="28"/>
  <c r="F113" i="46"/>
  <c r="D114" i="46"/>
  <c r="H129" i="37"/>
  <c r="H119" i="35"/>
  <c r="F119" i="35"/>
  <c r="D120" i="35"/>
  <c r="E126" i="33"/>
  <c r="E130" i="37"/>
  <c r="F131" i="28"/>
  <c r="F373" i="28"/>
  <c r="H8" i="28"/>
  <c r="L8" i="28"/>
  <c r="P53" i="20"/>
  <c r="P51" i="20"/>
  <c r="P62" i="20"/>
  <c r="N38" i="21"/>
  <c r="O37" i="21"/>
  <c r="E131" i="28"/>
  <c r="H125" i="33"/>
  <c r="H131" i="28"/>
  <c r="H373" i="28"/>
  <c r="E133" i="28"/>
  <c r="E373" i="28"/>
  <c r="H6" i="28"/>
  <c r="H5" i="28"/>
  <c r="M51" i="19"/>
  <c r="M55" i="19"/>
  <c r="F130" i="37"/>
  <c r="D131" i="37"/>
  <c r="E114" i="46"/>
  <c r="F126" i="33"/>
  <c r="D127" i="33"/>
  <c r="E120" i="35"/>
  <c r="H113" i="46"/>
  <c r="M57" i="19"/>
  <c r="H120" i="35"/>
  <c r="F120" i="35"/>
  <c r="D121" i="35"/>
  <c r="F114" i="46"/>
  <c r="D115" i="46"/>
  <c r="E127" i="33"/>
  <c r="N53" i="20"/>
  <c r="N51" i="20"/>
  <c r="N62" i="20"/>
  <c r="L38" i="21"/>
  <c r="M37" i="21"/>
  <c r="F131" i="37"/>
  <c r="F373" i="37"/>
  <c r="H8" i="37"/>
  <c r="L8" i="37"/>
  <c r="E131" i="37"/>
  <c r="H126" i="33"/>
  <c r="H130" i="37"/>
  <c r="H131" i="37"/>
  <c r="H373" i="37"/>
  <c r="E133" i="37"/>
  <c r="E373" i="37"/>
  <c r="H6" i="37"/>
  <c r="H5" i="37"/>
  <c r="K51" i="19"/>
  <c r="K55" i="19"/>
  <c r="H114" i="46"/>
  <c r="E115" i="46"/>
  <c r="H127" i="33"/>
  <c r="F127" i="33"/>
  <c r="D128" i="33"/>
  <c r="E121" i="35"/>
  <c r="M61" i="19"/>
  <c r="K57" i="19"/>
  <c r="H121" i="35"/>
  <c r="F121" i="35"/>
  <c r="D122" i="35"/>
  <c r="F115" i="46"/>
  <c r="D116" i="46"/>
  <c r="E128" i="33"/>
  <c r="E116" i="46"/>
  <c r="E122" i="35"/>
  <c r="H115" i="46"/>
  <c r="K61" i="19"/>
  <c r="K62" i="19"/>
  <c r="K64" i="19"/>
  <c r="N42" i="20"/>
  <c r="F128" i="33"/>
  <c r="D129" i="33"/>
  <c r="F122" i="35"/>
  <c r="D123" i="35"/>
  <c r="H128" i="33"/>
  <c r="O40" i="20"/>
  <c r="N37" i="20"/>
  <c r="L62" i="19"/>
  <c r="L8" i="21"/>
  <c r="L10" i="21"/>
  <c r="L20" i="21"/>
  <c r="L35" i="21"/>
  <c r="E129" i="33"/>
  <c r="F116" i="46"/>
  <c r="D117" i="46"/>
  <c r="E117" i="46"/>
  <c r="H116" i="46"/>
  <c r="M8" i="21"/>
  <c r="M10" i="21"/>
  <c r="M20" i="21"/>
  <c r="M35" i="21"/>
  <c r="L64" i="19"/>
  <c r="O42" i="20"/>
  <c r="M62" i="19"/>
  <c r="N61" i="20"/>
  <c r="N64" i="20"/>
  <c r="N66" i="20"/>
  <c r="Y14" i="32"/>
  <c r="E123" i="35"/>
  <c r="H129" i="33"/>
  <c r="F129" i="33"/>
  <c r="D130" i="33"/>
  <c r="P40" i="20"/>
  <c r="O37" i="20"/>
  <c r="O61" i="20"/>
  <c r="O64" i="20"/>
  <c r="O66" i="20"/>
  <c r="H122" i="35"/>
  <c r="E130" i="33"/>
  <c r="Y15" i="32"/>
  <c r="Y32" i="32"/>
  <c r="N8" i="21"/>
  <c r="N10" i="21"/>
  <c r="N20" i="21"/>
  <c r="N35" i="21"/>
  <c r="M64" i="19"/>
  <c r="P42" i="20"/>
  <c r="H117" i="46"/>
  <c r="F117" i="46"/>
  <c r="D118" i="46"/>
  <c r="Q40" i="20"/>
  <c r="P37" i="20"/>
  <c r="P61" i="20"/>
  <c r="P64" i="20"/>
  <c r="P66" i="20"/>
  <c r="H123" i="35"/>
  <c r="F123" i="35"/>
  <c r="D124" i="35"/>
  <c r="E124" i="35"/>
  <c r="E118" i="46"/>
  <c r="Y33" i="32"/>
  <c r="Y50" i="32"/>
  <c r="Y51" i="32"/>
  <c r="F130" i="33"/>
  <c r="D131" i="33"/>
  <c r="F118" i="46"/>
  <c r="D119" i="46"/>
  <c r="F131" i="33"/>
  <c r="F373" i="33"/>
  <c r="H8" i="33"/>
  <c r="L8" i="33"/>
  <c r="E131" i="33"/>
  <c r="Q53" i="20"/>
  <c r="Q51" i="20"/>
  <c r="Q62" i="20"/>
  <c r="O38" i="21"/>
  <c r="P37" i="21"/>
  <c r="H130" i="33"/>
  <c r="H124" i="35"/>
  <c r="F124" i="35"/>
  <c r="D125" i="35"/>
  <c r="E125" i="35"/>
  <c r="H131" i="33"/>
  <c r="H373" i="33"/>
  <c r="E133" i="33"/>
  <c r="E137" i="33"/>
  <c r="E373" i="33"/>
  <c r="H6" i="33"/>
  <c r="H5" i="33"/>
  <c r="N51" i="19"/>
  <c r="N55" i="19"/>
  <c r="J131" i="46"/>
  <c r="Q33" i="21"/>
  <c r="E119" i="46"/>
  <c r="J119" i="46"/>
  <c r="P33" i="21"/>
  <c r="H118" i="46"/>
  <c r="F119" i="46"/>
  <c r="D120" i="46"/>
  <c r="N57" i="19"/>
  <c r="F125" i="35"/>
  <c r="D126" i="35"/>
  <c r="N61" i="19"/>
  <c r="N62" i="19"/>
  <c r="O8" i="21"/>
  <c r="O10" i="21"/>
  <c r="O20" i="21"/>
  <c r="O35" i="21"/>
  <c r="E120" i="46"/>
  <c r="E126" i="35"/>
  <c r="H125" i="35"/>
  <c r="H119" i="46"/>
  <c r="F120" i="46"/>
  <c r="D121" i="46"/>
  <c r="F126" i="35"/>
  <c r="D127" i="35"/>
  <c r="N64" i="19"/>
  <c r="Q42" i="20"/>
  <c r="E121" i="46"/>
  <c r="H126" i="35"/>
  <c r="R40" i="20"/>
  <c r="Q37" i="20"/>
  <c r="Q61" i="20"/>
  <c r="Q64" i="20"/>
  <c r="Q66" i="20"/>
  <c r="H120" i="46"/>
  <c r="E127" i="35"/>
  <c r="F127" i="35"/>
  <c r="D128" i="35"/>
  <c r="F121" i="46"/>
  <c r="D122" i="46"/>
  <c r="E128" i="35"/>
  <c r="H127" i="35"/>
  <c r="E122" i="46"/>
  <c r="H121" i="46"/>
  <c r="F122" i="46"/>
  <c r="D123" i="46"/>
  <c r="F128" i="35"/>
  <c r="D129" i="35"/>
  <c r="H128" i="35"/>
  <c r="E123" i="46"/>
  <c r="E129" i="35"/>
  <c r="H122" i="46"/>
  <c r="F129" i="35"/>
  <c r="D130" i="35"/>
  <c r="F123" i="46"/>
  <c r="D124" i="46"/>
  <c r="E124" i="46"/>
  <c r="E130" i="35"/>
  <c r="H123" i="46"/>
  <c r="H129" i="35"/>
  <c r="F130" i="35"/>
  <c r="D131" i="35"/>
  <c r="H124" i="46"/>
  <c r="F124" i="46"/>
  <c r="D125" i="46"/>
  <c r="E125" i="46"/>
  <c r="E131" i="35"/>
  <c r="F131" i="35"/>
  <c r="F373" i="35"/>
  <c r="H8" i="35"/>
  <c r="L8" i="35"/>
  <c r="R53" i="20"/>
  <c r="R51" i="20"/>
  <c r="R62" i="20"/>
  <c r="P38" i="21"/>
  <c r="Q37" i="21"/>
  <c r="H130" i="35"/>
  <c r="F125" i="46"/>
  <c r="D126" i="46"/>
  <c r="H131" i="35"/>
  <c r="H373" i="35"/>
  <c r="E133" i="35"/>
  <c r="E137" i="35"/>
  <c r="E373" i="35"/>
  <c r="H6" i="35"/>
  <c r="H5" i="35"/>
  <c r="O51" i="19"/>
  <c r="O55" i="19"/>
  <c r="E126" i="46"/>
  <c r="O57" i="19"/>
  <c r="H125" i="46"/>
  <c r="O61" i="19"/>
  <c r="O62" i="19"/>
  <c r="P8" i="21"/>
  <c r="P10" i="21"/>
  <c r="P20" i="21"/>
  <c r="P35" i="21"/>
  <c r="F126" i="46"/>
  <c r="D127" i="46"/>
  <c r="E127" i="46"/>
  <c r="H126" i="46"/>
  <c r="O64" i="19"/>
  <c r="R42" i="20"/>
  <c r="S40" i="20"/>
  <c r="R37" i="20"/>
  <c r="R61" i="20"/>
  <c r="R64" i="20"/>
  <c r="R66" i="20"/>
  <c r="F127" i="46"/>
  <c r="D128" i="46"/>
  <c r="E128" i="46"/>
  <c r="H127" i="46"/>
  <c r="F128" i="46"/>
  <c r="D129" i="46"/>
  <c r="E129" i="46"/>
  <c r="H128" i="46"/>
  <c r="F129" i="46"/>
  <c r="D130" i="46"/>
  <c r="E130" i="46"/>
  <c r="H129" i="46"/>
  <c r="F130" i="46"/>
  <c r="D131" i="46"/>
  <c r="E131" i="46"/>
  <c r="F131" i="46"/>
  <c r="F373" i="46"/>
  <c r="H8" i="46"/>
  <c r="L8" i="46"/>
  <c r="S53" i="20"/>
  <c r="S51" i="20"/>
  <c r="S62" i="20"/>
  <c r="Q38" i="21"/>
  <c r="R37" i="21"/>
  <c r="H130" i="46"/>
  <c r="H131" i="46"/>
  <c r="H373" i="46"/>
  <c r="E133" i="46"/>
  <c r="E137" i="46"/>
  <c r="E373" i="46"/>
  <c r="H6" i="46"/>
  <c r="H5" i="46"/>
  <c r="P51" i="19"/>
  <c r="P55" i="19"/>
  <c r="P57" i="19"/>
  <c r="P61" i="19"/>
  <c r="P62" i="19"/>
  <c r="P64" i="19"/>
  <c r="S42" i="20"/>
  <c r="S37" i="20"/>
  <c r="S61" i="20"/>
  <c r="S64" i="20"/>
  <c r="S66" i="20"/>
  <c r="T40" i="20"/>
  <c r="Q62" i="19"/>
  <c r="Q8" i="21"/>
  <c r="Q10" i="21"/>
  <c r="Q20" i="21"/>
  <c r="Q35" i="21"/>
  <c r="R62" i="19"/>
  <c r="R8" i="21"/>
  <c r="R10" i="21"/>
  <c r="R20" i="21"/>
  <c r="R35" i="21"/>
  <c r="Q64" i="19"/>
  <c r="T42" i="20"/>
  <c r="T37" i="20"/>
  <c r="T61" i="20"/>
  <c r="T64" i="20"/>
  <c r="T66" i="20"/>
  <c r="U40" i="20"/>
  <c r="R64" i="19"/>
  <c r="U42" i="20"/>
  <c r="S8" i="21"/>
  <c r="S10" i="21"/>
  <c r="S20" i="21"/>
  <c r="S35" i="21"/>
  <c r="S62" i="19"/>
  <c r="T62" i="19"/>
  <c r="T8" i="21"/>
  <c r="T10" i="21"/>
  <c r="T20" i="21"/>
  <c r="T35" i="21"/>
  <c r="S64" i="19"/>
  <c r="V42" i="20"/>
  <c r="V40" i="20"/>
  <c r="U37" i="20"/>
  <c r="U61" i="20"/>
  <c r="U64" i="20"/>
  <c r="U66" i="20"/>
  <c r="W40" i="20"/>
  <c r="V37" i="20"/>
  <c r="V61" i="20"/>
  <c r="V64" i="20"/>
  <c r="V66" i="20"/>
  <c r="T64" i="19"/>
  <c r="W42" i="20"/>
  <c r="U8" i="21"/>
  <c r="U10" i="21"/>
  <c r="U20" i="21"/>
  <c r="U35" i="21"/>
  <c r="U62" i="19"/>
  <c r="V62" i="19"/>
  <c r="V8" i="21"/>
  <c r="V10" i="21"/>
  <c r="V20" i="21"/>
  <c r="V35" i="21"/>
  <c r="U64" i="19"/>
  <c r="X42" i="20"/>
  <c r="X40" i="20"/>
  <c r="W37" i="20"/>
  <c r="W61" i="20"/>
  <c r="W64" i="20"/>
  <c r="W66" i="20"/>
  <c r="Y40" i="20"/>
  <c r="X37" i="20"/>
  <c r="X61" i="20"/>
  <c r="X64" i="20"/>
  <c r="X66" i="20"/>
  <c r="W62" i="19"/>
  <c r="V64" i="19"/>
  <c r="Y42" i="20"/>
  <c r="W8" i="21"/>
  <c r="W10" i="21"/>
  <c r="W20" i="21"/>
  <c r="W35" i="21"/>
  <c r="X62" i="19"/>
  <c r="X8" i="21"/>
  <c r="X10" i="21"/>
  <c r="X20" i="21"/>
  <c r="X35" i="21"/>
  <c r="W64" i="19"/>
  <c r="Z42" i="20"/>
  <c r="Z40" i="20"/>
  <c r="Y37" i="20"/>
  <c r="Y61" i="20"/>
  <c r="Y64" i="20"/>
  <c r="Y66" i="20"/>
  <c r="AA40" i="20"/>
  <c r="Z37" i="20"/>
  <c r="Z61" i="20"/>
  <c r="Z64" i="20"/>
  <c r="Z66" i="20"/>
  <c r="X64" i="19"/>
  <c r="AA42" i="20"/>
  <c r="Y8" i="21"/>
  <c r="Y10" i="21"/>
  <c r="Y20" i="21"/>
  <c r="Y35" i="21"/>
  <c r="AA37" i="20"/>
  <c r="AA61" i="20"/>
  <c r="AA64" i="20"/>
  <c r="AA66" i="20"/>
  <c r="C8" i="48" l="1"/>
  <c r="C117" i="46"/>
  <c r="C51" i="33"/>
  <c r="C24" i="33"/>
  <c r="C89" i="33"/>
  <c r="C62" i="33"/>
  <c r="C111" i="33"/>
  <c r="C98" i="33"/>
  <c r="C32" i="25"/>
  <c r="C70" i="33"/>
  <c r="C59" i="33"/>
  <c r="C66" i="33"/>
  <c r="C130" i="46"/>
  <c r="C65" i="33"/>
  <c r="C88" i="33"/>
  <c r="C60" i="33"/>
  <c r="C92" i="33"/>
  <c r="C19" i="37"/>
  <c r="C131" i="37"/>
  <c r="C78" i="33"/>
  <c r="C46" i="33"/>
  <c r="C57" i="33"/>
  <c r="C45" i="33"/>
  <c r="C23" i="33"/>
  <c r="C107" i="33"/>
  <c r="C71" i="33"/>
  <c r="C47" i="33"/>
  <c r="C99" i="33"/>
  <c r="C40" i="33"/>
  <c r="C25" i="33"/>
  <c r="C19" i="33"/>
  <c r="C76" i="33"/>
  <c r="C16" i="25"/>
  <c r="C44" i="37"/>
  <c r="C45" i="37"/>
  <c r="C27" i="25"/>
  <c r="C52" i="25"/>
  <c r="C58" i="37"/>
  <c r="C124" i="25"/>
  <c r="C56" i="37"/>
  <c r="C68" i="25"/>
  <c r="C74" i="25"/>
  <c r="C55" i="37"/>
  <c r="C89" i="37"/>
  <c r="C82" i="37"/>
  <c r="C108" i="37"/>
  <c r="C96" i="37"/>
  <c r="C126" i="33"/>
  <c r="C114" i="37"/>
  <c r="C73" i="37"/>
  <c r="C76" i="37"/>
  <c r="C35" i="37"/>
  <c r="C71" i="37"/>
  <c r="K11" i="13"/>
  <c r="B18" i="13"/>
  <c r="B8" i="13"/>
  <c r="D8" i="13"/>
  <c r="D15" i="13" s="1"/>
  <c r="C104" i="33"/>
  <c r="C56" i="33"/>
  <c r="C84" i="33"/>
  <c r="C75" i="25"/>
  <c r="C62" i="25"/>
  <c r="C108" i="25"/>
  <c r="C126" i="25"/>
  <c r="C97" i="25"/>
  <c r="C22" i="33"/>
  <c r="C39" i="33"/>
  <c r="C20" i="33"/>
  <c r="C68" i="33"/>
  <c r="C116" i="33"/>
  <c r="C80" i="33"/>
  <c r="C39" i="25"/>
  <c r="C65" i="25"/>
  <c r="D11" i="13"/>
  <c r="D18" i="13" s="1"/>
  <c r="D9" i="13"/>
  <c r="D16" i="13" s="1"/>
  <c r="D10" i="13"/>
  <c r="D17" i="13" s="1"/>
  <c r="C38" i="33"/>
  <c r="C113" i="33"/>
  <c r="C130" i="33"/>
  <c r="C129" i="25"/>
  <c r="C35" i="25"/>
  <c r="C103" i="33"/>
  <c r="C25" i="25"/>
  <c r="C124" i="33"/>
  <c r="C118" i="33"/>
  <c r="C53" i="33"/>
  <c r="C32" i="33"/>
  <c r="C73" i="33"/>
  <c r="C67" i="33"/>
  <c r="C35" i="33"/>
  <c r="C26" i="33"/>
  <c r="C18" i="33"/>
  <c r="B9" i="13"/>
  <c r="B10" i="13"/>
  <c r="B12" i="13"/>
  <c r="G55" i="1"/>
  <c r="O40" i="34"/>
  <c r="C30" i="37"/>
  <c r="C18" i="37"/>
  <c r="C69" i="37"/>
  <c r="C120" i="37"/>
  <c r="C119" i="37"/>
  <c r="C129" i="37"/>
  <c r="C92" i="37"/>
  <c r="O37" i="10"/>
  <c r="O36" i="10"/>
  <c r="C15" i="37"/>
  <c r="C116" i="37"/>
  <c r="C42" i="37"/>
  <c r="C99" i="37"/>
  <c r="C39" i="37"/>
  <c r="C12" i="37"/>
  <c r="C111" i="37"/>
  <c r="C52" i="37"/>
  <c r="C21" i="37"/>
  <c r="C130" i="37"/>
  <c r="C13" i="37"/>
  <c r="C37" i="37"/>
  <c r="C97" i="37"/>
  <c r="C25" i="37"/>
  <c r="C91" i="37"/>
  <c r="C123" i="37"/>
  <c r="C87" i="37"/>
  <c r="C80" i="37"/>
  <c r="C59" i="37"/>
  <c r="C84" i="37"/>
  <c r="C122" i="37"/>
  <c r="C26" i="37"/>
  <c r="C106" i="37"/>
  <c r="C117" i="37"/>
  <c r="C101" i="37"/>
  <c r="C57" i="37"/>
  <c r="C29" i="37"/>
  <c r="C81" i="37"/>
  <c r="C107" i="37"/>
  <c r="C54" i="37"/>
  <c r="C62" i="37"/>
  <c r="C70" i="37"/>
  <c r="C14" i="37"/>
  <c r="C33" i="37"/>
  <c r="C24" i="37"/>
  <c r="C66" i="37"/>
  <c r="C78" i="37"/>
  <c r="C27" i="37"/>
  <c r="C128" i="37"/>
  <c r="C65" i="37"/>
  <c r="C34" i="37"/>
  <c r="C74" i="37"/>
  <c r="C118" i="37"/>
  <c r="C47" i="37"/>
  <c r="C124" i="37"/>
  <c r="C61" i="37"/>
  <c r="C23" i="37"/>
  <c r="C93" i="37"/>
  <c r="C86" i="37"/>
  <c r="C67" i="37"/>
  <c r="C20" i="37"/>
  <c r="C102" i="37"/>
  <c r="C41" i="37"/>
  <c r="C50" i="37"/>
  <c r="C32" i="37"/>
  <c r="C100" i="37"/>
  <c r="C115" i="37"/>
  <c r="C46" i="37"/>
  <c r="C112" i="37"/>
  <c r="C38" i="37"/>
  <c r="C94" i="37"/>
  <c r="C68" i="37"/>
  <c r="C98" i="37"/>
  <c r="C31" i="37"/>
  <c r="C85" i="37"/>
  <c r="C63" i="37"/>
  <c r="C105" i="37"/>
  <c r="C97" i="33"/>
  <c r="C29" i="33"/>
  <c r="C112" i="33"/>
  <c r="C52" i="33"/>
  <c r="C93" i="25"/>
  <c r="C130" i="25"/>
  <c r="C123" i="25"/>
  <c r="C44" i="33"/>
  <c r="C122" i="25"/>
  <c r="C43" i="33"/>
  <c r="C79" i="33"/>
  <c r="C42" i="33"/>
  <c r="C61" i="33"/>
  <c r="C109" i="33"/>
  <c r="C82" i="33"/>
  <c r="C69" i="33"/>
  <c r="C100" i="33"/>
  <c r="C117" i="33"/>
  <c r="C128" i="33"/>
  <c r="C94" i="33"/>
  <c r="C16" i="46"/>
  <c r="C57" i="46"/>
  <c r="C14" i="46"/>
  <c r="C58" i="28"/>
  <c r="C112" i="28"/>
  <c r="C130" i="28"/>
  <c r="C45" i="28"/>
  <c r="C44" i="28"/>
  <c r="C128" i="28"/>
  <c r="C13" i="28"/>
  <c r="C91" i="28"/>
  <c r="C95" i="28"/>
  <c r="C14" i="28"/>
  <c r="C48" i="28"/>
  <c r="C78" i="28"/>
  <c r="C121" i="28"/>
  <c r="C76" i="28"/>
  <c r="C69" i="28"/>
  <c r="C60" i="28"/>
  <c r="C31" i="28"/>
  <c r="C38" i="28"/>
  <c r="C96" i="28"/>
  <c r="C106" i="28"/>
  <c r="C46" i="28"/>
  <c r="C92" i="28"/>
  <c r="C36" i="28"/>
  <c r="C93" i="28"/>
  <c r="C83" i="28"/>
  <c r="C35" i="28"/>
  <c r="C71" i="28"/>
  <c r="C109" i="28"/>
  <c r="C59" i="28"/>
  <c r="C131" i="28"/>
  <c r="C88" i="28"/>
  <c r="C125" i="28"/>
  <c r="C67" i="28"/>
  <c r="C114" i="28"/>
  <c r="C18" i="28"/>
  <c r="C32" i="28"/>
  <c r="C65" i="28"/>
  <c r="C30" i="28"/>
  <c r="C55" i="28"/>
  <c r="C47" i="28"/>
  <c r="C29" i="28"/>
  <c r="C21" i="28"/>
  <c r="C118" i="28"/>
  <c r="C40" i="28"/>
  <c r="C72" i="28"/>
  <c r="C73" i="28"/>
  <c r="C50" i="28"/>
  <c r="C86" i="28"/>
  <c r="C57" i="28"/>
  <c r="C37" i="28"/>
  <c r="C77" i="28"/>
  <c r="C20" i="28"/>
  <c r="C70" i="28"/>
  <c r="C28" i="28"/>
  <c r="C34" i="28"/>
  <c r="C85" i="28"/>
  <c r="C113" i="28"/>
  <c r="C64" i="28"/>
  <c r="C94" i="28"/>
  <c r="C56" i="28"/>
  <c r="C94" i="35"/>
  <c r="C108" i="35"/>
  <c r="C53" i="35"/>
  <c r="C80" i="35"/>
  <c r="C73" i="35"/>
  <c r="C98" i="35"/>
  <c r="C21" i="35"/>
  <c r="C32" i="35"/>
  <c r="C12" i="35"/>
  <c r="C51" i="35"/>
  <c r="C64" i="35"/>
  <c r="C50" i="35"/>
  <c r="C109" i="35"/>
  <c r="C117" i="35"/>
  <c r="C56" i="35"/>
  <c r="C35" i="35"/>
  <c r="C59" i="35"/>
  <c r="C111" i="35"/>
  <c r="C52" i="35"/>
  <c r="C38" i="35"/>
  <c r="C97" i="35"/>
  <c r="C54" i="35"/>
  <c r="C46" i="35"/>
  <c r="C33" i="35"/>
  <c r="C125" i="35"/>
  <c r="C122" i="35"/>
  <c r="C91" i="35"/>
  <c r="C58" i="35"/>
  <c r="C26" i="35"/>
  <c r="C93" i="35"/>
  <c r="C106" i="35"/>
  <c r="C69" i="35"/>
  <c r="C22" i="35"/>
  <c r="C18" i="35"/>
  <c r="C17" i="35"/>
  <c r="C103" i="35"/>
  <c r="C30" i="35"/>
  <c r="C66" i="35"/>
  <c r="C84" i="35"/>
  <c r="C115" i="35"/>
  <c r="C29" i="35"/>
  <c r="C74" i="35"/>
  <c r="C45" i="35"/>
  <c r="C113" i="35"/>
  <c r="C118" i="35"/>
  <c r="C112" i="35"/>
  <c r="C16" i="35"/>
  <c r="C68" i="35"/>
  <c r="C19" i="35"/>
  <c r="C20" i="35"/>
  <c r="C82" i="35"/>
  <c r="C90" i="35"/>
  <c r="C75" i="35"/>
  <c r="C123" i="35"/>
  <c r="C96" i="35"/>
  <c r="C101" i="35"/>
  <c r="C65" i="35"/>
  <c r="C62" i="35"/>
  <c r="C27" i="35"/>
  <c r="C87" i="35"/>
  <c r="C126" i="35"/>
  <c r="C67" i="35"/>
  <c r="C119" i="35"/>
  <c r="C23" i="35"/>
  <c r="C127" i="35"/>
  <c r="C34" i="35"/>
  <c r="C124" i="35"/>
  <c r="C48" i="35"/>
  <c r="C60" i="35"/>
  <c r="C77" i="35"/>
  <c r="C47" i="35"/>
  <c r="C39" i="35"/>
  <c r="C110" i="35"/>
  <c r="C31" i="35"/>
  <c r="C40" i="35"/>
  <c r="C83" i="35"/>
  <c r="C37" i="35"/>
  <c r="C99" i="35"/>
  <c r="C55" i="35"/>
  <c r="C89" i="35"/>
  <c r="C44" i="35"/>
  <c r="C49" i="35"/>
  <c r="C63" i="35"/>
  <c r="C57" i="35"/>
  <c r="C79" i="35"/>
  <c r="C116" i="35"/>
  <c r="C105" i="35"/>
  <c r="C36" i="35"/>
  <c r="C100" i="35"/>
  <c r="C114" i="35"/>
  <c r="C85" i="35"/>
  <c r="C72" i="35"/>
  <c r="C15" i="35"/>
  <c r="C24" i="35"/>
  <c r="C86" i="35"/>
  <c r="C88" i="35"/>
  <c r="C13" i="35"/>
  <c r="C92" i="35"/>
  <c r="C41" i="35"/>
  <c r="C43" i="35"/>
  <c r="C121" i="35"/>
  <c r="C81" i="35"/>
  <c r="C130" i="35"/>
  <c r="C131" i="35"/>
  <c r="C14" i="35"/>
  <c r="C102" i="35"/>
  <c r="C104" i="35"/>
  <c r="C78" i="35"/>
  <c r="C61" i="35"/>
  <c r="C129" i="35"/>
  <c r="C28" i="35"/>
  <c r="C107" i="35"/>
  <c r="C120" i="35"/>
  <c r="C25" i="35"/>
  <c r="C42" i="35"/>
  <c r="C70" i="35"/>
  <c r="C71" i="35"/>
  <c r="C128" i="35"/>
  <c r="C95" i="35"/>
  <c r="C76" i="35"/>
  <c r="C37" i="46"/>
  <c r="C74" i="46"/>
  <c r="C30" i="46"/>
  <c r="C56" i="46"/>
  <c r="C100" i="46"/>
  <c r="C79" i="46"/>
  <c r="C43" i="46"/>
  <c r="C17" i="46"/>
  <c r="C109" i="46"/>
  <c r="C131" i="46"/>
  <c r="C108" i="46"/>
  <c r="C77" i="46"/>
  <c r="C62" i="46"/>
  <c r="C78" i="46"/>
  <c r="C83" i="25"/>
  <c r="C87" i="25"/>
  <c r="C19" i="25"/>
  <c r="C23" i="25"/>
  <c r="C29" i="25"/>
  <c r="C91" i="25"/>
  <c r="C50" i="25"/>
  <c r="C20" i="25"/>
  <c r="C105" i="25"/>
  <c r="C17" i="25"/>
  <c r="C95" i="25"/>
  <c r="C30" i="25"/>
  <c r="C56" i="25"/>
  <c r="C102" i="25"/>
  <c r="C116" i="25"/>
  <c r="C47" i="25"/>
  <c r="C82" i="25"/>
  <c r="C69" i="25"/>
  <c r="C18" i="25"/>
  <c r="C34" i="25"/>
  <c r="C40" i="25"/>
  <c r="C88" i="25"/>
  <c r="C125" i="25"/>
  <c r="C53" i="25"/>
  <c r="C104" i="25"/>
  <c r="C64" i="25"/>
  <c r="C94" i="25"/>
  <c r="C55" i="25"/>
  <c r="C13" i="25"/>
  <c r="C107" i="25"/>
  <c r="C119" i="25"/>
  <c r="C112" i="25"/>
  <c r="C54" i="25"/>
  <c r="C128" i="25"/>
  <c r="C45" i="25"/>
  <c r="C114" i="25"/>
  <c r="C103" i="46"/>
  <c r="C82" i="46"/>
  <c r="C49" i="46"/>
  <c r="C34" i="46"/>
  <c r="C20" i="46"/>
  <c r="C94" i="46"/>
  <c r="C96" i="46"/>
  <c r="C66" i="46"/>
  <c r="C80" i="46"/>
  <c r="C31" i="46"/>
  <c r="C25" i="46"/>
  <c r="C99" i="46"/>
  <c r="C36" i="46"/>
  <c r="C127" i="46"/>
  <c r="C71" i="46"/>
  <c r="C101" i="46"/>
  <c r="C121" i="46"/>
  <c r="C65" i="46"/>
  <c r="C92" i="46"/>
  <c r="C69" i="46"/>
  <c r="C95" i="46"/>
  <c r="C59" i="46"/>
  <c r="C102" i="46"/>
  <c r="C90" i="46"/>
  <c r="C50" i="46"/>
  <c r="C98" i="46"/>
  <c r="C41" i="46"/>
  <c r="C40" i="46"/>
  <c r="C18" i="46"/>
  <c r="C129" i="46"/>
  <c r="C19" i="46"/>
  <c r="C39" i="46"/>
  <c r="C106" i="46"/>
  <c r="C21" i="46"/>
  <c r="C32" i="46"/>
  <c r="C89" i="46"/>
  <c r="C115" i="46"/>
  <c r="C81" i="46"/>
  <c r="C72" i="46"/>
  <c r="C128" i="46"/>
  <c r="C86" i="46"/>
  <c r="C76" i="46"/>
  <c r="C87" i="46"/>
  <c r="C119" i="46"/>
  <c r="F55" i="1"/>
  <c r="G55" i="42"/>
  <c r="C28" i="25"/>
  <c r="C33" i="25"/>
  <c r="C84" i="25"/>
  <c r="C31" i="25"/>
  <c r="C66" i="25"/>
  <c r="C90" i="25"/>
  <c r="C86" i="25"/>
  <c r="C15" i="25"/>
  <c r="C38" i="25"/>
  <c r="C103" i="25"/>
  <c r="C43" i="25"/>
  <c r="C48" i="46"/>
  <c r="C45" i="46"/>
  <c r="C23" i="46"/>
  <c r="C118" i="46"/>
  <c r="C24" i="46"/>
  <c r="C70" i="46"/>
  <c r="C13" i="46"/>
  <c r="C28" i="46"/>
  <c r="C64" i="46"/>
  <c r="C66" i="28"/>
  <c r="C120" i="28"/>
  <c r="C101" i="28"/>
  <c r="C19" i="28"/>
  <c r="C102" i="28"/>
  <c r="C43" i="28"/>
  <c r="C103" i="28"/>
  <c r="C100" i="28"/>
  <c r="C115" i="28"/>
  <c r="C68" i="28"/>
  <c r="C110" i="28"/>
  <c r="C53" i="28"/>
  <c r="C41" i="28"/>
  <c r="C22" i="28"/>
  <c r="C16" i="28"/>
  <c r="C33" i="28"/>
  <c r="C129" i="28"/>
  <c r="C87" i="28"/>
  <c r="C25" i="28"/>
  <c r="C52" i="28"/>
  <c r="C99" i="28"/>
  <c r="C49" i="28"/>
  <c r="C24" i="28"/>
  <c r="C63" i="28"/>
  <c r="C98" i="28"/>
  <c r="C84" i="28"/>
  <c r="C104" i="28"/>
  <c r="C97" i="28"/>
  <c r="C81" i="28"/>
  <c r="C24" i="25"/>
  <c r="C42" i="25"/>
  <c r="C59" i="25"/>
  <c r="C57" i="25"/>
  <c r="C14" i="25"/>
  <c r="C49" i="25"/>
  <c r="C111" i="25"/>
  <c r="C48" i="25"/>
  <c r="C92" i="25"/>
  <c r="C29" i="46"/>
  <c r="C15" i="46"/>
  <c r="C35" i="46"/>
  <c r="C111" i="46"/>
  <c r="C22" i="46"/>
  <c r="C54" i="46"/>
  <c r="C53" i="46"/>
  <c r="C126" i="28"/>
  <c r="C105" i="46"/>
  <c r="C27" i="46"/>
  <c r="C90" i="37"/>
  <c r="C104" i="37"/>
  <c r="C109" i="37"/>
  <c r="C126" i="37"/>
  <c r="C64" i="37"/>
  <c r="C51" i="37"/>
  <c r="C88" i="37"/>
  <c r="C49" i="37"/>
  <c r="C36" i="37"/>
  <c r="C17" i="37"/>
  <c r="C125" i="37"/>
  <c r="C77" i="37"/>
  <c r="C121" i="37"/>
  <c r="C16" i="37"/>
  <c r="C110" i="37"/>
  <c r="C48" i="37"/>
  <c r="C22" i="37"/>
  <c r="C113" i="37"/>
  <c r="C28" i="37"/>
  <c r="C95" i="37"/>
  <c r="C72" i="37"/>
  <c r="C127" i="37"/>
  <c r="C103" i="37"/>
  <c r="C53" i="37"/>
  <c r="C60" i="37"/>
  <c r="C40" i="37"/>
  <c r="C83" i="37"/>
  <c r="C75" i="37"/>
  <c r="C43" i="37"/>
  <c r="C83" i="33"/>
  <c r="C127" i="33"/>
  <c r="C131" i="33"/>
  <c r="C115" i="33"/>
  <c r="C87" i="33"/>
  <c r="C33" i="33"/>
  <c r="C102" i="33"/>
  <c r="C125" i="33"/>
  <c r="C101" i="33"/>
  <c r="C105" i="33"/>
  <c r="C13" i="33"/>
  <c r="C72" i="33"/>
  <c r="C30" i="33"/>
  <c r="C91" i="33"/>
  <c r="C64" i="33"/>
  <c r="C106" i="33"/>
  <c r="C77" i="33"/>
  <c r="C74" i="33"/>
  <c r="C55" i="33"/>
  <c r="C122" i="33"/>
  <c r="C34" i="33"/>
  <c r="C50" i="33"/>
  <c r="C119" i="33"/>
  <c r="C58" i="33"/>
  <c r="C16" i="33"/>
  <c r="C86" i="33"/>
  <c r="C123" i="33"/>
  <c r="C108" i="33"/>
  <c r="C28" i="33"/>
  <c r="C31" i="33"/>
  <c r="C14" i="33"/>
  <c r="C85" i="33"/>
  <c r="C37" i="33"/>
  <c r="C21" i="33"/>
  <c r="C27" i="33"/>
  <c r="C54" i="33"/>
  <c r="C81" i="33"/>
  <c r="C110" i="33"/>
  <c r="C48" i="33"/>
  <c r="C95" i="33"/>
  <c r="C96" i="33"/>
  <c r="C75" i="33"/>
  <c r="C36" i="33"/>
  <c r="C120" i="33"/>
  <c r="C90" i="33"/>
  <c r="C93" i="33"/>
  <c r="C12" i="33"/>
  <c r="C114" i="33"/>
  <c r="C41" i="33"/>
  <c r="C129" i="33"/>
  <c r="C63" i="33"/>
  <c r="C49" i="33"/>
  <c r="C121" i="33"/>
  <c r="C17" i="33"/>
  <c r="F55" i="42"/>
  <c r="C113" i="25"/>
  <c r="C37" i="25"/>
  <c r="C60" i="25"/>
  <c r="C109" i="25"/>
  <c r="C89" i="25"/>
  <c r="C100" i="25"/>
  <c r="C131" i="25"/>
  <c r="C76" i="25"/>
  <c r="C115" i="25"/>
  <c r="C36" i="25"/>
  <c r="C63" i="25"/>
  <c r="C112" i="46"/>
  <c r="C44" i="46"/>
  <c r="C26" i="46"/>
  <c r="C73" i="46"/>
  <c r="C125" i="46"/>
  <c r="C58" i="46"/>
  <c r="C123" i="46"/>
  <c r="C88" i="46"/>
  <c r="C12" i="46"/>
  <c r="C120" i="25"/>
  <c r="C22" i="25"/>
  <c r="C51" i="25"/>
  <c r="C80" i="25"/>
  <c r="C127" i="25"/>
  <c r="C26" i="25"/>
  <c r="C106" i="25"/>
  <c r="C79" i="25"/>
  <c r="C41" i="25"/>
  <c r="C110" i="25"/>
  <c r="C75" i="46"/>
  <c r="C93" i="46"/>
  <c r="C91" i="46"/>
  <c r="C38" i="46"/>
  <c r="C83" i="46"/>
  <c r="C124" i="46"/>
  <c r="C126" i="46"/>
  <c r="C107" i="46"/>
  <c r="C63" i="46"/>
  <c r="C113" i="46"/>
  <c r="C67" i="46"/>
  <c r="C12" i="25"/>
  <c r="C67" i="25"/>
  <c r="C44" i="25"/>
  <c r="C21" i="25"/>
  <c r="C98" i="25"/>
  <c r="C70" i="25"/>
  <c r="C72" i="25"/>
  <c r="C96" i="25"/>
  <c r="C81" i="25"/>
  <c r="C99" i="25"/>
  <c r="C73" i="25"/>
  <c r="C42" i="46"/>
  <c r="C46" i="46"/>
  <c r="C116" i="46"/>
  <c r="C60" i="46"/>
  <c r="C33" i="46"/>
  <c r="C85" i="46"/>
  <c r="C51" i="46"/>
  <c r="C114" i="46"/>
  <c r="C107" i="28"/>
  <c r="C90" i="28"/>
  <c r="C74" i="28"/>
  <c r="C75" i="28"/>
  <c r="C119" i="28"/>
  <c r="C89" i="28"/>
  <c r="C12" i="28"/>
  <c r="C17" i="28"/>
  <c r="C122" i="28"/>
  <c r="C124" i="28"/>
  <c r="C123" i="28"/>
  <c r="C27" i="28"/>
  <c r="C54" i="28"/>
  <c r="C108" i="28"/>
  <c r="C105" i="28"/>
  <c r="C51" i="28"/>
  <c r="C111" i="28"/>
  <c r="C117" i="28"/>
  <c r="C42" i="28"/>
  <c r="C26" i="28"/>
  <c r="C82" i="28"/>
  <c r="C23" i="28"/>
  <c r="C61" i="28"/>
  <c r="C116" i="28"/>
  <c r="C79" i="28"/>
  <c r="C15" i="28"/>
  <c r="C62" i="28"/>
  <c r="C127" i="28"/>
  <c r="C39" i="28"/>
  <c r="C80" i="28"/>
  <c r="C118" i="25"/>
  <c r="C117" i="25"/>
  <c r="C58" i="25"/>
  <c r="C101" i="25"/>
  <c r="C121" i="25"/>
  <c r="C85" i="25"/>
  <c r="C78" i="25"/>
  <c r="C77" i="25"/>
  <c r="C61" i="25"/>
  <c r="C122" i="46"/>
  <c r="C52" i="46"/>
  <c r="C104" i="46"/>
  <c r="C55" i="46"/>
  <c r="C120" i="46"/>
  <c r="C110" i="46"/>
  <c r="C84" i="46"/>
  <c r="C47" i="46"/>
  <c r="C61" i="46"/>
  <c r="C46" i="25"/>
  <c r="C68" i="46"/>
  <c r="E8" i="13" l="1"/>
  <c r="L8" i="13" s="1"/>
  <c r="B15" i="13"/>
  <c r="K12" i="13"/>
  <c r="B19" i="13"/>
  <c r="B16" i="13"/>
  <c r="K9" i="13"/>
  <c r="B17" i="13"/>
  <c r="K10" i="13"/>
  <c r="Z10" i="10"/>
  <c r="D35" i="10"/>
  <c r="Z9" i="10" s="1"/>
  <c r="M9" i="13" l="1"/>
  <c r="N9" i="13"/>
  <c r="F9" i="13" s="1"/>
  <c r="L9" i="13"/>
  <c r="I9" i="13" l="1"/>
  <c r="J9" i="13"/>
  <c r="G9" i="13"/>
  <c r="H9" i="13"/>
  <c r="N10" i="13"/>
  <c r="F10" i="13" s="1"/>
  <c r="M10" i="13"/>
  <c r="L10" i="13"/>
  <c r="M11" i="13" l="1"/>
  <c r="N11" i="13"/>
  <c r="F11" i="13" s="1"/>
  <c r="L11" i="13"/>
  <c r="J10" i="13"/>
  <c r="G10" i="13"/>
  <c r="H10" i="13"/>
  <c r="I10" i="13"/>
  <c r="H11" i="13" l="1"/>
  <c r="G11" i="13"/>
  <c r="J11" i="13"/>
  <c r="I11" i="13"/>
  <c r="N12" i="13"/>
  <c r="F12" i="13" s="1"/>
  <c r="M12" i="13"/>
  <c r="L12" i="13"/>
  <c r="G12" i="13" l="1"/>
  <c r="I12" i="13"/>
  <c r="J12" i="13"/>
  <c r="H12" i="13"/>
</calcChain>
</file>

<file path=xl/comments1.xml><?xml version="1.0" encoding="utf-8"?>
<comments xmlns="http://schemas.openxmlformats.org/spreadsheetml/2006/main">
  <authors>
    <author>ADM2007-L</author>
  </authors>
  <commentList>
    <comment ref="B11" authorId="0">
      <text>
        <r>
          <rPr>
            <sz val="8"/>
            <color indexed="81"/>
            <rFont val="Tahoma"/>
            <family val="2"/>
          </rPr>
          <t xml:space="preserve">Energie pour base vie et chantier
</t>
        </r>
      </text>
    </comment>
    <comment ref="B53" authorId="0">
      <text>
        <r>
          <rPr>
            <b/>
            <sz val="8"/>
            <color indexed="81"/>
            <rFont val="Tahoma"/>
            <family val="2"/>
          </rPr>
          <t>ADM2007-L:</t>
        </r>
        <r>
          <rPr>
            <sz val="8"/>
            <color indexed="81"/>
            <rFont val="Tahoma"/>
            <family val="2"/>
          </rPr>
          <t xml:space="preserve">
</t>
        </r>
      </text>
    </comment>
  </commentList>
</comments>
</file>

<file path=xl/comments2.xml><?xml version="1.0" encoding="utf-8"?>
<comments xmlns="http://schemas.openxmlformats.org/spreadsheetml/2006/main">
  <authors>
    <author>Aubert &amp; Duval</author>
    <author>ADM2007-L</author>
  </authors>
  <commentList>
    <comment ref="P9" authorId="0">
      <text>
        <r>
          <rPr>
            <b/>
            <sz val="8"/>
            <color indexed="81"/>
            <rFont val="Tahoma"/>
            <family val="2"/>
          </rPr>
          <t>Aubert &amp; Duval:</t>
        </r>
        <r>
          <rPr>
            <sz val="8"/>
            <color indexed="81"/>
            <rFont val="Tahoma"/>
            <family val="2"/>
          </rPr>
          <t xml:space="preserve">
Immo incorpo</t>
        </r>
      </text>
    </comment>
    <comment ref="AA9" authorId="0">
      <text>
        <r>
          <rPr>
            <b/>
            <sz val="8"/>
            <color indexed="81"/>
            <rFont val="Tahoma"/>
            <family val="2"/>
          </rPr>
          <t>Aubert &amp; Duval:</t>
        </r>
        <r>
          <rPr>
            <sz val="8"/>
            <color indexed="81"/>
            <rFont val="Tahoma"/>
            <family val="2"/>
          </rPr>
          <t xml:space="preserve">
Dont 3515ke d'immo Incorpo
Attention : on concidère que la totalité des immo corp. Sont récptionnées</t>
        </r>
      </text>
    </comment>
    <comment ref="G22" authorId="1">
      <text>
        <r>
          <rPr>
            <b/>
            <sz val="8"/>
            <color indexed="81"/>
            <rFont val="Tahoma"/>
            <family val="2"/>
          </rPr>
          <t>CA de l'année/365j*45j (les clients règlent à45j).</t>
        </r>
        <r>
          <rPr>
            <sz val="8"/>
            <color indexed="81"/>
            <rFont val="Tahoma"/>
            <family val="2"/>
          </rPr>
          <t xml:space="preserve">
</t>
        </r>
      </text>
    </comment>
    <comment ref="P22" authorId="0">
      <text>
        <r>
          <rPr>
            <b/>
            <sz val="8"/>
            <color indexed="81"/>
            <rFont val="Tahoma"/>
            <family val="2"/>
          </rPr>
          <t>Aubert &amp; Duval:</t>
        </r>
        <r>
          <rPr>
            <sz val="8"/>
            <color indexed="81"/>
            <rFont val="Tahoma"/>
            <family val="2"/>
          </rPr>
          <t xml:space="preserve">
Avance AIRBUS</t>
        </r>
      </text>
    </comment>
    <comment ref="G23" authorId="1">
      <text>
        <r>
          <rPr>
            <sz val="8"/>
            <color indexed="81"/>
            <rFont val="Tahoma"/>
            <family val="2"/>
          </rPr>
          <t xml:space="preserve">MP et consommables
avec 45 jours de crédit fournisseurs
</t>
        </r>
      </text>
    </comment>
    <comment ref="G24" authorId="1">
      <text>
        <r>
          <rPr>
            <b/>
            <sz val="8"/>
            <color indexed="81"/>
            <rFont val="Tahoma"/>
            <family val="2"/>
          </rPr>
          <t>Pour le moment, on prend à O.</t>
        </r>
        <r>
          <rPr>
            <sz val="8"/>
            <color indexed="81"/>
            <rFont val="Tahoma"/>
            <family val="2"/>
          </rPr>
          <t xml:space="preserve">
</t>
        </r>
      </text>
    </comment>
    <comment ref="E25" authorId="1">
      <text>
        <r>
          <rPr>
            <b/>
            <sz val="8"/>
            <color indexed="81"/>
            <rFont val="Tahoma"/>
            <family val="2"/>
          </rPr>
          <t>moitié d'une année et TVA à 8% (car certains biens sont achetés à l'extérieur)</t>
        </r>
        <r>
          <rPr>
            <sz val="8"/>
            <color indexed="81"/>
            <rFont val="Tahoma"/>
            <family val="2"/>
          </rPr>
          <t xml:space="preserve">
</t>
        </r>
      </text>
    </comment>
    <comment ref="P25" authorId="0">
      <text>
        <r>
          <rPr>
            <b/>
            <sz val="8"/>
            <color indexed="81"/>
            <rFont val="Tahoma"/>
            <family val="2"/>
          </rPr>
          <t>Aubert &amp; Duval:</t>
        </r>
        <r>
          <rPr>
            <sz val="8"/>
            <color indexed="81"/>
            <rFont val="Tahoma"/>
            <family val="2"/>
          </rPr>
          <t xml:space="preserve">
TVA récupérable</t>
        </r>
      </text>
    </comment>
    <comment ref="G30" authorId="1">
      <text>
        <r>
          <rPr>
            <b/>
            <sz val="8"/>
            <color indexed="81"/>
            <rFont val="Tahoma"/>
            <family val="2"/>
          </rPr>
          <t>Mise en service début d'année, donc pas de dettes fournisseurs immo en fin d'année.</t>
        </r>
        <r>
          <rPr>
            <sz val="8"/>
            <color indexed="81"/>
            <rFont val="Tahoma"/>
            <family val="2"/>
          </rPr>
          <t xml:space="preserve">
</t>
        </r>
      </text>
    </comment>
    <comment ref="P31" authorId="0">
      <text>
        <r>
          <rPr>
            <b/>
            <sz val="8"/>
            <color indexed="81"/>
            <rFont val="Tahoma"/>
            <family val="2"/>
          </rPr>
          <t>Aubert &amp; Duval:</t>
        </r>
        <r>
          <rPr>
            <sz val="8"/>
            <color indexed="81"/>
            <rFont val="Tahoma"/>
            <family val="2"/>
          </rPr>
          <t xml:space="preserve">
avance versée sur commande immo corpo pour 2349k€ HT</t>
        </r>
      </text>
    </comment>
    <comment ref="G43" authorId="1">
      <text>
        <r>
          <rPr>
            <sz val="8"/>
            <color indexed="81"/>
            <rFont val="Tahoma"/>
            <family val="2"/>
          </rPr>
          <t xml:space="preserve">PAT, FEDER, FRAE
</t>
        </r>
      </text>
    </comment>
    <comment ref="J43" authorId="1">
      <text>
        <r>
          <rPr>
            <sz val="8"/>
            <color indexed="81"/>
            <rFont val="Tahoma"/>
            <family val="2"/>
          </rPr>
          <t xml:space="preserve">amortissements sur 10 ans de la subvention
</t>
        </r>
      </text>
    </comment>
    <comment ref="I69" authorId="1">
      <text>
        <r>
          <rPr>
            <sz val="8"/>
            <color indexed="81"/>
            <rFont val="Tahoma"/>
            <family val="2"/>
          </rPr>
          <t xml:space="preserve">MP et consommables
avec 45 jours de crédit fournisseurs
</t>
        </r>
      </text>
    </comment>
  </commentList>
</comments>
</file>

<file path=xl/comments3.xml><?xml version="1.0" encoding="utf-8"?>
<comments xmlns="http://schemas.openxmlformats.org/spreadsheetml/2006/main">
  <authors>
    <author>ADM2007-L</author>
  </authors>
  <commentList>
    <comment ref="A6" authorId="0">
      <text>
        <r>
          <rPr>
            <sz val="8"/>
            <color indexed="81"/>
            <rFont val="Tahoma"/>
            <family val="2"/>
          </rPr>
          <t xml:space="preserve">Earnings before interest, taxes, depreciation and amortization.
</t>
        </r>
      </text>
    </comment>
  </commentList>
</comments>
</file>

<file path=xl/comments4.xml><?xml version="1.0" encoding="utf-8"?>
<comments xmlns="http://schemas.openxmlformats.org/spreadsheetml/2006/main">
  <authors>
    <author>Francois Gouriten</author>
  </authors>
  <commentList>
    <comment ref="D5" authorId="0">
      <text>
        <r>
          <rPr>
            <b/>
            <sz val="9"/>
            <color indexed="81"/>
            <rFont val="Tahoma"/>
            <family val="2"/>
          </rPr>
          <t>Suite aux données de Raymond
1,29 de gains achats sur le four</t>
        </r>
        <r>
          <rPr>
            <sz val="9"/>
            <color indexed="81"/>
            <rFont val="Tahoma"/>
            <family val="2"/>
          </rPr>
          <t xml:space="preserve">
</t>
        </r>
      </text>
    </comment>
  </commentList>
</comments>
</file>

<file path=xl/comments5.xml><?xml version="1.0" encoding="utf-8"?>
<comments xmlns="http://schemas.openxmlformats.org/spreadsheetml/2006/main">
  <authors>
    <author>Yann de LASSAT</author>
    <author>YANN de LASSAT</author>
  </authors>
  <commentList>
    <comment ref="U4" authorId="0">
      <text>
        <r>
          <rPr>
            <sz val="8"/>
            <color indexed="81"/>
            <rFont val="Tahoma"/>
            <family val="2"/>
          </rPr>
          <t>Montant total immobilisé : valeur identique à celle de la cellule D26</t>
        </r>
      </text>
    </comment>
    <comment ref="A7" authorId="0">
      <text>
        <r>
          <rPr>
            <sz val="8"/>
            <color indexed="81"/>
            <rFont val="Tahoma"/>
            <family val="2"/>
          </rPr>
          <t>Unité monétaire utilisée - A fournir en symbole qui se reporte dans les cellules concernées (Y3, Y4, E35) et sur le graphe Cash-flows.</t>
        </r>
        <r>
          <rPr>
            <b/>
            <sz val="8"/>
            <color indexed="81"/>
            <rFont val="Tahoma"/>
            <family val="2"/>
          </rPr>
          <t xml:space="preserve">
</t>
        </r>
      </text>
    </comment>
    <comment ref="E9" authorId="0">
      <text>
        <r>
          <rPr>
            <sz val="8"/>
            <color indexed="81"/>
            <rFont val="Tahoma"/>
            <family val="2"/>
          </rPr>
          <t>Indiquer la première année des décaissements relatifs au projet</t>
        </r>
      </text>
    </comment>
    <comment ref="D11" authorId="0">
      <text>
        <r>
          <rPr>
            <sz val="8"/>
            <color indexed="81"/>
            <rFont val="Tahoma"/>
            <family val="2"/>
          </rPr>
          <t>Indiquer l'unité utilisée pour les volumes</t>
        </r>
      </text>
    </comment>
    <comment ref="D13" authorId="1">
      <text>
        <r>
          <rPr>
            <sz val="8"/>
            <color indexed="81"/>
            <rFont val="Tahoma"/>
            <family val="2"/>
          </rPr>
          <t xml:space="preserve">Les gains commerciaux ont deux sources :
- Les accroissements de capacité qui sont valorisés au RBE du produit considéré ;
- Les substitutions de produits valorisées à l’écart de RBE entre les produits en jeu.
</t>
        </r>
      </text>
    </comment>
    <comment ref="D14" authorId="1">
      <text>
        <r>
          <rPr>
            <sz val="8"/>
            <color indexed="81"/>
            <rFont val="Tahoma"/>
            <family val="2"/>
          </rPr>
          <t xml:space="preserve">- Les achats supplémentaires (matières premières, énergie, divers) ;
- Les charges supplémentaires induites par le projet, les charges de main d’œuvre sont valorisées au coût moyen de l’Unité ou du site ;
- Les surcoûts éventuels induits par le projet ;
- Les coûts d’entretien courant des matériels mis en œuvre, coûts qui sont souvent oubliés.
- La taxe professionnelle et les charges d’assurance
- Les charges de location, y compris les coûts éventuels de leasing.
</t>
        </r>
      </text>
    </comment>
    <comment ref="D15" authorId="0">
      <text>
        <r>
          <rPr>
            <sz val="8"/>
            <color indexed="81"/>
            <rFont val="Tahoma"/>
            <family val="2"/>
          </rPr>
          <t>Les gains techniques indiqués en ligne 12 sont actualisés en tenant compte du taux d'inflation indiqué en cellule X39</t>
        </r>
      </text>
    </comment>
    <comment ref="D16" authorId="0">
      <text>
        <r>
          <rPr>
            <sz val="8"/>
            <color indexed="81"/>
            <rFont val="Tahoma"/>
            <family val="2"/>
          </rPr>
          <t>Les gains commerciaux indiqués en ligne 13 sont actualisés en tenant compte du taux d'inflation indiqué en cellule X39</t>
        </r>
      </text>
    </comment>
    <comment ref="D17" authorId="0">
      <text>
        <r>
          <rPr>
            <sz val="8"/>
            <color indexed="81"/>
            <rFont val="Tahoma"/>
            <family val="2"/>
          </rPr>
          <t>Les dépenses d'exploitation indiquées en ligne 14 sont actualisées en tenant compte du taux d'inflation indiqué en cellule X39</t>
        </r>
      </text>
    </comment>
    <comment ref="D18" authorId="1">
      <text>
        <r>
          <rPr>
            <sz val="8"/>
            <color indexed="81"/>
            <rFont val="Tahoma"/>
            <family val="2"/>
          </rPr>
          <t xml:space="preserve">- La partie non immobilisable du coût du projet ;
- Les charges de pré exploitation telles que les installations de chantier, les assurances en cours de construction, les coûts de sécurité du chantier, la formation des personnels d’exploitation et de maintenance ;
- L’assistance technique au démarrage
- Les surcoûts entre prix réels et prix cibles en période de montée en allure et les coûts des dépannages matières éventuels
- Les coûts des arrêts de ligne en période d ‘apprentissage au delà des arrêts programmés normaux
</t>
        </r>
      </text>
    </comment>
    <comment ref="D20" authorId="1">
      <text>
        <r>
          <rPr>
            <sz val="8"/>
            <color indexed="81"/>
            <rFont val="Tahoma"/>
            <family val="2"/>
          </rPr>
          <t xml:space="preserve">Ils couvrent les indemnités de départs des personnels ou de fermeture d’ateliers ou de sites.
</t>
        </r>
      </text>
    </comment>
    <comment ref="D23" authorId="1">
      <text>
        <r>
          <rPr>
            <sz val="8"/>
            <color indexed="81"/>
            <rFont val="Tahoma"/>
            <family val="2"/>
          </rPr>
          <t>Les montants d'amortissements sont calculés automatiquement à partir des décaissements d'immobilisations indiqués aux lignes 26 et 27 et des durées d'amortissement indiquées aux cellules Y40 et Y41.
La ligne n'est pas protégée et l'utilisateur peut indiquer directement les montants amortis année par année.</t>
        </r>
      </text>
    </comment>
    <comment ref="D24" authorId="1">
      <text>
        <r>
          <rPr>
            <sz val="8"/>
            <color indexed="81"/>
            <rFont val="Tahoma"/>
            <family val="2"/>
          </rPr>
          <t>Le taux d'imposition normatif est indiqué en cellule E41. L'utilisateur peut toutefois saisir des taux variables année par année en cas de changement de la législation fiscale.</t>
        </r>
      </text>
    </comment>
    <comment ref="D26" authorId="1">
      <text>
        <r>
          <rPr>
            <sz val="8"/>
            <color indexed="81"/>
            <rFont val="Tahoma"/>
            <family val="2"/>
          </rPr>
          <t>Somme des décaissements indiqués en cellules E26 à Y26 :
- Coût des équipements et de la construction sans oublier l’environnement technique du projet (fluides et énergie) souvent sous-estimé ;
- Coûts informatiques, incluant les logiciels achetés et les dépenses d’analyse fonctionnelle, de programmation et de documentation pour les logiciels développés en interne ;
- Coût des études externes et quote-part des études réalisées en interne. Pour les études internes, on retiendra le plus souvent un pourcentage du coût total du projet ;</t>
        </r>
      </text>
    </comment>
    <comment ref="D27" authorId="1">
      <text>
        <r>
          <rPr>
            <sz val="8"/>
            <color indexed="81"/>
            <rFont val="Tahoma"/>
            <family val="2"/>
          </rPr>
          <t>Somme des décaissements indiqués aux cellules E27 à Y27 :
- Travaux neufs courants nécessaires au maintien en état de l’outil sur toute la durée de vie du projet</t>
        </r>
      </text>
    </comment>
    <comment ref="D28" authorId="1">
      <text>
        <r>
          <rPr>
            <sz val="8"/>
            <color indexed="81"/>
            <rFont val="Tahoma"/>
            <family val="2"/>
          </rPr>
          <t xml:space="preserve">Somme des valeurs indiquées aux cellules E28 à P28 :
Variation, en plus ou en moins, du besoin en fond de roulement à tous les stades de la filière, dans ses trois composantes :
- Stocks, en y incluant les pièces de rechange et l’en-cours de produit ;
- Crédit client qui pourra être valorisé au nombre de jours moyen de l’Unité à défaut d’une estimation précise et différenciée ;
- Dettes fournisseurs valorisées dans les mêmes conditions que le crédit client.
</t>
        </r>
      </text>
    </comment>
    <comment ref="C39" authorId="1">
      <text>
        <r>
          <rPr>
            <sz val="8"/>
            <color indexed="81"/>
            <rFont val="Tahoma"/>
            <family val="2"/>
          </rPr>
          <t>Valeur calculée à partir du cumul des cash flows disponibles. Données reportées automatiquement sur le graphique joint.</t>
        </r>
      </text>
    </comment>
    <comment ref="D40" authorId="1">
      <text>
        <r>
          <rPr>
            <sz val="8"/>
            <color indexed="81"/>
            <rFont val="Tahoma"/>
            <family val="2"/>
          </rPr>
          <t>Taux d'actualisation des cash flows disponibles. La valeur est reportée en cellule A32.</t>
        </r>
      </text>
    </comment>
  </commentList>
</comments>
</file>

<file path=xl/comments6.xml><?xml version="1.0" encoding="utf-8"?>
<comments xmlns="http://schemas.openxmlformats.org/spreadsheetml/2006/main">
  <authors>
    <author>Yann de LASSAT</author>
    <author>YANN de LASSAT</author>
  </authors>
  <commentList>
    <comment ref="D15" authorId="0">
      <text>
        <r>
          <rPr>
            <sz val="8"/>
            <color indexed="81"/>
            <rFont val="Tahoma"/>
            <family val="2"/>
          </rPr>
          <t>Les gains techniques indiqués en ligne 12 sont actualisés en tenant compte du taux d'inflation indiqué en cellule O39</t>
        </r>
      </text>
    </comment>
    <comment ref="D16" authorId="0">
      <text>
        <r>
          <rPr>
            <sz val="8"/>
            <color indexed="81"/>
            <rFont val="Tahoma"/>
            <family val="2"/>
          </rPr>
          <t>Les gains commerciaux indiqués en ligne 13 sont actualisés en tenant compte du taux d'inflation indiqué en cellule O39</t>
        </r>
      </text>
    </comment>
    <comment ref="D17" authorId="0">
      <text>
        <r>
          <rPr>
            <sz val="8"/>
            <color indexed="81"/>
            <rFont val="Tahoma"/>
            <family val="2"/>
          </rPr>
          <t>Les dépenses d'exploitation indiquées en ligne 14 sont actualisées en tenant compte du taux d'inflation indiqué en cellule O39</t>
        </r>
      </text>
    </comment>
    <comment ref="D18" authorId="1">
      <text>
        <r>
          <rPr>
            <sz val="8"/>
            <color indexed="81"/>
            <rFont val="Tahoma"/>
            <family val="2"/>
          </rPr>
          <t xml:space="preserve">- La partie non immobilisable du coût du projet ;
- Les charges de pré exploitation telles que les installations de chantier, les assurances en cours de construction, les coûts de sécurité du chantier, la formation des personnels d’exploitation et de maintenance ;
- L’assistance technique au démarrage
- Les surcoûts entre prix réels et prix cibles en période de montée en allure et les coûts des dépannages matières éventuels
- Les coûts des arrêts de ligne en période d ‘apprentissage au delà des arrêts programmés normaux
</t>
        </r>
      </text>
    </comment>
    <comment ref="D20" authorId="1">
      <text>
        <r>
          <rPr>
            <sz val="8"/>
            <color indexed="81"/>
            <rFont val="Tahoma"/>
            <family val="2"/>
          </rPr>
          <t xml:space="preserve">Ils couvrent les indemnités de départs des personnels ou de fermeture d’ateliers ou de sites.
</t>
        </r>
      </text>
    </comment>
    <comment ref="D23" authorId="1">
      <text>
        <r>
          <rPr>
            <sz val="8"/>
            <color indexed="81"/>
            <rFont val="Tahoma"/>
            <family val="2"/>
          </rPr>
          <t>Les montants d'amortissements sont calculés automatiquement à partir des décaissements d'immobilisations indiqués aux lignes 26 et 27 et des durées d'amortissement indiquées aux cellules P40 et P41.
La ligne n'est pas protégée et l'utilisateur peut indiquer directement les montants amortis année par année.</t>
        </r>
      </text>
    </comment>
    <comment ref="D24" authorId="1">
      <text>
        <r>
          <rPr>
            <sz val="8"/>
            <color indexed="81"/>
            <rFont val="Tahoma"/>
            <family val="2"/>
          </rPr>
          <t>Le taux d'imposition normatif est indiqué en cellule E41. L'utilisateur peut toutefois saisir des taux variables année par année en cas de changement de la législation fiscale.</t>
        </r>
      </text>
    </comment>
    <comment ref="D26" authorId="1">
      <text>
        <r>
          <rPr>
            <sz val="8"/>
            <color indexed="81"/>
            <rFont val="Tahoma"/>
            <family val="2"/>
          </rPr>
          <t>Somme des décaissements indiqués en cellules E26 à P26 :
- Coût des équipements et de la construction sans oublier l’environnement technique du projet (fluides et énergie) souvent sous-estimé ;
- Coûts informatiques, incluant les logiciels achetés et les dépenses d’analyse fonctionnelle, de programmation et de documentation pour les logiciels développés en interne ;
- Coût des études externes et quote-part des études réalisées en interne. Pour les études internes, on retiendra le plus souvent un pourcentage du coût total du projet ;</t>
        </r>
      </text>
    </comment>
    <comment ref="D27" authorId="1">
      <text>
        <r>
          <rPr>
            <sz val="8"/>
            <color indexed="81"/>
            <rFont val="Tahoma"/>
            <family val="2"/>
          </rPr>
          <t>Somme des décaissements indiqués aux cellules E27 à P 27 :
- Travaux neufs courants nécessaires au maintien en état de l’outil sur toute la durée de vie du projet</t>
        </r>
      </text>
    </comment>
    <comment ref="D28" authorId="1">
      <text>
        <r>
          <rPr>
            <sz val="8"/>
            <color indexed="81"/>
            <rFont val="Tahoma"/>
            <family val="2"/>
          </rPr>
          <t xml:space="preserve">Somme des valeurs indiquées aux cellules E28 à P28 :
Variation, en plus ou en moins, du besoin en fond de roulement à tous les stades de la filière, dans ses trois composantes :
- Stocks, en y incluant les pièces de rechange et l’en-cours de produit ;
- Crédit client qui pourra être valorisé au nombre de jours moyen de l’Unité à défaut d’une estimation précise et différenciée ;
- Dettes fournisseurs valorisées dans les mêmes conditions que le crédit client.
</t>
        </r>
      </text>
    </comment>
    <comment ref="C39" authorId="1">
      <text>
        <r>
          <rPr>
            <sz val="8"/>
            <color indexed="81"/>
            <rFont val="Tahoma"/>
            <family val="2"/>
          </rPr>
          <t>Valeur calculée à partir du cumul des cash flows disponibles. Données reportées automatiquement sur le graphique joint.</t>
        </r>
      </text>
    </comment>
    <comment ref="D40" authorId="1">
      <text>
        <r>
          <rPr>
            <sz val="8"/>
            <color indexed="81"/>
            <rFont val="Tahoma"/>
            <family val="2"/>
          </rPr>
          <t>Taux d'actualisation des cash flows disponibles. La valeur est reportée en cellule A32.</t>
        </r>
      </text>
    </comment>
  </commentList>
</comments>
</file>

<file path=xl/comments7.xml><?xml version="1.0" encoding="utf-8"?>
<comments xmlns="http://schemas.openxmlformats.org/spreadsheetml/2006/main">
  <authors>
    <author>Yann de LASSAT</author>
    <author>YANN de LASSAT</author>
    <author>Louis-Pascal Aussedat</author>
  </authors>
  <commentList>
    <comment ref="U4" authorId="0">
      <text>
        <r>
          <rPr>
            <sz val="8"/>
            <color indexed="81"/>
            <rFont val="Tahoma"/>
            <family val="2"/>
          </rPr>
          <t>Montant total immobilisé : valeur identique à celle de la cellule D26</t>
        </r>
      </text>
    </comment>
    <comment ref="A7" authorId="0">
      <text>
        <r>
          <rPr>
            <sz val="8"/>
            <color indexed="81"/>
            <rFont val="Tahoma"/>
            <family val="2"/>
          </rPr>
          <t>Unité monétaire utilisée - A fournir en symbole qui se reporte dans les cellules concernées (Y3, Y4, E35) et sur le graphe Cash-flows.</t>
        </r>
        <r>
          <rPr>
            <b/>
            <sz val="8"/>
            <color indexed="81"/>
            <rFont val="Tahoma"/>
            <family val="2"/>
          </rPr>
          <t xml:space="preserve">
</t>
        </r>
      </text>
    </comment>
    <comment ref="E9" authorId="0">
      <text>
        <r>
          <rPr>
            <sz val="8"/>
            <color indexed="81"/>
            <rFont val="Tahoma"/>
            <family val="2"/>
          </rPr>
          <t>Indiquer la première année des décaissements relatifs au projet</t>
        </r>
      </text>
    </comment>
    <comment ref="D11" authorId="0">
      <text>
        <r>
          <rPr>
            <sz val="8"/>
            <color indexed="81"/>
            <rFont val="Tahoma"/>
            <family val="2"/>
          </rPr>
          <t>Indiquer l'unité utilisée pour les volumes</t>
        </r>
      </text>
    </comment>
    <comment ref="D12" authorId="1">
      <text>
        <r>
          <rPr>
            <sz val="8"/>
            <color indexed="81"/>
            <rFont val="Tahoma"/>
            <family val="2"/>
          </rPr>
          <t>Les gains techniques peuvent découler :
- D’économies de matières premières, d’énergie ou de mise au mille
- D’économies de frais d’entretien des matériels
- D’améliorations du rendement 1er choix
- De gains de productivité de la main d’œuvre
- De réduction de redevances découlant d’une meilleure maîtrise de l’environnement (émissions, réduction des déchets…)
- De l’absorption de frais fixes dans le cas d’accroissements de production</t>
        </r>
      </text>
    </comment>
    <comment ref="D13" authorId="1">
      <text>
        <r>
          <rPr>
            <sz val="8"/>
            <color indexed="81"/>
            <rFont val="Tahoma"/>
            <family val="2"/>
          </rPr>
          <t xml:space="preserve">Les gains commerciaux ont deux sources :
- Les accroissements de capacité qui sont valorisés au RBE du produit considéré ;
- Les substitutions de produits valorisées à l’écart de RBE entre les produits en jeu.
</t>
        </r>
      </text>
    </comment>
    <comment ref="D14" authorId="1">
      <text>
        <r>
          <rPr>
            <sz val="8"/>
            <color indexed="81"/>
            <rFont val="Tahoma"/>
            <family val="2"/>
          </rPr>
          <t xml:space="preserve">- Les achats supplémentaires (matières premières, énergie, divers) ;
- Les charges supplémentaires induites par le projet, les charges de main d’œuvre sont valorisées au coût moyen de l’Unité ou du site ;
- Les surcoûts éventuels induits par le projet ;
- Les coûts d’entretien courant des matériels mis en œuvre, coûts qui sont souvent oubliés.
- La taxe professionnelle et les charges d’assurance
- Les charges de location, y compris les coûts éventuels de leasing.
</t>
        </r>
      </text>
    </comment>
    <comment ref="D15" authorId="0">
      <text>
        <r>
          <rPr>
            <sz val="8"/>
            <color indexed="81"/>
            <rFont val="Tahoma"/>
            <family val="2"/>
          </rPr>
          <t>Les gains techniques indiqués en ligne 12 sont actualisés en tenant compte du taux d'inflation indiqué en cellule X39</t>
        </r>
      </text>
    </comment>
    <comment ref="D16" authorId="0">
      <text>
        <r>
          <rPr>
            <sz val="8"/>
            <color indexed="81"/>
            <rFont val="Tahoma"/>
            <family val="2"/>
          </rPr>
          <t>Les gains commerciaux indiqués en ligne 13 sont actualisés en tenant compte du taux d'inflation indiqué en cellule X39</t>
        </r>
      </text>
    </comment>
    <comment ref="D17" authorId="0">
      <text>
        <r>
          <rPr>
            <sz val="8"/>
            <color indexed="81"/>
            <rFont val="Tahoma"/>
            <family val="2"/>
          </rPr>
          <t>Les dépenses d'exploitation indiquées en ligne 14 sont actualisées en tenant compte du taux d'inflation indiqué en cellule X39</t>
        </r>
      </text>
    </comment>
    <comment ref="D18" authorId="1">
      <text>
        <r>
          <rPr>
            <sz val="8"/>
            <color indexed="81"/>
            <rFont val="Tahoma"/>
            <family val="2"/>
          </rPr>
          <t xml:space="preserve">- La partie non immobilisable du coût du projet ;
- Les charges de pré exploitation telles que les installations de chantier, les assurances en cours de construction, les coûts de sécurité du chantier, la formation des personnels d’exploitation et de maintenance ;
- L’assistance technique au démarrage
- Les surcoûts entre prix réels et prix cibles en période de montée en allure et les coûts des dépannages matières éventuels
- Les coûts des arrêts de ligne en période d ‘apprentissage au delà des arrêts programmés normaux
</t>
        </r>
      </text>
    </comment>
    <comment ref="D20" authorId="1">
      <text>
        <r>
          <rPr>
            <sz val="8"/>
            <color indexed="81"/>
            <rFont val="Tahoma"/>
            <family val="2"/>
          </rPr>
          <t xml:space="preserve">Ils couvrent les indemnités de départs des personnels ou de fermeture d’ateliers ou de sites.
</t>
        </r>
      </text>
    </comment>
    <comment ref="D23" authorId="1">
      <text>
        <r>
          <rPr>
            <sz val="8"/>
            <color indexed="81"/>
            <rFont val="Tahoma"/>
            <family val="2"/>
          </rPr>
          <t>Les montants d'amortissements sont calculés automatiquement à partir des décaissements d'immobilisations indiqués aux lignes 26 et 27 et des durées d'amortissement indiquées aux cellules Y40 et Y41.
La ligne n'est pas protégée et l'utilisateur peut indiquer directement les montants amortis année par année.</t>
        </r>
      </text>
    </comment>
    <comment ref="D24" authorId="1">
      <text>
        <r>
          <rPr>
            <sz val="8"/>
            <color indexed="81"/>
            <rFont val="Tahoma"/>
            <family val="2"/>
          </rPr>
          <t>Le taux d'imposition normatif est indiqué en cellule E41. L'utilisateur peut toutefois saisir des taux variables année par année en cas de changement de la législation fiscale.</t>
        </r>
      </text>
    </comment>
    <comment ref="D26" authorId="1">
      <text>
        <r>
          <rPr>
            <sz val="8"/>
            <color indexed="81"/>
            <rFont val="Tahoma"/>
            <family val="2"/>
          </rPr>
          <t>Somme des décaissements indiqués en cellules E26 à Y26 :
- Coût des équipements et de la construction sans oublier l’environnement technique du projet (fluides et énergie) souvent sous-estimé ;
- Coûts informatiques, incluant les logiciels achetés et les dépenses d’analyse fonctionnelle, de programmation et de documentation pour les logiciels développés en interne ;
- Coût des études externes et quote-part des études réalisées en interne. Pour les études internes, on retiendra le plus souvent un pourcentage du coût total du projet ;</t>
        </r>
      </text>
    </comment>
    <comment ref="D27" authorId="1">
      <text>
        <r>
          <rPr>
            <sz val="8"/>
            <color indexed="81"/>
            <rFont val="Tahoma"/>
            <family val="2"/>
          </rPr>
          <t>Somme des décaissements indiqués aux cellules E27 à Y27 :
- Travaux neufs courants nécessaires au maintien en état de l’outil sur toute la durée de vie du projet</t>
        </r>
      </text>
    </comment>
    <comment ref="D28" authorId="1">
      <text>
        <r>
          <rPr>
            <sz val="8"/>
            <color indexed="81"/>
            <rFont val="Tahoma"/>
            <family val="2"/>
          </rPr>
          <t xml:space="preserve">Somme des valeurs indiquées aux cellules E28 à P28 :
Variation, en plus ou en moins, du besoin en fond de roulement à tous les stades de la filière, dans ses trois composantes :
- Stocks, en y incluant les pièces de rechange et l’en-cours de produit ;
- Crédit client qui pourra être valorisé au nombre de jours moyen de l’Unité à défaut d’une estimation précise et différenciée ;
- Dettes fournisseurs valorisées dans les mêmes conditions que le crédit client.
</t>
        </r>
      </text>
    </comment>
    <comment ref="C39" authorId="1">
      <text>
        <r>
          <rPr>
            <sz val="8"/>
            <color indexed="81"/>
            <rFont val="Tahoma"/>
            <family val="2"/>
          </rPr>
          <t>Valeur calculée à partir du cumul des cash flows disponibles. Données reportées automatiquement sur le graphique joint.</t>
        </r>
      </text>
    </comment>
    <comment ref="D40" authorId="1">
      <text>
        <r>
          <rPr>
            <sz val="8"/>
            <color indexed="81"/>
            <rFont val="Tahoma"/>
            <family val="2"/>
          </rPr>
          <t>Taux d'actualisation des cash flows disponibles. La valeur est reportée en cellule A32.</t>
        </r>
      </text>
    </comment>
    <comment ref="D120" authorId="2">
      <text>
        <r>
          <rPr>
            <b/>
            <sz val="9"/>
            <color indexed="81"/>
            <rFont val="Tahoma"/>
            <family val="2"/>
          </rPr>
          <t>Louis-Pascal Aussedat:</t>
        </r>
        <r>
          <rPr>
            <sz val="9"/>
            <color indexed="81"/>
            <rFont val="Tahoma"/>
            <family val="2"/>
          </rPr>
          <t xml:space="preserve">
En général moyenne des 5 dernières année de la période explicite</t>
        </r>
      </text>
    </comment>
  </commentList>
</comments>
</file>

<file path=xl/comments8.xml><?xml version="1.0" encoding="utf-8"?>
<comments xmlns="http://schemas.openxmlformats.org/spreadsheetml/2006/main">
  <authors>
    <author>Yann de LASSAT</author>
    <author>YANN de LASSAT</author>
  </authors>
  <commentList>
    <comment ref="L4" authorId="0">
      <text>
        <r>
          <rPr>
            <sz val="8"/>
            <color indexed="81"/>
            <rFont val="Tahoma"/>
            <family val="2"/>
          </rPr>
          <t>Montant total immobilisé : valeur identique à celle de la cellule D26</t>
        </r>
      </text>
    </comment>
    <comment ref="A7" authorId="0">
      <text>
        <r>
          <rPr>
            <sz val="8"/>
            <color indexed="81"/>
            <rFont val="Tahoma"/>
            <family val="2"/>
          </rPr>
          <t>Unité monétaire utilisée - A fournir en symbole qui se reporte dans les cellules concernées (P3, P4, E35) et sur le graphe Cash-flows.</t>
        </r>
        <r>
          <rPr>
            <b/>
            <sz val="8"/>
            <color indexed="81"/>
            <rFont val="Tahoma"/>
            <family val="2"/>
          </rPr>
          <t xml:space="preserve">
</t>
        </r>
      </text>
    </comment>
    <comment ref="E9" authorId="0">
      <text>
        <r>
          <rPr>
            <sz val="8"/>
            <color indexed="81"/>
            <rFont val="Tahoma"/>
            <family val="2"/>
          </rPr>
          <t>Indiquer la première année des décaissements relatifs au projet</t>
        </r>
      </text>
    </comment>
    <comment ref="D11" authorId="0">
      <text>
        <r>
          <rPr>
            <sz val="8"/>
            <color indexed="81"/>
            <rFont val="Tahoma"/>
            <family val="2"/>
          </rPr>
          <t>Indiquer l'unité utilisée pour les volumes</t>
        </r>
      </text>
    </comment>
    <comment ref="D12" authorId="1">
      <text>
        <r>
          <rPr>
            <sz val="8"/>
            <color indexed="81"/>
            <rFont val="Tahoma"/>
            <family val="2"/>
          </rPr>
          <t>Les gains techniques peuvent découler :
- D’économies de matières premières, d’énergie ou de mise au mille
- D’économies de frais d’entretien des matériels
- D’améliorations du rendement 1er choix
- De gains de productivité de la main d’œuvre
- De réduction de redevances découlant d’une meilleure maîtrise de l’environnement (émissions, réduction des déchets…)
- De l’absorption de frais fixes dans le cas d’accroissements de production</t>
        </r>
      </text>
    </comment>
    <comment ref="D13" authorId="1">
      <text>
        <r>
          <rPr>
            <sz val="8"/>
            <color indexed="81"/>
            <rFont val="Tahoma"/>
            <family val="2"/>
          </rPr>
          <t xml:space="preserve">Les gains commerciaux ont deux sources :
- Les accroissements de capacité qui sont valorisés au RBE du produit considéré ;
- Les substitutions de produits valorisées à l’écart de RBE entre les produits en jeu.
</t>
        </r>
      </text>
    </comment>
    <comment ref="D14" authorId="1">
      <text>
        <r>
          <rPr>
            <sz val="8"/>
            <color indexed="81"/>
            <rFont val="Tahoma"/>
            <family val="2"/>
          </rPr>
          <t xml:space="preserve">- Les achats supplémentaires (matières premières, énergie, divers) ;
- Les charges supplémentaires induites par le projet, les charges de main d’œuvre sont valorisées au coût moyen de l’Unité ou du site ;
- Les surcoûts éventuels induits par le projet ;
- Les coûts d’entretien courant des matériels mis en œuvre, coûts qui sont souvent oubliés.
- La taxe professionnelle et les charges d’assurance
- Les charges de location, y compris les coûts éventuels de leasing.
</t>
        </r>
      </text>
    </comment>
    <comment ref="D15" authorId="0">
      <text>
        <r>
          <rPr>
            <sz val="8"/>
            <color indexed="81"/>
            <rFont val="Tahoma"/>
            <family val="2"/>
          </rPr>
          <t>Les gains techniques indiqués en ligne 12 sont actualisés en tenant compte du taux d'inflation indiqué en cellule O 39</t>
        </r>
      </text>
    </comment>
    <comment ref="D16" authorId="0">
      <text>
        <r>
          <rPr>
            <sz val="8"/>
            <color indexed="81"/>
            <rFont val="Tahoma"/>
            <family val="2"/>
          </rPr>
          <t>Les gains commerciaux indiqués en ligne 13 sont actualisés en tenant compte du taux d'inflation indiqué en cellule O 39</t>
        </r>
      </text>
    </comment>
    <comment ref="D17" authorId="0">
      <text>
        <r>
          <rPr>
            <sz val="8"/>
            <color indexed="81"/>
            <rFont val="Tahoma"/>
            <family val="2"/>
          </rPr>
          <t>Les dépenses d'exploitation indiquées en ligne 14 sont actualisées en tenant compte du taux d'inflation indiqué en cellule O 39</t>
        </r>
      </text>
    </comment>
    <comment ref="D18" authorId="1">
      <text>
        <r>
          <rPr>
            <sz val="8"/>
            <color indexed="81"/>
            <rFont val="Tahoma"/>
            <family val="2"/>
          </rPr>
          <t xml:space="preserve">- La partie non immobilisable du coût du projet ;
- Les charges de pré exploitation telles que les installations de chantier, les assurances en cours de construction, les coûts de sécurité du chantier, la formation des personnels d’exploitation et de maintenance ;
- L’assistance technique au démarrage
- Les surcoûts entre prix réels et prix cibles en période de montée en allure et les coûts des dépannages matières éventuels
- Les coûts des arrêts de ligne en période d ‘apprentissage au delà des arrêts programmés normaux
</t>
        </r>
      </text>
    </comment>
    <comment ref="D20" authorId="1">
      <text>
        <r>
          <rPr>
            <sz val="8"/>
            <color indexed="81"/>
            <rFont val="Tahoma"/>
            <family val="2"/>
          </rPr>
          <t xml:space="preserve">Ils couvrent les indemnités de départs des personnels ou de fermeture d’ateliers ou de sites.
</t>
        </r>
      </text>
    </comment>
    <comment ref="D23" authorId="1">
      <text>
        <r>
          <rPr>
            <sz val="8"/>
            <color indexed="81"/>
            <rFont val="Tahoma"/>
            <family val="2"/>
          </rPr>
          <t>Les montants d'amortissements sont calculés automatiquement à partir des décaissements d'immobilisations indiqués aux lignes 26 et 27 et des durées d'amortissement indiquées aux cellules P40 et P41.
La ligne n'est pas protégée et l'utilisateur peut indiquer directement les montants amortis année par année.</t>
        </r>
      </text>
    </comment>
    <comment ref="D24" authorId="1">
      <text>
        <r>
          <rPr>
            <sz val="8"/>
            <color indexed="81"/>
            <rFont val="Tahoma"/>
            <family val="2"/>
          </rPr>
          <t>Le taux d'imposition normatif est indiqué en cellule E41. L'utilisateur peut toutefois saisir des taux variables année par année en cas de changement de la législation fiscale.</t>
        </r>
      </text>
    </comment>
    <comment ref="D26" authorId="1">
      <text>
        <r>
          <rPr>
            <sz val="8"/>
            <color indexed="81"/>
            <rFont val="Tahoma"/>
            <family val="2"/>
          </rPr>
          <t>Somme des décaissements indiqués en cellules E26 à P26 :
- Coût des équipements et de la construction sans oublier l’environnement technique du projet (fluides et énergie) souvent sous-estimé ;
- Coûts informatiques, incluant les logiciels achetés et les dépenses d’analyse fonctionnelle, de programmation et de documentation pour les logiciels développés en interne ;
- Coût des études externes et quote-part des études réalisées en interne. Pour les études internes, on retiendra le plus souvent un pourcentage du coût total du projet ;</t>
        </r>
      </text>
    </comment>
    <comment ref="D27" authorId="1">
      <text>
        <r>
          <rPr>
            <sz val="8"/>
            <color indexed="81"/>
            <rFont val="Tahoma"/>
            <family val="2"/>
          </rPr>
          <t>Somme des décaissements indiqués aux cellules E27 à P 27 :
- Travaux neufs courants nécessaires au maintien en état de l’outil sur toute la durée de vie du projet</t>
        </r>
      </text>
    </comment>
    <comment ref="D28" authorId="1">
      <text>
        <r>
          <rPr>
            <sz val="8"/>
            <color indexed="81"/>
            <rFont val="Tahoma"/>
            <family val="2"/>
          </rPr>
          <t xml:space="preserve">Variation, en plus ou en moins, du besoin en fond de roulement à tous les stades de la filière, dans ses trois composantes :
Somme des valeurs indiquées aux cellules E28 à P28 :
- Stocks, en y incluant les pièces de rechange et l’en-cours de produit ;
- Crédit client qui pourra être valorisé au nombre de jours moyen de l’Unité à défaut d’une estimation précise et différenciée ;
- Dettes fournisseurs valorisées dans les mêmes conditions que le crédit client.
</t>
        </r>
      </text>
    </comment>
    <comment ref="C39" authorId="1">
      <text>
        <r>
          <rPr>
            <sz val="8"/>
            <color indexed="81"/>
            <rFont val="Tahoma"/>
            <family val="2"/>
          </rPr>
          <t>Valeur calculée à partir du cumul des cash flows disponibles. Données reportées automatiquement sur le graphique joint.</t>
        </r>
      </text>
    </comment>
    <comment ref="D40" authorId="1">
      <text>
        <r>
          <rPr>
            <sz val="8"/>
            <color indexed="81"/>
            <rFont val="Tahoma"/>
            <family val="2"/>
          </rPr>
          <t>Taux d'actualisation des cash flows disponibles. La valeur est reportée en cellule A28.</t>
        </r>
      </text>
    </comment>
  </commentList>
</comments>
</file>

<file path=xl/comments9.xml><?xml version="1.0" encoding="utf-8"?>
<comments xmlns="http://schemas.openxmlformats.org/spreadsheetml/2006/main">
  <authors>
    <author>Yann de LASSAT</author>
    <author>YANN de LASSAT</author>
    <author>Louis-Pascal Aussedat</author>
  </authors>
  <commentList>
    <comment ref="U4" authorId="0">
      <text>
        <r>
          <rPr>
            <sz val="8"/>
            <color indexed="81"/>
            <rFont val="Tahoma"/>
            <family val="2"/>
          </rPr>
          <t>Montant total immobilisé : valeur identique à celle de la cellule D26</t>
        </r>
      </text>
    </comment>
    <comment ref="A7" authorId="0">
      <text>
        <r>
          <rPr>
            <sz val="8"/>
            <color indexed="81"/>
            <rFont val="Tahoma"/>
            <family val="2"/>
          </rPr>
          <t>Unité monétaire utilisée - A fournir en symbole qui se reporte dans les cellules concernées (Y3, Y4, E35) et sur le graphe Cash-flows.</t>
        </r>
        <r>
          <rPr>
            <b/>
            <sz val="8"/>
            <color indexed="81"/>
            <rFont val="Tahoma"/>
            <family val="2"/>
          </rPr>
          <t xml:space="preserve">
</t>
        </r>
      </text>
    </comment>
    <comment ref="E9" authorId="0">
      <text>
        <r>
          <rPr>
            <sz val="8"/>
            <color indexed="81"/>
            <rFont val="Tahoma"/>
            <family val="2"/>
          </rPr>
          <t>Indiquer la première année des décaissements relatifs au projet</t>
        </r>
      </text>
    </comment>
    <comment ref="D11" authorId="0">
      <text>
        <r>
          <rPr>
            <sz val="8"/>
            <color indexed="81"/>
            <rFont val="Tahoma"/>
            <family val="2"/>
          </rPr>
          <t>Indiquer l'unité utilisée pour les volumes</t>
        </r>
      </text>
    </comment>
    <comment ref="D12" authorId="1">
      <text>
        <r>
          <rPr>
            <sz val="8"/>
            <color indexed="81"/>
            <rFont val="Tahoma"/>
            <family val="2"/>
          </rPr>
          <t>Les gains techniques peuvent découler :
- D’économies de matières premières, d’énergie ou de mise au mille
- D’économies de frais d’entretien des matériels
- D’améliorations du rendement 1er choix
- De gains de productivité de la main d’œuvre
- De réduction de redevances découlant d’une meilleure maîtrise de l’environnement (émissions, réduction des déchets…)
- De l’absorption de frais fixes dans le cas d’accroissements de production</t>
        </r>
      </text>
    </comment>
    <comment ref="D13" authorId="1">
      <text>
        <r>
          <rPr>
            <sz val="8"/>
            <color indexed="81"/>
            <rFont val="Tahoma"/>
            <family val="2"/>
          </rPr>
          <t xml:space="preserve">Les gains commerciaux ont deux sources :
- Les accroissements de capacité qui sont valorisés au RBE du produit considéré ;
- Les substitutions de produits valorisées à l’écart de RBE entre les produits en jeu.
</t>
        </r>
      </text>
    </comment>
    <comment ref="D14" authorId="1">
      <text>
        <r>
          <rPr>
            <sz val="8"/>
            <color indexed="81"/>
            <rFont val="Tahoma"/>
            <family val="2"/>
          </rPr>
          <t xml:space="preserve">- Les achats supplémentaires (matières premières, énergie, divers) ;
- Les charges supplémentaires induites par le projet, les charges de main d’œuvre sont valorisées au coût moyen de l’Unité ou du site ;
- Les surcoûts éventuels induits par le projet ;
- Les coûts d’entretien courant des matériels mis en œuvre, coûts qui sont souvent oubliés.
- La taxe professionnelle et les charges d’assurance
- Les charges de location, y compris les coûts éventuels de leasing.
</t>
        </r>
      </text>
    </comment>
    <comment ref="D15" authorId="0">
      <text>
        <r>
          <rPr>
            <sz val="8"/>
            <color indexed="81"/>
            <rFont val="Tahoma"/>
            <family val="2"/>
          </rPr>
          <t>Les gains techniques indiqués en ligne 12 sont actualisés en tenant compte du taux d'inflation indiqué en cellule X39</t>
        </r>
      </text>
    </comment>
    <comment ref="D16" authorId="0">
      <text>
        <r>
          <rPr>
            <sz val="8"/>
            <color indexed="81"/>
            <rFont val="Tahoma"/>
            <family val="2"/>
          </rPr>
          <t>Les gains commerciaux indiqués en ligne 13 sont actualisés en tenant compte du taux d'inflation indiqué en cellule X39</t>
        </r>
      </text>
    </comment>
    <comment ref="D17" authorId="0">
      <text>
        <r>
          <rPr>
            <sz val="8"/>
            <color indexed="81"/>
            <rFont val="Tahoma"/>
            <family val="2"/>
          </rPr>
          <t>Les dépenses d'exploitation indiquées en ligne 14 sont actualisées en tenant compte du taux d'inflation indiqué en cellule X39</t>
        </r>
      </text>
    </comment>
    <comment ref="D18" authorId="1">
      <text>
        <r>
          <rPr>
            <sz val="8"/>
            <color indexed="81"/>
            <rFont val="Tahoma"/>
            <family val="2"/>
          </rPr>
          <t xml:space="preserve">- La partie non immobilisable du coût du projet ;
- Les charges de pré exploitation telles que les installations de chantier, les assurances en cours de construction, les coûts de sécurité du chantier, la formation des personnels d’exploitation et de maintenance ;
- L’assistance technique au démarrage
- Les surcoûts entre prix réels et prix cibles en période de montée en allure et les coûts des dépannages matières éventuels
- Les coûts des arrêts de ligne en période d ‘apprentissage au delà des arrêts programmés normaux
</t>
        </r>
      </text>
    </comment>
    <comment ref="D20" authorId="1">
      <text>
        <r>
          <rPr>
            <sz val="8"/>
            <color indexed="81"/>
            <rFont val="Tahoma"/>
            <family val="2"/>
          </rPr>
          <t xml:space="preserve">Ils couvrent les indemnités de départs des personnels ou de fermeture d’ateliers ou de sites.
</t>
        </r>
      </text>
    </comment>
    <comment ref="D23" authorId="1">
      <text>
        <r>
          <rPr>
            <sz val="8"/>
            <color indexed="81"/>
            <rFont val="Tahoma"/>
            <family val="2"/>
          </rPr>
          <t>Les montants d'amortissements sont calculés automatiquement à partir des décaissements d'immobilisations indiqués aux lignes 26 et 27 et des durées d'amortissement indiquées aux cellules Y40 et Y41.
La ligne n'est pas protégée et l'utilisateur peut indiquer directement les montants amortis année par année.</t>
        </r>
      </text>
    </comment>
    <comment ref="D24" authorId="1">
      <text>
        <r>
          <rPr>
            <sz val="8"/>
            <color indexed="81"/>
            <rFont val="Tahoma"/>
            <family val="2"/>
          </rPr>
          <t>Le taux d'imposition normatif est indiqué en cellule E41. L'utilisateur peut toutefois saisir des taux variables année par année en cas de changement de la législation fiscale.</t>
        </r>
      </text>
    </comment>
    <comment ref="D26" authorId="1">
      <text>
        <r>
          <rPr>
            <sz val="8"/>
            <color indexed="81"/>
            <rFont val="Tahoma"/>
            <family val="2"/>
          </rPr>
          <t>Somme des décaissements indiqués en cellules E26 à Y26 :
- Coût des équipements et de la construction sans oublier l’environnement technique du projet (fluides et énergie) souvent sous-estimé ;
- Coûts informatiques, incluant les logiciels achetés et les dépenses d’analyse fonctionnelle, de programmation et de documentation pour les logiciels développés en interne ;
- Coût des études externes et quote-part des études réalisées en interne. Pour les études internes, on retiendra le plus souvent un pourcentage du coût total du projet ;</t>
        </r>
      </text>
    </comment>
    <comment ref="D27" authorId="1">
      <text>
        <r>
          <rPr>
            <sz val="8"/>
            <color indexed="81"/>
            <rFont val="Tahoma"/>
            <family val="2"/>
          </rPr>
          <t>Somme des décaissements indiqués aux cellules E27 à Y27 :
- Travaux neufs courants nécessaires au maintien en état de l’outil sur toute la durée de vie du projet</t>
        </r>
      </text>
    </comment>
    <comment ref="D28" authorId="1">
      <text>
        <r>
          <rPr>
            <sz val="8"/>
            <color indexed="81"/>
            <rFont val="Tahoma"/>
            <family val="2"/>
          </rPr>
          <t xml:space="preserve">Somme des valeurs indiquées aux cellules E28 à P28 :
Variation, en plus ou en moins, du besoin en fond de roulement à tous les stades de la filière, dans ses trois composantes :
- Stocks, en y incluant les pièces de rechange et l’en-cours de produit ;
- Crédit client qui pourra être valorisé au nombre de jours moyen de l’Unité à défaut d’une estimation précise et différenciée ;
- Dettes fournisseurs valorisées dans les mêmes conditions que le crédit client.
</t>
        </r>
      </text>
    </comment>
    <comment ref="C39" authorId="1">
      <text>
        <r>
          <rPr>
            <sz val="8"/>
            <color indexed="81"/>
            <rFont val="Tahoma"/>
            <family val="2"/>
          </rPr>
          <t>Valeur calculée à partir du cumul des cash flows disponibles. Données reportées automatiquement sur le graphique joint.</t>
        </r>
      </text>
    </comment>
    <comment ref="D40" authorId="1">
      <text>
        <r>
          <rPr>
            <sz val="8"/>
            <color indexed="81"/>
            <rFont val="Tahoma"/>
            <family val="2"/>
          </rPr>
          <t>Taux d'actualisation des cash flows disponibles. La valeur est reportée en cellule A32.</t>
        </r>
      </text>
    </comment>
    <comment ref="D120" authorId="2">
      <text>
        <r>
          <rPr>
            <b/>
            <sz val="9"/>
            <color indexed="81"/>
            <rFont val="Tahoma"/>
            <family val="2"/>
          </rPr>
          <t>Louis-Pascal Aussedat:</t>
        </r>
        <r>
          <rPr>
            <sz val="9"/>
            <color indexed="81"/>
            <rFont val="Tahoma"/>
            <family val="2"/>
          </rPr>
          <t xml:space="preserve">
En général moyenne des 5 dernières année de la période explicite</t>
        </r>
      </text>
    </comment>
  </commentList>
</comments>
</file>

<file path=xl/sharedStrings.xml><?xml version="1.0" encoding="utf-8"?>
<sst xmlns="http://schemas.openxmlformats.org/spreadsheetml/2006/main" count="4505" uniqueCount="1543">
  <si>
    <t>Poids copeaux transporté en big bag au retour sur un plateau (T) :</t>
  </si>
  <si>
    <t>Facteur de coût / N</t>
  </si>
  <si>
    <t>Facteur de coût (%) / N</t>
  </si>
  <si>
    <r>
      <t>=&gt; hypothèse</t>
    </r>
    <r>
      <rPr>
        <sz val="10"/>
        <rFont val="Arial"/>
      </rPr>
      <t xml:space="preserve"> : prise du coût MM avec X % en +  :</t>
    </r>
  </si>
  <si>
    <t>et d'un nettoyage chimique, de X % :</t>
  </si>
  <si>
    <t>Coût du transport aller des copeaux (€/kg) :</t>
  </si>
  <si>
    <t>Coût du transport aller des chutes (€/kg) :</t>
  </si>
  <si>
    <t>Coût du transport retour des copeaux (€/kg) :</t>
  </si>
  <si>
    <t>Coût du transport retour des chutes (€/kg) :</t>
  </si>
  <si>
    <t>Master Alloy 65%Al - 35%Va (€/kg)</t>
  </si>
  <si>
    <t>Prix chutes massives processées (€/kg) :</t>
  </si>
  <si>
    <t>Prix copeaux processés (€/kg) :</t>
  </si>
  <si>
    <t>Voir ci-dessous calcul du processing</t>
  </si>
  <si>
    <t>Coût de l'éponge (€/an) :</t>
  </si>
  <si>
    <t>Coût annuel du lit de fusion :</t>
  </si>
  <si>
    <t>Patrick DELABORDE (mini : 7, maxi 10) ($/kg) :</t>
  </si>
  <si>
    <t>Total (€/an) :</t>
  </si>
  <si>
    <t>Pourra être vendu</t>
  </si>
  <si>
    <t>Ventes de métal</t>
  </si>
  <si>
    <t>Prix du vente de nos lingot TA6V sur le marché :</t>
  </si>
  <si>
    <t>Prix de vente de nos chutes et copeaux TA6V sur le marché :</t>
  </si>
  <si>
    <t>SUBVENTIONS:</t>
  </si>
  <si>
    <t>FEDER (Fonds européen de développement régional):</t>
  </si>
  <si>
    <t>Investissements éligibles:</t>
  </si>
  <si>
    <t>Tx de subvention:</t>
  </si>
  <si>
    <t>(tx accordé à UKAD)</t>
  </si>
  <si>
    <t>Soit subvention de:</t>
  </si>
  <si>
    <t>PAT (prime aménagement du territoire):</t>
  </si>
  <si>
    <t>Nb d'emplois créés:</t>
  </si>
  <si>
    <t>Nouvelle unité</t>
  </si>
  <si>
    <t>Durée explicite (en nbre d'année)</t>
  </si>
  <si>
    <t>Voir ligne 110</t>
  </si>
  <si>
    <t>Calcul 1/2 invest.</t>
  </si>
  <si>
    <t>Lignes rajoutée pour</t>
  </si>
  <si>
    <t>calcul de la durée de</t>
  </si>
  <si>
    <t xml:space="preserve">remboursement sur </t>
  </si>
  <si>
    <t>1/2 investissement</t>
  </si>
  <si>
    <t>Mois</t>
  </si>
  <si>
    <t>Calcul de la valeur terminale</t>
  </si>
  <si>
    <t>Flux Moyen dans la période résiduelle</t>
  </si>
  <si>
    <t>Durée de la période résiduelle (en nbre d'année)</t>
  </si>
  <si>
    <t>Taux de croissance des flux en période résiduelle</t>
  </si>
  <si>
    <t>+ Récupération de BFR :</t>
  </si>
  <si>
    <t>+ valorisation du fond de commerce</t>
  </si>
  <si>
    <t>+ valeur de récupération</t>
  </si>
  <si>
    <t>- coûts de démantèlement</t>
  </si>
  <si>
    <t>-frais de remise en état du site</t>
  </si>
  <si>
    <t>= Flux de liquidation</t>
  </si>
  <si>
    <t>Valeur terminale</t>
  </si>
  <si>
    <t>Février 2014</t>
  </si>
  <si>
    <t>Janvier 2017</t>
  </si>
  <si>
    <t>Calcul de la subvention:</t>
  </si>
  <si>
    <t>k€/emploi</t>
  </si>
  <si>
    <t>Conseil général 63:</t>
  </si>
  <si>
    <t>FRAE (fonds régional d'ancrage des entreprises):</t>
  </si>
  <si>
    <t>Tx de la subvention:</t>
  </si>
  <si>
    <t>TOTAL DES SUBVENTIONS:</t>
  </si>
  <si>
    <t>Planning du versement des subventions:</t>
  </si>
  <si>
    <t>Années:</t>
  </si>
  <si>
    <t>Montant des subventions en k€:</t>
  </si>
  <si>
    <t>FEDER</t>
  </si>
  <si>
    <t>PAT</t>
  </si>
  <si>
    <t>CG 63</t>
  </si>
  <si>
    <t>FRAE</t>
  </si>
  <si>
    <t>TOTAL en k€:</t>
  </si>
  <si>
    <t>TOTAL en %:</t>
  </si>
  <si>
    <t>DNR répartis sur les différents lots</t>
  </si>
  <si>
    <t>Eligible FEDER</t>
  </si>
  <si>
    <t>Eligible CG63</t>
  </si>
  <si>
    <t>Eligible FRAE</t>
  </si>
  <si>
    <t>(maîtrise d'oeuvre).</t>
  </si>
  <si>
    <t>Rapport entre prix rebut et lingot (%) :</t>
  </si>
  <si>
    <t>Données Patrick DELABORDE pour la filière FeTi</t>
  </si>
  <si>
    <t>Prix vente de nos rebuts (€/kg) :</t>
  </si>
  <si>
    <t>Prix de vente de nos copeaux (€/kg) :</t>
  </si>
  <si>
    <t>Prix de vente de nos chutes (€/kg) :</t>
  </si>
  <si>
    <r>
      <t>Hypothèse</t>
    </r>
    <r>
      <rPr>
        <sz val="10"/>
        <rFont val="Arial"/>
      </rPr>
      <t xml:space="preserve"> : nos rebuts sont vendus dans la filière ferro titane car ils peuvent être pollués</t>
    </r>
  </si>
  <si>
    <t>Montant de vente de ces rebuts (€) :</t>
  </si>
  <si>
    <t>Montant de vente de ces copeaux (€) :</t>
  </si>
  <si>
    <t>Données Véronique ALMEIDA</t>
  </si>
  <si>
    <t xml:space="preserve">+ </t>
  </si>
  <si>
    <t>par an</t>
  </si>
  <si>
    <t>Poids copeaux transporté à l'aller dans un camion benne (grand volume) (T) :</t>
  </si>
  <si>
    <t>Données Véronique ALMEIDA : 20 big bags</t>
  </si>
  <si>
    <t>Données M. POREBSKI :</t>
  </si>
  <si>
    <t>Préventif mensuel de 8h, trimestriel de 3h et 3 semaines d'arrêt tous les 2,5 ans (==&gt; 1 semaine / an).</t>
  </si>
  <si>
    <t>D’où :</t>
  </si>
  <si>
    <t>h de préventif /an</t>
  </si>
  <si>
    <t xml:space="preserve">TOTAL ETAM : </t>
  </si>
  <si>
    <t>Nbr ETAM</t>
  </si>
  <si>
    <t>Production brut annuel (T) :</t>
  </si>
  <si>
    <t>Facteur de coût opérateur / N</t>
  </si>
  <si>
    <t>Facteur de coût ETAM / N</t>
  </si>
  <si>
    <t>Facteur de coût Ingénieur / N</t>
  </si>
  <si>
    <t>Prestations diverses (€) :</t>
  </si>
  <si>
    <t>Compte tenu du temps de qualification</t>
  </si>
  <si>
    <t>Données M. GUINOT (usinage) : pour enlevement de 7 mm/rayon =&gt; 18,5 h d'usinage à 120 €/h en coût complet aux ancizes, soit 2220 € / électrode</t>
  </si>
  <si>
    <t>Montant de la prestation d'usinage (€) :</t>
  </si>
  <si>
    <t>h d'usinage à</t>
  </si>
  <si>
    <t>€/h, soit</t>
  </si>
  <si>
    <t>€</t>
  </si>
  <si>
    <t>Opérateur (€) :</t>
  </si>
  <si>
    <t>ETAM (€) :</t>
  </si>
  <si>
    <t>Ingénieur (€) :</t>
  </si>
  <si>
    <t>Consommation de fusion (MWh)</t>
  </si>
  <si>
    <t>Consommation hors fusion (MWh)</t>
  </si>
  <si>
    <t>Montant de conso électrique (€)</t>
  </si>
  <si>
    <t>Montant de consommation (€)</t>
  </si>
  <si>
    <t>Total (€) :</t>
  </si>
  <si>
    <t>Brosses (€/an) :</t>
  </si>
  <si>
    <t>RQ : ALD nous affirme qu'il n'y a pas d'usinage avant refusion</t>
  </si>
  <si>
    <t>ALD et RETECH estime qu'il faut entre 15 et 30% d'éponge</t>
  </si>
  <si>
    <t>Retrait de 2% =&gt; donnée ALD</t>
  </si>
  <si>
    <t>Gap (mm) :</t>
  </si>
  <si>
    <t>Diamètre lingotière Cu (mm) :</t>
  </si>
  <si>
    <t>Pour ALD le gap doit être compris entre 50 et 60 mm.</t>
  </si>
  <si>
    <t>DNR (9,5%)</t>
  </si>
  <si>
    <t>Projet (11,5%)</t>
  </si>
  <si>
    <t>Préparation lingot :</t>
  </si>
  <si>
    <t>Données Pascal CHOVET : 915 mm avant forgeage</t>
  </si>
  <si>
    <t>Après usinage</t>
  </si>
  <si>
    <t>Production de lingots bons (T) avant usinage :</t>
  </si>
  <si>
    <t>Production de lingots bons usiné (T) :</t>
  </si>
  <si>
    <t>Donnée ALD</t>
  </si>
  <si>
    <t>ALD propose de prévoir le stub dans la mannequin de la lingotière EBCHR</t>
  </si>
  <si>
    <t>Feuille libre d'utilisation sous réserve de conserver cette ligne. © www.cbanque.com</t>
  </si>
  <si>
    <t>JxPret V2</t>
  </si>
  <si>
    <t>Lien mode d'emploi</t>
  </si>
  <si>
    <t>Caractéristiques du crédit</t>
  </si>
  <si>
    <t>Résultat du calcul</t>
  </si>
  <si>
    <t>Données calculées</t>
  </si>
  <si>
    <t>Montant emprunté :</t>
  </si>
  <si>
    <t>Nb total d'échéances :</t>
  </si>
  <si>
    <t>Taux d'intérêt annuel :</t>
  </si>
  <si>
    <t>Montant assurance :</t>
  </si>
  <si>
    <t>- dont différé :</t>
  </si>
  <si>
    <t>Durée en années :</t>
  </si>
  <si>
    <t>Coût total du crédit :</t>
  </si>
  <si>
    <t>- dont amortissement :</t>
  </si>
  <si>
    <t>dont différé (en années) :</t>
  </si>
  <si>
    <t>- dont intérêts :</t>
  </si>
  <si>
    <t>Durée totale en mois :</t>
  </si>
  <si>
    <t>Taux d'assurance :</t>
  </si>
  <si>
    <t>- dont assurance :</t>
  </si>
  <si>
    <t>Taux périodique :</t>
  </si>
  <si>
    <t>Date de déblocage :</t>
  </si>
  <si>
    <t>Capital remboursé :</t>
  </si>
  <si>
    <t>Calcul amortissement :</t>
  </si>
  <si>
    <t>Tableau d'amortissement</t>
  </si>
  <si>
    <t>Numéro</t>
  </si>
  <si>
    <t>Date</t>
  </si>
  <si>
    <t>Restant dû</t>
  </si>
  <si>
    <t>Intérêts</t>
  </si>
  <si>
    <t>Principal</t>
  </si>
  <si>
    <t>Assurance</t>
  </si>
  <si>
    <t>Échéance</t>
  </si>
  <si>
    <t>Paramètres avancés</t>
  </si>
  <si>
    <t>Choix</t>
  </si>
  <si>
    <t>Possible</t>
  </si>
  <si>
    <t>Mode de calcul :</t>
  </si>
  <si>
    <t>P</t>
  </si>
  <si>
    <t>A ou P</t>
  </si>
  <si>
    <t>Nb échéances / an :</t>
  </si>
  <si>
    <t>1, 2, 4 ou 12</t>
  </si>
  <si>
    <t>Nb décimales monnaie :</t>
  </si>
  <si>
    <t>0, 1, 2…</t>
  </si>
  <si>
    <t>Totaux</t>
  </si>
  <si>
    <t>JxPret</t>
  </si>
  <si>
    <t>ou mise en place du stub en fin de coulée dans la chambre de coulée</t>
  </si>
  <si>
    <t>Donc ces 4 opérations sont supprimées.</t>
  </si>
  <si>
    <t>Tps total de production / lingot (h) :</t>
  </si>
  <si>
    <t>Montant total d'amortissement annuel (€) :</t>
  </si>
  <si>
    <t>Coût des caisses / an (€) :</t>
  </si>
  <si>
    <t>Capacité d'electrode / VAR :</t>
  </si>
  <si>
    <t>ALD donne une descente en vide de 8 à 12h en début de campagne, soit toutes les 10 coulées, et donc en moyenne 1,2h/coulée</t>
  </si>
  <si>
    <t>ALD avance un chiffre de 30 mm !</t>
  </si>
  <si>
    <t>Coût de la maintenance :</t>
  </si>
  <si>
    <t>Taux annuel / investissement total (%) :</t>
  </si>
  <si>
    <t>Montant annuel de maintenance (€) :</t>
  </si>
  <si>
    <t>Evolution des facteur de coût de maintenance :</t>
  </si>
  <si>
    <t xml:space="preserve">Thierry BERNET donne un prix de </t>
  </si>
  <si>
    <t>Alu complémentaire (kg) :</t>
  </si>
  <si>
    <t>VA par MA à 55% Va (kg)</t>
  </si>
  <si>
    <t>Alu  par MA (kg)</t>
  </si>
  <si>
    <t>Apport Alu complémentaire (T)</t>
  </si>
  <si>
    <t>Compensation MA (T)</t>
  </si>
  <si>
    <t>d</t>
  </si>
  <si>
    <t>r</t>
  </si>
  <si>
    <t>S = (d²-1/4*Pi*r²)</t>
  </si>
  <si>
    <t>V = S * Pi * 920</t>
  </si>
  <si>
    <t>Si d=r=50 mm</t>
  </si>
  <si>
    <t>S= 0,005365</t>
  </si>
  <si>
    <t>V=1,55</t>
  </si>
  <si>
    <t>M = V * 4,42</t>
  </si>
  <si>
    <t>M=6,85 kg</t>
  </si>
  <si>
    <t>Sur 1 lingot rayonné T et P = 13,7 kg.</t>
  </si>
  <si>
    <t>Rayonnage/ sciage ==&gt;</t>
  </si>
  <si>
    <t xml:space="preserve">    300 mm de stub</t>
  </si>
  <si>
    <t>3 mm de coupe</t>
  </si>
  <si>
    <t>M = 4,42*Pi*300²/4*3</t>
  </si>
  <si>
    <t>M=0,937 kg / lingot</t>
  </si>
  <si>
    <t xml:space="preserve">METAL MANAGEMENT à  : </t>
  </si>
  <si>
    <t>GLODMAN TITANIUM à</t>
  </si>
  <si>
    <t xml:space="preserve">ELG donne un prix (€/kg) pour les chutes de: </t>
  </si>
  <si>
    <t>Chiffre CDG</t>
  </si>
  <si>
    <t>Données Contrôle de gestion (concerne l'investissement des machines)</t>
  </si>
  <si>
    <t>Estimation des coûts BE :</t>
  </si>
  <si>
    <t xml:space="preserve">Estimation des coûts Frais auxiliaires : </t>
  </si>
  <si>
    <t xml:space="preserve">Estimation des FGU : </t>
  </si>
  <si>
    <t>Tonnage (T)</t>
  </si>
  <si>
    <t>%</t>
  </si>
  <si>
    <t>Estimation des FGP :</t>
  </si>
  <si>
    <t>Valider avec le contrôle de gestion :</t>
  </si>
  <si>
    <t>On prend les salaires des ingénieurs + ETAM + Chef d'équipe.</t>
  </si>
  <si>
    <t>On prend un coût de loyer annuel de (€) :</t>
  </si>
  <si>
    <t>On prend un coût d'assurance annuel de (€) :</t>
  </si>
  <si>
    <t>On prend des divers (consommable …) de (€) :</t>
  </si>
  <si>
    <t>Données CDG, identique à UKAD</t>
  </si>
  <si>
    <t>BFR (€) :</t>
  </si>
  <si>
    <t>CAPITAUX ENGAGES (€) :</t>
  </si>
  <si>
    <t>R.O.C.E :</t>
  </si>
  <si>
    <t xml:space="preserve">Marge sur revient usine. R.O.C </t>
  </si>
  <si>
    <t>Chiffre CDG du PLT 2012/2016</t>
  </si>
  <si>
    <t>CDG = Jean François DUMAS</t>
  </si>
  <si>
    <t>IMMOBILISATIONS NETTES (€) :</t>
  </si>
  <si>
    <t>Autres prestations A&amp;D (RH, Sécurité…) :</t>
  </si>
  <si>
    <t>Taxe foncière (€) :</t>
  </si>
  <si>
    <t>Laboratoire A&amp;D (€) :</t>
  </si>
  <si>
    <t>Coût de qualification (€) :</t>
  </si>
  <si>
    <t>Total FGU (€) :</t>
  </si>
  <si>
    <t xml:space="preserve">Processing : </t>
  </si>
  <si>
    <t>1 semaine</t>
  </si>
  <si>
    <t>Collecteurs</t>
  </si>
  <si>
    <t>Conso électrique hors prod  (kW/t) :</t>
  </si>
  <si>
    <t>Consommation diverses (Electricité annexes, eau, air comprimé, gaz, traitement eau…) :</t>
  </si>
  <si>
    <t>Date de mise en service</t>
  </si>
  <si>
    <t>Annexe four : outillage</t>
  </si>
  <si>
    <t>Annexe VAR : nettoyage haute pression</t>
  </si>
  <si>
    <t>VRD</t>
  </si>
  <si>
    <t>SI + MES</t>
  </si>
  <si>
    <t>Montant amortissement (M€)</t>
  </si>
  <si>
    <t>total FG + Dotation</t>
  </si>
  <si>
    <t>Conso électrique annuelle nettoyage eau pour 500 cycles (kwh) :</t>
  </si>
  <si>
    <t>Evaluation de la rentabilité du projet d'investissement</t>
  </si>
  <si>
    <t xml:space="preserve">Unité : </t>
  </si>
  <si>
    <t xml:space="preserve">Société : </t>
  </si>
  <si>
    <t>Montant immobilisé :</t>
  </si>
  <si>
    <t xml:space="preserve">Site : </t>
  </si>
  <si>
    <t xml:space="preserve">Projet : </t>
  </si>
  <si>
    <t>Monnaie
constante</t>
  </si>
  <si>
    <t>Cash flow
généré par
l'exploitation
Monnaie
courante</t>
  </si>
  <si>
    <t>Variation de Résultat Brut d'Exploitation (RBE)</t>
  </si>
  <si>
    <t>Frais de restructurations</t>
  </si>
  <si>
    <t>Cash flow Généré par l'exploitation</t>
  </si>
  <si>
    <t>Calcul de l'impôt
décaissé</t>
  </si>
  <si>
    <t>Impôt sur les Sociétés</t>
  </si>
  <si>
    <t>Cash flow
utilisé par
l'exploitation</t>
  </si>
  <si>
    <t>Décaissements sur Investissement initial</t>
  </si>
  <si>
    <t>Répartions des capitaux propres au démarrage:</t>
  </si>
  <si>
    <t>TOTAL</t>
  </si>
  <si>
    <t>Décaissements sur Investissement de maintien</t>
  </si>
  <si>
    <t>Cash flow Disponible</t>
  </si>
  <si>
    <t>Cash flow Disponible Actualisé</t>
  </si>
  <si>
    <t>Cash flows disponibles actualisés cumulés</t>
  </si>
  <si>
    <t>Taux de Rentabilité Interne :</t>
  </si>
  <si>
    <t xml:space="preserve">Valeur créée : </t>
  </si>
  <si>
    <t xml:space="preserve">Valeur terminale en années de cash-flow : </t>
  </si>
  <si>
    <t xml:space="preserve">dont valeur terminale : </t>
  </si>
  <si>
    <t>Durée de Remboursement :</t>
  </si>
  <si>
    <t xml:space="preserve">Taux de rentabilité Interne : </t>
  </si>
  <si>
    <t>Cash flow disponible pour calcul TRI (incluant VT)</t>
  </si>
  <si>
    <t xml:space="preserve">Calcul des amortissements </t>
  </si>
  <si>
    <t>PAMCHR</t>
  </si>
  <si>
    <t>Données Société RST</t>
  </si>
  <si>
    <t>Consommation nettoyage eau (MWh) :</t>
  </si>
  <si>
    <t>Montant (€)</t>
  </si>
  <si>
    <t>Clients AD</t>
  </si>
  <si>
    <t>Transport</t>
  </si>
  <si>
    <t>Transport par collecteur</t>
  </si>
  <si>
    <t>ORGANIC (0,16% du CA) (€)</t>
  </si>
  <si>
    <t>Matières premières :</t>
  </si>
  <si>
    <t>Eponges, Masteralloys</t>
  </si>
  <si>
    <t>Transport : 1 jour</t>
  </si>
  <si>
    <t>Préparation des chutes : 3 jours</t>
  </si>
  <si>
    <t>Préparation des copeaux : 1 jour</t>
  </si>
  <si>
    <t>Stockage : 15 jours</t>
  </si>
  <si>
    <t>Stockage MP :</t>
  </si>
  <si>
    <t>Fusion EBCHR :</t>
  </si>
  <si>
    <t>11h</t>
  </si>
  <si>
    <t>13h</t>
  </si>
  <si>
    <t xml:space="preserve">Usinage : </t>
  </si>
  <si>
    <t>Données Pascal CHOVET : 7,3 T</t>
  </si>
  <si>
    <t>20h</t>
  </si>
  <si>
    <t>Mise en stock pour expedition :</t>
  </si>
  <si>
    <t xml:space="preserve">Transport par collecteur </t>
  </si>
  <si>
    <t>Cycle de fabrication de l'unité :</t>
  </si>
  <si>
    <t>Préparation chutes et copeaux :</t>
  </si>
  <si>
    <t>Mise en stock avant expédition :</t>
  </si>
  <si>
    <t>Semaine</t>
  </si>
  <si>
    <r>
      <t xml:space="preserve">durée moyenne : </t>
    </r>
    <r>
      <rPr>
        <b/>
        <sz val="10"/>
        <rFont val="Arial"/>
        <family val="2"/>
      </rPr>
      <t>3 semaines</t>
    </r>
  </si>
  <si>
    <t>Cycle BFR (depuis date d'achat, jusqu'à l'expédition) :</t>
  </si>
  <si>
    <t>1 semaine maxi</t>
  </si>
  <si>
    <t>Chutes copeaux achetés chez UKAD, nos clients et les collecteurs :</t>
  </si>
  <si>
    <t>Sources des processeurs</t>
  </si>
  <si>
    <t>Chutes copeaux achetés chez les processeurs avant traitement :</t>
  </si>
  <si>
    <t>Traitement chez les processeurs :</t>
  </si>
  <si>
    <t>Stockage dans l'unité :</t>
  </si>
  <si>
    <t>Frais R&amp;D</t>
  </si>
  <si>
    <t xml:space="preserve">  Frais R&amp;D</t>
  </si>
  <si>
    <t>Préparation chutes et copeaux dans l'unité :</t>
  </si>
  <si>
    <t>Fusion EBCHR, refusion VAR et usinage:</t>
  </si>
  <si>
    <t>Fusion EBCHR, refusion VAR et usinage :</t>
  </si>
  <si>
    <t>Mise en stock pour expédition :</t>
  </si>
  <si>
    <t>Stockage MP (éponges et master alloys) :</t>
  </si>
  <si>
    <t>Schéma de flux et BFR</t>
  </si>
  <si>
    <t>Electricité et utilités</t>
  </si>
  <si>
    <t>2 semaines</t>
  </si>
  <si>
    <t>3 semaines</t>
  </si>
  <si>
    <t>9 semaines</t>
  </si>
  <si>
    <t>Annexe VAR : 2 tours d'usinage / meuleuse ?</t>
  </si>
  <si>
    <t>Soit un cycle pour les master alloys de (semaine) :</t>
  </si>
  <si>
    <t>Hypothèse de paiement en achat et vente de (jours) :</t>
  </si>
  <si>
    <t>Transport : 1 à 3 jours</t>
  </si>
  <si>
    <t>Prix d'achat des chutes et copeaux de TA6V sur le marché libre :</t>
  </si>
  <si>
    <t>Prix d'achat de la tôles en titane CP :</t>
  </si>
  <si>
    <t>Prix d'achat des matières premières :</t>
  </si>
  <si>
    <t>Données Economie Circulaire</t>
  </si>
  <si>
    <t>Tonnage de lingot vendu en économie circulaire :</t>
  </si>
  <si>
    <t>Production de lingot (T) :</t>
  </si>
  <si>
    <t>Tonnage de lingot vendus en éco cir. (T) :</t>
  </si>
  <si>
    <t>Tonnage de lingot vendus classiquement (T) :</t>
  </si>
  <si>
    <t>Tonnage de chutes en retour (T) :</t>
  </si>
  <si>
    <t>Tonnage de copeaux en retour (T) :</t>
  </si>
  <si>
    <t>Prix d'achat des chutes et copeaux en TA6V en économie circulaire :</t>
  </si>
  <si>
    <t>Rappel : prix de lingot TA6V marché libre (€/kg) :</t>
  </si>
  <si>
    <t>Prix de vente économie circulaire en €/kg :</t>
  </si>
  <si>
    <t>Prix d'achat des chutes en économie circulaire (€/kg) :</t>
  </si>
  <si>
    <t>Prix d'achat des copeaux en économie circulaire (€/kg) :</t>
  </si>
  <si>
    <t>Coût direct (€/kg) :</t>
  </si>
  <si>
    <t>Coût complet (€/kg) (cd+fgp+fgu+amort)</t>
  </si>
  <si>
    <t>Equipes de production (VAR + usinage si existant) :</t>
  </si>
  <si>
    <t>Chutes et copeaux en économie circulaire :</t>
  </si>
  <si>
    <t>Coût des copeaux achetés en éco circulaire (avec processing et transport) (€/an) :</t>
  </si>
  <si>
    <t>Montant de vente de ces chutes en rebut (€) :</t>
  </si>
  <si>
    <t>ROCE Moyen :</t>
  </si>
  <si>
    <t>de lingots élaborés à partir de chutes UKAD + AD + retour clients économie circulaire</t>
  </si>
  <si>
    <t>Passage de 100 k€ à 200 k€ le 3/10/11 avec Jean François DUMAS</t>
  </si>
  <si>
    <t>Base : 2011 à 150 k€ avec 2% / an jusqu'en 2015, soit 162,365 k€</t>
  </si>
  <si>
    <t>Validé par Patrick DELABORDE</t>
  </si>
  <si>
    <t>N-3</t>
  </si>
  <si>
    <t>500T de chutes en retour client en 2020</t>
  </si>
  <si>
    <t>Calcul spécifique car il y a + de chutes internes que de besoin !</t>
  </si>
  <si>
    <t>1500T de chutes en retour client en 2020</t>
  </si>
  <si>
    <t>LIBELLE</t>
  </si>
  <si>
    <t>KEUR</t>
  </si>
  <si>
    <t>CHIFFRE D'AFFAIRES</t>
  </si>
  <si>
    <t xml:space="preserve">  Conso.MP &amp; Consommations</t>
  </si>
  <si>
    <t>Marge sur MP</t>
  </si>
  <si>
    <t xml:space="preserve">  Cons.énergie &amp; fluides</t>
  </si>
  <si>
    <t xml:space="preserve">  Autres mat.consommables</t>
  </si>
  <si>
    <t xml:space="preserve">  S/Traitance fabrication</t>
  </si>
  <si>
    <t xml:space="preserve">  S/Traitance d'entretien (+ BE )</t>
  </si>
  <si>
    <t xml:space="preserve">  Transports s/achats</t>
  </si>
  <si>
    <t xml:space="preserve">  Transports s/ventes</t>
  </si>
  <si>
    <t xml:space="preserve">  Commissions s/ventes</t>
  </si>
  <si>
    <t xml:space="preserve"> Frais auxiliaires de Production</t>
  </si>
  <si>
    <t>Marges/coûts variables</t>
  </si>
  <si>
    <t xml:space="preserve">  S/traitance générale</t>
  </si>
  <si>
    <t>N+11</t>
  </si>
  <si>
    <t>N+12</t>
  </si>
  <si>
    <t>N+13</t>
  </si>
  <si>
    <t>N+14</t>
  </si>
  <si>
    <t>N+15</t>
  </si>
  <si>
    <t>N+16</t>
  </si>
  <si>
    <t>N+17</t>
  </si>
  <si>
    <t>N+18</t>
  </si>
  <si>
    <t>N+19</t>
  </si>
  <si>
    <t>+</t>
  </si>
  <si>
    <t>/an &gt;=N+9</t>
  </si>
  <si>
    <t>/an jusqu'en N+8</t>
  </si>
  <si>
    <t>Retourneur à lingot</t>
  </si>
  <si>
    <t>Intérêts attendus en fin d'année € en cumul:</t>
  </si>
  <si>
    <t>Investisseurs en €:</t>
  </si>
  <si>
    <t>Total en €:</t>
  </si>
  <si>
    <t>UKAD en €:</t>
  </si>
  <si>
    <t>ADEME en €:</t>
  </si>
  <si>
    <t>Crédit Agricole en €:</t>
  </si>
  <si>
    <t>Montant</t>
  </si>
  <si>
    <t>Parts</t>
  </si>
  <si>
    <t>Intérêts attendus en fin d'année €:</t>
  </si>
  <si>
    <t>Total fin d'années en €:</t>
  </si>
  <si>
    <t>Nb de fois de l'EBITDA pour obtenir le taux de rendement attendu:</t>
  </si>
  <si>
    <t xml:space="preserve">Montant total des fonds propres avec les intérêts avec le rendement attendu: </t>
  </si>
  <si>
    <t>Crédit agricole:</t>
  </si>
  <si>
    <t>ADEME:</t>
  </si>
  <si>
    <t>UKAD:</t>
  </si>
  <si>
    <t>Montant total des capitaux propres:</t>
  </si>
  <si>
    <t>Soit pour l'ADEME:</t>
  </si>
  <si>
    <t>Montant total des capitaux propres en €:</t>
  </si>
  <si>
    <t>Soit pour le Crédit Agricole en €:</t>
  </si>
  <si>
    <t>Méthode de valorisation avec l'EBITDA:</t>
  </si>
  <si>
    <t>Méthode de valorisation sur fonds propres:</t>
  </si>
  <si>
    <t>Soit pour UKAD:</t>
  </si>
  <si>
    <t xml:space="preserve">  Locations</t>
  </si>
  <si>
    <t xml:space="preserve">  Crédits bail</t>
  </si>
  <si>
    <t xml:space="preserve">  Frais divers gestion</t>
  </si>
  <si>
    <t xml:space="preserve">  Personnel extérieur</t>
  </si>
  <si>
    <t xml:space="preserve">  Frais bancaires et assimilés</t>
  </si>
  <si>
    <t>Total consommation de services</t>
  </si>
  <si>
    <t>VALEUR AJOUTEE</t>
  </si>
  <si>
    <t xml:space="preserve">  Subvention d'exploitation</t>
  </si>
  <si>
    <t xml:space="preserve">  Impôts et taxes</t>
  </si>
  <si>
    <t xml:space="preserve">  Salaires &amp; charges sociales.</t>
  </si>
  <si>
    <t>EXEDENT BRUT EXPLOITATION</t>
  </si>
  <si>
    <t xml:space="preserve">  Var.prov.actif circulant</t>
  </si>
  <si>
    <t xml:space="preserve">  Autres charges et produits</t>
  </si>
  <si>
    <t>RESULTAT BRUT EXPLOITATION</t>
  </si>
  <si>
    <t xml:space="preserve">  Amortissements fiscaux</t>
  </si>
  <si>
    <t>RESULTAT D'EXPLOITATION</t>
  </si>
  <si>
    <t xml:space="preserve">  Int. C/C </t>
  </si>
  <si>
    <t xml:space="preserve">  Int. prêt MLT </t>
  </si>
  <si>
    <t xml:space="preserve">  Agios &amp; int.bancaires</t>
  </si>
  <si>
    <t xml:space="preserve">  Autres frais financiers</t>
  </si>
  <si>
    <t xml:space="preserve">  Produits financiers sur placements CT</t>
  </si>
  <si>
    <t>RESULTAT FINANCIER</t>
  </si>
  <si>
    <t>RESULTAT COURANT</t>
  </si>
  <si>
    <t>RESULTAT EXCEPTIONNEL</t>
  </si>
  <si>
    <t>RESULTAT NET</t>
  </si>
  <si>
    <t xml:space="preserve"> </t>
  </si>
  <si>
    <t>ACTIF IMMOBILISE</t>
  </si>
  <si>
    <t>IMMOS CORP/INCORP.</t>
  </si>
  <si>
    <t>IMMOS FINANCIERES</t>
  </si>
  <si>
    <t xml:space="preserve">  </t>
  </si>
  <si>
    <t>ACTIF DIVERS</t>
  </si>
  <si>
    <t xml:space="preserve">  Capital social non libéré.</t>
  </si>
  <si>
    <t>BESOINS  EN FONDS DE ROULEMENT</t>
  </si>
  <si>
    <t>BFR D'EXPLOITATION NET</t>
  </si>
  <si>
    <t xml:space="preserve">  Stocks et en-cours (*1)</t>
  </si>
  <si>
    <t xml:space="preserve">  Crédits clients (*2)(*3)</t>
  </si>
  <si>
    <t xml:space="preserve">  Fournisseurs d'exploitation</t>
  </si>
  <si>
    <t xml:space="preserve">  Créances et dettes sociales</t>
  </si>
  <si>
    <t xml:space="preserve">  Créances et dettes Etat</t>
  </si>
  <si>
    <t xml:space="preserve">  Autres créances et dettes d'exploitation.</t>
  </si>
  <si>
    <t>BFR HORS EXPLOITATION (NET)</t>
  </si>
  <si>
    <t xml:space="preserve">  Fournisseurs d'immos (dont FAR)</t>
  </si>
  <si>
    <t xml:space="preserve">  Autres créances et dettes hors exploitation</t>
  </si>
  <si>
    <t>TOTAL DE L'ACTIF</t>
  </si>
  <si>
    <t>CAPITAUX PROPRES</t>
  </si>
  <si>
    <t xml:space="preserve">  Capital social</t>
  </si>
  <si>
    <t xml:space="preserve">  Primes et réserves</t>
  </si>
  <si>
    <t xml:space="preserve">  Report à nouveau/résultat en attente</t>
  </si>
  <si>
    <t xml:space="preserve">  Résultat de l'exercice</t>
  </si>
  <si>
    <t xml:space="preserve">  Subventions d'invest.et prov règlementées</t>
  </si>
  <si>
    <t>PROVISIONS RISQUES ET CHARGES</t>
  </si>
  <si>
    <t xml:space="preserve">  Provisions à caractère social</t>
  </si>
  <si>
    <t xml:space="preserve">  Autres provisions risques et charges</t>
  </si>
  <si>
    <t>ENDETTEMENT MLT</t>
  </si>
  <si>
    <t xml:space="preserve">  Dettes MLT + ICNE</t>
  </si>
  <si>
    <t xml:space="preserve">  Emprunts obligataires + ICNE</t>
  </si>
  <si>
    <t>TRESORERIE</t>
  </si>
  <si>
    <t>TOTAL DU PASSIF</t>
  </si>
  <si>
    <t xml:space="preserve">  Endettement financier net</t>
  </si>
  <si>
    <t>EBITDA</t>
  </si>
  <si>
    <t>Coût de l'endettement + impôts sur les sociétés</t>
  </si>
  <si>
    <t>MARGE BRUTE D'AUTOFINANCEMENT (A)</t>
  </si>
  <si>
    <t>VARIAT. DU BFR D'EXPLOITATION (B)</t>
  </si>
  <si>
    <t xml:space="preserve">                   Stocks et en-cours</t>
  </si>
  <si>
    <t xml:space="preserve">                   Clients</t>
  </si>
  <si>
    <t xml:space="preserve">                   Fournisseurs d'exploitation</t>
  </si>
  <si>
    <t xml:space="preserve">                   Autres TVA à récupérer</t>
  </si>
  <si>
    <t xml:space="preserve">FLUX NET GENERE PAR L'ACTIVITE (A)+(B) </t>
  </si>
  <si>
    <t>Delta d'enfournement (t)</t>
  </si>
  <si>
    <t>Enfournement modèle économique (t)</t>
  </si>
  <si>
    <t>Delta de lingot (t)</t>
  </si>
  <si>
    <t>Subventions reçues</t>
  </si>
  <si>
    <t xml:space="preserve">Acquisition immo </t>
  </si>
  <si>
    <t>Variation BFR Immobilisations</t>
  </si>
  <si>
    <t>Acquisition immo financières</t>
  </si>
  <si>
    <t>FLUX D'INVESTISSEMENT (C)</t>
  </si>
  <si>
    <t>Capital versé</t>
  </si>
  <si>
    <t>Emprunt net</t>
  </si>
  <si>
    <t>Remboursement emprunt</t>
  </si>
  <si>
    <t>VARIATION ENDETTEMENT (A)+(B)+©</t>
  </si>
  <si>
    <t>Endettement net à l'ouverture</t>
  </si>
  <si>
    <t xml:space="preserve">Endettement net à la clôture </t>
  </si>
  <si>
    <t xml:space="preserve">Estimation des Frais de démarrage et transition : </t>
  </si>
  <si>
    <t>Montant (€/an) :</t>
  </si>
  <si>
    <t>Total :</t>
  </si>
  <si>
    <t>Temps mini conseillé par Henri POISSON</t>
  </si>
  <si>
    <t>ou</t>
  </si>
  <si>
    <t>ALD donne 6 personnes/ équipe, hors maintenance</t>
  </si>
  <si>
    <t>Maintenance :</t>
  </si>
  <si>
    <t>Agent de maintenance</t>
  </si>
  <si>
    <t>Estimation sur base des données C. FAISANDIER</t>
  </si>
  <si>
    <t>% éco circulaire en N+4 :</t>
  </si>
  <si>
    <t>sortie magasin (EPI, écrous, élingues…), entretien lingotières VAR,  achat de stub, travaux de sous traitance (nettoyage)</t>
  </si>
  <si>
    <t>Hypothèse faite avec les info ALD</t>
  </si>
  <si>
    <t>Formule appliquée qu'à partir de l'année N. Pour N-1, même formule mais calculer sans les charges de démarrage de l'équipe projet (750 k€) qui tombent en frais de personnel et conso, soit 2966€</t>
  </si>
  <si>
    <t>Coût processing et transport (€/an) :</t>
  </si>
  <si>
    <t>Coût processing et transport (€/kg) :</t>
  </si>
  <si>
    <t>Plaque d'amorcage en interne</t>
  </si>
  <si>
    <t>Identique à IV30 en VA</t>
  </si>
  <si>
    <t>Données CDG, identique coût assurance Elaboration sous vide VIM + VAR + ESR</t>
  </si>
  <si>
    <t>Même ordre de grandeur que IV30 dont 150 k€ d'inauguration</t>
  </si>
  <si>
    <t>Données Patrick DELABORDE.</t>
  </si>
  <si>
    <t>Directeur</t>
  </si>
  <si>
    <t>Nbr Directeur</t>
  </si>
  <si>
    <t>Directeur (€) :</t>
  </si>
  <si>
    <t>Amortissements des subventions</t>
  </si>
  <si>
    <t>N+9</t>
  </si>
  <si>
    <t>N+10</t>
  </si>
  <si>
    <t>Total</t>
  </si>
  <si>
    <t>Amortissements de la subvention :</t>
  </si>
  <si>
    <t>Forfait estimé : sortie magasin (EPI, écrous, élingues…), entretien lingotières four, travaux de sous traitance (nettoyage), Prestation fabrication caisses</t>
  </si>
  <si>
    <t>Données IV7</t>
  </si>
  <si>
    <t>Valeurs décidées le 2/4/2014 avec PDE, JFD, FGN, pour une fin de vie à 30 ans</t>
  </si>
  <si>
    <t>Proposé par Patrick DELABORDE</t>
  </si>
  <si>
    <t>Gains de productivité :</t>
  </si>
  <si>
    <t>Effectif opérateur</t>
  </si>
  <si>
    <t>Gain en % annuel</t>
  </si>
  <si>
    <t>Effectif retenu</t>
  </si>
  <si>
    <t>Effectif théorique</t>
  </si>
  <si>
    <t>Gain de productivité MO</t>
  </si>
  <si>
    <t>Gains sur transport :</t>
  </si>
  <si>
    <t>% compensé :</t>
  </si>
  <si>
    <t>Facteur de coût processing (%) / N</t>
  </si>
  <si>
    <t>Facteur de coût transport (%) / N</t>
  </si>
  <si>
    <t>Données CDG : photcopieuse, nettoyage bureaux, fournitures, notes de frais.</t>
  </si>
  <si>
    <t>Comme UKAD</t>
  </si>
  <si>
    <t>Total Décaissement (M€)</t>
  </si>
  <si>
    <t>Vente Corrosion</t>
  </si>
  <si>
    <t>Crédit agricole en €:</t>
  </si>
  <si>
    <t>Tx de rendement attendu:</t>
  </si>
  <si>
    <t>EBITDA en €</t>
  </si>
  <si>
    <t>Coût des massifs achétés sur marché libre (avec processing et transport) (€/an) :</t>
  </si>
  <si>
    <t>Coût des massifs achétés en éco circulaire (avec processing et transport) (€/an) :</t>
  </si>
  <si>
    <t>ROC (y compris subventions)+amortissement + frais de projet en charge sur N-3 et N-2. Frais de projet en charge N-1 mis dans le ROC de l'onglet exploitation ==&gt; Total 1650 k€ dont 150 k€ d'inauguration</t>
  </si>
  <si>
    <t>Nouveau calcul avec les modifications apportées le 8/12/2011</t>
  </si>
  <si>
    <t>Chutes marché libre à ($/kg) :</t>
  </si>
  <si>
    <t>Copeaux marché libre à ($/kg) :</t>
  </si>
  <si>
    <t xml:space="preserve">Marché spot à ($/kg) : </t>
  </si>
  <si>
    <t>Vente spot à ($/kg) :</t>
  </si>
  <si>
    <t>Prix vente corrigé ($/kg)</t>
  </si>
  <si>
    <t>b</t>
  </si>
  <si>
    <t>Montant de la R&amp;D :</t>
  </si>
  <si>
    <t>CA Lingots Ecoti (k$)</t>
  </si>
  <si>
    <t>Lingots (t)</t>
  </si>
  <si>
    <t>Demi-Produits UKAD (t)</t>
  </si>
  <si>
    <t>Massifs avant Négoce (t)</t>
  </si>
  <si>
    <t>Massifs Négoce (t)</t>
  </si>
  <si>
    <t>Massifs Economie Circulaire (t)</t>
  </si>
  <si>
    <t>Copeaux avant Négoce (t)</t>
  </si>
  <si>
    <t>Copeaux Négoce (t)</t>
  </si>
  <si>
    <t>Copeaux Economie Circulaire (t)</t>
  </si>
  <si>
    <t>Lingots issus du recyclage interne (t)</t>
  </si>
  <si>
    <t>Lingots issus du négoce utilisées (t)</t>
  </si>
  <si>
    <t>Potentiel Lingots issus du négoce non utilisés (t)</t>
  </si>
  <si>
    <t>Lingots à élaborer avec des chutes marché (t)</t>
  </si>
  <si>
    <t>Ratio Massif /Chutes</t>
  </si>
  <si>
    <t>Besoin Massifs (t)</t>
  </si>
  <si>
    <t>Besoin Copeaux (t)</t>
  </si>
  <si>
    <t>Massifs avant Négoce (k$)</t>
  </si>
  <si>
    <t>Massifs Négoce (k$)</t>
  </si>
  <si>
    <t>Massifs Economie Circulaire (k$)</t>
  </si>
  <si>
    <t>Copeaux avant Négoce (k$)</t>
  </si>
  <si>
    <t>Copeaux Négoce (k$)</t>
  </si>
  <si>
    <t>Copeaux Economie Circulaire (k$)</t>
  </si>
  <si>
    <t>Total Chutes Economie Circulaire (k$)</t>
  </si>
  <si>
    <t>Massifs Marché (k$)</t>
  </si>
  <si>
    <t>Copeaux Marché (k$)</t>
  </si>
  <si>
    <t>Total Achat Chutes Marché (k$)</t>
  </si>
  <si>
    <t>Total Achat Chutes (k$)</t>
  </si>
  <si>
    <t>Total Massifs (t)</t>
  </si>
  <si>
    <t>Total Copeaux (t)</t>
  </si>
  <si>
    <t>Total Chutes (t)</t>
  </si>
  <si>
    <t xml:space="preserve">Total Massifs procéssés (t) </t>
  </si>
  <si>
    <t xml:space="preserve">Total Copeaux procéssés (t) </t>
  </si>
  <si>
    <t>Total Chutes Procéssées (t)</t>
  </si>
  <si>
    <t>Enfournement (t)</t>
  </si>
  <si>
    <t>Va (€/kg)</t>
  </si>
  <si>
    <t>Eponge + MA (t)</t>
  </si>
  <si>
    <t>Alu par MA à 35% Va (kg)</t>
  </si>
  <si>
    <t>kg de MA</t>
  </si>
  <si>
    <t>VA complémentaire (kg) :</t>
  </si>
  <si>
    <t>Va  par MA (kg)</t>
  </si>
  <si>
    <t>dans :</t>
  </si>
  <si>
    <t>Bilan compensation Alu et Va sur 100kg de mélange d'éponge + MA :</t>
  </si>
  <si>
    <t>% Va dans MA (%)</t>
  </si>
  <si>
    <t>Poids d'éponge + MA à enfourner (T) :</t>
  </si>
  <si>
    <t>Coût du master alloys et Va complémentaire (€/an) :</t>
  </si>
  <si>
    <t>Entretiens Exceptionnels  :</t>
  </si>
  <si>
    <t>Taux (%)</t>
  </si>
  <si>
    <t xml:space="preserve"> au global (M€) :</t>
  </si>
  <si>
    <t>Répartition sur les 8 1ère années  (%) :</t>
  </si>
  <si>
    <r>
      <t xml:space="preserve">COPIER ET </t>
    </r>
    <r>
      <rPr>
        <b/>
        <sz val="10"/>
        <color indexed="12"/>
        <rFont val="Times New Roman"/>
        <family val="1"/>
      </rPr>
      <t>COLLER VALEUR</t>
    </r>
    <r>
      <rPr>
        <b/>
        <sz val="10"/>
        <color indexed="10"/>
        <rFont val="Times New Roman"/>
        <family val="1"/>
      </rPr>
      <t xml:space="preserve"> </t>
    </r>
  </si>
  <si>
    <t>Production annuelle PAMCHR + VAR :</t>
  </si>
  <si>
    <t>Montant Entretiens Exceptionnels annuel (€) :</t>
  </si>
  <si>
    <t>Evolution des facteurs de coût de transport routier et processing :</t>
  </si>
  <si>
    <t>Prix de vente en économie circulaire pour différentes valeurs des chutes et copeaux en retour</t>
  </si>
  <si>
    <t>Réunion de Juillet 2011</t>
  </si>
  <si>
    <t>Global à 0,5%</t>
  </si>
  <si>
    <t>Spécifique Alu 0% (info RETECH)</t>
  </si>
  <si>
    <t>Fonctionnement de l'installation PAMCHR</t>
  </si>
  <si>
    <t>Production annuelle PAMCHR :</t>
  </si>
  <si>
    <t>PAMCHR + Four Pilote :</t>
  </si>
  <si>
    <t>Données RETECH : 5375 kwh/t pour les torches, 635 kwh/t pour le MCC</t>
  </si>
  <si>
    <t>Conso électrique entre coulée (kWh/t) :</t>
  </si>
  <si>
    <t>Données RETECH</t>
  </si>
  <si>
    <t>Données RETECH : 481600 kwh/an en prod nominale, campagne de nettoyage toutes les 14 coulées, soit 41 nettoyages/an, soit 481600/41 = 11746</t>
  </si>
  <si>
    <t>Conso électrique pendant maintenance (kWh/t) :</t>
  </si>
  <si>
    <t>Conso électrique purification hélium (kWh/an) :</t>
  </si>
  <si>
    <t>Conso électrique Pesage /mélangeage (kWh/t) :</t>
  </si>
  <si>
    <t>Conso électrique par campagne (kWh/campagne) :</t>
  </si>
  <si>
    <t>Conso campagne nettoyage (MWh) :</t>
  </si>
  <si>
    <t>Consommation entre coulée (MWh) :</t>
  </si>
  <si>
    <t>Consommation de fusion (MWh) :</t>
  </si>
  <si>
    <t>Conso maintenance (MWH) :</t>
  </si>
  <si>
    <t>Conso unité Hélium (MWh) :</t>
  </si>
  <si>
    <t>Conso unité Pesage (MWh) :</t>
  </si>
  <si>
    <t>Données RETECH : Hypothèse d'une consommation proportionnelle au tonnage (50%)</t>
  </si>
  <si>
    <t>Données RETECH : part fixe</t>
  </si>
  <si>
    <t>Conso électrique purification hélium (kWh/t) :</t>
  </si>
  <si>
    <t>Par rapport à l'EB retrait de 300000 € de frais électrique</t>
  </si>
  <si>
    <t>Augmentation</t>
  </si>
  <si>
    <t>Base</t>
  </si>
  <si>
    <t>Pas de tole dans 1 plasma</t>
  </si>
  <si>
    <t>Thierry FERRANDON avec GFE : 43€/kg de Va contenu (35% de Va), soit 43x0,35=15,05€/kg de master alloy</t>
  </si>
  <si>
    <t>Sur base 2010, le prix lingot CP stable</t>
  </si>
  <si>
    <t>Données base 2010</t>
  </si>
  <si>
    <r>
      <t>=&gt; hypothèse</t>
    </r>
    <r>
      <rPr>
        <sz val="10"/>
        <rFont val="Arial"/>
      </rPr>
      <t xml:space="preserve"> : Augmentation du prix ELG pour tenir compte de découpe de nos grosses chutes</t>
    </r>
  </si>
  <si>
    <t>Coût des copeaux achetés sur marché libre (avec processing et transport) (€/an) :</t>
  </si>
  <si>
    <t>Prix du vente de nos lingot TA6V en économie circulaire :</t>
  </si>
  <si>
    <t>Prix d'achat des chutes processées en économie circulaire (€/kg) :</t>
  </si>
  <si>
    <t>Prix d'achat des copeaux processés en économie circulaire (€/kg) :</t>
  </si>
  <si>
    <t>Divers (€) :</t>
  </si>
  <si>
    <t>Données Patrick JEZ : 1 tour = 750 k€</t>
  </si>
  <si>
    <t>Ponts (1 pour EB, 1 pour VAR, 2 prépa)</t>
  </si>
  <si>
    <t>du montant total de l'investissement total</t>
  </si>
  <si>
    <t>Prix de revient (CC + MP) (€/kg) :</t>
  </si>
  <si>
    <t>Terrain</t>
  </si>
  <si>
    <t>Prix lingot CP grade 1 ($/kg) :</t>
  </si>
  <si>
    <t>Prix lingot CP grade 1 (€/kg) :</t>
  </si>
  <si>
    <t>Refusion (y compris masselotage)</t>
  </si>
  <si>
    <t>Chutes et copeaux générés au sein de l'unité et exploitable :</t>
  </si>
  <si>
    <t>Evaluation de la création de valeur du projet d'investissement</t>
  </si>
  <si>
    <t>Société :</t>
  </si>
  <si>
    <t>AD</t>
  </si>
  <si>
    <t>Montant total :</t>
  </si>
  <si>
    <t>Pour un retour proportionné en 40% chutes et 60% copeaux</t>
  </si>
  <si>
    <t>Eponge à 10 $/kg</t>
  </si>
  <si>
    <t>Parité à 1,4</t>
  </si>
  <si>
    <t>Copeaux ($/kg)</t>
  </si>
  <si>
    <t>Chutes massives ($/kg)</t>
  </si>
  <si>
    <t>Prix vente ($/kg)</t>
  </si>
  <si>
    <t>Site :</t>
  </si>
  <si>
    <t>Les Ancizes</t>
  </si>
  <si>
    <t>Dont montant immobilisé :</t>
  </si>
  <si>
    <t>Secteur :</t>
  </si>
  <si>
    <t>Date de première commande :</t>
  </si>
  <si>
    <t>Projet :</t>
  </si>
  <si>
    <t>Date de mise en service :</t>
  </si>
  <si>
    <t>Unité monétaire :</t>
  </si>
  <si>
    <t>Année</t>
  </si>
  <si>
    <t>Valeur créée :</t>
  </si>
  <si>
    <t>dont valeur terminale :</t>
  </si>
  <si>
    <t>Expéditions</t>
  </si>
  <si>
    <t>TRI :</t>
  </si>
  <si>
    <t>Monnaie constante</t>
  </si>
  <si>
    <t>1a</t>
  </si>
  <si>
    <t>Gains techniques</t>
  </si>
  <si>
    <t>Durée de remboursement :</t>
  </si>
  <si>
    <t>2a</t>
  </si>
  <si>
    <t>ADEME 1 :</t>
  </si>
  <si>
    <t>Gains commerciaux</t>
  </si>
  <si>
    <t>3a</t>
  </si>
  <si>
    <t>Dépenses d'exploitation supplémentaires</t>
  </si>
  <si>
    <t>Cash flow généré par l'exploitation                                   
Monnaie constante</t>
  </si>
  <si>
    <t>Branche :</t>
  </si>
  <si>
    <t>Frais de démarrage et transition</t>
  </si>
  <si>
    <t>Variation de EBE</t>
  </si>
  <si>
    <t>Frais de restructuration</t>
  </si>
  <si>
    <t>Impôt sur les sociétés décaissé</t>
  </si>
  <si>
    <t>Cash flow généré par l'exploitation</t>
  </si>
  <si>
    <t>Tax calculation</t>
  </si>
  <si>
    <t>Amortissements</t>
  </si>
  <si>
    <t>Taux d'imposition</t>
  </si>
  <si>
    <t>Impôt sur les sociétés</t>
  </si>
  <si>
    <t xml:space="preserve">Negative Cash Flows from this operation      </t>
  </si>
  <si>
    <t>Décaissements sur investissement initial</t>
  </si>
  <si>
    <t>Décaissements sur investissement de maintien</t>
  </si>
  <si>
    <t>Variation du BFR simplifié</t>
  </si>
  <si>
    <t>Cash flow utilisé par l'exploitation</t>
  </si>
  <si>
    <t>Cash flow disponible</t>
  </si>
  <si>
    <t>Cash flow disponible actualisé</t>
  </si>
  <si>
    <t>Cash flow disponibles actualisés cumulés</t>
  </si>
  <si>
    <t>Valeur créée par le projet :</t>
  </si>
  <si>
    <t>Valeur terminale :</t>
  </si>
  <si>
    <t>Valeur terminale actualisée :</t>
  </si>
  <si>
    <t>Taux de rentabilité interne :</t>
  </si>
  <si>
    <t>Valeur terminale en années de cash-flow :</t>
  </si>
  <si>
    <t>Taux de croissance des cash-flows :</t>
  </si>
  <si>
    <t>Taux d'inflation retenu :</t>
  </si>
  <si>
    <t>Coefficient d'actualisation (CMPC) :</t>
  </si>
  <si>
    <t>Durée d'amortissement de l'investissement initial :</t>
  </si>
  <si>
    <t>Taux d'impôt normatif :</t>
  </si>
  <si>
    <t>Durée d'amortissement de l'investissement de maintien :</t>
  </si>
  <si>
    <t>Date de début du calcul du remboursement :</t>
  </si>
  <si>
    <t>Taux d'actualisation des gains et dépenses :</t>
  </si>
  <si>
    <t>Taux d'actualisation des cash-flows :</t>
  </si>
  <si>
    <t>Cash flow disponible pour calcul TRI (incluant VT) :</t>
  </si>
  <si>
    <t>Calcul du temps de remboursement :</t>
  </si>
  <si>
    <t>Invt initial cumulé:</t>
  </si>
  <si>
    <t>1/2 invt total</t>
  </si>
  <si>
    <t>Années :</t>
  </si>
  <si>
    <t>Mois :</t>
  </si>
  <si>
    <t>Calcul des amortissements :</t>
  </si>
  <si>
    <t>Investissement initial :</t>
  </si>
  <si>
    <t>Investissement de maintien :</t>
  </si>
  <si>
    <t>Total des amortissements</t>
  </si>
  <si>
    <t>name</t>
  </si>
  <si>
    <t>type</t>
  </si>
  <si>
    <t>list_values</t>
  </si>
  <si>
    <t>array_size</t>
  </si>
  <si>
    <t>description</t>
  </si>
  <si>
    <t>comment</t>
  </si>
  <si>
    <t>ref_cell</t>
  </si>
  <si>
    <t>value</t>
  </si>
  <si>
    <t>tmpl_version</t>
  </si>
  <si>
    <t>text</t>
  </si>
  <si>
    <t>1.2.0</t>
  </si>
  <si>
    <t>tmpl_prof_first_year_range</t>
  </si>
  <si>
    <t>F9:F33</t>
  </si>
  <si>
    <t>tmpl_ws_profitability</t>
  </si>
  <si>
    <t>Rentabilité</t>
  </si>
  <si>
    <t>tmpl_ws_opprisks</t>
  </si>
  <si>
    <t>Opportunités et Risques</t>
  </si>
  <si>
    <t>g_unit</t>
  </si>
  <si>
    <t>NICKEL;MANGANESE;ALLOYS</t>
  </si>
  <si>
    <t>Branche</t>
  </si>
  <si>
    <t>g_company</t>
  </si>
  <si>
    <t>AIRFORGE;AUBERT ET DUVAL;BEAR - GCMC;BRONZAVIA INDUSTRIE;CFED, COMILOG ASIA FERRO ALLOYS;COMILOG DUNKERQUE;COMILOG FRANCE    ;COMILOG GUANGXI;COMILOG GUILIN;COMILOG HOLDING;COMILOG INTERNATIONAL;COMILOG LAUSANNE;COMILOG SA;COMILOG SHAOXING;COMILOG US;CRT;</t>
  </si>
  <si>
    <t>Société</t>
  </si>
  <si>
    <t>dépenses réelles.</t>
  </si>
  <si>
    <t>Ajout de 2/3 MS à 3?5% pour les œuvres sociales</t>
  </si>
  <si>
    <t>Alec MITCHELL</t>
  </si>
  <si>
    <t>Ajout le 8/4/2013</t>
  </si>
  <si>
    <t>Données Jean François DUMAS du 17 juin 2011</t>
  </si>
  <si>
    <t>g_location</t>
  </si>
  <si>
    <t>BALTIMORE;BOONTON;BOULOGNE SUR MER;CHAMPAGNOLE CEDEX;COMMENTRY;CORAOPOLIS;EDGWARE;FRANKFURT AM MAIN;FREEPORT;GRAVELINES;GRENOBLE;HAUTMONT;HILDEN;HONG KONG;ISSOIRE;LAUSANNE;SAINT ROMAIN DE COLBOSC;LUXEMBOURG (SENNINGERBERG);MADRID;MARIETTA;MEXICO;MOANDA;MÖ</t>
  </si>
  <si>
    <t>Site</t>
  </si>
  <si>
    <t>g_project</t>
  </si>
  <si>
    <t>Projet</t>
  </si>
  <si>
    <t>g_monetary_unit</t>
  </si>
  <si>
    <t>M€;M$</t>
  </si>
  <si>
    <t>Unité monétaire</t>
  </si>
  <si>
    <t>M€</t>
  </si>
  <si>
    <t>g_first_order_date</t>
  </si>
  <si>
    <t>date</t>
  </si>
  <si>
    <t>Date de première commande</t>
  </si>
  <si>
    <t>g_commissioning_date</t>
  </si>
  <si>
    <t>Commissioning date</t>
  </si>
  <si>
    <t>prof_nr_years</t>
  </si>
  <si>
    <t>integer</t>
  </si>
  <si>
    <t>prof_nr_years_max</t>
  </si>
  <si>
    <t>prof_nr_years_min</t>
  </si>
  <si>
    <t>prof_expeditions</t>
  </si>
  <si>
    <t>decimal</t>
  </si>
  <si>
    <t>Volumes expédiés</t>
  </si>
  <si>
    <t>prof_technical_gains</t>
  </si>
  <si>
    <t>Les gains techniques peuvent découler :
- D’économies de matières premières, d’énergie ou de mise au mille
- D’économies de frais d’entretien des matériels
- D’améliorations du rendement 1er choix
- De gains de productivité de la main d’œuvre
- De réducti</t>
  </si>
  <si>
    <t>E12</t>
  </si>
  <si>
    <t>prof_commercial_gains</t>
  </si>
  <si>
    <t>Les gains commerciaux ont deux sources :
- Les accroissements de capacité qui sont valorisés au RBE du produit considéré ;
- Les substitutions de produits valorisées à l’écart de RBE entre les produits en jeu.</t>
  </si>
  <si>
    <t>E13</t>
  </si>
  <si>
    <t>prof_add_op_expenses</t>
  </si>
  <si>
    <t>- Les achats supplémentaires (matières premières, énergie, divers) ;
- Les charges supplémentaires induites par le projet, les charges de main d’œuvre sont valorisées au coût moyen de l’Unité ou du site ;
- Les surcoûts éventuels induits par le projet ;
-</t>
  </si>
  <si>
    <t>E14</t>
  </si>
  <si>
    <t>prof_startup_costs</t>
  </si>
  <si>
    <t>E18</t>
  </si>
  <si>
    <t>prof_restruct_costs</t>
  </si>
  <si>
    <t>E20</t>
  </si>
  <si>
    <t>prof_tax_rate</t>
  </si>
  <si>
    <t>pct</t>
  </si>
  <si>
    <t>Taux d'imposition (si différent du taux normatif)</t>
  </si>
  <si>
    <t>E24</t>
  </si>
  <si>
    <t>prof_payments_initial_invt</t>
  </si>
  <si>
    <t>E26</t>
  </si>
  <si>
    <t>prof_payments_maint_invt</t>
  </si>
  <si>
    <t>E27</t>
  </si>
  <si>
    <t>prof_working_capital_change</t>
  </si>
  <si>
    <t>E28</t>
  </si>
  <si>
    <t>prof_expeditions_unit</t>
  </si>
  <si>
    <t>kt;mt</t>
  </si>
  <si>
    <t>Unité d'expédition</t>
  </si>
  <si>
    <t>D11</t>
  </si>
  <si>
    <t>prof_discount_rate</t>
  </si>
  <si>
    <t>Taux de discount</t>
  </si>
  <si>
    <t>prof_normative_tax_rate</t>
  </si>
  <si>
    <t>Taux d'imposition normatif</t>
  </si>
  <si>
    <t>prof_cash_flows_growth_rate</t>
  </si>
  <si>
    <t>Taux de croissance des cash-flows</t>
  </si>
  <si>
    <t>prof_inflation_rate</t>
  </si>
  <si>
    <t>Taux d'inflation retenu</t>
  </si>
  <si>
    <t>prof_deprec_time_initial_invt</t>
  </si>
  <si>
    <t>Durée d'amortissement de l'investissement initial</t>
  </si>
  <si>
    <t>prof_deprec_time_maint_invt</t>
  </si>
  <si>
    <t>Durée d'amortissement de l'investissement de maintien</t>
  </si>
  <si>
    <t>or_nr_items</t>
  </si>
  <si>
    <t>or_title</t>
  </si>
  <si>
    <t>Valeur créée</t>
  </si>
  <si>
    <t>&lt;&lt;Opportunité / Risque 1&gt;&gt;</t>
  </si>
  <si>
    <t>&lt;&lt;Opportunité / Risque 2&gt;&gt;</t>
  </si>
  <si>
    <t>&lt;&lt;Opportunité / Risque 3&gt;&gt;</t>
  </si>
  <si>
    <t>&lt;&lt;Opportunité / Risque 4&gt;&gt;</t>
  </si>
  <si>
    <t>or_created_value</t>
  </si>
  <si>
    <t>or_irr</t>
  </si>
  <si>
    <t>TRI</t>
  </si>
  <si>
    <t>Intitulé des opportunités ou risques</t>
  </si>
  <si>
    <t>Départ</t>
  </si>
  <si>
    <t>Base Tracé</t>
  </si>
  <si>
    <t>Variations
&gt;0 &gt;0</t>
  </si>
  <si>
    <t>Variations
&gt;0 &lt;0</t>
  </si>
  <si>
    <t>Variations
&lt;0 &gt;0</t>
  </si>
  <si>
    <t>Variations
&lt;0 &lt;0</t>
  </si>
  <si>
    <t>Variations Valeur</t>
  </si>
  <si>
    <t>Valeur cumulée</t>
  </si>
  <si>
    <t>Cas Delta</t>
  </si>
  <si>
    <t>Cas Base</t>
  </si>
  <si>
    <t>Taux de rentabilité interne</t>
  </si>
  <si>
    <t>Projet présenté</t>
  </si>
  <si>
    <t>Prix Alu 99,999% à 5,5 €/kg</t>
  </si>
  <si>
    <t>Le 22/1/3:</t>
  </si>
  <si>
    <t>Nouvelle Unité</t>
  </si>
  <si>
    <t>Décaissement :</t>
  </si>
  <si>
    <t>N-2</t>
  </si>
  <si>
    <t>N-1</t>
  </si>
  <si>
    <t>Acompte à la commande</t>
  </si>
  <si>
    <t>Remise des plans</t>
  </si>
  <si>
    <t>Reception chez fournisseurs</t>
  </si>
  <si>
    <t>Livraison sur site</t>
  </si>
  <si>
    <t>Acceptation provisoire</t>
  </si>
  <si>
    <t>Acceptation finale</t>
  </si>
  <si>
    <t>Nature des termes de paiement :</t>
  </si>
  <si>
    <t>1er Four VAR</t>
  </si>
  <si>
    <t>2ème four VAR :</t>
  </si>
  <si>
    <t>1er Four VAR :</t>
  </si>
  <si>
    <t>N+5</t>
  </si>
  <si>
    <t>N+6</t>
  </si>
  <si>
    <t>N+7</t>
  </si>
  <si>
    <t>N+8</t>
  </si>
  <si>
    <t>Termes de paiement Achats (%) :</t>
  </si>
  <si>
    <t>OUI</t>
  </si>
  <si>
    <t>NON</t>
  </si>
  <si>
    <t>Liste de validation :</t>
  </si>
  <si>
    <t>Décision de recycler les chutes et copeaux de l'unité (hors rebut) :</t>
  </si>
  <si>
    <t>Décision vente ou recyclage dans onglet Données EBCHR</t>
  </si>
  <si>
    <t>=&gt; Décision de vente les rebuts à l'industrie des Ferro Titane</t>
  </si>
  <si>
    <t>Tonnage de chutes générées (T) :</t>
  </si>
  <si>
    <t>Tonnage de copeaux générés (T) :</t>
  </si>
  <si>
    <t>des coûts des frais de personnel et consommables (Chiffre CDG)</t>
  </si>
  <si>
    <t>Evolution proportionnelle</t>
  </si>
  <si>
    <t>Copeaux UKAD seul (T) :</t>
  </si>
  <si>
    <t>Elimination des copeaux UKAD car risques présence nitrures</t>
  </si>
  <si>
    <t>UKAD + A&amp;D</t>
  </si>
  <si>
    <t>Soit un cycle complet pour les chutes+ copeaux UKAD + A&amp;D, collecteurs et clients  de (semaine) :</t>
  </si>
  <si>
    <t>Durée d'amorto des Entretiens Exceptionnels</t>
  </si>
  <si>
    <t>ans</t>
  </si>
  <si>
    <t>Année de l'EE :</t>
  </si>
  <si>
    <t>Soit un cycle complet pour les chutes + copeaux processeurs de (semaine) :</t>
  </si>
  <si>
    <t>Soit un cycle de fabrication dans l'unité de (semaine) :</t>
  </si>
  <si>
    <t>Unité EBCHR</t>
  </si>
  <si>
    <t>Prix chutes massives au plus bas historique ($/kg) :</t>
  </si>
  <si>
    <t>Prix copeaux au plus bas historique ($/kg) :</t>
  </si>
  <si>
    <t>Prix de vente économie circulaire en $/kg :</t>
  </si>
  <si>
    <t>Chiffre Daniel CAILLOT</t>
  </si>
  <si>
    <t>Chutes massives UKAD + AD (T) :</t>
  </si>
  <si>
    <t>Copeaux UKAD + AD (T) :</t>
  </si>
  <si>
    <t>Copeaux recyclable AD (T) :</t>
  </si>
  <si>
    <t>Copeaux UKAD+AD processés (T) :</t>
  </si>
  <si>
    <t>Chutes UKAD+AD processées (T) :</t>
  </si>
  <si>
    <t>Batiment (charpente, GCs, bureaux)</t>
  </si>
  <si>
    <t>Chutes et copeaux d'UKAD et AD :</t>
  </si>
  <si>
    <t>Chutes de l'unité processées (T) :</t>
  </si>
  <si>
    <t>Copeaux de l'unité processés (T) :</t>
  </si>
  <si>
    <t>Chutes en retour processées (T) :</t>
  </si>
  <si>
    <t>Copeaux en retour processés (T) :</t>
  </si>
  <si>
    <t>Chutes processées à acheter (T) :</t>
  </si>
  <si>
    <t>Copeaux processés à acheter (T) :</t>
  </si>
  <si>
    <t>Chutes et copeaux processées (T) :</t>
  </si>
  <si>
    <t>Répartition entre copeaux et chutes :</t>
  </si>
  <si>
    <t>De chutes d'après les chiffres de PRAXY</t>
  </si>
  <si>
    <t>De copeaux d'après les chiffres de PRAXY (note Patrick DELABORDE n° 2011 04 27 CR Rencontre Praxy Centre)</t>
  </si>
  <si>
    <t>Chutes non processées à acheter (T) :</t>
  </si>
  <si>
    <t>Copeaux non processés à acheter (T) :</t>
  </si>
  <si>
    <t>Poids total processé (T) :</t>
  </si>
  <si>
    <t>Progression dans l'amélioration du tri et de la collecte ?</t>
  </si>
  <si>
    <t>A acheter chez collecteurs et processeurs</t>
  </si>
  <si>
    <t>Restant de chutes et copeaux à acheter sur marché libre (hors retour UKAD et AD) :</t>
  </si>
  <si>
    <t>Poids total à acheter sur marché Libre (T) :</t>
  </si>
  <si>
    <t>3/5</t>
  </si>
  <si>
    <t>Durée Amortissement Economique</t>
  </si>
  <si>
    <t>Données prix marché sous-traitance d'après Patrick DELABORDE</t>
  </si>
  <si>
    <t>% de réduction / prix marché libre (%) :</t>
  </si>
  <si>
    <t>Total dispo interne processé (T) :</t>
  </si>
  <si>
    <t>Total dispo unité processé (T) :</t>
  </si>
  <si>
    <t>Coût des chutes générées par l'unité (avec processing et transport) (€/an) :</t>
  </si>
  <si>
    <t>Tonnage de lingot complémentaire en éco (T)</t>
  </si>
  <si>
    <t>Tonnage contrat éco circulaire (T) :</t>
  </si>
  <si>
    <t>A partir des massifs et copeaux en retour, vendu au prix éco circulaire</t>
  </si>
  <si>
    <t>Vendu à ($/kg) :</t>
  </si>
  <si>
    <t>Soit en €/kg :</t>
  </si>
  <si>
    <t>Coût des copeaux générés par l'unité (avec processing et transport) (€/an) :</t>
  </si>
  <si>
    <t>Poids chutes + copeaux à enfourner (T) :</t>
  </si>
  <si>
    <t>Annexe VAR : outillage (scie)</t>
  </si>
  <si>
    <t>Nombre de lingots bons / an :</t>
  </si>
  <si>
    <t>Pour info</t>
  </si>
  <si>
    <t>Base : 2011 à 45,3 k€ avec 2% / an jusqu'en 2015, soit 49,034 k€</t>
  </si>
  <si>
    <t>Base : 2011 à 35,9 k€ avec 2% / an jusqu'en 2015, soit 38,859 k€</t>
  </si>
  <si>
    <t>Base : 2011 à 102,44 k€ avec 2% / an jusqu'en 2015, soit 110,0884 k€</t>
  </si>
  <si>
    <t>Invest (M€) :</t>
  </si>
  <si>
    <t xml:space="preserve">Durée : </t>
  </si>
  <si>
    <t>IMMOBILISATIONS BRUTES (€) :</t>
  </si>
  <si>
    <t>R.O.C.E base immo brut:</t>
  </si>
  <si>
    <t>ROCE N+4 :</t>
  </si>
  <si>
    <t>base immo bruts</t>
  </si>
  <si>
    <t>Chutes et copeaux processés</t>
  </si>
  <si>
    <t>Bilan des chutes et copeaux UKAD+AD+Unité processés (T) :</t>
  </si>
  <si>
    <t>Copeaux processés(T) :</t>
  </si>
  <si>
    <t>Chutes processées (T) :</t>
  </si>
  <si>
    <t>TOTAL dispo UKAD+AD+Unité processé (T) :</t>
  </si>
  <si>
    <t>Poids chutes+copeaux processés à trouver (T) :</t>
  </si>
  <si>
    <t>Poids lingot généré en éco circu (T) :</t>
  </si>
  <si>
    <t>Chiffre d'Affaire clients</t>
  </si>
  <si>
    <t>Commandes internes</t>
  </si>
  <si>
    <t>Activité</t>
  </si>
  <si>
    <t>Consommation  Matières Premières</t>
  </si>
  <si>
    <t>Marge sur Matière</t>
  </si>
  <si>
    <t>Frais de personnel (dont interim)</t>
  </si>
  <si>
    <t>Maintenance</t>
  </si>
  <si>
    <t>Energie</t>
  </si>
  <si>
    <t>Marge sur coûts directs</t>
  </si>
  <si>
    <t>Frais généraux de production</t>
  </si>
  <si>
    <t>Dotation aux amortissements</t>
  </si>
  <si>
    <t>total couts directs</t>
  </si>
  <si>
    <t>BE</t>
  </si>
  <si>
    <t>N</t>
  </si>
  <si>
    <t>N+1</t>
  </si>
  <si>
    <t>N+2</t>
  </si>
  <si>
    <t>N+3</t>
  </si>
  <si>
    <t>N+4</t>
  </si>
  <si>
    <t>Consommables</t>
  </si>
  <si>
    <t>Frais auxiliaires</t>
  </si>
  <si>
    <t>Frais généraux entité</t>
  </si>
  <si>
    <t>Compte de résultat Four recyclage Titane</t>
  </si>
  <si>
    <t>Données ALD</t>
  </si>
  <si>
    <t>Formule de calcul</t>
  </si>
  <si>
    <t>Avance de fusion :</t>
  </si>
  <si>
    <t>Durée d'ouverture annuelle :</t>
  </si>
  <si>
    <t>Paramètres exploitant :</t>
  </si>
  <si>
    <t>Hauteur (mm) :</t>
  </si>
  <si>
    <t>Enfournement (kg/h) :</t>
  </si>
  <si>
    <t>Nbr semaine / an :</t>
  </si>
  <si>
    <t>Charge / capacité :</t>
  </si>
  <si>
    <t>Diamètre (mm) :</t>
  </si>
  <si>
    <t>Pertes :</t>
  </si>
  <si>
    <t>Nbr jour / semaine :</t>
  </si>
  <si>
    <t>Poids (kg) :</t>
  </si>
  <si>
    <t>Pertes Alu :</t>
  </si>
  <si>
    <t>Nbr d'heure / jour :</t>
  </si>
  <si>
    <t>Densité :</t>
  </si>
  <si>
    <t>Vitesse coulée (kg/h) :</t>
  </si>
  <si>
    <t>Temps d'ouverture atelier (h) :</t>
  </si>
  <si>
    <t>H/D :</t>
  </si>
  <si>
    <t>Vide chambre :</t>
  </si>
  <si>
    <t>Nombre de coulées / an :</t>
  </si>
  <si>
    <t>Poids total à enfourner (T) :</t>
  </si>
  <si>
    <t>Démarrage fusion :</t>
  </si>
  <si>
    <t>Capacité de production brut annuel (T) :</t>
  </si>
  <si>
    <t>en tps masqué</t>
  </si>
  <si>
    <t>Préparation trémie  :</t>
  </si>
  <si>
    <t>Masselottage :</t>
  </si>
  <si>
    <t>€/kg</t>
  </si>
  <si>
    <t>Avant VAR</t>
  </si>
  <si>
    <t>Refusion VAR :</t>
  </si>
  <si>
    <t>k€</t>
  </si>
  <si>
    <t>Paramètres maintenance :</t>
  </si>
  <si>
    <t>Taux de panne</t>
  </si>
  <si>
    <t>T1</t>
  </si>
  <si>
    <t>Mais si Alu-Va à 55% de Va, alors coût Alu-Va a 43x0,55=23,65€/kg soit 33,11$/kg</t>
  </si>
  <si>
    <t>T2</t>
  </si>
  <si>
    <t>T3</t>
  </si>
  <si>
    <t>T4</t>
  </si>
  <si>
    <t>Coulée n°</t>
  </si>
  <si>
    <t>durée d'intervention (Y compris test de redémarrage) en h</t>
  </si>
  <si>
    <t>Temps d'ouverture production (h) :</t>
  </si>
  <si>
    <t>Temps d'ouverture charge (h) :</t>
  </si>
  <si>
    <t>Dénomination intervention</t>
  </si>
  <si>
    <t xml:space="preserve">Toutes les 80 coulées, on cumule 82 d'heures de maintenance préventive </t>
  </si>
  <si>
    <t>1 coulée durant (h) :</t>
  </si>
  <si>
    <t xml:space="preserve">soit un coef de disponibilité (%) : </t>
  </si>
  <si>
    <t>Base 2012 : 66,48 €/MWH</t>
  </si>
  <si>
    <t>Temps d'élaboration (h):</t>
  </si>
  <si>
    <t>Rendement qualité :</t>
  </si>
  <si>
    <t>Rendement :</t>
  </si>
  <si>
    <t>Nombre de coulées bonnes / an :</t>
  </si>
  <si>
    <t>Nombre de coulées rebutées / an :</t>
  </si>
  <si>
    <t>Poids rebutés / an (T) :</t>
  </si>
  <si>
    <t>Préparation électrode :</t>
  </si>
  <si>
    <t>Poids perdu par électrode au tournage (kg) :</t>
  </si>
  <si>
    <t>Tonnage de copeaux générés par an (T)</t>
  </si>
  <si>
    <t>Dimensions électrode (mm) :</t>
  </si>
  <si>
    <t>Déchargement électrode :</t>
  </si>
  <si>
    <t>Temps de fusion / électrode</t>
  </si>
  <si>
    <t>Temps total de production / électrode :</t>
  </si>
  <si>
    <t>Fonctionnement VAR</t>
  </si>
  <si>
    <t>Profondeur de la passe au rayon (mm)</t>
  </si>
  <si>
    <t>Après VAR</t>
  </si>
  <si>
    <t>Poids galette (kg) :</t>
  </si>
  <si>
    <t>Epaisseur galette (mm)</t>
  </si>
  <si>
    <t>Recopie d'un autre onglet</t>
  </si>
  <si>
    <t>=&gt; à processer avant réenfournement</t>
  </si>
  <si>
    <t>Information Lilian MOREAUX :</t>
  </si>
  <si>
    <t>Vitesse moyenne refusion (kg/min) :</t>
  </si>
  <si>
    <t>Données Henri POISSON</t>
  </si>
  <si>
    <t>Coef de passage en vitesse moyenne refusion :</t>
  </si>
  <si>
    <t>Vitesse moyenne refusion en régime stabilisé (kg/min) :</t>
  </si>
  <si>
    <t>Coef de disponibilité installation :</t>
  </si>
  <si>
    <t>Données Henri POISSON : entre 12 et 14 kg/min</t>
  </si>
  <si>
    <t>Tonnage de chutes (galette) générés par an (T)</t>
  </si>
  <si>
    <t>Vide</t>
  </si>
  <si>
    <t>Isolement</t>
  </si>
  <si>
    <t>Changement pot</t>
  </si>
  <si>
    <t>Vitesse moyenne refusion (T/h) :</t>
  </si>
  <si>
    <t>Nettoyage du pot</t>
  </si>
  <si>
    <t>Mise en place électrode</t>
  </si>
  <si>
    <t>Vide pot</t>
  </si>
  <si>
    <t>Contrôle soudure stub</t>
  </si>
  <si>
    <t>Soudage stub</t>
  </si>
  <si>
    <t>Refroidissement du lingot refondu</t>
  </si>
  <si>
    <t>Sortie du lingot refondu</t>
  </si>
  <si>
    <t>Equipes de production :</t>
  </si>
  <si>
    <t>Supervision :</t>
  </si>
  <si>
    <t>Atelier :</t>
  </si>
  <si>
    <t>Préparation Charge :</t>
  </si>
  <si>
    <t>TOTAL :</t>
  </si>
  <si>
    <t xml:space="preserve">Administratifs (commun EBCHR + VAR) : </t>
  </si>
  <si>
    <t>Ingénieur :</t>
  </si>
  <si>
    <t xml:space="preserve">Méthode </t>
  </si>
  <si>
    <t>Qualité / process :</t>
  </si>
  <si>
    <t>Sécurité / Environnement / appro:</t>
  </si>
  <si>
    <t>Nbr Equipes</t>
  </si>
  <si>
    <t>Nbr Opérateurs</t>
  </si>
  <si>
    <t>Nbr Ingénieur</t>
  </si>
  <si>
    <t>Fonctionnement sur 5 jours :</t>
  </si>
  <si>
    <t>équipes</t>
  </si>
  <si>
    <t>Fonctionnement sur 7 jours :</t>
  </si>
  <si>
    <t>Changement lingotière :</t>
  </si>
  <si>
    <t>Mise en place mannequin de tirage :</t>
  </si>
  <si>
    <t>Nbr chefs d'équipe</t>
  </si>
  <si>
    <t>Nombre d'électrode à refondre :</t>
  </si>
  <si>
    <t>1 VAR</t>
  </si>
  <si>
    <t>2 VAR</t>
  </si>
  <si>
    <t>Nbr opérateurs / équipe :</t>
  </si>
  <si>
    <t>Données de gestion</t>
  </si>
  <si>
    <t>Année N =</t>
  </si>
  <si>
    <t>Consommation électrique :</t>
  </si>
  <si>
    <t>Coût du MWh (€/MWh)</t>
  </si>
  <si>
    <t>Consommation électrique fusion (kwh/t) :</t>
  </si>
  <si>
    <t>Solidification masselotte :</t>
  </si>
  <si>
    <t>Données d'investissement</t>
  </si>
  <si>
    <t>Four Pilote :</t>
  </si>
  <si>
    <t>ALD</t>
  </si>
  <si>
    <t>RETECH</t>
  </si>
  <si>
    <t>Retenu</t>
  </si>
  <si>
    <t>Montant de l'investissement (M€):</t>
  </si>
  <si>
    <t>…</t>
  </si>
  <si>
    <t>Unité de pesage et mélangeage :</t>
  </si>
  <si>
    <t>Equipement de préparation des chutes :</t>
  </si>
  <si>
    <t>Nombre de VAR</t>
  </si>
  <si>
    <t>Capacité de production d'électrodes bonnes (T) :</t>
  </si>
  <si>
    <t>Nombre de lingots rebutés / an :</t>
  </si>
  <si>
    <t>Evolution des frais de personnel :</t>
  </si>
  <si>
    <t>Evolution des frais d'électricité :</t>
  </si>
  <si>
    <t>Evolution des facteurs de coût pour les consommables :</t>
  </si>
  <si>
    <t>Consommables :</t>
  </si>
  <si>
    <t>Données Matières</t>
  </si>
  <si>
    <t>Prix en €/kg :</t>
  </si>
  <si>
    <t>Parité (1 € en $) :</t>
  </si>
  <si>
    <t xml:space="preserve">Origine du prix : </t>
  </si>
  <si>
    <t>Données Patrick DELABORDE</t>
  </si>
  <si>
    <t xml:space="preserve">Volume chambre : </t>
  </si>
  <si>
    <t>Tôles sur les 4 côtés + le plafond</t>
  </si>
  <si>
    <t>Poids d'un jeu de tôle (kg) :</t>
  </si>
  <si>
    <t>Tôles en CP, à changer toutes les :</t>
  </si>
  <si>
    <t>coulées</t>
  </si>
  <si>
    <t>Longueur (m) :</t>
  </si>
  <si>
    <t>Largeur (m) :</t>
  </si>
  <si>
    <t>Hauteur (m) :</t>
  </si>
  <si>
    <t>Tôle d'épaisseur (mm) :</t>
  </si>
  <si>
    <t>Poids de Tôles chambre fusion (T) :</t>
  </si>
  <si>
    <t>2 chambres de fusion =&gt; quand l'1 est utilisée, l'autre est en réfection</t>
  </si>
  <si>
    <t>Prix de la tôle (€/kg) :</t>
  </si>
  <si>
    <t>Prix ($/kg) :</t>
  </si>
  <si>
    <t>Coût des tôles / an (€) :</t>
  </si>
  <si>
    <t>Info ALD sur tôles chambre de fusion :</t>
  </si>
  <si>
    <t>Dimension caisse :</t>
  </si>
  <si>
    <t>Poids d'une caisse (kg) :</t>
  </si>
  <si>
    <t>Taux de remplissage (%) :</t>
  </si>
  <si>
    <t>Poids contenu / caisse (kg) :</t>
  </si>
  <si>
    <t>Prix du lingot double melt TA6V en vente sur le marché :</t>
  </si>
  <si>
    <t>Lit de fusion :</t>
  </si>
  <si>
    <t>Poids de copeaux processés (T) :</t>
  </si>
  <si>
    <t>Poids de chutes processées (T) :</t>
  </si>
  <si>
    <t>Poids copeaux à faire processer (T) :</t>
  </si>
  <si>
    <t>Poids chutes à faire processer (T) :</t>
  </si>
  <si>
    <t>Poids total à faire processer (T) :</t>
  </si>
  <si>
    <t>Poids qui sera enfourné dans le four</t>
  </si>
  <si>
    <t>Pertes au processing des chutes (%) :</t>
  </si>
  <si>
    <t>Pertes au processing des copeaux (%) :</t>
  </si>
  <si>
    <t>% d'éponges (%) :</t>
  </si>
  <si>
    <t>Poids d'éponge à enfourner (T) :</t>
  </si>
  <si>
    <t>% en poids de poussière dans éponge (%) :</t>
  </si>
  <si>
    <t>Four PAMCHR :</t>
  </si>
  <si>
    <t>personnes en 2020</t>
  </si>
  <si>
    <t>PAMCHR - COMPTE DE RESULTAT en KEuro</t>
  </si>
  <si>
    <t>PAMCHR - BILAN FINANCIER ACTIF en KEuro</t>
  </si>
  <si>
    <t>PAMCHR - FLUX DE TRESORERIE en Keuros</t>
  </si>
  <si>
    <t>Février 2013</t>
  </si>
  <si>
    <t>Janvier 2016</t>
  </si>
  <si>
    <t>Poids d'éponge à acheter (T) :</t>
  </si>
  <si>
    <t xml:space="preserve">Enfournement des chutes avec des caisses en CP : </t>
  </si>
  <si>
    <t>Info Anne-Pascale MOIROUX-LEMAIRE suite visite TIMET Morgantown</t>
  </si>
  <si>
    <t>Nombre de coulée / semaine :</t>
  </si>
  <si>
    <t>Nbr caisses en CP / an :</t>
  </si>
  <si>
    <t>Prix tôles CP 1 mm (€/kg) :</t>
  </si>
  <si>
    <t>Prix tôles CP 2 mm (€/kg) :</t>
  </si>
  <si>
    <t>Titane</t>
  </si>
  <si>
    <t>Alu</t>
  </si>
  <si>
    <t>Va</t>
  </si>
  <si>
    <t>Bilan des pertes de fusion sur 100 kg de TA6V enfournés :</t>
  </si>
  <si>
    <t>Total (kg)</t>
  </si>
  <si>
    <t>Donc il faut compenser :</t>
  </si>
  <si>
    <t>kg d'alu pour 100 kg de TA6V enfournés</t>
  </si>
  <si>
    <t>soit :</t>
  </si>
  <si>
    <t>kg d'alu par T de TA6V enfournés</t>
  </si>
  <si>
    <t>Natures des pertes :</t>
  </si>
  <si>
    <t>de perte</t>
  </si>
  <si>
    <t>Analyse TA6V avant fusion (kg)</t>
  </si>
  <si>
    <t>Eponge (kg)</t>
  </si>
  <si>
    <t>Eponge (€/kg) :</t>
  </si>
  <si>
    <t>Evolution de la parité € / $ :</t>
  </si>
  <si>
    <t>Rapport de coût copeaux non traités / lingot (%) :</t>
  </si>
  <si>
    <t>Rapport de coût massif non traités / lingot (%) :</t>
  </si>
  <si>
    <t>Prix chutes massives non traitées (€/kg) :</t>
  </si>
  <si>
    <t>Prix copeaux non traités (€/kg) :</t>
  </si>
  <si>
    <t>Equipement :</t>
  </si>
  <si>
    <t>Processing des chutes et copeaux :</t>
  </si>
  <si>
    <t>Thierry BERNET valide une perte de l'ordre de 20%.</t>
  </si>
  <si>
    <t>Coût du processing copeaux (€/kg) :</t>
  </si>
  <si>
    <t>$/lb</t>
  </si>
  <si>
    <t xml:space="preserve">soit : </t>
  </si>
  <si>
    <t>Coût du processing chutes (€/kg) :</t>
  </si>
  <si>
    <t>ELG donne un prix compris entre 0,5 à 0,8 €/kg (0,8 pour briquetage) mais sans contrôle RX</t>
  </si>
  <si>
    <t>Processing en Europe</t>
  </si>
  <si>
    <r>
      <t>=&gt; hypothèses</t>
    </r>
    <r>
      <rPr>
        <sz val="10"/>
        <rFont val="Arial"/>
      </rPr>
      <t xml:space="preserve"> de transport : </t>
    </r>
  </si>
  <si>
    <t>1250 km en camion benne pour aller au processeur</t>
  </si>
  <si>
    <t xml:space="preserve">Coût camion benne capa 25T  sur 1250 km (€) : </t>
  </si>
  <si>
    <t>Information Franck NADEL :</t>
  </si>
  <si>
    <t xml:space="preserve">Coût camion plateau capa 25T  sur 1250 km (€) : </t>
  </si>
  <si>
    <t>Poids chutes transporté dans un camion benne/ plateau (T) :</t>
  </si>
  <si>
    <t>1250 km en camion plateau (copeaux) / benne (chutes) depuis le processeur jusqu'aux Ancizes.</t>
  </si>
  <si>
    <t>Prix caisse unitaire ($)</t>
  </si>
  <si>
    <t>Prix caisse unitaire (€)</t>
  </si>
  <si>
    <t>Alu pellets (€/kg) au 15/11/2013</t>
  </si>
  <si>
    <t>Prix au 15/11/2013 du Va Al à 55% de VA (€/kg) :</t>
  </si>
  <si>
    <t>Compensation MA pour Va et partie Alu (T) :</t>
  </si>
  <si>
    <t>Apport Alu complémentaire (T) :</t>
  </si>
  <si>
    <t xml:space="preserve">uniquement </t>
  </si>
  <si>
    <t>rayonnage et pin's</t>
  </si>
  <si>
    <t>Equipement prépa chutes et parachèvement :</t>
  </si>
  <si>
    <t>gain achat</t>
  </si>
  <si>
    <t>Fin essai constructeur</t>
  </si>
  <si>
    <t>A partir de 2021, absorption de l'inflation par les gains de productivité sur les lignes en fond jaune</t>
  </si>
  <si>
    <t>ECOTITANIUM</t>
  </si>
  <si>
    <t>Détail fonctionnement projet immo:</t>
  </si>
  <si>
    <t>MOE</t>
  </si>
  <si>
    <t>MOA (2,5 ans d'équipe projet conception et key user finance)</t>
  </si>
  <si>
    <t>Autres (Dekra/Bureau Véritas...)</t>
  </si>
  <si>
    <t>TOTAL:</t>
  </si>
  <si>
    <t>Détail MOA:</t>
  </si>
  <si>
    <t>Equipe projet</t>
  </si>
  <si>
    <t>Personnes équipe projet immobilisées</t>
  </si>
  <si>
    <t>Expert</t>
  </si>
  <si>
    <t>Détail: 4 allers-retours Canada-Europe à 7k€ et 300€/j à raison de 3j/séjour + 20k€ de divers experts</t>
  </si>
  <si>
    <t>crédit impôt recherche?</t>
  </si>
  <si>
    <t>Notes de frais</t>
  </si>
  <si>
    <t>Détail: 4 allers-retours US-Europe de 5 k€ pour 2 pers et 40 k€ de frais autres.</t>
  </si>
  <si>
    <t>Détail fonctionnement projet charges et refacturation:</t>
  </si>
  <si>
    <t>Charges et refacturation:</t>
  </si>
  <si>
    <t>Assurance chantier</t>
  </si>
  <si>
    <t>Consommables et divers</t>
  </si>
  <si>
    <t>MO équipe projet et chef de projet DSI</t>
  </si>
  <si>
    <t>MO Maintenance int et externe</t>
  </si>
  <si>
    <t>MO Achat</t>
  </si>
  <si>
    <t>MO RH</t>
  </si>
  <si>
    <t>MO Compta et support finance</t>
  </si>
  <si>
    <t>Spring</t>
  </si>
  <si>
    <t>MO Autres</t>
  </si>
  <si>
    <t>Inauguration</t>
  </si>
  <si>
    <t xml:space="preserve">  Salaires &amp; charges sociales</t>
  </si>
  <si>
    <t>Voir l'onglet "équipe projet"</t>
  </si>
  <si>
    <t>UKAD</t>
  </si>
  <si>
    <t>ADEME</t>
  </si>
  <si>
    <t>CA</t>
  </si>
  <si>
    <t>Démarrage milieu d'année</t>
  </si>
  <si>
    <t>Oui</t>
  </si>
  <si>
    <t>Non</t>
  </si>
  <si>
    <t>Coût de location des bâtiments :</t>
  </si>
  <si>
    <t>Surface (m²) :</t>
  </si>
  <si>
    <t>Location bâtiments</t>
  </si>
  <si>
    <t>Coût total (€) :</t>
  </si>
  <si>
    <t>Coût au m² (€/m²/mois) :</t>
  </si>
  <si>
    <t>AUBERT et DUVAL Alliages</t>
  </si>
  <si>
    <t>K€</t>
  </si>
  <si>
    <t>Variation de RBE</t>
  </si>
  <si>
    <t>EcoTitanium</t>
  </si>
  <si>
    <t>Bâtiments</t>
  </si>
  <si>
    <t>Janvier 2014</t>
  </si>
  <si>
    <t>Février 2016</t>
  </si>
  <si>
    <t>Bâtiment</t>
  </si>
  <si>
    <t>Le 10/12/13</t>
  </si>
  <si>
    <t>Durée remboursement</t>
  </si>
  <si>
    <t>Montant loyer (€/m²)</t>
  </si>
  <si>
    <t>Loueur  (sur 20 ans) :</t>
  </si>
  <si>
    <t>Loueur  (sur 10 ans) :</t>
  </si>
  <si>
    <t>Cas 1</t>
  </si>
  <si>
    <t>Investissement (M€)</t>
  </si>
  <si>
    <t>Emprunt total (M€)</t>
  </si>
  <si>
    <t>CP 2014 (M€)</t>
  </si>
  <si>
    <t>CP 2015 (M€)</t>
  </si>
  <si>
    <t>CP 2016 (M€)</t>
  </si>
  <si>
    <t>11 ans 7 mois</t>
  </si>
  <si>
    <t>12 ans</t>
  </si>
  <si>
    <t>Intérêts (M€)</t>
  </si>
  <si>
    <t>&gt;12 ans</t>
  </si>
  <si>
    <t>15 ans 7 mois</t>
  </si>
  <si>
    <t>Cas 2</t>
  </si>
  <si>
    <t>Endettement net 2021 (M€)</t>
  </si>
  <si>
    <t>Endettement net 2023 (M€)</t>
  </si>
  <si>
    <t>11 ans 6 mois</t>
  </si>
  <si>
    <t>Cas 3</t>
  </si>
  <si>
    <t>11 ans 3 mois</t>
  </si>
  <si>
    <t>&gt;20 ans</t>
  </si>
  <si>
    <t>Mois 1</t>
  </si>
  <si>
    <t>Mois 2</t>
  </si>
  <si>
    <t>Mois 3</t>
  </si>
  <si>
    <t>Mois 4</t>
  </si>
  <si>
    <t>Mois 5</t>
  </si>
  <si>
    <t>Mois 6</t>
  </si>
  <si>
    <t>Mois 7</t>
  </si>
  <si>
    <t>Mois 8</t>
  </si>
  <si>
    <t>Mois 9</t>
  </si>
  <si>
    <t>Mois 10</t>
  </si>
  <si>
    <t>Mois 11</t>
  </si>
  <si>
    <t>Avant décalage :</t>
  </si>
  <si>
    <t>Tonnage</t>
  </si>
  <si>
    <t>Décalage de 6 mois :</t>
  </si>
  <si>
    <t>Hypothèses:</t>
  </si>
  <si>
    <t>Utilisation du tonnage calculé ci-dessus</t>
  </si>
  <si>
    <t>Variation au tonnage jusqu'en 2023 (année de rattrapage du calendrier initial)</t>
  </si>
  <si>
    <t>50% des montants prévus initialement jusu'en 2023 (année de rattrapage du calendrier initial)</t>
  </si>
  <si>
    <t>80% en N-1 et variation ensuite au tonnage jusqu'en 2023 (année de rattrapage du calendrier initial)</t>
  </si>
  <si>
    <t>Montant dérisoire: pas de changement par rapport aux versions précédentes</t>
  </si>
  <si>
    <t>Pas de changement par rapport aux versions précédentes</t>
  </si>
  <si>
    <t>Si location, il y a, l'année N-1, ECOTI ne payera qu'une moitié d'année</t>
  </si>
  <si>
    <t>ECOTI supportera que 50% des amortissements en année N</t>
  </si>
  <si>
    <t>ECOTI supportera que 50% des amortissements de la subvention en année N+2 (année de démarrage de l'amortissement des subventions)</t>
  </si>
  <si>
    <t>50% des frais de R&amp;D est reportés de l'année N-1 à l'année N</t>
  </si>
  <si>
    <t>Données de base et date de démarrage</t>
  </si>
  <si>
    <t>Termes de paiement</t>
  </si>
  <si>
    <t>=réception facture'</t>
  </si>
  <si>
    <t>indice ==&gt;</t>
  </si>
  <si>
    <t>A</t>
  </si>
  <si>
    <t>B</t>
  </si>
  <si>
    <t>C</t>
  </si>
  <si>
    <t>D</t>
  </si>
  <si>
    <t>E</t>
  </si>
  <si>
    <t>F</t>
  </si>
  <si>
    <t>G</t>
  </si>
  <si>
    <t>Unité de pesage et briquetage :</t>
  </si>
  <si>
    <t>Terrain (Avril 2014)</t>
  </si>
  <si>
    <t>Electricité (poste en aout 2015 et 1,2 M€)</t>
  </si>
  <si>
    <t>Autre Electricité et utilités</t>
  </si>
  <si>
    <t>Planning</t>
  </si>
  <si>
    <t>mois ==&gt;</t>
  </si>
  <si>
    <t>DNR</t>
  </si>
  <si>
    <t>Conditions de paiement</t>
  </si>
  <si>
    <t>Délai en mois de décaissement de l'acompte à la commande :</t>
  </si>
  <si>
    <t>Délai en mois des autres termes</t>
  </si>
  <si>
    <t>MAXI + 3 MOIS DE DECALAGE</t>
  </si>
  <si>
    <t xml:space="preserve">Type </t>
  </si>
  <si>
    <t>m+…</t>
  </si>
  <si>
    <t>Fournisseur Français à 45 jours = m+2</t>
  </si>
  <si>
    <t>Fournisseur Allemand à 60 jours fin de mois le 10</t>
  </si>
  <si>
    <t>Fournisseur Américains à 60 jours date facture</t>
  </si>
  <si>
    <t>Paiement équipe projet</t>
  </si>
  <si>
    <t>paiement en 1 seule fois</t>
  </si>
  <si>
    <t>Date de lancement de la commande</t>
  </si>
  <si>
    <t>Mois commande / T0</t>
  </si>
  <si>
    <t>Mois démarrage</t>
  </si>
  <si>
    <t>Date de démarage</t>
  </si>
  <si>
    <t>Date de démarrage:</t>
  </si>
  <si>
    <t>Mois de démarrage</t>
  </si>
  <si>
    <t>janvier</t>
  </si>
  <si>
    <t>février</t>
  </si>
  <si>
    <t>mars</t>
  </si>
  <si>
    <t>avril</t>
  </si>
  <si>
    <t>mai</t>
  </si>
  <si>
    <t>juin</t>
  </si>
  <si>
    <t>juillet</t>
  </si>
  <si>
    <t>août</t>
  </si>
  <si>
    <t>septembre</t>
  </si>
  <si>
    <t>octobre</t>
  </si>
  <si>
    <t>novembre</t>
  </si>
  <si>
    <t>décembre</t>
  </si>
  <si>
    <t>Résultats</t>
  </si>
  <si>
    <t>T0</t>
  </si>
  <si>
    <t>% des termes de paiement</t>
  </si>
  <si>
    <t>Montant des termes de paiement</t>
  </si>
  <si>
    <t>Positionnement du 1er terme de paiement</t>
  </si>
  <si>
    <t>Nbr de mois de décalage des termes de paiement</t>
  </si>
  <si>
    <t>Termes décaissement</t>
  </si>
  <si>
    <t>T1 - 2014</t>
  </si>
  <si>
    <t>T2 - 2014</t>
  </si>
  <si>
    <t>T3 - 2014</t>
  </si>
  <si>
    <t>T4 - 2014</t>
  </si>
  <si>
    <t>T1 - 2015</t>
  </si>
  <si>
    <t>T2 - 2015</t>
  </si>
  <si>
    <t>T3 - 2015</t>
  </si>
  <si>
    <t>T4 - 2015</t>
  </si>
  <si>
    <t>T1 - 2016</t>
  </si>
  <si>
    <t>T2 - 2016</t>
  </si>
  <si>
    <t>T3 - 2016</t>
  </si>
  <si>
    <t>T4 - 2016</t>
  </si>
  <si>
    <t>T1 - 2017</t>
  </si>
  <si>
    <t>T2 - 2017</t>
  </si>
  <si>
    <t>T3 - 2017</t>
  </si>
  <si>
    <t>T4 - 2017</t>
  </si>
  <si>
    <t>T1 - 2018</t>
  </si>
  <si>
    <t>T2 - 2018</t>
  </si>
  <si>
    <t>T3 - 2018</t>
  </si>
  <si>
    <t>T4 - 2018</t>
  </si>
  <si>
    <t>T1 - 2019</t>
  </si>
  <si>
    <t>T2 - 2019</t>
  </si>
  <si>
    <t>T3 - 2019</t>
  </si>
  <si>
    <t>T4 - 2019</t>
  </si>
  <si>
    <t>T1 - 2020</t>
  </si>
  <si>
    <t>T2 - 2020</t>
  </si>
  <si>
    <t>T3 - 2020</t>
  </si>
  <si>
    <t>T4 - 2020</t>
  </si>
  <si>
    <t>T1 - 2021</t>
  </si>
  <si>
    <t>T2 - 2021</t>
  </si>
  <si>
    <t>T3 - 2021</t>
  </si>
  <si>
    <t>T4 - 2021</t>
  </si>
  <si>
    <t>T1 - 2022</t>
  </si>
  <si>
    <t>T2 - 2022</t>
  </si>
  <si>
    <t>T3 - 2022</t>
  </si>
  <si>
    <t>T4 - 2022</t>
  </si>
  <si>
    <t>T1 - 2023</t>
  </si>
  <si>
    <t>T2 - 2023</t>
  </si>
  <si>
    <t>T3 - 2023</t>
  </si>
  <si>
    <t>T4 - 2023</t>
  </si>
  <si>
    <t>T1 - 2024</t>
  </si>
  <si>
    <t>T2 - 2024</t>
  </si>
  <si>
    <t>T3 - 2024</t>
  </si>
  <si>
    <t>T4 - 2024</t>
  </si>
  <si>
    <t>T1 - 2025</t>
  </si>
  <si>
    <t>T2 - 2025</t>
  </si>
  <si>
    <t>T3 - 2025</t>
  </si>
  <si>
    <t>T4 - 2025</t>
  </si>
  <si>
    <t>T1 - 2026</t>
  </si>
  <si>
    <t>T2 - 2026</t>
  </si>
  <si>
    <t>S1 - 2014</t>
  </si>
  <si>
    <t>S2 - 2014</t>
  </si>
  <si>
    <t>S1 - 2015</t>
  </si>
  <si>
    <t>S2 - 2015</t>
  </si>
  <si>
    <t>S1 - 2016</t>
  </si>
  <si>
    <t>S2 - 2016</t>
  </si>
  <si>
    <t>S1 - 2017</t>
  </si>
  <si>
    <t>S2 - 2017</t>
  </si>
  <si>
    <t>S1 - 2018</t>
  </si>
  <si>
    <t>S2 - 2018</t>
  </si>
  <si>
    <t>S1 - 2019</t>
  </si>
  <si>
    <t>S2 - 2019</t>
  </si>
  <si>
    <t>S1 - 2020</t>
  </si>
  <si>
    <t>S2 - 2020</t>
  </si>
  <si>
    <t>S1 - 2021</t>
  </si>
  <si>
    <t>S2 - 2021</t>
  </si>
  <si>
    <t>S1 - 2022</t>
  </si>
  <si>
    <t>S2 - 2022</t>
  </si>
  <si>
    <t>S1 - 2023</t>
  </si>
  <si>
    <t>S2 - 2023</t>
  </si>
  <si>
    <t>S1 - 2024</t>
  </si>
  <si>
    <t>S2 - 2024</t>
  </si>
  <si>
    <t>S1 - 2025</t>
  </si>
  <si>
    <t>S2 - 2025</t>
  </si>
  <si>
    <t>S1 - 2026</t>
  </si>
  <si>
    <t xml:space="preserve">Décaissements : </t>
  </si>
  <si>
    <t>A l'année</t>
  </si>
  <si>
    <t>Au semestre</t>
  </si>
  <si>
    <t>S1</t>
  </si>
  <si>
    <t>S2</t>
  </si>
  <si>
    <t>Au trimestre</t>
  </si>
  <si>
    <t>Au mois</t>
  </si>
  <si>
    <t>Nouveaux décaissements avec la date démarrage du planning suivants (M€) sur l'invest initial:</t>
  </si>
  <si>
    <t>bâtiments</t>
  </si>
  <si>
    <t>oui</t>
  </si>
  <si>
    <t>non</t>
  </si>
  <si>
    <t>charge</t>
  </si>
  <si>
    <t>100% (à partir d'août 2014)</t>
  </si>
  <si>
    <t>Comptable</t>
  </si>
  <si>
    <t>?</t>
  </si>
  <si>
    <t>ETAM</t>
  </si>
  <si>
    <t>immo</t>
  </si>
  <si>
    <t>100% (à partir d'avril 2014)</t>
  </si>
  <si>
    <t>Key user finance</t>
  </si>
  <si>
    <t>Ingénieur</t>
  </si>
  <si>
    <t>Chef de projet SI</t>
  </si>
  <si>
    <t>50% SI achat</t>
  </si>
  <si>
    <t>Acheteur</t>
  </si>
  <si>
    <t>Vincent Buges</t>
  </si>
  <si>
    <t>Sécurité/environnement</t>
  </si>
  <si>
    <t>Sophie Blino</t>
  </si>
  <si>
    <t>50% SI qualité/production</t>
  </si>
  <si>
    <t>Qualité/qualif/métallurgie/process</t>
  </si>
  <si>
    <t>Jessica Escaffre</t>
  </si>
  <si>
    <t>Assistante</t>
  </si>
  <si>
    <t>50% SI production</t>
  </si>
  <si>
    <t>MES + process/production</t>
  </si>
  <si>
    <t>MES +SI</t>
  </si>
  <si>
    <t>Invest</t>
  </si>
  <si>
    <t>Chargé d'Affaire</t>
  </si>
  <si>
    <t>Daniel Caillot</t>
  </si>
  <si>
    <t>Thierry Barre</t>
  </si>
  <si>
    <t>Projet Invest + Supervision SI</t>
  </si>
  <si>
    <t>Chef de projet</t>
  </si>
  <si>
    <t>Raymond Allier</t>
  </si>
  <si>
    <t>Commentaires</t>
  </si>
  <si>
    <t>Domaine</t>
  </si>
  <si>
    <t>Catégorie</t>
  </si>
  <si>
    <t>charges en k€</t>
  </si>
  <si>
    <t>immo en k€</t>
  </si>
  <si>
    <t>% pendant le décalage</t>
  </si>
  <si>
    <t>Masse salariale dans les FGP</t>
  </si>
  <si>
    <t>Frais de personnel et gains de productivité</t>
  </si>
  <si>
    <t>Frais divers de gestion</t>
  </si>
  <si>
    <t>Salaires et charges sociales</t>
  </si>
  <si>
    <t>FGP hors masse salariale</t>
  </si>
  <si>
    <t>FGU (dont refacturation des prestations AD)</t>
  </si>
  <si>
    <t>Charges et produits exceptionnels (échlonnement de la subvention)</t>
  </si>
  <si>
    <t>N-1
2017</t>
  </si>
  <si>
    <t>N
2018</t>
  </si>
  <si>
    <t>N+1
2019</t>
  </si>
  <si>
    <t>N+2
2020</t>
  </si>
  <si>
    <t>N+3
2021</t>
  </si>
  <si>
    <t>N+4
2022</t>
  </si>
  <si>
    <t>N+5
2023</t>
  </si>
  <si>
    <t>N+6
2024</t>
  </si>
  <si>
    <t>N+7
2025</t>
  </si>
  <si>
    <t>N+8
2026</t>
  </si>
  <si>
    <t>N+9
2027</t>
  </si>
  <si>
    <t>N+10
2028</t>
  </si>
  <si>
    <t>N+11
2029</t>
  </si>
  <si>
    <t>N+12
2030</t>
  </si>
  <si>
    <t>N+13
2031</t>
  </si>
  <si>
    <t>N+14
2032</t>
  </si>
  <si>
    <t>N+15
2033</t>
  </si>
  <si>
    <t>N+16
2034</t>
  </si>
  <si>
    <t>N+17
2035</t>
  </si>
  <si>
    <t>N+18
2036</t>
  </si>
  <si>
    <t>N+19
2037</t>
  </si>
  <si>
    <t>Décembre 2014</t>
  </si>
  <si>
    <t>Juillet 2017</t>
  </si>
  <si>
    <t>Budget en M€</t>
  </si>
  <si>
    <t>Budget</t>
  </si>
  <si>
    <t>LEAD Time</t>
  </si>
  <si>
    <t xml:space="preserve">Lead Time entre commande </t>
  </si>
  <si>
    <t>et réception provisoire E</t>
  </si>
  <si>
    <t>% payer à</t>
  </si>
  <si>
    <t>réception provisoire</t>
  </si>
  <si>
    <t>% à essai Constructeur</t>
  </si>
  <si>
    <t>janvier 2015</t>
  </si>
  <si>
    <t>Nbr Ingé Com</t>
  </si>
  <si>
    <t>Nbr ETAM Com</t>
  </si>
  <si>
    <t>dont frais de qualification</t>
  </si>
  <si>
    <t>Coût personnel équipe commerciale (€) :</t>
  </si>
  <si>
    <t>Frais équipe commerciale (€) :</t>
  </si>
  <si>
    <t>Étiquettes de lignes</t>
  </si>
  <si>
    <t xml:space="preserve"> Montant</t>
  </si>
  <si>
    <t>en charge</t>
  </si>
  <si>
    <t>en immo</t>
  </si>
  <si>
    <t>Emargt DELABORDE ECOTITANIUM 2013</t>
  </si>
  <si>
    <t>ERAMET INGENIERIE</t>
  </si>
  <si>
    <t>LOGOE Etude Flux</t>
  </si>
  <si>
    <t>Benoît Delvincourt</t>
  </si>
  <si>
    <t>URS FRANCE SAS</t>
  </si>
  <si>
    <t>Vincent Buge</t>
  </si>
  <si>
    <t>CVA</t>
  </si>
  <si>
    <t>CABINET BISIO ET ASSOCIES</t>
  </si>
  <si>
    <t>Note de frais</t>
  </si>
  <si>
    <t>ANDRE JALICON - ARCHITECTE</t>
  </si>
  <si>
    <t>GINGER CEBTP</t>
  </si>
  <si>
    <t>Total général</t>
  </si>
  <si>
    <t>il manque T. Barre et D. Caillot</t>
  </si>
  <si>
    <t>à partir de juin</t>
  </si>
  <si>
    <t>à partir de mai</t>
  </si>
  <si>
    <t>Refacturation 2013 EcoTitanium</t>
  </si>
  <si>
    <t>MO siège</t>
  </si>
  <si>
    <t>Réalisé</t>
  </si>
  <si>
    <t>Compte courant d'associés</t>
  </si>
  <si>
    <t xml:space="preserve">  Compte courant d'associés</t>
  </si>
  <si>
    <t xml:space="preserve">  Impôts sociétés</t>
  </si>
  <si>
    <t>Logistique / Achat</t>
  </si>
  <si>
    <t xml:space="preserve">Roc </t>
  </si>
  <si>
    <t>Marge contributive</t>
  </si>
  <si>
    <t>BP 2022 (€)</t>
  </si>
  <si>
    <t>BP 2022 ($)</t>
  </si>
  <si>
    <t>% MCO</t>
  </si>
  <si>
    <t>Prix de vente Lingot</t>
  </si>
  <si>
    <t>Sans retour</t>
  </si>
  <si>
    <t>MCO $/kg</t>
  </si>
  <si>
    <t>MCO €/kg</t>
  </si>
  <si>
    <t>Parité</t>
  </si>
  <si>
    <t xml:space="preserve">Parité </t>
  </si>
  <si>
    <t>Standard 16,50 $/kg
Sans retour SAFRAN</t>
  </si>
  <si>
    <t>Standard 14,84 $/kg
Avec 50% retour</t>
  </si>
  <si>
    <t>PQ 19,5 $/kg
Sans retour SAFRAN</t>
  </si>
  <si>
    <t>PQ 17,84 $/kg
Avec 50% retour</t>
  </si>
  <si>
    <t>50 % retour</t>
  </si>
  <si>
    <t>ROC €/kg</t>
  </si>
  <si>
    <t>Amortissement</t>
  </si>
  <si>
    <t>Amortiss €/kg</t>
  </si>
  <si>
    <t>EBIT  Nul €/kg</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</si>
</sst>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3" formatCode="_-* #,##0.00\ _€_-;\-* #,##0.00\ _€_-;_-* &quot;-&quot;??\ _€_-;_-@_-"/>
    <numFmt numFmtId="164" formatCode="#,##0_ ;[Red]\-#,##0\ "/>
    <numFmt numFmtId="165" formatCode="#,##0_ ;\-#,##0\ "/>
    <numFmt numFmtId="166" formatCode="0.000"/>
    <numFmt numFmtId="167" formatCode="0.0"/>
    <numFmt numFmtId="168" formatCode="0.0%"/>
    <numFmt numFmtId="169" formatCode="#,##0.00_ ;[Red]\-#,##0.00\ "/>
    <numFmt numFmtId="170" formatCode="#,##0.0"/>
    <numFmt numFmtId="171" formatCode="#,##0.000"/>
    <numFmt numFmtId="172" formatCode="_-* #,##0.00\ _F_-;\-* #,##0.00\ _F_-;_-* &quot;-&quot;??\ _F_-;_-@_-"/>
    <numFmt numFmtId="173" formatCode="&quot;Actualisé à : &quot;0.00%"/>
    <numFmt numFmtId="174" formatCode="0&quot; ans&quot;"/>
    <numFmt numFmtId="175" formatCode="_-* #,##0\ _F_-;\-* #,##0\ _F_-;_-* &quot;-&quot;??\ _F_-;_-@_-"/>
    <numFmt numFmtId="176" formatCode="&quot;Valeur créée : &quot;#,##0&quot; &quot;"/>
    <numFmt numFmtId="177" formatCode="0&quot; month&quot;"/>
    <numFmt numFmtId="178" formatCode="0&quot; year&quot;"/>
    <numFmt numFmtId="179" formatCode="mm/yyyy"/>
    <numFmt numFmtId="180" formatCode="#,##0,"/>
    <numFmt numFmtId="181" formatCode="##,#00,&quot; &quot;;\(#,##0,&quot; &quot;\)"/>
    <numFmt numFmtId="182" formatCode="#,##0,;\(#,##0,\)"/>
    <numFmt numFmtId="183" formatCode="0.000%"/>
    <numFmt numFmtId="184" formatCode="_-* #,##0\ _€_-;\-* #,##0\ _€_-;_-* &quot;-&quot;??\ _€_-;_-@_-"/>
    <numFmt numFmtId="185" formatCode="0.000000%"/>
    <numFmt numFmtId="186" formatCode="0&quot; mois&quot;"/>
    <numFmt numFmtId="187" formatCode="&quot;Taux de rentabilité interne : &quot;0%"/>
    <numFmt numFmtId="188" formatCode="&quot;dont valeur terminale : &quot;#,##0&quot; &quot;"/>
    <numFmt numFmtId="189" formatCode="0.0000"/>
    <numFmt numFmtId="190" formatCode="0.00000"/>
    <numFmt numFmtId="191" formatCode="0.0000000"/>
    <numFmt numFmtId="192" formatCode="#,##0&quot; ans&quot;"/>
    <numFmt numFmtId="193" formatCode="0E+00"/>
    <numFmt numFmtId="194" formatCode="[$-40C]mmm\-yy;@"/>
    <numFmt numFmtId="195" formatCode="#,##0.000_ ;\-#,##0.000\ "/>
  </numFmts>
  <fonts count="111" x14ac:knownFonts="1">
    <font>
      <sz val="10"/>
      <name val="Arial"/>
    </font>
    <font>
      <sz val="10"/>
      <name val="Arial"/>
    </font>
    <font>
      <u/>
      <sz val="10"/>
      <color indexed="12"/>
      <name val="Arial"/>
      <family val="2"/>
    </font>
    <font>
      <b/>
      <sz val="10"/>
      <name val="Times New Roman"/>
      <family val="1"/>
    </font>
    <font>
      <b/>
      <sz val="12"/>
      <name val="Times New Roman"/>
      <family val="1"/>
    </font>
    <font>
      <i/>
      <sz val="10"/>
      <name val="Arial"/>
      <family val="2"/>
    </font>
    <font>
      <sz val="8"/>
      <name val="Arial"/>
      <family val="2"/>
    </font>
    <font>
      <b/>
      <sz val="20"/>
      <color indexed="12"/>
      <name val="Arial"/>
      <family val="2"/>
    </font>
    <font>
      <b/>
      <u/>
      <sz val="10"/>
      <name val="Arial"/>
      <family val="2"/>
    </font>
    <font>
      <b/>
      <sz val="12"/>
      <name val="Arial"/>
      <family val="2"/>
    </font>
    <font>
      <b/>
      <sz val="10"/>
      <name val="Arial"/>
      <family val="2"/>
    </font>
    <font>
      <u/>
      <sz val="10"/>
      <name val="Arial"/>
      <family val="2"/>
    </font>
    <font>
      <u/>
      <sz val="10"/>
      <name val="Arial"/>
      <family val="2"/>
    </font>
    <font>
      <b/>
      <sz val="10"/>
      <color indexed="10"/>
      <name val="Arial"/>
      <family val="2"/>
    </font>
    <font>
      <sz val="10"/>
      <color indexed="10"/>
      <name val="Arial"/>
      <family val="2"/>
    </font>
    <font>
      <sz val="10"/>
      <name val="Arial"/>
      <family val="2"/>
    </font>
    <font>
      <b/>
      <u/>
      <sz val="12"/>
      <color indexed="53"/>
      <name val="Arial"/>
      <family val="2"/>
    </font>
    <font>
      <sz val="8"/>
      <name val="Arial"/>
      <family val="2"/>
    </font>
    <font>
      <sz val="8"/>
      <color indexed="9"/>
      <name val="Arial"/>
      <family val="2"/>
    </font>
    <font>
      <b/>
      <sz val="14"/>
      <color indexed="18"/>
      <name val="Arial"/>
      <family val="2"/>
    </font>
    <font>
      <b/>
      <i/>
      <sz val="12"/>
      <color indexed="18"/>
      <name val="Arial"/>
      <family val="2"/>
    </font>
    <font>
      <b/>
      <sz val="10"/>
      <color indexed="62"/>
      <name val="Arial"/>
      <family val="2"/>
    </font>
    <font>
      <b/>
      <sz val="12"/>
      <color indexed="62"/>
      <name val="Arial"/>
      <family val="2"/>
    </font>
    <font>
      <b/>
      <i/>
      <sz val="8"/>
      <name val="Arial"/>
      <family val="2"/>
    </font>
    <font>
      <b/>
      <sz val="8"/>
      <name val="Arial"/>
      <family val="2"/>
    </font>
    <font>
      <b/>
      <sz val="12"/>
      <color indexed="18"/>
      <name val="Arial"/>
      <family val="2"/>
    </font>
    <font>
      <sz val="8"/>
      <color indexed="81"/>
      <name val="Tahoma"/>
      <family val="2"/>
    </font>
    <font>
      <b/>
      <sz val="10"/>
      <color indexed="18"/>
      <name val="Arial"/>
      <family val="2"/>
    </font>
    <font>
      <sz val="12"/>
      <name val="Arial"/>
      <family val="2"/>
    </font>
    <font>
      <b/>
      <sz val="10"/>
      <color indexed="12"/>
      <name val="Arial"/>
      <family val="2"/>
    </font>
    <font>
      <b/>
      <sz val="10"/>
      <name val="MS Sans Serif"/>
      <family val="2"/>
    </font>
    <font>
      <sz val="10"/>
      <name val="MS Sans Serif"/>
      <family val="2"/>
    </font>
    <font>
      <sz val="8"/>
      <name val="MS Sans Serif"/>
      <family val="2"/>
    </font>
    <font>
      <b/>
      <sz val="12"/>
      <name val="Times New Roman"/>
      <family val="1"/>
    </font>
    <font>
      <sz val="10"/>
      <name val="Times New Roman"/>
      <family val="1"/>
    </font>
    <font>
      <b/>
      <sz val="10"/>
      <name val="Times New Roman"/>
      <family val="1"/>
    </font>
    <font>
      <b/>
      <u/>
      <sz val="10"/>
      <name val="Times New Roman"/>
      <family val="1"/>
    </font>
    <font>
      <b/>
      <u/>
      <sz val="11"/>
      <name val="Times New Roman"/>
      <family val="1"/>
    </font>
    <font>
      <u/>
      <sz val="10"/>
      <name val="Times New Roman"/>
      <family val="1"/>
    </font>
    <font>
      <b/>
      <sz val="10"/>
      <color indexed="10"/>
      <name val="Times New Roman"/>
      <family val="1"/>
    </font>
    <font>
      <sz val="8"/>
      <name val="Times New Roman"/>
      <family val="1"/>
    </font>
    <font>
      <b/>
      <sz val="8"/>
      <color indexed="81"/>
      <name val="Tahoma"/>
      <family val="2"/>
    </font>
    <font>
      <sz val="12"/>
      <name val="Times New Roman"/>
      <family val="1"/>
    </font>
    <font>
      <sz val="12"/>
      <name val="Times New Roman"/>
      <family val="1"/>
    </font>
    <font>
      <b/>
      <u/>
      <sz val="12"/>
      <name val="Times New Roman"/>
      <family val="1"/>
    </font>
    <font>
      <sz val="10"/>
      <name val="Times New Roman"/>
      <family val="1"/>
    </font>
    <font>
      <b/>
      <sz val="9"/>
      <name val="Times New Roman"/>
      <family val="1"/>
    </font>
    <font>
      <b/>
      <sz val="14"/>
      <name val="Times New Roman"/>
      <family val="1"/>
    </font>
    <font>
      <sz val="9"/>
      <name val="Times New Roman"/>
      <family val="1"/>
    </font>
    <font>
      <sz val="9"/>
      <name val="Times New Roman"/>
      <family val="1"/>
    </font>
    <font>
      <b/>
      <sz val="9"/>
      <name val="Times New Roman"/>
      <family val="1"/>
    </font>
    <font>
      <i/>
      <sz val="12"/>
      <name val="Times New Roman"/>
      <family val="1"/>
    </font>
    <font>
      <i/>
      <sz val="12"/>
      <name val="Times New Roman"/>
      <family val="1"/>
    </font>
    <font>
      <i/>
      <sz val="9"/>
      <name val="Times New Roman"/>
      <family val="1"/>
    </font>
    <font>
      <i/>
      <sz val="9"/>
      <name val="Times New Roman"/>
      <family val="1"/>
    </font>
    <font>
      <b/>
      <sz val="14"/>
      <name val="Times New Roman"/>
      <family val="1"/>
    </font>
    <font>
      <sz val="12"/>
      <name val="MS Sans Serif"/>
      <family val="2"/>
    </font>
    <font>
      <b/>
      <sz val="10"/>
      <color indexed="12"/>
      <name val="Times New Roman"/>
      <family val="1"/>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Calibri"/>
      <family val="2"/>
    </font>
    <font>
      <sz val="10"/>
      <color indexed="54"/>
      <name val="Arial"/>
      <family val="2"/>
    </font>
    <font>
      <sz val="9"/>
      <color indexed="54"/>
      <name val="Arial"/>
      <family val="2"/>
    </font>
    <font>
      <b/>
      <sz val="9"/>
      <color indexed="48"/>
      <name val="Arial"/>
      <family val="2"/>
    </font>
    <font>
      <i/>
      <sz val="9"/>
      <color indexed="55"/>
      <name val="Arial"/>
      <family val="2"/>
    </font>
    <font>
      <b/>
      <sz val="10"/>
      <color indexed="9"/>
      <name val="Arial"/>
      <family val="2"/>
    </font>
    <font>
      <b/>
      <sz val="10"/>
      <name val="Arial"/>
      <family val="2"/>
    </font>
    <font>
      <sz val="10"/>
      <color indexed="9"/>
      <name val="Arial"/>
      <family val="2"/>
    </font>
    <font>
      <b/>
      <sz val="10"/>
      <color indexed="9"/>
      <name val="Arial"/>
      <family val="2"/>
    </font>
    <font>
      <b/>
      <sz val="10"/>
      <color indexed="54"/>
      <name val="Arial"/>
      <family val="2"/>
    </font>
    <font>
      <i/>
      <sz val="10"/>
      <color indexed="9"/>
      <name val="Arial"/>
      <family val="2"/>
    </font>
    <font>
      <b/>
      <i/>
      <u/>
      <sz val="10"/>
      <name val="Arial"/>
      <family val="2"/>
    </font>
    <font>
      <b/>
      <i/>
      <sz val="10"/>
      <name val="Arial"/>
      <family val="2"/>
    </font>
    <font>
      <b/>
      <i/>
      <sz val="10"/>
      <color indexed="10"/>
      <name val="Arial"/>
      <family val="2"/>
    </font>
    <font>
      <b/>
      <u/>
      <sz val="10"/>
      <name val="Times New Roman"/>
      <family val="1"/>
    </font>
    <font>
      <b/>
      <sz val="10"/>
      <color indexed="56"/>
      <name val="Arial"/>
      <family val="2"/>
    </font>
    <font>
      <sz val="8"/>
      <color indexed="10"/>
      <name val="Arial"/>
      <family val="2"/>
    </font>
    <font>
      <b/>
      <sz val="8"/>
      <color indexed="10"/>
      <name val="Arial"/>
      <family val="2"/>
    </font>
    <font>
      <b/>
      <sz val="9"/>
      <color indexed="81"/>
      <name val="Tahoma"/>
      <family val="2"/>
    </font>
    <font>
      <sz val="9"/>
      <color indexed="81"/>
      <name val="Tahoma"/>
      <family val="2"/>
    </font>
    <font>
      <b/>
      <sz val="11"/>
      <name val="Times New Roman"/>
      <family val="1"/>
    </font>
    <font>
      <strike/>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b/>
      <sz val="10"/>
      <color rgb="FFFF0000"/>
      <name val="Arial"/>
      <family val="2"/>
    </font>
    <font>
      <b/>
      <sz val="10"/>
      <color rgb="FF0070C0"/>
      <name val="Arial"/>
      <family val="2"/>
    </font>
    <font>
      <b/>
      <sz val="20"/>
      <color theme="1"/>
      <name val="Calibri"/>
      <family val="2"/>
      <scheme val="minor"/>
    </font>
    <font>
      <b/>
      <u/>
      <sz val="12"/>
      <name val="Calibri"/>
      <family val="2"/>
      <scheme val="minor"/>
    </font>
    <font>
      <sz val="10"/>
      <color theme="1"/>
      <name val="Arial"/>
      <family val="2"/>
    </font>
    <font>
      <b/>
      <sz val="11"/>
      <color theme="1"/>
      <name val="Calibri"/>
      <family val="2"/>
      <scheme val="minor"/>
    </font>
    <font>
      <b/>
      <sz val="10"/>
      <color theme="1"/>
      <name val="Arial"/>
      <family val="2"/>
    </font>
    <font>
      <b/>
      <u/>
      <sz val="11"/>
      <color theme="1"/>
      <name val="Calibri"/>
      <family val="2"/>
      <scheme val="minor"/>
    </font>
    <font>
      <sz val="11"/>
      <color rgb="FFFF0000"/>
      <name val="Calibri"/>
      <family val="2"/>
      <scheme val="minor"/>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51"/>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1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55"/>
        <bgColor indexed="64"/>
      </patternFill>
    </fill>
    <fill>
      <patternFill patternType="gray0625">
        <bgColor indexed="41"/>
      </patternFill>
    </fill>
    <fill>
      <patternFill patternType="solid">
        <fgColor indexed="53"/>
        <bgColor indexed="64"/>
      </patternFill>
    </fill>
    <fill>
      <patternFill patternType="solid">
        <fgColor indexed="40"/>
        <bgColor indexed="64"/>
      </patternFill>
    </fill>
    <fill>
      <patternFill patternType="solid">
        <fgColor indexed="48"/>
        <bgColor indexed="64"/>
      </patternFill>
    </fill>
    <fill>
      <patternFill patternType="solid">
        <fgColor indexed="15"/>
        <bgColor indexed="64"/>
      </patternFill>
    </fill>
    <fill>
      <patternFill patternType="solid">
        <fgColor indexed="17"/>
        <bgColor indexed="64"/>
      </patternFill>
    </fill>
    <fill>
      <patternFill patternType="lightTrellis"/>
    </fill>
    <fill>
      <patternFill patternType="solid">
        <fgColor indexed="5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theme="6" tint="0.59999389629810485"/>
        <bgColor indexed="64"/>
      </patternFill>
    </fill>
    <fill>
      <patternFill patternType="solid">
        <fgColor theme="8" tint="0.59999389629810485"/>
        <bgColor indexed="64"/>
      </patternFill>
    </fill>
  </fills>
  <borders count="20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double">
        <color indexed="64"/>
      </left>
      <right/>
      <top style="double">
        <color indexed="64"/>
      </top>
      <bottom/>
      <diagonal/>
    </border>
    <border>
      <left style="medium">
        <color indexed="64"/>
      </left>
      <right style="medium">
        <color indexed="64"/>
      </right>
      <top style="double">
        <color indexed="64"/>
      </top>
      <bottom/>
      <diagonal/>
    </border>
    <border>
      <left style="double">
        <color indexed="64"/>
      </left>
      <right/>
      <top/>
      <bottom/>
      <diagonal/>
    </border>
    <border>
      <left style="medium">
        <color indexed="64"/>
      </left>
      <right style="medium">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style="thin">
        <color indexed="64"/>
      </left>
      <right style="thin">
        <color indexed="64"/>
      </right>
      <top style="medium">
        <color indexed="10"/>
      </top>
      <bottom style="thin">
        <color indexed="64"/>
      </bottom>
      <diagonal/>
    </border>
    <border>
      <left style="thin">
        <color indexed="64"/>
      </left>
      <right style="thin">
        <color indexed="64"/>
      </right>
      <top style="thin">
        <color indexed="64"/>
      </top>
      <bottom style="medium">
        <color indexed="10"/>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ck">
        <color indexed="12"/>
      </left>
      <right/>
      <top style="thick">
        <color indexed="12"/>
      </top>
      <bottom/>
      <diagonal/>
    </border>
    <border>
      <left/>
      <right/>
      <top style="thick">
        <color indexed="12"/>
      </top>
      <bottom/>
      <diagonal/>
    </border>
    <border>
      <left/>
      <right style="thin">
        <color indexed="64"/>
      </right>
      <top style="thick">
        <color indexed="12"/>
      </top>
      <bottom/>
      <diagonal/>
    </border>
    <border>
      <left style="thin">
        <color indexed="64"/>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n">
        <color indexed="64"/>
      </bottom>
      <diagonal/>
    </border>
    <border>
      <left/>
      <right style="thick">
        <color indexed="12"/>
      </right>
      <top/>
      <bottom style="thin">
        <color indexed="64"/>
      </bottom>
      <diagonal/>
    </border>
    <border>
      <left style="thick">
        <color indexed="12"/>
      </left>
      <right/>
      <top style="thin">
        <color indexed="64"/>
      </top>
      <bottom/>
      <diagonal/>
    </border>
    <border>
      <left/>
      <right style="thick">
        <color indexed="12"/>
      </right>
      <top style="thin">
        <color indexed="64"/>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right style="medium">
        <color indexed="53"/>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diagonalUp="1" diagonalDown="1">
      <left/>
      <right/>
      <top/>
      <bottom/>
      <diagonal style="thin">
        <color indexed="64"/>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medium">
        <color indexed="64"/>
      </left>
      <right/>
      <top/>
      <bottom/>
      <diagonal/>
    </border>
    <border>
      <left style="thin">
        <color indexed="18"/>
      </left>
      <right/>
      <top style="thin">
        <color indexed="18"/>
      </top>
      <bottom style="thin">
        <color indexed="18"/>
      </bottom>
      <diagonal/>
    </border>
    <border>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diagonal/>
    </border>
    <border>
      <left style="thin">
        <color indexed="18"/>
      </left>
      <right/>
      <top style="thin">
        <color indexed="18"/>
      </top>
      <bottom/>
      <diagonal/>
    </border>
    <border>
      <left/>
      <right style="thin">
        <color indexed="18"/>
      </right>
      <top/>
      <bottom/>
      <diagonal/>
    </border>
    <border>
      <left style="thin">
        <color indexed="18"/>
      </left>
      <right style="thin">
        <color indexed="18"/>
      </right>
      <top/>
      <bottom/>
      <diagonal/>
    </border>
    <border>
      <left style="thin">
        <color indexed="18"/>
      </left>
      <right/>
      <top/>
      <bottom/>
      <diagonal/>
    </border>
    <border>
      <left style="thin">
        <color indexed="18"/>
      </left>
      <right style="thin">
        <color indexed="18"/>
      </right>
      <top/>
      <bottom style="thin">
        <color indexed="18"/>
      </bottom>
      <diagonal/>
    </border>
    <border>
      <left style="thin">
        <color indexed="18"/>
      </left>
      <right/>
      <top/>
      <bottom style="thin">
        <color indexed="64"/>
      </bottom>
      <diagonal/>
    </border>
    <border>
      <left/>
      <right style="thin">
        <color indexed="18"/>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10"/>
      </right>
      <top style="medium">
        <color indexed="10"/>
      </top>
      <bottom style="thin">
        <color indexed="64"/>
      </bottom>
      <diagonal/>
    </border>
    <border>
      <left style="thin">
        <color indexed="64"/>
      </left>
      <right style="medium">
        <color indexed="10"/>
      </right>
      <top style="thin">
        <color indexed="64"/>
      </top>
      <bottom style="medium">
        <color indexed="10"/>
      </bottom>
      <diagonal/>
    </border>
    <border>
      <left style="thick">
        <color indexed="10"/>
      </left>
      <right style="thick">
        <color indexed="10"/>
      </right>
      <top style="thick">
        <color indexed="10"/>
      </top>
      <bottom style="thick">
        <color indexed="10"/>
      </bottom>
      <diagonal/>
    </border>
    <border>
      <left/>
      <right/>
      <top style="double">
        <color indexed="64"/>
      </top>
      <bottom style="double">
        <color indexed="64"/>
      </bottom>
      <diagonal/>
    </border>
    <border>
      <left style="thin">
        <color indexed="64"/>
      </left>
      <right style="thick">
        <color indexed="10"/>
      </right>
      <top style="thin">
        <color indexed="64"/>
      </top>
      <bottom style="thin">
        <color indexed="64"/>
      </bottom>
      <diagonal/>
    </border>
    <border diagonalUp="1" diagonalDown="1">
      <left style="thin">
        <color indexed="64"/>
      </left>
      <right style="thin">
        <color indexed="64"/>
      </right>
      <top style="medium">
        <color indexed="10"/>
      </top>
      <bottom style="thin">
        <color indexed="64"/>
      </bottom>
      <diagonal style="thin">
        <color indexed="64"/>
      </diagonal>
    </border>
    <border diagonalUp="1" diagonalDown="1">
      <left style="thin">
        <color indexed="64"/>
      </left>
      <right style="thin">
        <color indexed="64"/>
      </right>
      <top style="thin">
        <color indexed="64"/>
      </top>
      <bottom style="medium">
        <color indexed="10"/>
      </bottom>
      <diagonal style="thin">
        <color indexed="64"/>
      </diagonal>
    </border>
    <border>
      <left style="medium">
        <color indexed="10"/>
      </left>
      <right style="medium">
        <color indexed="10"/>
      </right>
      <top style="medium">
        <color indexed="10"/>
      </top>
      <bottom style="medium">
        <color indexed="10"/>
      </bottom>
      <diagonal/>
    </border>
    <border>
      <left style="double">
        <color indexed="64"/>
      </left>
      <right style="medium">
        <color indexed="64"/>
      </right>
      <top style="double">
        <color indexed="64"/>
      </top>
      <bottom style="double">
        <color indexed="64"/>
      </bottom>
      <diagonal/>
    </border>
    <border>
      <left style="thin">
        <color indexed="64"/>
      </left>
      <right/>
      <top style="medium">
        <color indexed="10"/>
      </top>
      <bottom style="thin">
        <color indexed="64"/>
      </bottom>
      <diagonal/>
    </border>
    <border>
      <left style="thin">
        <color indexed="64"/>
      </left>
      <right/>
      <top style="thin">
        <color indexed="64"/>
      </top>
      <bottom style="medium">
        <color indexed="10"/>
      </bottom>
      <diagonal/>
    </border>
    <border>
      <left style="thin">
        <color indexed="64"/>
      </left>
      <right/>
      <top style="medium">
        <color indexed="64"/>
      </top>
      <bottom style="medium">
        <color indexed="64"/>
      </bottom>
      <diagonal/>
    </border>
    <border>
      <left/>
      <right/>
      <top style="medium">
        <color indexed="10"/>
      </top>
      <bottom style="medium">
        <color indexed="1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diagonal/>
    </border>
    <border>
      <left/>
      <right style="medium">
        <color indexed="64"/>
      </right>
      <top/>
      <bottom/>
      <diagonal/>
    </border>
    <border>
      <left/>
      <right style="medium">
        <color indexed="64"/>
      </right>
      <top/>
      <bottom style="double">
        <color indexed="64"/>
      </bottom>
      <diagonal/>
    </border>
    <border>
      <left/>
      <right style="thin">
        <color indexed="64"/>
      </right>
      <top style="medium">
        <color indexed="10"/>
      </top>
      <bottom style="thin">
        <color indexed="64"/>
      </bottom>
      <diagonal/>
    </border>
    <border>
      <left/>
      <right style="thin">
        <color indexed="64"/>
      </right>
      <top style="thin">
        <color indexed="64"/>
      </top>
      <bottom style="medium">
        <color indexed="1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10"/>
      </left>
      <right style="medium">
        <color indexed="64"/>
      </right>
      <top style="medium">
        <color indexed="10"/>
      </top>
      <bottom/>
      <diagonal/>
    </border>
    <border>
      <left style="medium">
        <color indexed="10"/>
      </left>
      <right style="medium">
        <color indexed="64"/>
      </right>
      <top/>
      <bottom/>
      <diagonal/>
    </border>
    <border>
      <left style="medium">
        <color indexed="10"/>
      </left>
      <right style="medium">
        <color indexed="64"/>
      </right>
      <top/>
      <bottom style="medium">
        <color indexed="64"/>
      </bottom>
      <diagonal/>
    </border>
    <border>
      <left style="medium">
        <color indexed="10"/>
      </left>
      <right style="medium">
        <color indexed="64"/>
      </right>
      <top style="medium">
        <color indexed="64"/>
      </top>
      <bottom/>
      <diagonal/>
    </border>
    <border>
      <left style="medium">
        <color indexed="10"/>
      </left>
      <right style="medium">
        <color indexed="64"/>
      </right>
      <top style="medium">
        <color indexed="64"/>
      </top>
      <bottom style="medium">
        <color indexed="10"/>
      </bottom>
      <diagonal/>
    </border>
    <border>
      <left/>
      <right/>
      <top style="medium">
        <color indexed="64"/>
      </top>
      <bottom style="medium">
        <color indexed="10"/>
      </bottom>
      <diagonal/>
    </border>
    <border>
      <left style="thin">
        <color indexed="54"/>
      </left>
      <right style="thin">
        <color indexed="54"/>
      </right>
      <top style="thin">
        <color indexed="54"/>
      </top>
      <bottom style="thin">
        <color indexed="54"/>
      </bottom>
      <diagonal/>
    </border>
    <border>
      <left style="thin">
        <color indexed="12"/>
      </left>
      <right style="thin">
        <color indexed="12"/>
      </right>
      <top style="thin">
        <color indexed="12"/>
      </top>
      <bottom style="thin">
        <color indexed="12"/>
      </bottom>
      <diagonal/>
    </border>
    <border>
      <left/>
      <right/>
      <top/>
      <bottom style="thin">
        <color indexed="12"/>
      </bottom>
      <diagonal/>
    </border>
    <border>
      <left/>
      <right style="thin">
        <color indexed="12"/>
      </right>
      <top/>
      <bottom style="thin">
        <color indexed="12"/>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10"/>
      </bottom>
      <diagonal/>
    </border>
    <border>
      <left style="thin">
        <color indexed="64"/>
      </left>
      <right style="thin">
        <color indexed="64"/>
      </right>
      <top style="medium">
        <color indexed="64"/>
      </top>
      <bottom style="medium">
        <color indexed="10"/>
      </bottom>
      <diagonal/>
    </border>
    <border>
      <left/>
      <right style="medium">
        <color indexed="10"/>
      </right>
      <top/>
      <bottom style="medium">
        <color indexed="64"/>
      </bottom>
      <diagonal/>
    </border>
    <border>
      <left/>
      <right style="medium">
        <color indexed="10"/>
      </right>
      <top style="medium">
        <color indexed="64"/>
      </top>
      <bottom/>
      <diagonal/>
    </border>
    <border>
      <left/>
      <right style="medium">
        <color indexed="10"/>
      </right>
      <top style="medium">
        <color indexed="64"/>
      </top>
      <bottom style="medium">
        <color indexed="10"/>
      </bottom>
      <diagonal/>
    </border>
    <border>
      <left style="medium">
        <color indexed="64"/>
      </left>
      <right style="medium">
        <color indexed="64"/>
      </right>
      <top style="thin">
        <color indexed="64"/>
      </top>
      <bottom style="medium">
        <color indexed="64"/>
      </bottom>
      <diagonal/>
    </border>
    <border>
      <left style="medium">
        <color indexed="10"/>
      </left>
      <right style="thin">
        <color indexed="64"/>
      </right>
      <top style="medium">
        <color indexed="10"/>
      </top>
      <bottom style="thin">
        <color indexed="64"/>
      </bottom>
      <diagonal/>
    </border>
    <border>
      <left style="medium">
        <color indexed="10"/>
      </left>
      <right style="thin">
        <color indexed="64"/>
      </right>
      <top style="thin">
        <color indexed="64"/>
      </top>
      <bottom style="medium">
        <color indexed="10"/>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thin">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thin">
        <color indexed="64"/>
      </left>
      <right style="dotted">
        <color indexed="64"/>
      </right>
      <top style="thin">
        <color indexed="64"/>
      </top>
      <bottom/>
      <diagonal/>
    </border>
    <border>
      <left style="medium">
        <color indexed="64"/>
      </left>
      <right/>
      <top/>
      <bottom style="double">
        <color indexed="64"/>
      </bottom>
      <diagonal/>
    </border>
    <border>
      <left style="medium">
        <color indexed="64"/>
      </left>
      <right/>
      <top style="double">
        <color indexed="64"/>
      </top>
      <bottom/>
      <diagonal/>
    </border>
    <border>
      <left/>
      <right/>
      <top/>
      <bottom style="thin">
        <color indexed="54"/>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style="medium">
        <color indexed="10"/>
      </left>
      <right/>
      <top style="medium">
        <color indexed="10"/>
      </top>
      <bottom style="thin">
        <color indexed="64"/>
      </bottom>
      <diagonal/>
    </border>
    <border>
      <left/>
      <right/>
      <top style="medium">
        <color indexed="10"/>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10"/>
      </left>
      <right/>
      <top style="thin">
        <color indexed="64"/>
      </top>
      <bottom style="medium">
        <color indexed="10"/>
      </bottom>
      <diagonal/>
    </border>
    <border>
      <left/>
      <right/>
      <top style="thin">
        <color indexed="64"/>
      </top>
      <bottom style="medium">
        <color indexed="1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style="medium">
        <color rgb="FFFF0000"/>
      </right>
      <top style="thin">
        <color indexed="64"/>
      </top>
      <bottom style="medium">
        <color rgb="FFFF0000"/>
      </bottom>
      <diagonal/>
    </border>
    <border>
      <left style="thin">
        <color indexed="64"/>
      </left>
      <right/>
      <top style="thin">
        <color indexed="64"/>
      </top>
      <bottom style="medium">
        <color rgb="FFFF0000"/>
      </bottom>
      <diagonal/>
    </border>
    <border>
      <left style="medium">
        <color rgb="FFFF0000"/>
      </left>
      <right style="thin">
        <color indexed="64"/>
      </right>
      <top style="thin">
        <color indexed="64"/>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right/>
      <top/>
      <bottom style="thin">
        <color theme="4" tint="0.39997558519241921"/>
      </bottom>
      <diagonal/>
    </border>
    <border>
      <left/>
      <right/>
      <top style="thin">
        <color theme="4" tint="0.39997558519241921"/>
      </top>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s>
  <cellStyleXfs count="123">
    <xf numFmtId="0" fontId="0" fillId="0" borderId="0"/>
    <xf numFmtId="0" fontId="58" fillId="2" borderId="0" applyNumberFormat="0" applyBorder="0" applyAlignment="0" applyProtection="0"/>
    <xf numFmtId="0" fontId="58" fillId="2"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20" borderId="1" applyNumberFormat="0" applyAlignment="0" applyProtection="0"/>
    <xf numFmtId="0" fontId="61" fillId="20" borderId="1" applyNumberFormat="0" applyAlignment="0" applyProtection="0"/>
    <xf numFmtId="0" fontId="62" fillId="0" borderId="2" applyNumberFormat="0" applyFill="0" applyAlignment="0" applyProtection="0"/>
    <xf numFmtId="0" fontId="62" fillId="0" borderId="2" applyNumberFormat="0" applyFill="0" applyAlignment="0" applyProtection="0"/>
    <xf numFmtId="0" fontId="58" fillId="21" borderId="3" applyNumberFormat="0" applyFont="0" applyAlignment="0" applyProtection="0"/>
    <xf numFmtId="0" fontId="58" fillId="21" borderId="3" applyNumberFormat="0" applyFont="0" applyAlignment="0" applyProtection="0"/>
    <xf numFmtId="0" fontId="63" fillId="7" borderId="1" applyNumberFormat="0" applyAlignment="0" applyProtection="0"/>
    <xf numFmtId="0" fontId="63" fillId="7" borderId="1" applyNumberFormat="0" applyAlignment="0" applyProtection="0"/>
    <xf numFmtId="0" fontId="64" fillId="3" borderId="0" applyNumberFormat="0" applyBorder="0" applyAlignment="0" applyProtection="0"/>
    <xf numFmtId="0" fontId="64" fillId="3" borderId="0" applyNumberFormat="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43" fontId="58" fillId="0" borderId="0" applyFont="0" applyFill="0" applyBorder="0" applyAlignment="0" applyProtection="0"/>
    <xf numFmtId="43" fontId="15" fillId="0" borderId="0" applyFont="0" applyFill="0" applyBorder="0" applyAlignment="0" applyProtection="0"/>
    <xf numFmtId="43" fontId="9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0" fillId="0" borderId="0" applyFont="0" applyFill="0" applyBorder="0" applyAlignment="0" applyProtection="0"/>
    <xf numFmtId="43" fontId="15" fillId="0" borderId="0" applyFont="0" applyFill="0" applyBorder="0" applyAlignment="0" applyProtection="0"/>
    <xf numFmtId="43" fontId="100" fillId="0" borderId="0" applyFont="0" applyFill="0" applyBorder="0" applyAlignment="0" applyProtection="0"/>
    <xf numFmtId="43" fontId="15" fillId="0" borderId="0" applyFont="0" applyFill="0" applyBorder="0" applyAlignment="0" applyProtection="0"/>
    <xf numFmtId="172" fontId="1" fillId="0" borderId="0" applyFont="0" applyFill="0" applyBorder="0" applyAlignment="0" applyProtection="0"/>
    <xf numFmtId="0" fontId="65" fillId="22" borderId="0" applyNumberFormat="0" applyBorder="0" applyAlignment="0" applyProtection="0"/>
    <xf numFmtId="0" fontId="65" fillId="22" borderId="0" applyNumberFormat="0" applyBorder="0" applyAlignment="0" applyProtection="0"/>
    <xf numFmtId="0" fontId="15" fillId="0" borderId="0"/>
    <xf numFmtId="0" fontId="101" fillId="0" borderId="0"/>
    <xf numFmtId="0" fontId="99" fillId="0" borderId="0"/>
    <xf numFmtId="0" fontId="6" fillId="0" borderId="0"/>
    <xf numFmtId="0" fontId="6" fillId="0" borderId="0"/>
    <xf numFmtId="0" fontId="6" fillId="0" borderId="0"/>
    <xf numFmtId="0" fontId="58" fillId="0" borderId="0"/>
    <xf numFmtId="0" fontId="31" fillId="0" borderId="0"/>
    <xf numFmtId="0" fontId="31" fillId="0" borderId="0"/>
    <xf numFmtId="0" fontId="6" fillId="0" borderId="0"/>
    <xf numFmtId="0" fontId="31" fillId="0" borderId="0"/>
    <xf numFmtId="0" fontId="6" fillId="0" borderId="0"/>
    <xf numFmtId="0" fontId="31" fillId="0" borderId="0"/>
    <xf numFmtId="9" fontId="1" fillId="0" borderId="0" applyFont="0" applyFill="0" applyBorder="0" applyAlignment="0" applyProtection="0"/>
    <xf numFmtId="9" fontId="58" fillId="0" borderId="0" applyFont="0" applyFill="0" applyBorder="0" applyAlignment="0" applyProtection="0"/>
    <xf numFmtId="9" fontId="97" fillId="0" borderId="0" applyFont="0" applyFill="0" applyBorder="0" applyAlignment="0" applyProtection="0"/>
    <xf numFmtId="9" fontId="15" fillId="0" borderId="0" applyFont="0" applyFill="0" applyBorder="0" applyAlignment="0" applyProtection="0"/>
    <xf numFmtId="9" fontId="9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1" fillId="0" borderId="0" applyFont="0" applyFill="0" applyBorder="0" applyAlignment="0" applyProtection="0"/>
    <xf numFmtId="9" fontId="100" fillId="0" borderId="0" applyFont="0" applyFill="0" applyBorder="0" applyAlignment="0" applyProtection="0"/>
    <xf numFmtId="9" fontId="15" fillId="0" borderId="0" applyFont="0" applyFill="0" applyBorder="0" applyAlignment="0" applyProtection="0"/>
    <xf numFmtId="9" fontId="100" fillId="0" borderId="0" applyFont="0" applyFill="0" applyBorder="0" applyAlignment="0" applyProtection="0"/>
    <xf numFmtId="9" fontId="15" fillId="0" borderId="0" applyFont="0" applyFill="0" applyBorder="0" applyAlignment="0" applyProtection="0"/>
    <xf numFmtId="0" fontId="66" fillId="4" borderId="0" applyNumberFormat="0" applyBorder="0" applyAlignment="0" applyProtection="0"/>
    <xf numFmtId="0" fontId="66" fillId="4" borderId="0" applyNumberFormat="0" applyBorder="0" applyAlignment="0" applyProtection="0"/>
    <xf numFmtId="0" fontId="67" fillId="20" borderId="4" applyNumberFormat="0" applyAlignment="0" applyProtection="0"/>
    <xf numFmtId="0" fontId="67" fillId="20" borderId="4" applyNumberFormat="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5" applyNumberFormat="0" applyFill="0" applyAlignment="0" applyProtection="0"/>
    <xf numFmtId="0" fontId="70" fillId="0" borderId="5"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2" fillId="0" borderId="7" applyNumberFormat="0" applyFill="0" applyAlignment="0" applyProtection="0"/>
    <xf numFmtId="0" fontId="72" fillId="0" borderId="7"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8" applyNumberFormat="0" applyFill="0" applyAlignment="0" applyProtection="0"/>
    <xf numFmtId="0" fontId="73" fillId="0" borderId="8" applyNumberFormat="0" applyFill="0" applyAlignment="0" applyProtection="0"/>
    <xf numFmtId="0" fontId="74" fillId="23" borderId="9" applyNumberFormat="0" applyAlignment="0" applyProtection="0"/>
    <xf numFmtId="0" fontId="74" fillId="23" borderId="9" applyNumberFormat="0" applyAlignment="0" applyProtection="0"/>
  </cellStyleXfs>
  <cellXfs count="1492">
    <xf numFmtId="0" fontId="0" fillId="0" borderId="0" xfId="0"/>
    <xf numFmtId="0" fontId="0" fillId="0" borderId="10" xfId="0" applyBorder="1"/>
    <xf numFmtId="164" fontId="0" fillId="0" borderId="11" xfId="0" applyNumberFormat="1" applyBorder="1"/>
    <xf numFmtId="0" fontId="0" fillId="0" borderId="12" xfId="0" applyBorder="1"/>
    <xf numFmtId="164" fontId="0" fillId="0" borderId="13" xfId="0" applyNumberFormat="1" applyBorder="1"/>
    <xf numFmtId="0" fontId="4" fillId="24" borderId="12" xfId="0" applyFont="1" applyFill="1" applyBorder="1"/>
    <xf numFmtId="164" fontId="3" fillId="24" borderId="13" xfId="0" applyNumberFormat="1" applyFont="1" applyFill="1" applyBorder="1" applyAlignment="1">
      <alignment horizontal="center"/>
    </xf>
    <xf numFmtId="0" fontId="0" fillId="0" borderId="14" xfId="0" applyBorder="1"/>
    <xf numFmtId="0" fontId="3" fillId="24" borderId="12" xfId="0" applyFont="1" applyFill="1" applyBorder="1" applyAlignment="1">
      <alignment horizontal="right"/>
    </xf>
    <xf numFmtId="0" fontId="7" fillId="0" borderId="0" xfId="0" applyFont="1"/>
    <xf numFmtId="0" fontId="0" fillId="25" borderId="0" xfId="0" applyFill="1" applyAlignment="1">
      <alignment horizontal="center"/>
    </xf>
    <xf numFmtId="0" fontId="0" fillId="26" borderId="0" xfId="0" applyFill="1" applyAlignment="1">
      <alignment horizontal="center"/>
    </xf>
    <xf numFmtId="0" fontId="8" fillId="0" borderId="0" xfId="0" applyFont="1"/>
    <xf numFmtId="0" fontId="8" fillId="0" borderId="0" xfId="0" applyFont="1" applyBorder="1"/>
    <xf numFmtId="0" fontId="0" fillId="0" borderId="0" xfId="0" applyBorder="1"/>
    <xf numFmtId="0" fontId="0" fillId="0" borderId="15" xfId="0" applyBorder="1"/>
    <xf numFmtId="0" fontId="0" fillId="0" borderId="15" xfId="0" applyBorder="1" applyAlignment="1">
      <alignment horizontal="center"/>
    </xf>
    <xf numFmtId="0" fontId="0" fillId="25" borderId="15" xfId="0" applyFill="1" applyBorder="1" applyAlignment="1">
      <alignment horizontal="center"/>
    </xf>
    <xf numFmtId="9" fontId="0" fillId="0" borderId="15" xfId="0" applyNumberFormat="1" applyBorder="1" applyAlignment="1">
      <alignment horizontal="center"/>
    </xf>
    <xf numFmtId="168" fontId="1" fillId="25" borderId="15" xfId="88" applyNumberFormat="1" applyFill="1" applyBorder="1" applyAlignment="1">
      <alignment horizontal="center"/>
    </xf>
    <xf numFmtId="0" fontId="0" fillId="26" borderId="15" xfId="0" applyFill="1" applyBorder="1" applyAlignment="1">
      <alignment horizontal="center"/>
    </xf>
    <xf numFmtId="1" fontId="0" fillId="26" borderId="15" xfId="0" applyNumberFormat="1" applyFill="1" applyBorder="1" applyAlignment="1">
      <alignment horizontal="center"/>
    </xf>
    <xf numFmtId="9" fontId="0" fillId="25" borderId="15" xfId="0" applyNumberFormat="1" applyFill="1" applyBorder="1" applyAlignment="1">
      <alignment horizontal="center"/>
    </xf>
    <xf numFmtId="2" fontId="0" fillId="0" borderId="15" xfId="0" applyNumberFormat="1" applyBorder="1" applyAlignment="1">
      <alignment horizontal="center"/>
    </xf>
    <xf numFmtId="0" fontId="0" fillId="0" borderId="16" xfId="0" applyBorder="1"/>
    <xf numFmtId="0" fontId="0" fillId="0" borderId="17" xfId="0" applyBorder="1"/>
    <xf numFmtId="1" fontId="0" fillId="26" borderId="18" xfId="0" applyNumberFormat="1" applyFill="1" applyBorder="1" applyAlignment="1">
      <alignment horizontal="center"/>
    </xf>
    <xf numFmtId="0" fontId="0" fillId="0" borderId="19" xfId="0" applyBorder="1"/>
    <xf numFmtId="2" fontId="0" fillId="26" borderId="15" xfId="0" applyNumberFormat="1" applyFill="1" applyBorder="1" applyAlignment="1">
      <alignment horizontal="center"/>
    </xf>
    <xf numFmtId="167" fontId="0" fillId="0" borderId="15" xfId="0" applyNumberFormat="1" applyFill="1" applyBorder="1" applyAlignment="1">
      <alignment horizontal="center"/>
    </xf>
    <xf numFmtId="1" fontId="0" fillId="0" borderId="15" xfId="0" applyNumberFormat="1" applyBorder="1" applyAlignment="1">
      <alignment horizontal="center"/>
    </xf>
    <xf numFmtId="0" fontId="0" fillId="0" borderId="0" xfId="0" quotePrefix="1"/>
    <xf numFmtId="0" fontId="0" fillId="0" borderId="0" xfId="0" applyBorder="1" applyAlignment="1">
      <alignment horizontal="center"/>
    </xf>
    <xf numFmtId="9" fontId="0" fillId="26" borderId="15" xfId="0" applyNumberFormat="1" applyFill="1" applyBorder="1" applyAlignment="1">
      <alignment horizontal="center"/>
    </xf>
    <xf numFmtId="1" fontId="0" fillId="26" borderId="20" xfId="0" applyNumberFormat="1" applyFill="1" applyBorder="1" applyAlignment="1">
      <alignment horizontal="center"/>
    </xf>
    <xf numFmtId="2" fontId="0" fillId="0" borderId="0" xfId="0" applyNumberFormat="1" applyFill="1" applyBorder="1" applyAlignment="1">
      <alignment horizontal="center"/>
    </xf>
    <xf numFmtId="2" fontId="0" fillId="0" borderId="0" xfId="0" applyNumberFormat="1"/>
    <xf numFmtId="0" fontId="0" fillId="0" borderId="15" xfId="0" applyFill="1" applyBorder="1" applyAlignment="1">
      <alignment horizontal="center"/>
    </xf>
    <xf numFmtId="2" fontId="0" fillId="0" borderId="15" xfId="0" applyNumberFormat="1" applyFill="1" applyBorder="1" applyAlignment="1">
      <alignment horizontal="center"/>
    </xf>
    <xf numFmtId="0" fontId="0" fillId="26" borderId="0" xfId="0" applyFill="1"/>
    <xf numFmtId="0" fontId="0" fillId="27" borderId="15" xfId="0" applyFill="1" applyBorder="1" applyAlignment="1">
      <alignment horizontal="center"/>
    </xf>
    <xf numFmtId="0" fontId="0" fillId="0" borderId="0" xfId="0" applyAlignment="1">
      <alignment vertical="center" wrapText="1"/>
    </xf>
    <xf numFmtId="1" fontId="0" fillId="0" borderId="0" xfId="0" applyNumberFormat="1"/>
    <xf numFmtId="0" fontId="0" fillId="0" borderId="0" xfId="0" applyAlignment="1">
      <alignment horizontal="center"/>
    </xf>
    <xf numFmtId="168" fontId="0" fillId="0" borderId="15" xfId="0" applyNumberFormat="1" applyBorder="1" applyAlignment="1">
      <alignment horizontal="center"/>
    </xf>
    <xf numFmtId="9" fontId="0" fillId="0" borderId="15" xfId="88" applyFont="1" applyBorder="1" applyAlignment="1">
      <alignment horizontal="center"/>
    </xf>
    <xf numFmtId="0" fontId="0" fillId="0" borderId="0" xfId="0" applyFill="1" applyBorder="1" applyAlignment="1">
      <alignment horizontal="left"/>
    </xf>
    <xf numFmtId="2" fontId="0" fillId="0" borderId="0" xfId="0" applyNumberFormat="1" applyAlignment="1">
      <alignment horizontal="center"/>
    </xf>
    <xf numFmtId="2" fontId="0" fillId="26" borderId="0" xfId="0" applyNumberFormat="1" applyFill="1" applyAlignment="1">
      <alignment horizontal="center"/>
    </xf>
    <xf numFmtId="168" fontId="0" fillId="26" borderId="0" xfId="88" applyNumberFormat="1" applyFont="1" applyFill="1" applyAlignment="1">
      <alignment horizontal="center"/>
    </xf>
    <xf numFmtId="0" fontId="0" fillId="0" borderId="15" xfId="0" applyBorder="1" applyAlignment="1">
      <alignment vertical="center"/>
    </xf>
    <xf numFmtId="167" fontId="0" fillId="0" borderId="15" xfId="0" applyNumberFormat="1" applyBorder="1" applyAlignment="1">
      <alignment horizontal="center"/>
    </xf>
    <xf numFmtId="0" fontId="0" fillId="28" borderId="15" xfId="0" applyFill="1" applyBorder="1" applyAlignment="1">
      <alignment horizontal="center"/>
    </xf>
    <xf numFmtId="0" fontId="0" fillId="0" borderId="0" xfId="0" applyBorder="1" applyAlignment="1">
      <alignment vertical="center"/>
    </xf>
    <xf numFmtId="9" fontId="0" fillId="0" borderId="0" xfId="0" applyNumberFormat="1" applyFill="1" applyBorder="1" applyAlignment="1">
      <alignment horizontal="center"/>
    </xf>
    <xf numFmtId="1" fontId="0" fillId="0" borderId="21" xfId="0" applyNumberFormat="1" applyFill="1" applyBorder="1" applyAlignment="1">
      <alignment horizontal="center"/>
    </xf>
    <xf numFmtId="0" fontId="0" fillId="28" borderId="20" xfId="0" applyFill="1" applyBorder="1" applyAlignment="1">
      <alignment horizontal="center"/>
    </xf>
    <xf numFmtId="0" fontId="0" fillId="28" borderId="0" xfId="0" applyFill="1"/>
    <xf numFmtId="9" fontId="0" fillId="0" borderId="15" xfId="0" applyNumberFormat="1" applyFill="1" applyBorder="1" applyAlignment="1">
      <alignment horizontal="center"/>
    </xf>
    <xf numFmtId="167" fontId="1" fillId="0" borderId="15" xfId="88" applyNumberFormat="1" applyFill="1" applyBorder="1" applyAlignment="1">
      <alignment horizontal="center"/>
    </xf>
    <xf numFmtId="167" fontId="1" fillId="26" borderId="15" xfId="88" applyNumberFormat="1" applyFill="1" applyBorder="1" applyAlignment="1">
      <alignment horizontal="center"/>
    </xf>
    <xf numFmtId="2" fontId="1" fillId="26" borderId="15" xfId="88" applyNumberFormat="1" applyFill="1" applyBorder="1" applyAlignment="1">
      <alignment horizontal="center"/>
    </xf>
    <xf numFmtId="167" fontId="0" fillId="0" borderId="0" xfId="0" applyNumberFormat="1" applyAlignment="1">
      <alignment horizontal="center"/>
    </xf>
    <xf numFmtId="0" fontId="0" fillId="0" borderId="17" xfId="0" applyBorder="1" applyAlignment="1"/>
    <xf numFmtId="0" fontId="0" fillId="0" borderId="17" xfId="0" applyBorder="1" applyAlignment="1">
      <alignment horizontal="center"/>
    </xf>
    <xf numFmtId="0" fontId="0" fillId="27" borderId="18" xfId="0" applyFill="1" applyBorder="1" applyAlignment="1">
      <alignment horizontal="center"/>
    </xf>
    <xf numFmtId="167" fontId="0" fillId="26" borderId="15" xfId="0" applyNumberFormat="1" applyFill="1" applyBorder="1" applyAlignment="1">
      <alignment horizontal="center"/>
    </xf>
    <xf numFmtId="167" fontId="0" fillId="0" borderId="16" xfId="0" applyNumberFormat="1" applyBorder="1" applyAlignment="1">
      <alignment horizontal="center"/>
    </xf>
    <xf numFmtId="167" fontId="0" fillId="0" borderId="20" xfId="0" applyNumberFormat="1" applyBorder="1" applyAlignment="1">
      <alignment horizontal="center"/>
    </xf>
    <xf numFmtId="167" fontId="0" fillId="0" borderId="22" xfId="0" applyNumberFormat="1" applyBorder="1" applyAlignment="1">
      <alignment horizontal="center"/>
    </xf>
    <xf numFmtId="167" fontId="0" fillId="26" borderId="16" xfId="0" applyNumberFormat="1" applyFill="1" applyBorder="1" applyAlignment="1">
      <alignment horizontal="center"/>
    </xf>
    <xf numFmtId="1" fontId="0" fillId="26" borderId="23" xfId="0" applyNumberFormat="1" applyFill="1" applyBorder="1" applyAlignment="1">
      <alignment horizontal="center"/>
    </xf>
    <xf numFmtId="1" fontId="0" fillId="26" borderId="24" xfId="0" applyNumberFormat="1" applyFill="1" applyBorder="1" applyAlignment="1">
      <alignment horizontal="center"/>
    </xf>
    <xf numFmtId="0" fontId="0" fillId="0" borderId="0" xfId="0" applyAlignment="1">
      <alignment vertical="center"/>
    </xf>
    <xf numFmtId="0" fontId="0" fillId="0" borderId="25" xfId="0" applyBorder="1" applyAlignment="1">
      <alignment vertical="center"/>
    </xf>
    <xf numFmtId="0" fontId="12" fillId="0" borderId="0" xfId="0" applyFont="1"/>
    <xf numFmtId="0" fontId="1" fillId="0" borderId="0" xfId="0" applyFont="1"/>
    <xf numFmtId="0" fontId="8" fillId="25" borderId="0" xfId="0" applyFont="1" applyFill="1"/>
    <xf numFmtId="2" fontId="0" fillId="28" borderId="15" xfId="0" applyNumberFormat="1" applyFill="1" applyBorder="1" applyAlignment="1">
      <alignment horizontal="center"/>
    </xf>
    <xf numFmtId="0" fontId="0" fillId="0" borderId="18" xfId="0" applyBorder="1"/>
    <xf numFmtId="3" fontId="0" fillId="26" borderId="15" xfId="0" applyNumberFormat="1" applyFill="1" applyBorder="1" applyAlignment="1">
      <alignment horizontal="center"/>
    </xf>
    <xf numFmtId="167" fontId="0" fillId="26" borderId="18" xfId="0" applyNumberFormat="1" applyFill="1" applyBorder="1" applyAlignment="1">
      <alignment horizontal="center"/>
    </xf>
    <xf numFmtId="9" fontId="0" fillId="0" borderId="15" xfId="88" applyFont="1" applyFill="1" applyBorder="1" applyAlignment="1">
      <alignment horizontal="center"/>
    </xf>
    <xf numFmtId="0" fontId="0" fillId="0" borderId="22" xfId="0" applyBorder="1"/>
    <xf numFmtId="0" fontId="0" fillId="29" borderId="15" xfId="0" applyFill="1" applyBorder="1" applyAlignment="1">
      <alignment horizontal="center"/>
    </xf>
    <xf numFmtId="0" fontId="0" fillId="0" borderId="0" xfId="0" applyAlignment="1">
      <alignment horizontal="right"/>
    </xf>
    <xf numFmtId="10" fontId="0" fillId="26" borderId="0" xfId="88" applyNumberFormat="1" applyFont="1" applyFill="1" applyAlignment="1">
      <alignment horizontal="center"/>
    </xf>
    <xf numFmtId="0" fontId="0" fillId="0" borderId="0" xfId="0" applyFill="1" applyBorder="1" applyAlignment="1">
      <alignment horizontal="left" vertical="center"/>
    </xf>
    <xf numFmtId="0" fontId="11" fillId="0" borderId="0" xfId="0" applyFont="1"/>
    <xf numFmtId="9" fontId="0" fillId="25" borderId="15" xfId="88" applyFont="1" applyFill="1" applyBorder="1" applyAlignment="1">
      <alignment horizontal="center"/>
    </xf>
    <xf numFmtId="0" fontId="0" fillId="25" borderId="0" xfId="0" applyFill="1"/>
    <xf numFmtId="166" fontId="0" fillId="26" borderId="15" xfId="0" applyNumberFormat="1" applyFill="1" applyBorder="1" applyAlignment="1">
      <alignment horizontal="center"/>
    </xf>
    <xf numFmtId="0" fontId="0" fillId="0" borderId="26" xfId="0" applyBorder="1"/>
    <xf numFmtId="0" fontId="13" fillId="0" borderId="26" xfId="0" quotePrefix="1" applyFont="1" applyBorder="1"/>
    <xf numFmtId="0" fontId="10" fillId="0" borderId="26" xfId="0" applyFont="1" applyBorder="1"/>
    <xf numFmtId="3" fontId="0" fillId="26" borderId="27" xfId="0" applyNumberFormat="1" applyFill="1" applyBorder="1" applyAlignment="1">
      <alignment horizontal="center"/>
    </xf>
    <xf numFmtId="164" fontId="0" fillId="0" borderId="13" xfId="0" applyNumberFormat="1" applyBorder="1" applyAlignment="1">
      <alignment horizontal="center"/>
    </xf>
    <xf numFmtId="0" fontId="13" fillId="0" borderId="0" xfId="0" applyFont="1"/>
    <xf numFmtId="165" fontId="1" fillId="0" borderId="13" xfId="0" applyNumberFormat="1" applyFont="1" applyBorder="1" applyAlignment="1">
      <alignment horizontal="center"/>
    </xf>
    <xf numFmtId="0" fontId="0" fillId="0" borderId="0" xfId="0" quotePrefix="1" applyAlignment="1">
      <alignment horizontal="right"/>
    </xf>
    <xf numFmtId="10" fontId="0" fillId="0" borderId="15" xfId="0" applyNumberFormat="1" applyFill="1" applyBorder="1" applyAlignment="1">
      <alignment horizontal="center"/>
    </xf>
    <xf numFmtId="9" fontId="0" fillId="26" borderId="15" xfId="88" applyFont="1" applyFill="1" applyBorder="1" applyAlignment="1">
      <alignment horizontal="center"/>
    </xf>
    <xf numFmtId="10" fontId="0" fillId="26" borderId="15" xfId="0" applyNumberFormat="1" applyFill="1" applyBorder="1" applyAlignment="1">
      <alignment horizontal="center"/>
    </xf>
    <xf numFmtId="0" fontId="11" fillId="0" borderId="0" xfId="0" applyFont="1" applyFill="1" applyBorder="1" applyAlignment="1">
      <alignment horizontal="left"/>
    </xf>
    <xf numFmtId="168" fontId="0" fillId="26" borderId="15" xfId="0" applyNumberFormat="1" applyFill="1" applyBorder="1" applyAlignment="1">
      <alignment horizontal="center"/>
    </xf>
    <xf numFmtId="1" fontId="0" fillId="28" borderId="15" xfId="0" applyNumberFormat="1" applyFill="1" applyBorder="1" applyAlignment="1">
      <alignment horizontal="center"/>
    </xf>
    <xf numFmtId="10" fontId="1" fillId="0" borderId="28" xfId="88" applyNumberFormat="1" applyBorder="1" applyAlignment="1">
      <alignment horizontal="center"/>
    </xf>
    <xf numFmtId="10" fontId="0" fillId="26" borderId="15" xfId="88" applyNumberFormat="1" applyFont="1" applyFill="1" applyBorder="1" applyAlignment="1">
      <alignment horizontal="center"/>
    </xf>
    <xf numFmtId="3" fontId="5" fillId="0" borderId="13" xfId="88" applyNumberFormat="1" applyFont="1" applyBorder="1" applyAlignment="1">
      <alignment horizontal="center"/>
    </xf>
    <xf numFmtId="3" fontId="0" fillId="25" borderId="15" xfId="0" applyNumberFormat="1" applyFill="1" applyBorder="1" applyAlignment="1">
      <alignment horizontal="center"/>
    </xf>
    <xf numFmtId="3" fontId="0" fillId="0" borderId="15" xfId="0" applyNumberFormat="1" applyBorder="1" applyAlignment="1">
      <alignment horizontal="center"/>
    </xf>
    <xf numFmtId="0" fontId="14" fillId="0" borderId="0" xfId="0" applyFont="1"/>
    <xf numFmtId="1" fontId="0" fillId="0" borderId="15" xfId="0" applyNumberFormat="1" applyFill="1" applyBorder="1" applyAlignment="1">
      <alignment horizontal="center"/>
    </xf>
    <xf numFmtId="0" fontId="0" fillId="30" borderId="15" xfId="0" applyFill="1" applyBorder="1" applyAlignment="1">
      <alignment horizontal="center"/>
    </xf>
    <xf numFmtId="0" fontId="0" fillId="0" borderId="0" xfId="0" applyAlignment="1">
      <alignment horizontal="left"/>
    </xf>
    <xf numFmtId="164" fontId="0" fillId="0" borderId="11" xfId="0" applyNumberFormat="1" applyBorder="1" applyAlignment="1">
      <alignment horizontal="center"/>
    </xf>
    <xf numFmtId="3" fontId="0" fillId="0" borderId="15" xfId="0" applyNumberFormat="1" applyFill="1" applyBorder="1" applyAlignment="1">
      <alignment horizontal="center"/>
    </xf>
    <xf numFmtId="10" fontId="0" fillId="0" borderId="15" xfId="0" applyNumberFormat="1" applyBorder="1" applyAlignment="1">
      <alignment horizontal="center"/>
    </xf>
    <xf numFmtId="164" fontId="0" fillId="0" borderId="13" xfId="0" applyNumberFormat="1" applyFill="1" applyBorder="1" applyAlignment="1">
      <alignment horizontal="center"/>
    </xf>
    <xf numFmtId="164" fontId="0" fillId="0" borderId="0" xfId="0" applyNumberFormat="1" applyAlignment="1">
      <alignment horizontal="center"/>
    </xf>
    <xf numFmtId="3" fontId="3" fillId="24" borderId="13" xfId="88" applyNumberFormat="1" applyFont="1" applyFill="1" applyBorder="1" applyAlignment="1">
      <alignment horizontal="center"/>
    </xf>
    <xf numFmtId="3" fontId="0" fillId="0" borderId="13" xfId="0" applyNumberFormat="1" applyBorder="1" applyAlignment="1">
      <alignment horizontal="center"/>
    </xf>
    <xf numFmtId="0" fontId="0" fillId="0" borderId="14" xfId="0" applyBorder="1" applyAlignment="1">
      <alignment horizontal="right"/>
    </xf>
    <xf numFmtId="10" fontId="1" fillId="0" borderId="13" xfId="88" applyNumberFormat="1" applyBorder="1" applyAlignment="1">
      <alignment horizontal="center"/>
    </xf>
    <xf numFmtId="10" fontId="3" fillId="24" borderId="13" xfId="88" applyNumberFormat="1" applyFont="1" applyFill="1" applyBorder="1" applyAlignment="1">
      <alignment horizontal="center"/>
    </xf>
    <xf numFmtId="0" fontId="0" fillId="0" borderId="25" xfId="0" applyBorder="1"/>
    <xf numFmtId="0" fontId="0" fillId="0" borderId="29" xfId="0" applyBorder="1"/>
    <xf numFmtId="0" fontId="0" fillId="0" borderId="30" xfId="0" applyBorder="1"/>
    <xf numFmtId="0" fontId="10" fillId="0" borderId="0" xfId="0" applyFont="1" applyBorder="1"/>
    <xf numFmtId="0" fontId="0" fillId="27" borderId="18" xfId="0" applyFill="1" applyBorder="1" applyAlignment="1">
      <alignment horizontal="center" vertical="center" wrapText="1"/>
    </xf>
    <xf numFmtId="0" fontId="0" fillId="27" borderId="31" xfId="0" applyFill="1" applyBorder="1" applyAlignment="1">
      <alignment horizontal="center" vertical="center" wrapText="1"/>
    </xf>
    <xf numFmtId="0" fontId="0" fillId="31" borderId="32" xfId="0" applyFill="1" applyBorder="1" applyAlignment="1">
      <alignment horizontal="center" vertical="center" wrapText="1"/>
    </xf>
    <xf numFmtId="0" fontId="0" fillId="32" borderId="16" xfId="0" applyFill="1" applyBorder="1" applyAlignment="1">
      <alignment horizontal="center" vertical="center" wrapText="1"/>
    </xf>
    <xf numFmtId="2" fontId="0" fillId="26" borderId="16" xfId="0" applyNumberFormat="1" applyFill="1" applyBorder="1" applyAlignment="1">
      <alignment horizontal="center"/>
    </xf>
    <xf numFmtId="0" fontId="0" fillId="0" borderId="16" xfId="0" applyBorder="1" applyAlignment="1">
      <alignment horizontal="center"/>
    </xf>
    <xf numFmtId="167" fontId="10" fillId="26" borderId="33" xfId="0" applyNumberFormat="1" applyFont="1" applyFill="1" applyBorder="1" applyAlignment="1">
      <alignment horizontal="center"/>
    </xf>
    <xf numFmtId="0" fontId="0" fillId="25" borderId="18" xfId="0" applyFill="1" applyBorder="1" applyAlignment="1">
      <alignment horizontal="center"/>
    </xf>
    <xf numFmtId="0" fontId="15" fillId="0" borderId="0" xfId="0" applyFont="1"/>
    <xf numFmtId="0" fontId="0" fillId="27" borderId="15" xfId="0" applyFill="1" applyBorder="1"/>
    <xf numFmtId="9" fontId="0" fillId="0" borderId="16" xfId="0" applyNumberFormat="1" applyBorder="1" applyAlignment="1">
      <alignment horizontal="center"/>
    </xf>
    <xf numFmtId="9" fontId="0" fillId="0" borderId="0" xfId="0" applyNumberFormat="1" applyBorder="1" applyAlignment="1">
      <alignment horizontal="center"/>
    </xf>
    <xf numFmtId="0" fontId="10" fillId="0" borderId="0" xfId="0" applyFont="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10" fillId="0" borderId="48" xfId="0" applyFont="1" applyBorder="1"/>
    <xf numFmtId="0" fontId="0" fillId="32" borderId="15" xfId="0" applyFill="1" applyBorder="1" applyAlignment="1">
      <alignment horizontal="center"/>
    </xf>
    <xf numFmtId="0" fontId="0" fillId="0" borderId="56" xfId="0"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0" fontId="10" fillId="0" borderId="47" xfId="0" applyFont="1" applyBorder="1"/>
    <xf numFmtId="0" fontId="10" fillId="0" borderId="0" xfId="0" applyFont="1" applyBorder="1" applyAlignment="1">
      <alignment horizontal="center"/>
    </xf>
    <xf numFmtId="0" fontId="16" fillId="0" borderId="0" xfId="0" applyFont="1"/>
    <xf numFmtId="0" fontId="0" fillId="33" borderId="15" xfId="0" applyFill="1" applyBorder="1" applyAlignment="1">
      <alignment horizontal="center"/>
    </xf>
    <xf numFmtId="3" fontId="0" fillId="0" borderId="0" xfId="0" applyNumberFormat="1" applyAlignment="1">
      <alignment horizontal="center"/>
    </xf>
    <xf numFmtId="1" fontId="0" fillId="0" borderId="0" xfId="0" applyNumberFormat="1" applyFill="1" applyBorder="1" applyAlignment="1">
      <alignment horizontal="center"/>
    </xf>
    <xf numFmtId="164" fontId="0" fillId="0" borderId="64" xfId="0" applyNumberFormat="1" applyBorder="1"/>
    <xf numFmtId="164" fontId="0" fillId="0" borderId="65" xfId="0" applyNumberFormat="1" applyBorder="1" applyAlignment="1">
      <alignment horizontal="center"/>
    </xf>
    <xf numFmtId="164" fontId="3" fillId="24" borderId="65" xfId="0" applyNumberFormat="1" applyFont="1" applyFill="1" applyBorder="1" applyAlignment="1">
      <alignment horizontal="center"/>
    </xf>
    <xf numFmtId="10" fontId="1" fillId="0" borderId="66" xfId="88" applyNumberFormat="1" applyBorder="1" applyAlignment="1">
      <alignment horizontal="center"/>
    </xf>
    <xf numFmtId="164" fontId="0" fillId="0" borderId="64" xfId="0" applyNumberFormat="1" applyBorder="1" applyAlignment="1">
      <alignment horizontal="center"/>
    </xf>
    <xf numFmtId="10" fontId="3" fillId="24" borderId="65" xfId="88" applyNumberFormat="1" applyFont="1" applyFill="1" applyBorder="1" applyAlignment="1">
      <alignment horizontal="center"/>
    </xf>
    <xf numFmtId="169" fontId="0" fillId="0" borderId="11" xfId="0" applyNumberFormat="1" applyBorder="1" applyAlignment="1">
      <alignment horizontal="center"/>
    </xf>
    <xf numFmtId="169" fontId="0" fillId="0" borderId="28" xfId="0" applyNumberFormat="1" applyBorder="1" applyAlignment="1">
      <alignment horizontal="center"/>
    </xf>
    <xf numFmtId="169" fontId="0" fillId="0" borderId="13" xfId="0" applyNumberFormat="1" applyBorder="1" applyAlignment="1">
      <alignment horizontal="center"/>
    </xf>
    <xf numFmtId="169" fontId="0" fillId="0" borderId="64" xfId="0" applyNumberFormat="1" applyBorder="1" applyAlignment="1">
      <alignment horizontal="center"/>
    </xf>
    <xf numFmtId="169" fontId="0" fillId="0" borderId="65" xfId="0" applyNumberFormat="1" applyBorder="1" applyAlignment="1">
      <alignment horizontal="center"/>
    </xf>
    <xf numFmtId="169" fontId="0" fillId="0" borderId="66" xfId="0" applyNumberFormat="1" applyBorder="1" applyAlignment="1">
      <alignment horizontal="center"/>
    </xf>
    <xf numFmtId="164" fontId="3" fillId="0" borderId="67" xfId="0" applyNumberFormat="1" applyFont="1" applyBorder="1" applyAlignment="1">
      <alignment horizontal="center" vertical="center" wrapText="1"/>
    </xf>
    <xf numFmtId="164" fontId="3" fillId="0" borderId="68" xfId="0" applyNumberFormat="1" applyFont="1" applyBorder="1" applyAlignment="1">
      <alignment horizontal="center" vertical="center" wrapText="1"/>
    </xf>
    <xf numFmtId="0" fontId="0" fillId="0" borderId="0" xfId="0" applyFill="1" applyBorder="1" applyAlignment="1"/>
    <xf numFmtId="3" fontId="0" fillId="0" borderId="0" xfId="0" applyNumberFormat="1"/>
    <xf numFmtId="3" fontId="0" fillId="0" borderId="0" xfId="0" applyNumberFormat="1" applyFill="1" applyBorder="1" applyAlignment="1">
      <alignment horizontal="center"/>
    </xf>
    <xf numFmtId="2" fontId="0" fillId="0" borderId="69" xfId="0" applyNumberFormat="1" applyBorder="1" applyAlignment="1">
      <alignment horizontal="center"/>
    </xf>
    <xf numFmtId="3" fontId="0" fillId="26" borderId="18" xfId="0" applyNumberFormat="1" applyFill="1" applyBorder="1" applyAlignment="1">
      <alignment horizontal="center"/>
    </xf>
    <xf numFmtId="10" fontId="0" fillId="26" borderId="18" xfId="88" applyNumberFormat="1" applyFont="1" applyFill="1" applyBorder="1" applyAlignment="1">
      <alignment horizontal="center"/>
    </xf>
    <xf numFmtId="0" fontId="0" fillId="0" borderId="0" xfId="0" applyFill="1" applyBorder="1"/>
    <xf numFmtId="0" fontId="0" fillId="0" borderId="0" xfId="0" applyFill="1" applyBorder="1" applyAlignment="1">
      <alignment vertical="center"/>
    </xf>
    <xf numFmtId="0" fontId="0" fillId="0" borderId="70" xfId="0" applyBorder="1"/>
    <xf numFmtId="9" fontId="0" fillId="0" borderId="29" xfId="0" applyNumberFormat="1" applyBorder="1" applyAlignment="1">
      <alignment horizontal="center"/>
    </xf>
    <xf numFmtId="0" fontId="6" fillId="0" borderId="0" xfId="86" applyAlignment="1" applyProtection="1">
      <alignment horizontal="right" vertical="center"/>
    </xf>
    <xf numFmtId="0" fontId="6" fillId="0" borderId="0" xfId="86" applyAlignment="1" applyProtection="1">
      <alignment vertical="center"/>
    </xf>
    <xf numFmtId="0" fontId="6" fillId="0" borderId="0" xfId="86" applyAlignment="1" applyProtection="1">
      <alignment horizontal="center" vertical="center"/>
    </xf>
    <xf numFmtId="0" fontId="6" fillId="34" borderId="0" xfId="86" applyFill="1" applyAlignment="1" applyProtection="1">
      <alignment horizontal="left" vertical="center"/>
      <protection locked="0"/>
    </xf>
    <xf numFmtId="170" fontId="6" fillId="0" borderId="19" xfId="86" applyNumberFormat="1" applyFill="1" applyBorder="1" applyAlignment="1" applyProtection="1">
      <alignment horizontal="right" vertical="center"/>
    </xf>
    <xf numFmtId="0" fontId="6" fillId="0" borderId="71" xfId="86" applyFill="1" applyBorder="1" applyAlignment="1" applyProtection="1">
      <alignment horizontal="left" vertical="center"/>
    </xf>
    <xf numFmtId="170" fontId="6" fillId="0" borderId="29" xfId="86" applyNumberFormat="1" applyFill="1" applyBorder="1" applyAlignment="1" applyProtection="1">
      <alignment horizontal="right" vertical="center"/>
    </xf>
    <xf numFmtId="0" fontId="6" fillId="0" borderId="30" xfId="86" applyFill="1" applyBorder="1" applyAlignment="1" applyProtection="1">
      <alignment horizontal="left" vertical="center"/>
    </xf>
    <xf numFmtId="0" fontId="6" fillId="34" borderId="0" xfId="86" applyFill="1" applyAlignment="1" applyProtection="1">
      <alignment vertical="center"/>
      <protection locked="0"/>
    </xf>
    <xf numFmtId="14" fontId="6" fillId="0" borderId="0" xfId="86" applyNumberFormat="1" applyAlignment="1" applyProtection="1">
      <alignment horizontal="right" vertical="center"/>
    </xf>
    <xf numFmtId="0" fontId="6" fillId="0" borderId="0" xfId="86" applyFill="1" applyAlignment="1" applyProtection="1">
      <alignment vertical="center"/>
    </xf>
    <xf numFmtId="0" fontId="17" fillId="0" borderId="0" xfId="86" applyFont="1" applyAlignment="1" applyProtection="1">
      <alignment vertical="center"/>
    </xf>
    <xf numFmtId="0" fontId="6" fillId="0" borderId="16" xfId="86" applyBorder="1" applyAlignment="1" applyProtection="1">
      <alignment vertical="center"/>
    </xf>
    <xf numFmtId="0" fontId="18" fillId="0" borderId="27" xfId="86" applyFont="1" applyBorder="1" applyAlignment="1" applyProtection="1">
      <alignment horizontal="center" vertical="center"/>
    </xf>
    <xf numFmtId="0" fontId="6" fillId="0" borderId="15" xfId="86" applyFill="1" applyBorder="1" applyAlignment="1" applyProtection="1">
      <alignment horizontal="center" vertical="center"/>
    </xf>
    <xf numFmtId="0" fontId="6" fillId="0" borderId="15" xfId="86" applyBorder="1" applyAlignment="1" applyProtection="1">
      <alignment horizontal="center" vertical="center"/>
    </xf>
    <xf numFmtId="0" fontId="6" fillId="0" borderId="0" xfId="86"/>
    <xf numFmtId="0" fontId="19" fillId="0" borderId="0" xfId="86" applyFont="1" applyAlignment="1" applyProtection="1">
      <alignment vertical="center"/>
    </xf>
    <xf numFmtId="3" fontId="19" fillId="0" borderId="0" xfId="86" applyNumberFormat="1" applyFont="1" applyAlignment="1" applyProtection="1">
      <alignment vertical="center"/>
    </xf>
    <xf numFmtId="0" fontId="20" fillId="0" borderId="0" xfId="86" applyFont="1" applyAlignment="1" applyProtection="1">
      <alignment horizontal="right" vertical="center"/>
    </xf>
    <xf numFmtId="3" fontId="20" fillId="0" borderId="0" xfId="86" applyNumberFormat="1" applyFont="1" applyAlignment="1" applyProtection="1">
      <alignment vertical="center"/>
    </xf>
    <xf numFmtId="0" fontId="6" fillId="0" borderId="27" xfId="86" applyFill="1" applyBorder="1" applyAlignment="1" applyProtection="1">
      <alignment horizontal="center" vertical="center"/>
    </xf>
    <xf numFmtId="0" fontId="6" fillId="0" borderId="15" xfId="86" applyFill="1" applyBorder="1" applyAlignment="1" applyProtection="1">
      <alignment vertical="center"/>
    </xf>
    <xf numFmtId="0" fontId="19" fillId="0" borderId="0" xfId="86" applyFont="1" applyBorder="1" applyAlignment="1" applyProtection="1">
      <alignment horizontal="left" vertical="center"/>
    </xf>
    <xf numFmtId="9" fontId="19" fillId="0" borderId="0" xfId="86" applyNumberFormat="1" applyFont="1" applyAlignment="1" applyProtection="1">
      <alignment horizontal="right" vertical="center"/>
    </xf>
    <xf numFmtId="9" fontId="19" fillId="0" borderId="0" xfId="86" applyNumberFormat="1" applyFont="1" applyAlignment="1" applyProtection="1">
      <alignment horizontal="center" vertical="center"/>
    </xf>
    <xf numFmtId="0" fontId="6" fillId="0" borderId="31" xfId="86" applyBorder="1" applyAlignment="1" applyProtection="1">
      <alignment horizontal="center" vertical="center"/>
    </xf>
    <xf numFmtId="0" fontId="6" fillId="0" borderId="0" xfId="86" applyBorder="1" applyAlignment="1" applyProtection="1">
      <alignment vertical="center"/>
    </xf>
    <xf numFmtId="170" fontId="6" fillId="0" borderId="0" xfId="86" applyNumberFormat="1" applyBorder="1" applyAlignment="1" applyProtection="1">
      <alignment vertical="center"/>
    </xf>
    <xf numFmtId="170" fontId="6" fillId="34" borderId="18" xfId="86" applyNumberFormat="1" applyFill="1" applyBorder="1" applyAlignment="1" applyProtection="1">
      <alignment vertical="center"/>
      <protection locked="0"/>
    </xf>
    <xf numFmtId="178" fontId="20" fillId="0" borderId="0" xfId="86" applyNumberFormat="1" applyFont="1" applyAlignment="1" applyProtection="1">
      <alignment vertical="center"/>
    </xf>
    <xf numFmtId="177" fontId="20" fillId="0" borderId="0" xfId="86" applyNumberFormat="1" applyFont="1" applyAlignment="1" applyProtection="1">
      <alignment horizontal="left" vertical="center"/>
    </xf>
    <xf numFmtId="0" fontId="6" fillId="0" borderId="26" xfId="86" applyBorder="1" applyAlignment="1" applyProtection="1">
      <alignment horizontal="center" vertical="center"/>
    </xf>
    <xf numFmtId="170" fontId="6" fillId="34" borderId="72" xfId="86" applyNumberFormat="1" applyFill="1" applyBorder="1" applyAlignment="1" applyProtection="1">
      <alignment vertical="center"/>
      <protection locked="0"/>
    </xf>
    <xf numFmtId="0" fontId="6" fillId="0" borderId="22" xfId="86" applyBorder="1" applyAlignment="1" applyProtection="1">
      <alignment horizontal="center" vertical="center"/>
    </xf>
    <xf numFmtId="0" fontId="6" fillId="0" borderId="29" xfId="86" applyBorder="1" applyAlignment="1" applyProtection="1">
      <alignment vertical="center"/>
    </xf>
    <xf numFmtId="170" fontId="6" fillId="0" borderId="20" xfId="86" applyNumberFormat="1" applyFill="1" applyBorder="1" applyAlignment="1" applyProtection="1">
      <alignment vertical="center"/>
    </xf>
    <xf numFmtId="0" fontId="6" fillId="0" borderId="19" xfId="86" applyBorder="1" applyAlignment="1" applyProtection="1">
      <alignment vertical="center"/>
    </xf>
    <xf numFmtId="170" fontId="6" fillId="0" borderId="18" xfId="86" applyNumberFormat="1" applyFill="1" applyBorder="1" applyAlignment="1" applyProtection="1">
      <alignment vertical="center"/>
    </xf>
    <xf numFmtId="0" fontId="21" fillId="0" borderId="0" xfId="86" applyFont="1" applyAlignment="1" applyProtection="1">
      <alignment horizontal="left" vertical="center"/>
    </xf>
    <xf numFmtId="0" fontId="21" fillId="0" borderId="0" xfId="86" applyFont="1" applyFill="1" applyAlignment="1" applyProtection="1">
      <alignment vertical="center"/>
    </xf>
    <xf numFmtId="170" fontId="6" fillId="0" borderId="72" xfId="86" applyNumberFormat="1" applyFill="1" applyBorder="1" applyAlignment="1" applyProtection="1">
      <alignment vertical="center"/>
    </xf>
    <xf numFmtId="0" fontId="6" fillId="0" borderId="73" xfId="86" applyBorder="1" applyAlignment="1" applyProtection="1">
      <alignment horizontal="center" vertical="center"/>
    </xf>
    <xf numFmtId="0" fontId="6" fillId="0" borderId="74" xfId="86" applyBorder="1" applyAlignment="1" applyProtection="1">
      <alignment vertical="center"/>
    </xf>
    <xf numFmtId="170" fontId="6" fillId="0" borderId="75" xfId="86" applyNumberFormat="1" applyBorder="1" applyAlignment="1" applyProtection="1">
      <alignment vertical="center"/>
    </xf>
    <xf numFmtId="0" fontId="22" fillId="0" borderId="0" xfId="86" applyFont="1" applyAlignment="1" applyProtection="1">
      <alignment horizontal="right" vertical="center"/>
    </xf>
    <xf numFmtId="170" fontId="6" fillId="0" borderId="72" xfId="86" applyNumberFormat="1" applyBorder="1" applyAlignment="1" applyProtection="1">
      <alignment vertical="center"/>
    </xf>
    <xf numFmtId="0" fontId="6" fillId="0" borderId="76" xfId="86" applyBorder="1" applyAlignment="1" applyProtection="1">
      <alignment horizontal="center" vertical="center"/>
    </xf>
    <xf numFmtId="0" fontId="6" fillId="0" borderId="77" xfId="86" applyBorder="1" applyAlignment="1" applyProtection="1">
      <alignment vertical="center"/>
    </xf>
    <xf numFmtId="170" fontId="6" fillId="0" borderId="78" xfId="86" applyNumberFormat="1" applyBorder="1" applyAlignment="1" applyProtection="1">
      <alignment vertical="center"/>
    </xf>
    <xf numFmtId="168" fontId="6" fillId="0" borderId="72" xfId="88" applyNumberFormat="1" applyFont="1" applyFill="1" applyBorder="1" applyAlignment="1" applyProtection="1">
      <alignment vertical="center"/>
    </xf>
    <xf numFmtId="3" fontId="6" fillId="0" borderId="19" xfId="86" applyNumberFormat="1" applyBorder="1" applyAlignment="1" applyProtection="1">
      <alignment horizontal="right" vertical="center"/>
    </xf>
    <xf numFmtId="3" fontId="6" fillId="0" borderId="25" xfId="86" applyNumberFormat="1" applyBorder="1" applyAlignment="1" applyProtection="1">
      <alignment horizontal="right" vertical="center"/>
    </xf>
    <xf numFmtId="170" fontId="6" fillId="34" borderId="25" xfId="86" applyNumberFormat="1" applyFill="1" applyBorder="1" applyAlignment="1" applyProtection="1">
      <alignment vertical="center"/>
      <protection locked="0"/>
    </xf>
    <xf numFmtId="3" fontId="6" fillId="0" borderId="0" xfId="86" applyNumberFormat="1" applyBorder="1" applyAlignment="1" applyProtection="1">
      <alignment horizontal="right" vertical="center"/>
    </xf>
    <xf numFmtId="0" fontId="6" fillId="0" borderId="0" xfId="86" applyBorder="1" applyAlignment="1" applyProtection="1">
      <alignment vertical="center" wrapText="1"/>
    </xf>
    <xf numFmtId="0" fontId="6" fillId="0" borderId="16" xfId="86" applyBorder="1" applyAlignment="1" applyProtection="1">
      <alignment horizontal="center" vertical="center"/>
    </xf>
    <xf numFmtId="0" fontId="6" fillId="0" borderId="17" xfId="86" applyBorder="1" applyAlignment="1" applyProtection="1">
      <alignment vertical="center"/>
    </xf>
    <xf numFmtId="170" fontId="6" fillId="0" borderId="15" xfId="86" applyNumberFormat="1" applyBorder="1" applyAlignment="1" applyProtection="1">
      <alignment vertical="center"/>
    </xf>
    <xf numFmtId="170" fontId="6" fillId="0" borderId="0" xfId="86" applyNumberFormat="1" applyAlignment="1" applyProtection="1">
      <alignment vertical="center"/>
    </xf>
    <xf numFmtId="173" fontId="6" fillId="0" borderId="18" xfId="86" applyNumberFormat="1" applyBorder="1" applyAlignment="1" applyProtection="1">
      <alignment horizontal="left" vertical="center"/>
    </xf>
    <xf numFmtId="170" fontId="6" fillId="0" borderId="18" xfId="86" applyNumberFormat="1" applyBorder="1" applyAlignment="1" applyProtection="1">
      <alignment vertical="center"/>
    </xf>
    <xf numFmtId="173" fontId="6" fillId="0" borderId="20" xfId="86" applyNumberFormat="1" applyBorder="1" applyAlignment="1" applyProtection="1">
      <alignment horizontal="left" vertical="center"/>
    </xf>
    <xf numFmtId="170" fontId="6" fillId="0" borderId="20" xfId="86" applyNumberFormat="1" applyBorder="1" applyAlignment="1" applyProtection="1">
      <alignment vertical="center"/>
    </xf>
    <xf numFmtId="171" fontId="6" fillId="0" borderId="0" xfId="86" applyNumberFormat="1" applyAlignment="1" applyProtection="1">
      <alignment horizontal="right" vertical="center"/>
    </xf>
    <xf numFmtId="0" fontId="23" fillId="0" borderId="16" xfId="86" applyFont="1" applyBorder="1" applyAlignment="1" applyProtection="1">
      <alignment vertical="center"/>
    </xf>
    <xf numFmtId="3" fontId="24" fillId="0" borderId="17" xfId="86" applyNumberFormat="1" applyFont="1" applyBorder="1" applyAlignment="1" applyProtection="1">
      <alignment horizontal="right" vertical="center"/>
    </xf>
    <xf numFmtId="0" fontId="24" fillId="0" borderId="27" xfId="86" applyNumberFormat="1" applyFont="1" applyBorder="1" applyAlignment="1" applyProtection="1">
      <alignment horizontal="left" vertical="center"/>
    </xf>
    <xf numFmtId="0" fontId="6" fillId="0" borderId="0" xfId="88" applyNumberFormat="1" applyFont="1" applyFill="1" applyAlignment="1" applyProtection="1">
      <alignment horizontal="right" vertical="center"/>
    </xf>
    <xf numFmtId="178" fontId="24" fillId="0" borderId="17" xfId="86" applyNumberFormat="1" applyFont="1" applyFill="1" applyBorder="1" applyAlignment="1" applyProtection="1">
      <alignment horizontal="right" vertical="center"/>
    </xf>
    <xf numFmtId="177" fontId="24" fillId="0" borderId="27" xfId="86" applyNumberFormat="1" applyFont="1" applyFill="1" applyBorder="1" applyAlignment="1" applyProtection="1">
      <alignment horizontal="left" vertical="center"/>
    </xf>
    <xf numFmtId="0" fontId="6" fillId="0" borderId="0" xfId="86" applyNumberFormat="1" applyAlignment="1" applyProtection="1">
      <alignment horizontal="right" vertical="center"/>
    </xf>
    <xf numFmtId="10" fontId="17" fillId="35" borderId="0" xfId="88" applyNumberFormat="1" applyFont="1" applyFill="1" applyAlignment="1" applyProtection="1">
      <alignment horizontal="center" vertical="center"/>
    </xf>
    <xf numFmtId="174" fontId="6" fillId="0" borderId="0" xfId="86" applyNumberFormat="1" applyFill="1" applyAlignment="1" applyProtection="1">
      <alignment horizontal="center" vertical="center"/>
    </xf>
    <xf numFmtId="10" fontId="6" fillId="0" borderId="0" xfId="88" applyNumberFormat="1" applyFont="1" applyFill="1" applyAlignment="1" applyProtection="1">
      <alignment horizontal="center" vertical="center"/>
    </xf>
    <xf numFmtId="179" fontId="6" fillId="0" borderId="0" xfId="86" applyNumberFormat="1" applyAlignment="1" applyProtection="1">
      <alignment vertical="center"/>
    </xf>
    <xf numFmtId="3" fontId="6" fillId="0" borderId="0" xfId="86" applyNumberFormat="1" applyAlignment="1" applyProtection="1">
      <alignment vertical="center"/>
    </xf>
    <xf numFmtId="9" fontId="17" fillId="0" borderId="0" xfId="86" applyNumberFormat="1" applyFont="1" applyAlignment="1" applyProtection="1">
      <alignment vertical="center"/>
    </xf>
    <xf numFmtId="10" fontId="6" fillId="0" borderId="0" xfId="88" applyNumberFormat="1" applyFont="1" applyFill="1" applyAlignment="1" applyProtection="1">
      <alignment horizontal="right" vertical="center"/>
    </xf>
    <xf numFmtId="0" fontId="6" fillId="0" borderId="0" xfId="86" applyNumberFormat="1" applyAlignment="1" applyProtection="1">
      <alignment vertical="center"/>
    </xf>
    <xf numFmtId="176" fontId="6" fillId="0" borderId="0" xfId="86" applyNumberFormat="1" applyAlignment="1" applyProtection="1">
      <alignment vertical="center"/>
    </xf>
    <xf numFmtId="0" fontId="24" fillId="0" borderId="29" xfId="80" applyFont="1" applyBorder="1" applyAlignment="1">
      <alignment horizontal="center"/>
    </xf>
    <xf numFmtId="0" fontId="6" fillId="0" borderId="0" xfId="80"/>
    <xf numFmtId="14" fontId="6" fillId="0" borderId="0" xfId="80" applyNumberFormat="1"/>
    <xf numFmtId="0" fontId="6" fillId="0" borderId="0" xfId="80" applyNumberFormat="1"/>
    <xf numFmtId="0" fontId="6" fillId="0" borderId="0" xfId="80" applyAlignment="1">
      <alignment wrapText="1"/>
    </xf>
    <xf numFmtId="0" fontId="6" fillId="0" borderId="0" xfId="80" quotePrefix="1" applyAlignment="1">
      <alignment wrapText="1"/>
    </xf>
    <xf numFmtId="10" fontId="6" fillId="0" borderId="0" xfId="80" applyNumberFormat="1"/>
    <xf numFmtId="0" fontId="17" fillId="0" borderId="0" xfId="80" applyFont="1"/>
    <xf numFmtId="3" fontId="6" fillId="0" borderId="0" xfId="80" applyNumberFormat="1"/>
    <xf numFmtId="9" fontId="6" fillId="0" borderId="0" xfId="80" applyNumberFormat="1"/>
    <xf numFmtId="0" fontId="6" fillId="0" borderId="0" xfId="80" applyAlignment="1" applyProtection="1">
      <alignment vertical="center"/>
    </xf>
    <xf numFmtId="0" fontId="27" fillId="0" borderId="0" xfId="80" applyFont="1" applyAlignment="1" applyProtection="1">
      <alignment horizontal="right" vertical="center"/>
    </xf>
    <xf numFmtId="0" fontId="27" fillId="0" borderId="0" xfId="80" applyFont="1" applyAlignment="1" applyProtection="1">
      <alignment vertical="center"/>
    </xf>
    <xf numFmtId="9" fontId="6" fillId="0" borderId="0" xfId="88" applyFont="1" applyAlignment="1" applyProtection="1">
      <alignment vertical="center"/>
    </xf>
    <xf numFmtId="0" fontId="6" fillId="0" borderId="0" xfId="80" applyAlignment="1" applyProtection="1">
      <alignment horizontal="center" vertical="center" wrapText="1"/>
    </xf>
    <xf numFmtId="0" fontId="6" fillId="0" borderId="0" xfId="80" applyAlignment="1" applyProtection="1">
      <alignment horizontal="center" vertical="center"/>
    </xf>
    <xf numFmtId="9" fontId="6" fillId="0" borderId="0" xfId="88" applyFont="1" applyAlignment="1" applyProtection="1">
      <alignment horizontal="center" vertical="center"/>
    </xf>
    <xf numFmtId="0" fontId="6" fillId="0" borderId="0" xfId="80" applyAlignment="1" applyProtection="1">
      <alignment horizontal="center"/>
    </xf>
    <xf numFmtId="0" fontId="6" fillId="0" borderId="0" xfId="80" applyAlignment="1" applyProtection="1">
      <alignment horizontal="center" wrapText="1"/>
    </xf>
    <xf numFmtId="0" fontId="17" fillId="0" borderId="0" xfId="80" applyFont="1" applyFill="1" applyAlignment="1" applyProtection="1">
      <alignment horizontal="right" wrapText="1"/>
    </xf>
    <xf numFmtId="3" fontId="17" fillId="0" borderId="0" xfId="80" applyNumberFormat="1" applyFont="1" applyFill="1" applyAlignment="1" applyProtection="1">
      <alignment horizontal="center" wrapText="1"/>
    </xf>
    <xf numFmtId="9" fontId="17" fillId="0" borderId="0" xfId="88" applyFont="1" applyFill="1" applyAlignment="1" applyProtection="1">
      <alignment horizontal="center" wrapText="1"/>
    </xf>
    <xf numFmtId="3" fontId="6" fillId="0" borderId="0" xfId="80" applyNumberFormat="1" applyFill="1" applyProtection="1"/>
    <xf numFmtId="3" fontId="6" fillId="0" borderId="0" xfId="80" applyNumberFormat="1" applyProtection="1"/>
    <xf numFmtId="0" fontId="6" fillId="0" borderId="0" xfId="80" applyProtection="1"/>
    <xf numFmtId="175" fontId="17" fillId="0" borderId="79" xfId="72" applyNumberFormat="1" applyFont="1" applyFill="1" applyBorder="1" applyAlignment="1" applyProtection="1">
      <alignment horizontal="right"/>
    </xf>
    <xf numFmtId="0" fontId="17" fillId="0" borderId="0" xfId="72" applyNumberFormat="1" applyFont="1" applyFill="1" applyBorder="1" applyAlignment="1" applyProtection="1">
      <alignment horizontal="center"/>
    </xf>
    <xf numFmtId="9" fontId="17" fillId="0" borderId="0" xfId="88" applyFont="1" applyFill="1" applyBorder="1" applyAlignment="1" applyProtection="1">
      <alignment horizontal="center"/>
    </xf>
    <xf numFmtId="0" fontId="27" fillId="0" borderId="80" xfId="80" applyFont="1" applyBorder="1" applyAlignment="1" applyProtection="1">
      <alignment horizontal="centerContinuous" vertical="center" wrapText="1"/>
    </xf>
    <xf numFmtId="2" fontId="27" fillId="0" borderId="81" xfId="80" applyNumberFormat="1" applyFont="1" applyBorder="1" applyAlignment="1" applyProtection="1">
      <alignment horizontal="centerContinuous" vertical="center" wrapText="1"/>
    </xf>
    <xf numFmtId="9" fontId="27" fillId="0" borderId="82" xfId="88" applyFont="1" applyBorder="1" applyAlignment="1" applyProtection="1">
      <alignment horizontal="center" vertical="center" wrapText="1"/>
    </xf>
    <xf numFmtId="0" fontId="27" fillId="0" borderId="83" xfId="80" applyFont="1" applyBorder="1" applyAlignment="1" applyProtection="1">
      <alignment vertical="center"/>
    </xf>
    <xf numFmtId="3" fontId="27" fillId="0" borderId="84" xfId="80" applyNumberFormat="1" applyFont="1" applyBorder="1" applyAlignment="1" applyProtection="1">
      <alignment horizontal="right" vertical="center"/>
    </xf>
    <xf numFmtId="2" fontId="27" fillId="0" borderId="85" xfId="80" applyNumberFormat="1" applyFont="1" applyBorder="1" applyAlignment="1" applyProtection="1">
      <alignment horizontal="centerContinuous" vertical="center"/>
    </xf>
    <xf numFmtId="9" fontId="27" fillId="0" borderId="83" xfId="88" applyFont="1" applyBorder="1" applyAlignment="1" applyProtection="1">
      <alignment horizontal="center" vertical="center"/>
    </xf>
    <xf numFmtId="175" fontId="27" fillId="0" borderId="86" xfId="80" applyNumberFormat="1" applyFont="1" applyBorder="1" applyAlignment="1" applyProtection="1">
      <alignment vertical="center"/>
    </xf>
    <xf numFmtId="3" fontId="27" fillId="0" borderId="87" xfId="80" applyNumberFormat="1" applyFont="1" applyBorder="1" applyAlignment="1" applyProtection="1">
      <alignment horizontal="right" vertical="center"/>
    </xf>
    <xf numFmtId="9" fontId="27" fillId="0" borderId="86" xfId="88" applyFont="1" applyBorder="1" applyAlignment="1" applyProtection="1">
      <alignment horizontal="center" vertical="center"/>
    </xf>
    <xf numFmtId="175" fontId="27" fillId="0" borderId="88" xfId="80" applyNumberFormat="1" applyFont="1" applyBorder="1" applyAlignment="1" applyProtection="1">
      <alignment vertical="center"/>
    </xf>
    <xf numFmtId="3" fontId="27" fillId="0" borderId="89" xfId="80" applyNumberFormat="1" applyFont="1" applyBorder="1" applyAlignment="1" applyProtection="1">
      <alignment horizontal="right" vertical="center"/>
    </xf>
    <xf numFmtId="2" fontId="27" fillId="0" borderId="90" xfId="80" applyNumberFormat="1" applyFont="1" applyBorder="1" applyAlignment="1" applyProtection="1">
      <alignment horizontal="centerContinuous" vertical="center"/>
    </xf>
    <xf numFmtId="9" fontId="27" fillId="0" borderId="88" xfId="88" applyFont="1" applyBorder="1" applyAlignment="1" applyProtection="1">
      <alignment horizontal="center" vertical="center"/>
    </xf>
    <xf numFmtId="0" fontId="6" fillId="34" borderId="0" xfId="86" applyFont="1" applyFill="1" applyAlignment="1" applyProtection="1">
      <alignment vertical="center"/>
      <protection locked="0"/>
    </xf>
    <xf numFmtId="0" fontId="6" fillId="0" borderId="0" xfId="86" applyFont="1"/>
    <xf numFmtId="9" fontId="0" fillId="0" borderId="0" xfId="0" applyNumberFormat="1"/>
    <xf numFmtId="0" fontId="0" fillId="32" borderId="33" xfId="0" applyFill="1" applyBorder="1" applyAlignment="1">
      <alignment horizontal="center"/>
    </xf>
    <xf numFmtId="0" fontId="0" fillId="0" borderId="27" xfId="0" applyBorder="1" applyAlignment="1">
      <alignment vertical="center"/>
    </xf>
    <xf numFmtId="0" fontId="0" fillId="0" borderId="19" xfId="0" applyBorder="1" applyAlignment="1">
      <alignment vertical="center"/>
    </xf>
    <xf numFmtId="164" fontId="0" fillId="0" borderId="0" xfId="0" applyNumberFormat="1"/>
    <xf numFmtId="167" fontId="0" fillId="26" borderId="33" xfId="0" applyNumberFormat="1" applyFill="1" applyBorder="1" applyAlignment="1">
      <alignment horizontal="center"/>
    </xf>
    <xf numFmtId="2" fontId="0" fillId="26" borderId="18" xfId="0" applyNumberFormat="1" applyFill="1" applyBorder="1" applyAlignment="1">
      <alignment horizontal="center"/>
    </xf>
    <xf numFmtId="2" fontId="0" fillId="26" borderId="91" xfId="0" applyNumberFormat="1" applyFill="1" applyBorder="1" applyAlignment="1">
      <alignment horizontal="center"/>
    </xf>
    <xf numFmtId="2" fontId="0" fillId="26" borderId="92" xfId="0" applyNumberFormat="1" applyFill="1" applyBorder="1" applyAlignment="1">
      <alignment horizontal="center"/>
    </xf>
    <xf numFmtId="2" fontId="0" fillId="26" borderId="93" xfId="0" applyNumberFormat="1" applyFill="1" applyBorder="1" applyAlignment="1">
      <alignment horizontal="center"/>
    </xf>
    <xf numFmtId="0" fontId="0" fillId="0" borderId="16" xfId="0" applyBorder="1" applyAlignment="1">
      <alignment vertical="center"/>
    </xf>
    <xf numFmtId="0" fontId="0" fillId="0" borderId="17" xfId="0" applyBorder="1" applyAlignment="1">
      <alignment vertical="center"/>
    </xf>
    <xf numFmtId="2" fontId="0" fillId="0" borderId="0" xfId="0" applyNumberFormat="1" applyBorder="1" applyAlignment="1">
      <alignment horizontal="center"/>
    </xf>
    <xf numFmtId="3" fontId="10" fillId="36" borderId="0" xfId="0" applyNumberFormat="1" applyFont="1" applyFill="1" applyAlignment="1">
      <alignment horizontal="center"/>
    </xf>
    <xf numFmtId="9" fontId="1" fillId="0" borderId="17" xfId="88" applyFont="1" applyBorder="1" applyAlignment="1">
      <alignment horizontal="center"/>
    </xf>
    <xf numFmtId="9" fontId="0" fillId="0" borderId="15" xfId="88" applyNumberFormat="1" applyFont="1" applyBorder="1" applyAlignment="1">
      <alignment horizontal="center"/>
    </xf>
    <xf numFmtId="2" fontId="0" fillId="31" borderId="15" xfId="0" applyNumberFormat="1" applyFill="1" applyBorder="1" applyAlignment="1">
      <alignment horizontal="center"/>
    </xf>
    <xf numFmtId="0" fontId="0" fillId="0" borderId="19" xfId="0" applyFill="1" applyBorder="1" applyAlignment="1">
      <alignment vertical="center"/>
    </xf>
    <xf numFmtId="1" fontId="0" fillId="0" borderId="19" xfId="0" applyNumberFormat="1" applyFill="1" applyBorder="1" applyAlignment="1">
      <alignment horizontal="center"/>
    </xf>
    <xf numFmtId="0" fontId="0" fillId="0" borderId="29" xfId="0" applyFill="1" applyBorder="1" applyAlignment="1">
      <alignment vertical="center"/>
    </xf>
    <xf numFmtId="1" fontId="0" fillId="0" borderId="29" xfId="0" applyNumberFormat="1" applyFill="1" applyBorder="1" applyAlignment="1">
      <alignment horizontal="center"/>
    </xf>
    <xf numFmtId="0" fontId="12" fillId="0" borderId="29" xfId="0" applyFont="1" applyFill="1" applyBorder="1" applyAlignment="1">
      <alignment vertical="center"/>
    </xf>
    <xf numFmtId="0" fontId="11" fillId="0" borderId="29" xfId="0" applyFont="1" applyBorder="1"/>
    <xf numFmtId="0" fontId="0" fillId="0" borderId="29" xfId="0" applyBorder="1" applyAlignment="1">
      <alignment vertical="center"/>
    </xf>
    <xf numFmtId="0" fontId="12" fillId="0" borderId="29" xfId="0" applyFont="1" applyBorder="1" applyAlignment="1">
      <alignment vertical="center"/>
    </xf>
    <xf numFmtId="1" fontId="0" fillId="0" borderId="19" xfId="0" applyNumberFormat="1" applyFill="1" applyBorder="1" applyAlignment="1">
      <alignment horizontal="left"/>
    </xf>
    <xf numFmtId="1" fontId="0" fillId="0" borderId="22" xfId="0" applyNumberFormat="1" applyFill="1" applyBorder="1" applyAlignment="1">
      <alignment horizontal="left"/>
    </xf>
    <xf numFmtId="1" fontId="0" fillId="0" borderId="31" xfId="0" applyNumberFormat="1" applyFill="1" applyBorder="1" applyAlignment="1">
      <alignment horizontal="left"/>
    </xf>
    <xf numFmtId="0" fontId="0" fillId="0" borderId="94" xfId="0" applyBorder="1" applyAlignment="1">
      <alignment vertical="center"/>
    </xf>
    <xf numFmtId="0" fontId="0" fillId="0" borderId="95" xfId="0" applyBorder="1" applyAlignment="1">
      <alignment vertical="center"/>
    </xf>
    <xf numFmtId="1" fontId="0" fillId="26" borderId="96" xfId="0" applyNumberFormat="1" applyFill="1" applyBorder="1" applyAlignment="1">
      <alignment horizontal="center"/>
    </xf>
    <xf numFmtId="1" fontId="0" fillId="26" borderId="97" xfId="0" applyNumberFormat="1" applyFill="1" applyBorder="1" applyAlignment="1">
      <alignment horizontal="center"/>
    </xf>
    <xf numFmtId="1" fontId="0" fillId="26" borderId="98" xfId="0" applyNumberFormat="1" applyFill="1" applyBorder="1" applyAlignment="1">
      <alignment horizontal="center"/>
    </xf>
    <xf numFmtId="1" fontId="0" fillId="26" borderId="99" xfId="0" applyNumberFormat="1" applyFill="1" applyBorder="1" applyAlignment="1">
      <alignment horizontal="center"/>
    </xf>
    <xf numFmtId="1" fontId="0" fillId="26" borderId="100" xfId="0" applyNumberFormat="1" applyFill="1" applyBorder="1" applyAlignment="1">
      <alignment horizontal="center"/>
    </xf>
    <xf numFmtId="166" fontId="0" fillId="0" borderId="0" xfId="0" applyNumberFormat="1" applyAlignment="1">
      <alignment horizontal="center"/>
    </xf>
    <xf numFmtId="0" fontId="28" fillId="0" borderId="26" xfId="0" applyFont="1" applyBorder="1"/>
    <xf numFmtId="0" fontId="28" fillId="0" borderId="0" xfId="0" applyFont="1" applyBorder="1"/>
    <xf numFmtId="0" fontId="28" fillId="0" borderId="22" xfId="0" applyFont="1" applyBorder="1"/>
    <xf numFmtId="0" fontId="28" fillId="0" borderId="19" xfId="0" applyFont="1" applyBorder="1"/>
    <xf numFmtId="3" fontId="28" fillId="0" borderId="71" xfId="0" applyNumberFormat="1" applyFont="1" applyBorder="1" applyAlignment="1">
      <alignment horizontal="center"/>
    </xf>
    <xf numFmtId="0" fontId="28" fillId="0" borderId="25" xfId="0" applyFont="1" applyBorder="1"/>
    <xf numFmtId="0" fontId="0" fillId="32" borderId="0" xfId="0" quotePrefix="1" applyFill="1" applyAlignment="1">
      <alignment horizontal="center"/>
    </xf>
    <xf numFmtId="0" fontId="28" fillId="0" borderId="19" xfId="0" applyFont="1" applyBorder="1" applyAlignment="1">
      <alignment horizontal="left"/>
    </xf>
    <xf numFmtId="3" fontId="28" fillId="0" borderId="0" xfId="0" applyNumberFormat="1" applyFont="1" applyBorder="1" applyAlignment="1">
      <alignment horizontal="left"/>
    </xf>
    <xf numFmtId="166" fontId="0" fillId="0" borderId="0" xfId="0" applyNumberFormat="1" applyFill="1" applyBorder="1" applyAlignment="1">
      <alignment horizontal="center"/>
    </xf>
    <xf numFmtId="9" fontId="0" fillId="25" borderId="20" xfId="0" applyNumberFormat="1" applyFill="1" applyBorder="1" applyAlignment="1">
      <alignment horizontal="center"/>
    </xf>
    <xf numFmtId="9" fontId="0" fillId="0" borderId="20" xfId="0" applyNumberFormat="1" applyFill="1" applyBorder="1" applyAlignment="1">
      <alignment horizontal="center"/>
    </xf>
    <xf numFmtId="1" fontId="0" fillId="26" borderId="92" xfId="0" applyNumberFormat="1" applyFill="1" applyBorder="1" applyAlignment="1">
      <alignment horizontal="center"/>
    </xf>
    <xf numFmtId="0" fontId="12" fillId="0" borderId="0" xfId="0" applyFont="1" applyBorder="1" applyAlignment="1">
      <alignment vertical="center"/>
    </xf>
    <xf numFmtId="1" fontId="0" fillId="31" borderId="92" xfId="0" applyNumberFormat="1" applyFill="1" applyBorder="1" applyAlignment="1">
      <alignment horizontal="center"/>
    </xf>
    <xf numFmtId="1" fontId="0" fillId="31" borderId="93" xfId="0" applyNumberFormat="1" applyFill="1" applyBorder="1" applyAlignment="1">
      <alignment horizontal="center"/>
    </xf>
    <xf numFmtId="1" fontId="0" fillId="24" borderId="92" xfId="0" applyNumberFormat="1" applyFill="1" applyBorder="1" applyAlignment="1">
      <alignment horizontal="center"/>
    </xf>
    <xf numFmtId="1" fontId="0" fillId="24" borderId="93" xfId="0" applyNumberFormat="1" applyFill="1" applyBorder="1" applyAlignment="1">
      <alignment horizontal="center"/>
    </xf>
    <xf numFmtId="3" fontId="13" fillId="0" borderId="0" xfId="0" applyNumberFormat="1" applyFont="1" applyAlignment="1">
      <alignment horizontal="center"/>
    </xf>
    <xf numFmtId="165" fontId="1" fillId="0" borderId="65" xfId="0" applyNumberFormat="1" applyFont="1" applyBorder="1" applyAlignment="1">
      <alignment horizontal="center"/>
    </xf>
    <xf numFmtId="10" fontId="3" fillId="24" borderId="0" xfId="88" applyNumberFormat="1" applyFont="1" applyFill="1" applyBorder="1" applyAlignment="1">
      <alignment horizontal="center"/>
    </xf>
    <xf numFmtId="0" fontId="0" fillId="0" borderId="22" xfId="0" applyBorder="1" applyAlignment="1">
      <alignment vertical="center"/>
    </xf>
    <xf numFmtId="0" fontId="0" fillId="0" borderId="30" xfId="0" applyBorder="1" applyAlignment="1">
      <alignment vertical="center"/>
    </xf>
    <xf numFmtId="0" fontId="28" fillId="0" borderId="31" xfId="0" applyFont="1" applyBorder="1" applyAlignment="1">
      <alignment horizontal="left"/>
    </xf>
    <xf numFmtId="0" fontId="28" fillId="0" borderId="19" xfId="0" applyFont="1" applyBorder="1" applyAlignment="1">
      <alignment horizontal="center"/>
    </xf>
    <xf numFmtId="167" fontId="28" fillId="0" borderId="19" xfId="0" applyNumberFormat="1" applyFont="1" applyBorder="1" applyAlignment="1">
      <alignment horizontal="center"/>
    </xf>
    <xf numFmtId="10" fontId="28" fillId="0" borderId="0" xfId="0" applyNumberFormat="1" applyFont="1" applyBorder="1" applyAlignment="1">
      <alignment horizontal="center"/>
    </xf>
    <xf numFmtId="1" fontId="28" fillId="0" borderId="0" xfId="0" applyNumberFormat="1" applyFont="1" applyBorder="1" applyAlignment="1">
      <alignment horizontal="center"/>
    </xf>
    <xf numFmtId="178" fontId="28" fillId="0" borderId="0" xfId="0" applyNumberFormat="1" applyFont="1" applyBorder="1" applyAlignment="1">
      <alignment horizontal="center"/>
    </xf>
    <xf numFmtId="177" fontId="28" fillId="0" borderId="25" xfId="0" applyNumberFormat="1" applyFont="1" applyBorder="1" applyAlignment="1">
      <alignment horizontal="center"/>
    </xf>
    <xf numFmtId="2" fontId="28" fillId="0" borderId="0" xfId="0" applyNumberFormat="1" applyFont="1" applyBorder="1" applyAlignment="1">
      <alignment horizontal="center"/>
    </xf>
    <xf numFmtId="2" fontId="28" fillId="0" borderId="29" xfId="0" applyNumberFormat="1" applyFont="1" applyBorder="1" applyAlignment="1">
      <alignment horizontal="center"/>
    </xf>
    <xf numFmtId="9" fontId="28" fillId="0" borderId="0" xfId="88" applyFont="1" applyBorder="1" applyAlignment="1">
      <alignment horizontal="center"/>
    </xf>
    <xf numFmtId="0" fontId="11" fillId="0" borderId="0" xfId="0" applyFont="1" applyBorder="1"/>
    <xf numFmtId="1" fontId="0" fillId="0" borderId="23" xfId="0" applyNumberFormat="1" applyFill="1" applyBorder="1" applyAlignment="1">
      <alignment horizontal="center"/>
    </xf>
    <xf numFmtId="1" fontId="0" fillId="0" borderId="101" xfId="0" applyNumberFormat="1" applyFill="1" applyBorder="1" applyAlignment="1">
      <alignment horizontal="center"/>
    </xf>
    <xf numFmtId="1" fontId="0" fillId="0" borderId="24" xfId="0" applyNumberFormat="1" applyFill="1" applyBorder="1" applyAlignment="1">
      <alignment horizontal="center"/>
    </xf>
    <xf numFmtId="1" fontId="0" fillId="0" borderId="102" xfId="0" applyNumberFormat="1" applyFill="1" applyBorder="1" applyAlignment="1">
      <alignment horizontal="center"/>
    </xf>
    <xf numFmtId="3" fontId="15" fillId="0" borderId="0" xfId="0" applyNumberFormat="1" applyFont="1" applyFill="1" applyAlignment="1">
      <alignment horizontal="center"/>
    </xf>
    <xf numFmtId="0" fontId="0" fillId="27" borderId="15" xfId="0" applyNumberFormat="1" applyFill="1" applyBorder="1" applyAlignment="1">
      <alignment horizontal="center" vertical="center" wrapText="1"/>
    </xf>
    <xf numFmtId="0" fontId="28" fillId="0" borderId="29" xfId="0" applyFont="1" applyBorder="1"/>
    <xf numFmtId="10" fontId="28" fillId="0" borderId="29" xfId="0" applyNumberFormat="1" applyFont="1" applyBorder="1" applyAlignment="1">
      <alignment horizontal="center"/>
    </xf>
    <xf numFmtId="0" fontId="28" fillId="0" borderId="30" xfId="0" applyFont="1" applyBorder="1"/>
    <xf numFmtId="0" fontId="0" fillId="0" borderId="103" xfId="0" applyBorder="1" applyAlignment="1">
      <alignment horizontal="center"/>
    </xf>
    <xf numFmtId="1" fontId="29" fillId="0" borderId="0" xfId="0" applyNumberFormat="1" applyFont="1" applyFill="1" applyBorder="1" applyAlignment="1">
      <alignment horizontal="center"/>
    </xf>
    <xf numFmtId="9" fontId="0" fillId="35" borderId="15" xfId="88" applyNumberFormat="1" applyFont="1" applyFill="1" applyBorder="1" applyAlignment="1">
      <alignment horizontal="center"/>
    </xf>
    <xf numFmtId="0" fontId="3" fillId="0" borderId="104" xfId="0" applyFont="1" applyBorder="1" applyAlignment="1">
      <alignment horizontal="center" vertical="center" wrapText="1"/>
    </xf>
    <xf numFmtId="0" fontId="0" fillId="26" borderId="27" xfId="0" applyFill="1" applyBorder="1" applyAlignment="1">
      <alignment horizontal="center"/>
    </xf>
    <xf numFmtId="0" fontId="0" fillId="26" borderId="105" xfId="0" applyFill="1" applyBorder="1" applyAlignment="1">
      <alignment horizontal="center"/>
    </xf>
    <xf numFmtId="1" fontId="0" fillId="0" borderId="106" xfId="0" applyNumberFormat="1" applyFill="1" applyBorder="1" applyAlignment="1">
      <alignment horizontal="center"/>
    </xf>
    <xf numFmtId="1" fontId="0" fillId="0" borderId="107" xfId="0" applyNumberFormat="1" applyFill="1" applyBorder="1" applyAlignment="1">
      <alignment horizontal="center"/>
    </xf>
    <xf numFmtId="1" fontId="0" fillId="37" borderId="15" xfId="0" applyNumberFormat="1" applyFill="1" applyBorder="1" applyAlignment="1">
      <alignment horizontal="center"/>
    </xf>
    <xf numFmtId="1" fontId="0" fillId="37" borderId="18" xfId="0" applyNumberFormat="1" applyFill="1" applyBorder="1" applyAlignment="1">
      <alignment horizontal="center"/>
    </xf>
    <xf numFmtId="1" fontId="0" fillId="37" borderId="96" xfId="0" applyNumberFormat="1" applyFill="1" applyBorder="1" applyAlignment="1">
      <alignment horizontal="center"/>
    </xf>
    <xf numFmtId="1" fontId="0" fillId="37" borderId="98" xfId="0" applyNumberFormat="1" applyFill="1" applyBorder="1" applyAlignment="1">
      <alignment horizontal="center"/>
    </xf>
    <xf numFmtId="2" fontId="0" fillId="0" borderId="27" xfId="0" applyNumberFormat="1" applyFill="1" applyBorder="1" applyAlignment="1">
      <alignment horizontal="center"/>
    </xf>
    <xf numFmtId="2" fontId="0" fillId="28" borderId="18" xfId="0" applyNumberFormat="1" applyFill="1" applyBorder="1" applyAlignment="1">
      <alignment horizontal="center"/>
    </xf>
    <xf numFmtId="168" fontId="0" fillId="26" borderId="20" xfId="0" applyNumberFormat="1" applyFill="1" applyBorder="1" applyAlignment="1">
      <alignment horizontal="center"/>
    </xf>
    <xf numFmtId="2" fontId="0" fillId="0" borderId="108" xfId="0" applyNumberFormat="1" applyFill="1" applyBorder="1" applyAlignment="1">
      <alignment horizontal="center"/>
    </xf>
    <xf numFmtId="0" fontId="6" fillId="0" borderId="0" xfId="86" applyFont="1" applyFill="1" applyAlignment="1" applyProtection="1">
      <alignment horizontal="center" vertical="center"/>
    </xf>
    <xf numFmtId="0" fontId="6" fillId="0" borderId="0" xfId="86" applyFont="1" applyAlignment="1" applyProtection="1">
      <alignment horizontal="center" vertical="center"/>
    </xf>
    <xf numFmtId="0" fontId="17" fillId="0" borderId="0" xfId="86" applyFont="1" applyAlignment="1" applyProtection="1">
      <alignment horizontal="center" vertical="center"/>
    </xf>
    <xf numFmtId="0" fontId="3" fillId="0" borderId="109" xfId="0" applyFont="1" applyBorder="1" applyAlignment="1">
      <alignment vertical="center" wrapText="1"/>
    </xf>
    <xf numFmtId="1" fontId="0" fillId="26" borderId="110" xfId="0" applyNumberFormat="1" applyFill="1" applyBorder="1" applyAlignment="1">
      <alignment horizontal="center"/>
    </xf>
    <xf numFmtId="1" fontId="0" fillId="26" borderId="111" xfId="0" applyNumberFormat="1" applyFill="1" applyBorder="1" applyAlignment="1">
      <alignment horizontal="center"/>
    </xf>
    <xf numFmtId="1" fontId="0" fillId="31" borderId="112" xfId="0" applyNumberFormat="1" applyFill="1" applyBorder="1" applyAlignment="1">
      <alignment horizontal="center"/>
    </xf>
    <xf numFmtId="1" fontId="0" fillId="24" borderId="112" xfId="0" applyNumberFormat="1" applyFill="1" applyBorder="1" applyAlignment="1">
      <alignment horizontal="center"/>
    </xf>
    <xf numFmtId="1" fontId="0" fillId="0" borderId="110" xfId="0" applyNumberFormat="1" applyFill="1" applyBorder="1" applyAlignment="1">
      <alignment horizontal="center"/>
    </xf>
    <xf numFmtId="1" fontId="0" fillId="0" borderId="111" xfId="0" applyNumberFormat="1" applyFill="1" applyBorder="1" applyAlignment="1">
      <alignment horizontal="center"/>
    </xf>
    <xf numFmtId="1" fontId="0" fillId="0" borderId="113" xfId="0" applyNumberFormat="1" applyFill="1" applyBorder="1" applyAlignment="1">
      <alignment horizontal="center"/>
    </xf>
    <xf numFmtId="1" fontId="0" fillId="26" borderId="114" xfId="0" applyNumberFormat="1" applyFill="1" applyBorder="1" applyAlignment="1">
      <alignment horizontal="center"/>
    </xf>
    <xf numFmtId="1" fontId="0" fillId="26" borderId="16" xfId="0" applyNumberFormat="1" applyFill="1" applyBorder="1" applyAlignment="1">
      <alignment horizontal="center"/>
    </xf>
    <xf numFmtId="1" fontId="0" fillId="26" borderId="115" xfId="0" applyNumberFormat="1" applyFill="1" applyBorder="1" applyAlignment="1">
      <alignment horizontal="center"/>
    </xf>
    <xf numFmtId="3" fontId="0" fillId="0" borderId="66" xfId="0" applyNumberFormat="1" applyBorder="1" applyAlignment="1">
      <alignment horizontal="center"/>
    </xf>
    <xf numFmtId="2" fontId="0" fillId="26" borderId="116" xfId="0" applyNumberFormat="1" applyFill="1" applyBorder="1" applyAlignment="1">
      <alignment horizontal="center"/>
    </xf>
    <xf numFmtId="164" fontId="3" fillId="0" borderId="117" xfId="0" applyNumberFormat="1" applyFont="1" applyBorder="1" applyAlignment="1">
      <alignment horizontal="center" vertical="center" wrapText="1"/>
    </xf>
    <xf numFmtId="164" fontId="0" fillId="0" borderId="118" xfId="0" applyNumberFormat="1" applyBorder="1"/>
    <xf numFmtId="164" fontId="0" fillId="0" borderId="119" xfId="0" applyNumberFormat="1" applyBorder="1" applyAlignment="1">
      <alignment horizontal="center"/>
    </xf>
    <xf numFmtId="164" fontId="0" fillId="0" borderId="119" xfId="0" applyNumberFormat="1" applyBorder="1"/>
    <xf numFmtId="3" fontId="0" fillId="0" borderId="28" xfId="0" applyNumberFormat="1" applyBorder="1" applyAlignment="1">
      <alignment horizontal="center"/>
    </xf>
    <xf numFmtId="10" fontId="1" fillId="0" borderId="120" xfId="88" applyNumberFormat="1" applyBorder="1" applyAlignment="1">
      <alignment horizontal="center"/>
    </xf>
    <xf numFmtId="1" fontId="0" fillId="26" borderId="101" xfId="0" applyNumberFormat="1" applyFill="1" applyBorder="1" applyAlignment="1">
      <alignment horizontal="center"/>
    </xf>
    <xf numFmtId="1" fontId="0" fillId="26" borderId="102" xfId="0" applyNumberFormat="1" applyFill="1" applyBorder="1" applyAlignment="1">
      <alignment horizontal="center"/>
    </xf>
    <xf numFmtId="1" fontId="0" fillId="0" borderId="121" xfId="0" applyNumberFormat="1" applyFill="1" applyBorder="1" applyAlignment="1">
      <alignment horizontal="center"/>
    </xf>
    <xf numFmtId="1" fontId="0" fillId="0" borderId="122" xfId="0" applyNumberFormat="1" applyFill="1" applyBorder="1" applyAlignment="1">
      <alignment horizontal="center"/>
    </xf>
    <xf numFmtId="1" fontId="0" fillId="26" borderId="93" xfId="0" applyNumberFormat="1" applyFill="1" applyBorder="1" applyAlignment="1">
      <alignment horizontal="center"/>
    </xf>
    <xf numFmtId="0" fontId="33" fillId="0" borderId="0" xfId="83" applyFont="1" applyAlignment="1">
      <alignment horizontal="centerContinuous"/>
    </xf>
    <xf numFmtId="182" fontId="34" fillId="0" borderId="0" xfId="83" applyNumberFormat="1" applyFont="1" applyAlignment="1">
      <alignment horizontal="centerContinuous"/>
    </xf>
    <xf numFmtId="0" fontId="34" fillId="0" borderId="0" xfId="83" applyFont="1"/>
    <xf numFmtId="0" fontId="33" fillId="38" borderId="123" xfId="83" applyFont="1" applyFill="1" applyBorder="1"/>
    <xf numFmtId="182" fontId="34" fillId="38" borderId="32" xfId="83" applyNumberFormat="1" applyFont="1" applyFill="1" applyBorder="1"/>
    <xf numFmtId="0" fontId="35" fillId="38" borderId="79" xfId="83" applyFont="1" applyFill="1" applyBorder="1" applyAlignment="1">
      <alignment horizontal="center"/>
    </xf>
    <xf numFmtId="0" fontId="4" fillId="38" borderId="124" xfId="83" applyFont="1" applyFill="1" applyBorder="1" applyAlignment="1">
      <alignment horizontal="center" vertical="center"/>
    </xf>
    <xf numFmtId="182" fontId="35" fillId="38" borderId="125" xfId="83" applyNumberFormat="1" applyFont="1" applyFill="1" applyBorder="1" applyAlignment="1">
      <alignment horizontal="center" vertical="center"/>
    </xf>
    <xf numFmtId="0" fontId="3" fillId="0" borderId="0" xfId="83" applyFont="1" applyAlignment="1">
      <alignment horizontal="center" vertical="center"/>
    </xf>
    <xf numFmtId="0" fontId="36" fillId="0" borderId="79" xfId="83" applyFont="1" applyBorder="1"/>
    <xf numFmtId="182" fontId="35" fillId="0" borderId="13" xfId="83" applyNumberFormat="1" applyFont="1" applyFill="1" applyBorder="1"/>
    <xf numFmtId="0" fontId="34" fillId="0" borderId="79" xfId="83" applyFont="1" applyBorder="1"/>
    <xf numFmtId="182" fontId="34" fillId="0" borderId="13" xfId="83" applyNumberFormat="1" applyFont="1" applyFill="1" applyBorder="1"/>
    <xf numFmtId="0" fontId="37" fillId="0" borderId="79" xfId="83" applyFont="1" applyBorder="1"/>
    <xf numFmtId="0" fontId="38" fillId="0" borderId="79" xfId="83" applyFont="1" applyBorder="1"/>
    <xf numFmtId="182" fontId="34" fillId="0" borderId="13" xfId="83" applyNumberFormat="1" applyFont="1" applyBorder="1"/>
    <xf numFmtId="182" fontId="35" fillId="0" borderId="13" xfId="83" applyNumberFormat="1" applyFont="1" applyBorder="1"/>
    <xf numFmtId="182" fontId="39" fillId="0" borderId="13" xfId="83" applyNumberFormat="1" applyFont="1" applyFill="1" applyBorder="1"/>
    <xf numFmtId="0" fontId="31" fillId="0" borderId="79" xfId="83" applyBorder="1"/>
    <xf numFmtId="0" fontId="34" fillId="0" borderId="124" xfId="83" applyFont="1" applyBorder="1"/>
    <xf numFmtId="182" fontId="34" fillId="0" borderId="125" xfId="83" applyNumberFormat="1" applyFont="1" applyBorder="1"/>
    <xf numFmtId="182" fontId="34" fillId="0" borderId="0" xfId="83" applyNumberFormat="1" applyFont="1"/>
    <xf numFmtId="4" fontId="40" fillId="0" borderId="0" xfId="83" applyNumberFormat="1" applyFont="1" applyAlignment="1">
      <alignment horizontal="right" vertical="center"/>
    </xf>
    <xf numFmtId="4" fontId="33" fillId="0" borderId="0" xfId="83" applyNumberFormat="1" applyFont="1" applyAlignment="1">
      <alignment horizontal="centerContinuous"/>
    </xf>
    <xf numFmtId="4" fontId="34" fillId="0" borderId="0" xfId="83" applyNumberFormat="1" applyFont="1" applyAlignment="1">
      <alignment horizontal="centerContinuous"/>
    </xf>
    <xf numFmtId="17" fontId="34" fillId="0" borderId="0" xfId="83" applyNumberFormat="1" applyFont="1" applyAlignment="1">
      <alignment horizontal="centerContinuous"/>
    </xf>
    <xf numFmtId="4" fontId="31" fillId="0" borderId="0" xfId="83" applyNumberFormat="1"/>
    <xf numFmtId="4" fontId="34" fillId="0" borderId="0" xfId="83" applyNumberFormat="1" applyFont="1" applyBorder="1" applyAlignment="1">
      <alignment horizontal="centerContinuous"/>
    </xf>
    <xf numFmtId="4" fontId="34" fillId="38" borderId="123" xfId="83" applyNumberFormat="1" applyFont="1" applyFill="1" applyBorder="1"/>
    <xf numFmtId="4" fontId="34" fillId="38" borderId="126" xfId="83" applyNumberFormat="1" applyFont="1" applyFill="1" applyBorder="1"/>
    <xf numFmtId="4" fontId="34" fillId="38" borderId="32" xfId="83" applyNumberFormat="1" applyFont="1" applyFill="1" applyBorder="1" applyAlignment="1">
      <alignment horizontal="center"/>
    </xf>
    <xf numFmtId="4" fontId="34" fillId="38" borderId="79" xfId="83" applyNumberFormat="1" applyFont="1" applyFill="1" applyBorder="1"/>
    <xf numFmtId="4" fontId="4" fillId="38" borderId="0" xfId="83" applyNumberFormat="1" applyFont="1" applyFill="1" applyBorder="1"/>
    <xf numFmtId="4" fontId="42" fillId="38" borderId="0" xfId="83" applyNumberFormat="1" applyFont="1" applyFill="1" applyBorder="1"/>
    <xf numFmtId="4" fontId="35" fillId="38" borderId="127" xfId="83" applyNumberFormat="1" applyFont="1" applyFill="1" applyBorder="1" applyAlignment="1">
      <alignment horizontal="center" vertical="center"/>
    </xf>
    <xf numFmtId="4" fontId="4" fillId="38" borderId="29" xfId="83" applyNumberFormat="1" applyFont="1" applyFill="1" applyBorder="1" applyAlignment="1">
      <alignment horizontal="center" vertical="center"/>
    </xf>
    <xf numFmtId="4" fontId="30" fillId="0" borderId="0" xfId="83" applyNumberFormat="1" applyFont="1" applyAlignment="1">
      <alignment horizontal="center" vertical="center"/>
    </xf>
    <xf numFmtId="4" fontId="34" fillId="0" borderId="79" xfId="83" applyNumberFormat="1" applyFont="1" applyBorder="1"/>
    <xf numFmtId="4" fontId="34" fillId="0" borderId="0" xfId="83" applyNumberFormat="1" applyFont="1" applyBorder="1"/>
    <xf numFmtId="4" fontId="34" fillId="0" borderId="13" xfId="83" applyNumberFormat="1" applyFont="1" applyBorder="1"/>
    <xf numFmtId="4" fontId="36" fillId="0" borderId="79" xfId="83" applyNumberFormat="1" applyFont="1" applyBorder="1"/>
    <xf numFmtId="182" fontId="3" fillId="0" borderId="13" xfId="83" applyNumberFormat="1" applyFont="1" applyFill="1" applyBorder="1"/>
    <xf numFmtId="4" fontId="38" fillId="0" borderId="79" xfId="83" applyNumberFormat="1" applyFont="1" applyBorder="1"/>
    <xf numFmtId="4" fontId="34" fillId="0" borderId="79" xfId="83" quotePrefix="1" applyNumberFormat="1" applyFont="1" applyBorder="1" applyAlignment="1">
      <alignment horizontal="left"/>
    </xf>
    <xf numFmtId="4" fontId="38" fillId="0" borderId="79" xfId="83" quotePrefix="1" applyNumberFormat="1" applyFont="1" applyBorder="1" applyAlignment="1">
      <alignment horizontal="left"/>
    </xf>
    <xf numFmtId="4" fontId="33" fillId="0" borderId="128" xfId="83" applyNumberFormat="1" applyFont="1" applyBorder="1" applyAlignment="1"/>
    <xf numFmtId="4" fontId="43" fillId="0" borderId="17" xfId="83" applyNumberFormat="1" applyFont="1" applyBorder="1"/>
    <xf numFmtId="4" fontId="34" fillId="0" borderId="17" xfId="83" applyNumberFormat="1" applyFont="1" applyBorder="1"/>
    <xf numFmtId="182" fontId="3" fillId="0" borderId="69" xfId="83" applyNumberFormat="1" applyFont="1" applyFill="1" applyBorder="1"/>
    <xf numFmtId="4" fontId="34" fillId="0" borderId="13" xfId="83" applyNumberFormat="1" applyFont="1" applyFill="1" applyBorder="1"/>
    <xf numFmtId="181" fontId="3" fillId="0" borderId="13" xfId="83" applyNumberFormat="1" applyFont="1" applyFill="1" applyBorder="1"/>
    <xf numFmtId="181" fontId="34" fillId="0" borderId="13" xfId="83" applyNumberFormat="1" applyFont="1" applyFill="1" applyBorder="1"/>
    <xf numFmtId="4" fontId="35" fillId="0" borderId="79" xfId="83" applyNumberFormat="1" applyFont="1" applyBorder="1"/>
    <xf numFmtId="4" fontId="34" fillId="0" borderId="0" xfId="83" applyNumberFormat="1" applyFont="1"/>
    <xf numFmtId="4" fontId="33" fillId="0" borderId="128" xfId="83" applyNumberFormat="1" applyFont="1" applyBorder="1"/>
    <xf numFmtId="181" fontId="3" fillId="0" borderId="69" xfId="83" applyNumberFormat="1" applyFont="1" applyFill="1" applyBorder="1"/>
    <xf numFmtId="4" fontId="34" fillId="0" borderId="124" xfId="83" applyNumberFormat="1" applyFont="1" applyBorder="1"/>
    <xf numFmtId="4" fontId="34" fillId="0" borderId="129" xfId="83" applyNumberFormat="1" applyFont="1" applyBorder="1"/>
    <xf numFmtId="181" fontId="34" fillId="0" borderId="125" xfId="83" applyNumberFormat="1" applyFont="1" applyFill="1" applyBorder="1"/>
    <xf numFmtId="3" fontId="44" fillId="0" borderId="0" xfId="85" applyNumberFormat="1" applyFont="1" applyFill="1" applyBorder="1" applyAlignment="1"/>
    <xf numFmtId="3" fontId="31" fillId="0" borderId="0" xfId="83" applyNumberFormat="1" applyFill="1" applyBorder="1"/>
    <xf numFmtId="0" fontId="42" fillId="0" borderId="0" xfId="85" applyFont="1"/>
    <xf numFmtId="3" fontId="45" fillId="0" borderId="0" xfId="85" applyNumberFormat="1" applyFont="1"/>
    <xf numFmtId="0" fontId="45" fillId="0" borderId="0" xfId="85" applyFont="1" applyFill="1" applyBorder="1"/>
    <xf numFmtId="3" fontId="45" fillId="0" borderId="0" xfId="85" applyNumberFormat="1" applyFont="1" applyFill="1" applyBorder="1"/>
    <xf numFmtId="0" fontId="42" fillId="38" borderId="123" xfId="85" applyFont="1" applyFill="1" applyBorder="1"/>
    <xf numFmtId="0" fontId="42" fillId="38" borderId="126" xfId="85" applyFont="1" applyFill="1" applyBorder="1"/>
    <xf numFmtId="0" fontId="42" fillId="38" borderId="32" xfId="85" applyFont="1" applyFill="1" applyBorder="1"/>
    <xf numFmtId="3" fontId="45" fillId="38" borderId="32" xfId="85" applyNumberFormat="1" applyFont="1" applyFill="1" applyBorder="1"/>
    <xf numFmtId="0" fontId="4" fillId="38" borderId="79" xfId="85" applyFont="1" applyFill="1" applyBorder="1" applyAlignment="1">
      <alignment horizontal="center"/>
    </xf>
    <xf numFmtId="0" fontId="4" fillId="38" borderId="0" xfId="85" applyFont="1" applyFill="1" applyBorder="1" applyAlignment="1">
      <alignment horizontal="center"/>
    </xf>
    <xf numFmtId="0" fontId="3" fillId="0" borderId="0" xfId="85" applyFont="1" applyFill="1" applyBorder="1" applyAlignment="1">
      <alignment horizontal="center"/>
    </xf>
    <xf numFmtId="3" fontId="46" fillId="0" borderId="0" xfId="85" applyNumberFormat="1" applyFont="1" applyFill="1" applyBorder="1" applyAlignment="1">
      <alignment horizontal="center"/>
    </xf>
    <xf numFmtId="0" fontId="42" fillId="38" borderId="124" xfId="85" applyFont="1" applyFill="1" applyBorder="1"/>
    <xf numFmtId="0" fontId="42" fillId="38" borderId="129" xfId="85" applyFont="1" applyFill="1" applyBorder="1"/>
    <xf numFmtId="0" fontId="42" fillId="38" borderId="125" xfId="85" applyFont="1" applyFill="1" applyBorder="1"/>
    <xf numFmtId="3" fontId="3" fillId="38" borderId="125" xfId="85" applyNumberFormat="1" applyFont="1" applyFill="1" applyBorder="1" applyAlignment="1">
      <alignment horizontal="center" vertical="center"/>
    </xf>
    <xf numFmtId="3" fontId="3" fillId="0" borderId="0" xfId="85" applyNumberFormat="1" applyFont="1" applyFill="1" applyBorder="1" applyAlignment="1">
      <alignment horizontal="center" vertical="center"/>
    </xf>
    <xf numFmtId="0" fontId="4" fillId="0" borderId="94" xfId="85" applyFont="1" applyBorder="1"/>
    <xf numFmtId="0" fontId="42" fillId="0" borderId="95" xfId="85" applyFont="1" applyBorder="1"/>
    <xf numFmtId="180" fontId="47" fillId="0" borderId="130" xfId="82" applyNumberFormat="1" applyFont="1" applyFill="1" applyBorder="1"/>
    <xf numFmtId="0" fontId="48" fillId="0" borderId="0" xfId="85" applyFont="1" applyFill="1" applyBorder="1"/>
    <xf numFmtId="180" fontId="49" fillId="0" borderId="0" xfId="82" applyNumberFormat="1" applyFont="1" applyFill="1" applyBorder="1"/>
    <xf numFmtId="0" fontId="42" fillId="0" borderId="79" xfId="85" applyFont="1" applyBorder="1"/>
    <xf numFmtId="0" fontId="42" fillId="0" borderId="0" xfId="85" applyFont="1" applyBorder="1"/>
    <xf numFmtId="0" fontId="42" fillId="0" borderId="13" xfId="85" applyFont="1" applyBorder="1"/>
    <xf numFmtId="180" fontId="43" fillId="0" borderId="13" xfId="85" applyNumberFormat="1" applyFont="1" applyBorder="1"/>
    <xf numFmtId="180" fontId="49" fillId="0" borderId="0" xfId="85" applyNumberFormat="1" applyFont="1" applyFill="1" applyBorder="1"/>
    <xf numFmtId="0" fontId="42" fillId="0" borderId="79" xfId="85" applyFont="1" applyBorder="1" applyAlignment="1">
      <alignment horizontal="left" indent="6"/>
    </xf>
    <xf numFmtId="0" fontId="42" fillId="0" borderId="13" xfId="85" applyFont="1" applyFill="1" applyBorder="1"/>
    <xf numFmtId="0" fontId="4" fillId="0" borderId="79" xfId="85" applyFont="1" applyBorder="1"/>
    <xf numFmtId="180" fontId="33" fillId="0" borderId="13" xfId="87" applyNumberFormat="1" applyFont="1" applyFill="1" applyBorder="1"/>
    <xf numFmtId="0" fontId="46" fillId="0" borderId="0" xfId="85" applyFont="1" applyFill="1" applyBorder="1"/>
    <xf numFmtId="0" fontId="46" fillId="0" borderId="0" xfId="85" applyFont="1" applyFill="1" applyBorder="1" applyAlignment="1">
      <alignment horizontal="center"/>
    </xf>
    <xf numFmtId="180" fontId="50" fillId="0" borderId="0" xfId="87" applyNumberFormat="1" applyFont="1" applyFill="1" applyBorder="1"/>
    <xf numFmtId="180" fontId="43" fillId="0" borderId="13" xfId="87" applyNumberFormat="1" applyFont="1" applyFill="1" applyBorder="1"/>
    <xf numFmtId="180" fontId="49" fillId="0" borderId="0" xfId="87" applyNumberFormat="1" applyFont="1" applyFill="1" applyBorder="1"/>
    <xf numFmtId="0" fontId="51" fillId="0" borderId="79" xfId="85" applyFont="1" applyBorder="1"/>
    <xf numFmtId="180" fontId="52" fillId="0" borderId="13" xfId="87" applyNumberFormat="1" applyFont="1" applyFill="1" applyBorder="1"/>
    <xf numFmtId="180" fontId="53" fillId="0" borderId="0" xfId="87" applyNumberFormat="1" applyFont="1" applyFill="1" applyBorder="1"/>
    <xf numFmtId="0" fontId="54" fillId="0" borderId="0" xfId="85" applyFont="1" applyFill="1" applyBorder="1"/>
    <xf numFmtId="0" fontId="4" fillId="0" borderId="128" xfId="85" applyFont="1" applyBorder="1"/>
    <xf numFmtId="0" fontId="42" fillId="0" borderId="17" xfId="85" applyFont="1" applyBorder="1"/>
    <xf numFmtId="180" fontId="55" fillId="0" borderId="69" xfId="87" applyNumberFormat="1" applyFont="1" applyFill="1" applyBorder="1"/>
    <xf numFmtId="0" fontId="4" fillId="0" borderId="0" xfId="85" applyFont="1" applyBorder="1"/>
    <xf numFmtId="0" fontId="4" fillId="0" borderId="13" xfId="85" applyFont="1" applyBorder="1"/>
    <xf numFmtId="3" fontId="31" fillId="0" borderId="13" xfId="83" applyNumberFormat="1" applyFill="1" applyBorder="1"/>
    <xf numFmtId="180" fontId="55" fillId="0" borderId="13" xfId="87" applyNumberFormat="1" applyFont="1" applyFill="1" applyBorder="1"/>
    <xf numFmtId="3" fontId="43" fillId="0" borderId="13" xfId="87" applyNumberFormat="1" applyFont="1" applyFill="1" applyBorder="1"/>
    <xf numFmtId="0" fontId="42" fillId="0" borderId="124" xfId="85" applyFont="1" applyBorder="1"/>
    <xf numFmtId="0" fontId="42" fillId="0" borderId="129" xfId="85" applyFont="1" applyBorder="1"/>
    <xf numFmtId="0" fontId="42" fillId="0" borderId="125" xfId="85" applyFont="1" applyBorder="1"/>
    <xf numFmtId="180" fontId="43" fillId="0" borderId="125" xfId="87" applyNumberFormat="1" applyFont="1" applyFill="1" applyBorder="1"/>
    <xf numFmtId="0" fontId="56" fillId="0" borderId="0" xfId="83" applyFont="1"/>
    <xf numFmtId="180" fontId="56" fillId="0" borderId="0" xfId="83" applyNumberFormat="1" applyFont="1"/>
    <xf numFmtId="4" fontId="49" fillId="0" borderId="0" xfId="87" applyNumberFormat="1" applyFont="1" applyFill="1" applyBorder="1"/>
    <xf numFmtId="0" fontId="31" fillId="0" borderId="0" xfId="83" applyFill="1" applyBorder="1"/>
    <xf numFmtId="182" fontId="34" fillId="0" borderId="0" xfId="87" applyNumberFormat="1" applyFont="1" applyFill="1" applyBorder="1"/>
    <xf numFmtId="3" fontId="31" fillId="0" borderId="0" xfId="83" applyNumberFormat="1" applyBorder="1"/>
    <xf numFmtId="3" fontId="31" fillId="0" borderId="0" xfId="83" applyNumberFormat="1"/>
    <xf numFmtId="3" fontId="56" fillId="0" borderId="0" xfId="83" applyNumberFormat="1" applyFont="1"/>
    <xf numFmtId="3" fontId="44" fillId="0" borderId="0" xfId="85" applyNumberFormat="1" applyFont="1" applyAlignment="1"/>
    <xf numFmtId="0" fontId="0" fillId="0" borderId="15" xfId="0" applyBorder="1" applyAlignment="1"/>
    <xf numFmtId="2" fontId="0" fillId="26" borderId="33" xfId="0" applyNumberFormat="1" applyFill="1" applyBorder="1" applyAlignment="1">
      <alignment horizontal="center"/>
    </xf>
    <xf numFmtId="4" fontId="0" fillId="0" borderId="0" xfId="0" applyNumberFormat="1"/>
    <xf numFmtId="1" fontId="0" fillId="26" borderId="27" xfId="0" applyNumberFormat="1" applyFill="1" applyBorder="1" applyAlignment="1">
      <alignment horizontal="center"/>
    </xf>
    <xf numFmtId="9" fontId="0" fillId="0" borderId="20" xfId="88" applyFont="1" applyFill="1" applyBorder="1" applyAlignment="1">
      <alignment horizontal="center"/>
    </xf>
    <xf numFmtId="1" fontId="1" fillId="30" borderId="33" xfId="0" applyNumberFormat="1" applyFont="1" applyFill="1" applyBorder="1" applyAlignment="1">
      <alignment horizontal="center"/>
    </xf>
    <xf numFmtId="1" fontId="0" fillId="39" borderId="15" xfId="0" applyNumberFormat="1" applyFill="1" applyBorder="1" applyAlignment="1">
      <alignment horizontal="center"/>
    </xf>
    <xf numFmtId="170" fontId="6" fillId="0" borderId="0" xfId="86" applyNumberFormat="1" applyAlignment="1" applyProtection="1">
      <alignment horizontal="right" vertical="center"/>
    </xf>
    <xf numFmtId="0" fontId="0" fillId="0" borderId="0" xfId="0" applyBorder="1" applyAlignment="1"/>
    <xf numFmtId="3" fontId="0" fillId="0" borderId="19" xfId="0" applyNumberFormat="1" applyFill="1" applyBorder="1" applyAlignment="1">
      <alignment horizontal="center"/>
    </xf>
    <xf numFmtId="183" fontId="0" fillId="0" borderId="0" xfId="88" applyNumberFormat="1" applyFont="1" applyFill="1" applyBorder="1" applyAlignment="1">
      <alignment horizontal="center"/>
    </xf>
    <xf numFmtId="1" fontId="0" fillId="25" borderId="15" xfId="0" applyNumberFormat="1" applyFill="1" applyBorder="1" applyAlignment="1">
      <alignment horizontal="center"/>
    </xf>
    <xf numFmtId="0" fontId="0" fillId="0" borderId="15" xfId="0" applyBorder="1" applyAlignment="1">
      <alignment horizontal="right"/>
    </xf>
    <xf numFmtId="181" fontId="34" fillId="0" borderId="0" xfId="83" applyNumberFormat="1" applyFont="1" applyFill="1" applyBorder="1"/>
    <xf numFmtId="4" fontId="39" fillId="0" borderId="0" xfId="83" applyNumberFormat="1" applyFont="1" applyAlignment="1">
      <alignment horizontal="right"/>
    </xf>
    <xf numFmtId="0" fontId="58" fillId="0" borderId="0" xfId="81"/>
    <xf numFmtId="0" fontId="58" fillId="0" borderId="126" xfId="81" applyFont="1" applyFill="1" applyBorder="1" applyAlignment="1">
      <alignment horizontal="center"/>
    </xf>
    <xf numFmtId="0" fontId="58" fillId="0" borderId="0" xfId="81" applyAlignment="1">
      <alignment horizontal="center"/>
    </xf>
    <xf numFmtId="1" fontId="58" fillId="0" borderId="0" xfId="81" applyNumberFormat="1" applyAlignment="1">
      <alignment horizontal="center"/>
    </xf>
    <xf numFmtId="184" fontId="73" fillId="0" borderId="0" xfId="62" applyNumberFormat="1" applyFont="1" applyFill="1" applyBorder="1" applyAlignment="1">
      <alignment horizontal="center"/>
    </xf>
    <xf numFmtId="184" fontId="58" fillId="0" borderId="129" xfId="62" applyNumberFormat="1" applyFont="1" applyFill="1" applyBorder="1" applyAlignment="1">
      <alignment horizontal="center"/>
    </xf>
    <xf numFmtId="184" fontId="58" fillId="0" borderId="126" xfId="62" applyNumberFormat="1" applyFont="1" applyFill="1" applyBorder="1" applyAlignment="1">
      <alignment horizontal="center"/>
    </xf>
    <xf numFmtId="184" fontId="58" fillId="0" borderId="0" xfId="62" applyNumberFormat="1" applyFont="1" applyFill="1" applyBorder="1" applyAlignment="1">
      <alignment horizontal="center"/>
    </xf>
    <xf numFmtId="184" fontId="73" fillId="0" borderId="0" xfId="81" applyNumberFormat="1" applyFont="1" applyFill="1" applyBorder="1" applyAlignment="1">
      <alignment horizontal="center"/>
    </xf>
    <xf numFmtId="184" fontId="73" fillId="0" borderId="129" xfId="81" applyNumberFormat="1" applyFont="1" applyFill="1" applyBorder="1" applyAlignment="1">
      <alignment horizontal="center"/>
    </xf>
    <xf numFmtId="184" fontId="58" fillId="0" borderId="123" xfId="62" applyNumberFormat="1" applyFont="1" applyFill="1" applyBorder="1" applyAlignment="1">
      <alignment horizontal="center"/>
    </xf>
    <xf numFmtId="184" fontId="58" fillId="0" borderId="79" xfId="62" applyNumberFormat="1" applyFont="1" applyFill="1" applyBorder="1" applyAlignment="1">
      <alignment horizontal="center"/>
    </xf>
    <xf numFmtId="184" fontId="58" fillId="0" borderId="124" xfId="81" applyNumberFormat="1" applyFont="1" applyFill="1" applyBorder="1" applyAlignment="1">
      <alignment horizontal="center"/>
    </xf>
    <xf numFmtId="184" fontId="58" fillId="0" borderId="129" xfId="81" applyNumberFormat="1" applyFont="1" applyFill="1" applyBorder="1" applyAlignment="1">
      <alignment horizontal="center"/>
    </xf>
    <xf numFmtId="184" fontId="58" fillId="0" borderId="126" xfId="81" applyNumberFormat="1" applyFont="1" applyFill="1" applyBorder="1" applyAlignment="1">
      <alignment horizontal="center"/>
    </xf>
    <xf numFmtId="184" fontId="58" fillId="0" borderId="0" xfId="81" applyNumberFormat="1" applyFont="1" applyFill="1" applyBorder="1" applyAlignment="1">
      <alignment horizontal="center"/>
    </xf>
    <xf numFmtId="1" fontId="0" fillId="40" borderId="15" xfId="0" applyNumberFormat="1" applyFill="1" applyBorder="1" applyAlignment="1">
      <alignment horizontal="center"/>
    </xf>
    <xf numFmtId="0" fontId="73" fillId="0" borderId="15" xfId="81" applyFont="1" applyFill="1" applyBorder="1"/>
    <xf numFmtId="184" fontId="58" fillId="26" borderId="15" xfId="81" applyNumberFormat="1" applyFill="1" applyBorder="1"/>
    <xf numFmtId="1" fontId="58" fillId="26" borderId="15" xfId="81" applyNumberFormat="1" applyFill="1" applyBorder="1" applyAlignment="1">
      <alignment horizontal="center"/>
    </xf>
    <xf numFmtId="0" fontId="58" fillId="0" borderId="123" xfId="81" applyFont="1" applyFill="1" applyBorder="1"/>
    <xf numFmtId="0" fontId="73" fillId="0" borderId="131" xfId="81" applyFont="1" applyFill="1" applyBorder="1"/>
    <xf numFmtId="184" fontId="73" fillId="0" borderId="35" xfId="62" applyNumberFormat="1" applyFont="1" applyFill="1" applyBorder="1" applyAlignment="1">
      <alignment horizontal="center"/>
    </xf>
    <xf numFmtId="0" fontId="73" fillId="0" borderId="132" xfId="81" applyFont="1" applyFill="1" applyBorder="1"/>
    <xf numFmtId="0" fontId="73" fillId="0" borderId="133" xfId="81" applyFont="1" applyFill="1" applyBorder="1"/>
    <xf numFmtId="0" fontId="73" fillId="0" borderId="134" xfId="81" applyFont="1" applyFill="1" applyBorder="1"/>
    <xf numFmtId="0" fontId="73" fillId="0" borderId="132" xfId="81" applyFont="1" applyFill="1" applyBorder="1" applyAlignment="1">
      <alignment wrapText="1"/>
    </xf>
    <xf numFmtId="0" fontId="73" fillId="0" borderId="133" xfId="81" applyFont="1" applyFill="1" applyBorder="1" applyAlignment="1">
      <alignment wrapText="1"/>
    </xf>
    <xf numFmtId="0" fontId="73" fillId="0" borderId="135" xfId="81" applyFont="1" applyFill="1" applyBorder="1"/>
    <xf numFmtId="184" fontId="73" fillId="0" borderId="136" xfId="81" applyNumberFormat="1" applyFont="1" applyFill="1" applyBorder="1" applyAlignment="1">
      <alignment horizontal="center"/>
    </xf>
    <xf numFmtId="2" fontId="0" fillId="41" borderId="16" xfId="0" applyNumberFormat="1" applyFill="1" applyBorder="1" applyAlignment="1">
      <alignment horizontal="center"/>
    </xf>
    <xf numFmtId="0" fontId="58" fillId="0" borderId="0" xfId="81" applyFont="1"/>
    <xf numFmtId="3" fontId="0" fillId="27" borderId="15" xfId="0" applyNumberFormat="1" applyFill="1" applyBorder="1" applyAlignment="1">
      <alignment horizontal="center"/>
    </xf>
    <xf numFmtId="0" fontId="76" fillId="26" borderId="0" xfId="0" applyFont="1" applyFill="1" applyBorder="1" applyProtection="1">
      <protection hidden="1"/>
    </xf>
    <xf numFmtId="4" fontId="78" fillId="26" borderId="0" xfId="0" applyNumberFormat="1" applyFont="1" applyFill="1" applyBorder="1" applyAlignment="1" applyProtection="1">
      <alignment horizontal="center" vertical="top"/>
      <protection hidden="1"/>
    </xf>
    <xf numFmtId="4" fontId="77" fillId="26" borderId="0" xfId="0" applyNumberFormat="1" applyFont="1" applyFill="1" applyBorder="1" applyAlignment="1" applyProtection="1">
      <alignment vertical="top"/>
      <protection hidden="1"/>
    </xf>
    <xf numFmtId="0" fontId="76" fillId="0" borderId="0" xfId="0" applyFont="1" applyBorder="1" applyProtection="1">
      <protection hidden="1"/>
    </xf>
    <xf numFmtId="3" fontId="81" fillId="35" borderId="137" xfId="0" applyNumberFormat="1" applyFont="1" applyFill="1" applyBorder="1" applyProtection="1">
      <protection locked="0"/>
    </xf>
    <xf numFmtId="4" fontId="80" fillId="41" borderId="138" xfId="0" applyNumberFormat="1" applyFont="1" applyFill="1" applyBorder="1" applyProtection="1">
      <protection hidden="1"/>
    </xf>
    <xf numFmtId="0" fontId="82" fillId="41" borderId="138" xfId="0" applyFont="1" applyFill="1" applyBorder="1" applyProtection="1">
      <protection hidden="1"/>
    </xf>
    <xf numFmtId="10" fontId="81" fillId="35" borderId="137" xfId="0" applyNumberFormat="1" applyFont="1" applyFill="1" applyBorder="1" applyProtection="1">
      <protection locked="0"/>
    </xf>
    <xf numFmtId="4" fontId="82" fillId="41" borderId="138" xfId="0" applyNumberFormat="1" applyFont="1" applyFill="1" applyBorder="1" applyProtection="1">
      <protection hidden="1"/>
    </xf>
    <xf numFmtId="0" fontId="81" fillId="35" borderId="137" xfId="0" applyFont="1" applyFill="1" applyBorder="1" applyProtection="1">
      <protection locked="0"/>
    </xf>
    <xf numFmtId="0" fontId="1" fillId="35" borderId="137" xfId="0" applyFont="1" applyFill="1" applyBorder="1" applyProtection="1">
      <protection locked="0"/>
    </xf>
    <xf numFmtId="10" fontId="1" fillId="35" borderId="137" xfId="0" applyNumberFormat="1" applyFont="1" applyFill="1" applyBorder="1" applyProtection="1">
      <protection locked="0"/>
    </xf>
    <xf numFmtId="185" fontId="82" fillId="41" borderId="138" xfId="0" applyNumberFormat="1" applyFont="1" applyFill="1" applyBorder="1" applyProtection="1">
      <protection hidden="1"/>
    </xf>
    <xf numFmtId="14" fontId="1" fillId="35" borderId="137" xfId="0" applyNumberFormat="1" applyFont="1" applyFill="1" applyBorder="1" applyProtection="1">
      <protection locked="0"/>
    </xf>
    <xf numFmtId="185" fontId="83" fillId="41" borderId="138" xfId="0" applyNumberFormat="1" applyFont="1" applyFill="1" applyBorder="1" applyAlignment="1" applyProtection="1">
      <alignment horizontal="center"/>
      <protection hidden="1"/>
    </xf>
    <xf numFmtId="0" fontId="84" fillId="0" borderId="0" xfId="0" applyFont="1" applyBorder="1" applyAlignment="1" applyProtection="1">
      <alignment horizontal="center"/>
      <protection hidden="1"/>
    </xf>
    <xf numFmtId="0" fontId="84" fillId="0" borderId="0" xfId="0" applyFont="1" applyBorder="1" applyAlignment="1" applyProtection="1">
      <alignment horizontal="right"/>
      <protection hidden="1"/>
    </xf>
    <xf numFmtId="0" fontId="84" fillId="0" borderId="0" xfId="0" applyFont="1" applyFill="1" applyBorder="1" applyAlignment="1" applyProtection="1">
      <alignment horizontal="right"/>
      <protection hidden="1"/>
    </xf>
    <xf numFmtId="0" fontId="76" fillId="31" borderId="0" xfId="0" applyFont="1" applyFill="1" applyBorder="1" applyProtection="1">
      <protection hidden="1"/>
    </xf>
    <xf numFmtId="0" fontId="76" fillId="31" borderId="0" xfId="0" applyFont="1" applyFill="1" applyBorder="1" applyAlignment="1" applyProtection="1">
      <alignment horizontal="center"/>
      <protection hidden="1"/>
    </xf>
    <xf numFmtId="14" fontId="76" fillId="31" borderId="0" xfId="0" applyNumberFormat="1" applyFont="1" applyFill="1" applyBorder="1" applyProtection="1">
      <protection hidden="1"/>
    </xf>
    <xf numFmtId="4" fontId="76" fillId="31" borderId="0" xfId="0" applyNumberFormat="1" applyFont="1" applyFill="1" applyBorder="1" applyProtection="1">
      <protection hidden="1"/>
    </xf>
    <xf numFmtId="0" fontId="76" fillId="31" borderId="0" xfId="0" applyNumberFormat="1" applyFont="1" applyFill="1" applyBorder="1" applyAlignment="1" applyProtection="1">
      <alignment vertical="top"/>
      <protection hidden="1"/>
    </xf>
    <xf numFmtId="0" fontId="76" fillId="31" borderId="0" xfId="0" applyNumberFormat="1" applyFont="1" applyFill="1" applyBorder="1" applyProtection="1">
      <protection hidden="1"/>
    </xf>
    <xf numFmtId="0" fontId="2" fillId="31" borderId="0" xfId="61" applyNumberFormat="1" applyFill="1" applyBorder="1" applyAlignment="1" applyProtection="1">
      <protection hidden="1"/>
    </xf>
    <xf numFmtId="0" fontId="76" fillId="30" borderId="0" xfId="0" applyFont="1" applyFill="1" applyBorder="1" applyProtection="1">
      <protection hidden="1"/>
    </xf>
    <xf numFmtId="0" fontId="76" fillId="30" borderId="0" xfId="0" applyFont="1" applyFill="1" applyBorder="1" applyAlignment="1" applyProtection="1">
      <alignment horizontal="center"/>
      <protection hidden="1"/>
    </xf>
    <xf numFmtId="14" fontId="76" fillId="30" borderId="0" xfId="0" applyNumberFormat="1" applyFont="1" applyFill="1" applyBorder="1" applyProtection="1">
      <protection hidden="1"/>
    </xf>
    <xf numFmtId="4" fontId="76" fillId="30" borderId="0" xfId="0" applyNumberFormat="1" applyFont="1" applyFill="1" applyBorder="1" applyProtection="1">
      <protection hidden="1"/>
    </xf>
    <xf numFmtId="4" fontId="76" fillId="0" borderId="0" xfId="0" applyNumberFormat="1" applyFont="1" applyBorder="1" applyProtection="1">
      <protection hidden="1"/>
    </xf>
    <xf numFmtId="0" fontId="76" fillId="35" borderId="0" xfId="0" applyFont="1" applyFill="1" applyBorder="1" applyAlignment="1" applyProtection="1">
      <alignment horizontal="center"/>
      <protection hidden="1"/>
    </xf>
    <xf numFmtId="14" fontId="76" fillId="35" borderId="0" xfId="0" applyNumberFormat="1" applyFont="1" applyFill="1" applyBorder="1" applyProtection="1">
      <protection hidden="1"/>
    </xf>
    <xf numFmtId="4" fontId="76" fillId="35" borderId="0" xfId="0" applyNumberFormat="1" applyFont="1" applyFill="1" applyBorder="1" applyProtection="1">
      <protection hidden="1"/>
    </xf>
    <xf numFmtId="0" fontId="82" fillId="0" borderId="139" xfId="0" applyFont="1" applyFill="1" applyBorder="1" applyProtection="1">
      <protection hidden="1"/>
    </xf>
    <xf numFmtId="0" fontId="82" fillId="0" borderId="140" xfId="0" applyFont="1" applyFill="1" applyBorder="1" applyProtection="1">
      <protection hidden="1"/>
    </xf>
    <xf numFmtId="0" fontId="85" fillId="41" borderId="138" xfId="0" applyFont="1" applyFill="1" applyBorder="1" applyProtection="1">
      <protection hidden="1"/>
    </xf>
    <xf numFmtId="0" fontId="1" fillId="35" borderId="138" xfId="0" applyFont="1" applyFill="1" applyBorder="1" applyAlignment="1" applyProtection="1">
      <alignment horizontal="center"/>
      <protection locked="0"/>
    </xf>
    <xf numFmtId="0" fontId="82" fillId="41" borderId="138" xfId="0" applyFont="1" applyFill="1" applyBorder="1" applyAlignment="1" applyProtection="1">
      <alignment horizontal="left"/>
      <protection hidden="1"/>
    </xf>
    <xf numFmtId="0" fontId="76" fillId="0" borderId="0" xfId="0" applyFont="1" applyFill="1" applyBorder="1" applyProtection="1">
      <protection hidden="1"/>
    </xf>
    <xf numFmtId="0" fontId="76" fillId="0" borderId="0" xfId="0" applyFont="1" applyBorder="1" applyAlignment="1" applyProtection="1">
      <alignment horizontal="center"/>
      <protection hidden="1"/>
    </xf>
    <xf numFmtId="14" fontId="76" fillId="0" borderId="0" xfId="0" applyNumberFormat="1" applyFont="1" applyBorder="1" applyProtection="1">
      <protection hidden="1"/>
    </xf>
    <xf numFmtId="0" fontId="82" fillId="0" borderId="0" xfId="0" applyFont="1" applyBorder="1" applyAlignment="1" applyProtection="1">
      <alignment horizontal="center"/>
      <protection hidden="1"/>
    </xf>
    <xf numFmtId="4" fontId="76" fillId="31" borderId="0" xfId="0" applyNumberFormat="1" applyFont="1" applyFill="1" applyBorder="1" applyAlignment="1" applyProtection="1">
      <alignment vertical="top"/>
      <protection hidden="1"/>
    </xf>
    <xf numFmtId="0" fontId="9" fillId="0" borderId="0" xfId="0" applyFont="1"/>
    <xf numFmtId="0" fontId="86" fillId="24" borderId="0" xfId="0" applyFont="1" applyFill="1"/>
    <xf numFmtId="0" fontId="0" fillId="24" borderId="0" xfId="0" applyFill="1"/>
    <xf numFmtId="0" fontId="0" fillId="35" borderId="0" xfId="0" applyFill="1"/>
    <xf numFmtId="3" fontId="0" fillId="35" borderId="0" xfId="0" applyNumberFormat="1" applyFill="1"/>
    <xf numFmtId="3" fontId="87" fillId="0" borderId="15" xfId="0" applyNumberFormat="1" applyFont="1" applyBorder="1"/>
    <xf numFmtId="1" fontId="10" fillId="0" borderId="15" xfId="0" applyNumberFormat="1" applyFont="1" applyBorder="1"/>
    <xf numFmtId="9" fontId="0" fillId="0" borderId="15" xfId="0" applyNumberFormat="1" applyBorder="1"/>
    <xf numFmtId="0" fontId="0" fillId="31" borderId="0" xfId="0" applyFill="1" applyBorder="1" applyAlignment="1">
      <alignment horizontal="center" vertical="center" wrapText="1"/>
    </xf>
    <xf numFmtId="167" fontId="10" fillId="26" borderId="0" xfId="0" applyNumberFormat="1" applyFont="1" applyFill="1" applyBorder="1" applyAlignment="1">
      <alignment horizontal="center"/>
    </xf>
    <xf numFmtId="2" fontId="0" fillId="31" borderId="141" xfId="0" applyNumberFormat="1" applyFill="1" applyBorder="1" applyAlignment="1">
      <alignment horizontal="center"/>
    </xf>
    <xf numFmtId="2" fontId="0" fillId="31" borderId="0" xfId="0" applyNumberFormat="1" applyFill="1" applyBorder="1" applyAlignment="1">
      <alignment horizontal="center"/>
    </xf>
    <xf numFmtId="167" fontId="0" fillId="26" borderId="0" xfId="0" applyNumberFormat="1" applyFill="1" applyBorder="1" applyAlignment="1">
      <alignment horizontal="center"/>
    </xf>
    <xf numFmtId="0" fontId="6" fillId="0" borderId="0" xfId="86" applyFont="1" applyAlignment="1" applyProtection="1">
      <alignment vertical="center"/>
    </xf>
    <xf numFmtId="1" fontId="6" fillId="0" borderId="0" xfId="86" applyNumberFormat="1" applyAlignment="1" applyProtection="1">
      <alignment vertical="center"/>
    </xf>
    <xf numFmtId="4" fontId="0" fillId="0" borderId="0" xfId="0" applyNumberFormat="1" applyAlignment="1">
      <alignment horizontal="center"/>
    </xf>
    <xf numFmtId="0" fontId="0" fillId="0" borderId="65" xfId="0" applyBorder="1"/>
    <xf numFmtId="0" fontId="6" fillId="0" borderId="0" xfId="84" applyAlignment="1">
      <alignment vertical="center"/>
    </xf>
    <xf numFmtId="0" fontId="6" fillId="0" borderId="0" xfId="84" applyAlignment="1">
      <alignment horizontal="right" vertical="center"/>
    </xf>
    <xf numFmtId="0" fontId="6" fillId="0" borderId="0" xfId="84" applyAlignment="1">
      <alignment horizontal="center" vertical="center"/>
    </xf>
    <xf numFmtId="0" fontId="6" fillId="34" borderId="71" xfId="84" applyFill="1" applyBorder="1" applyAlignment="1" applyProtection="1">
      <alignment horizontal="left" vertical="center"/>
      <protection locked="0"/>
    </xf>
    <xf numFmtId="0" fontId="6" fillId="34" borderId="30" xfId="84" applyFill="1" applyBorder="1" applyAlignment="1" applyProtection="1">
      <alignment horizontal="left" vertical="center"/>
      <protection locked="0"/>
    </xf>
    <xf numFmtId="0" fontId="6" fillId="0" borderId="16" xfId="84" applyBorder="1" applyAlignment="1">
      <alignment vertical="center"/>
    </xf>
    <xf numFmtId="0" fontId="18" fillId="0" borderId="27" xfId="84" applyFont="1" applyBorder="1" applyAlignment="1">
      <alignment horizontal="center" vertical="center"/>
    </xf>
    <xf numFmtId="0" fontId="6" fillId="34" borderId="15" xfId="84" applyFill="1" applyBorder="1" applyAlignment="1" applyProtection="1">
      <alignment horizontal="center" vertical="center"/>
      <protection locked="0"/>
    </xf>
    <xf numFmtId="0" fontId="6" fillId="0" borderId="15" xfId="84" applyBorder="1" applyAlignment="1">
      <alignment horizontal="center" vertical="center"/>
    </xf>
    <xf numFmtId="0" fontId="6" fillId="34" borderId="27" xfId="84" applyFill="1" applyBorder="1" applyAlignment="1" applyProtection="1">
      <alignment horizontal="center" vertical="center"/>
      <protection locked="0"/>
    </xf>
    <xf numFmtId="0" fontId="6" fillId="34" borderId="15" xfId="84" applyFill="1" applyBorder="1" applyAlignment="1" applyProtection="1">
      <alignment vertical="center"/>
      <protection locked="0"/>
    </xf>
    <xf numFmtId="0" fontId="6" fillId="0" borderId="31" xfId="84" applyBorder="1" applyAlignment="1">
      <alignment horizontal="center" vertical="center"/>
    </xf>
    <xf numFmtId="0" fontId="6" fillId="0" borderId="0" xfId="84" applyBorder="1" applyAlignment="1">
      <alignment vertical="center"/>
    </xf>
    <xf numFmtId="170" fontId="6" fillId="34" borderId="18" xfId="84" applyNumberFormat="1" applyFill="1" applyBorder="1" applyAlignment="1" applyProtection="1">
      <alignment vertical="center"/>
      <protection locked="0"/>
    </xf>
    <xf numFmtId="0" fontId="6" fillId="0" borderId="26" xfId="84" applyBorder="1" applyAlignment="1">
      <alignment horizontal="center" vertical="center"/>
    </xf>
    <xf numFmtId="170" fontId="6" fillId="34" borderId="72" xfId="84" applyNumberFormat="1" applyFill="1" applyBorder="1" applyAlignment="1" applyProtection="1">
      <alignment vertical="center"/>
      <protection locked="0"/>
    </xf>
    <xf numFmtId="0" fontId="6" fillId="0" borderId="22" xfId="84" applyBorder="1" applyAlignment="1">
      <alignment horizontal="center" vertical="center"/>
    </xf>
    <xf numFmtId="0" fontId="6" fillId="0" borderId="29" xfId="84" applyBorder="1" applyAlignment="1">
      <alignment vertical="center"/>
    </xf>
    <xf numFmtId="170" fontId="6" fillId="34" borderId="20" xfId="84" applyNumberFormat="1" applyFill="1" applyBorder="1" applyAlignment="1" applyProtection="1">
      <alignment vertical="center"/>
      <protection locked="0"/>
    </xf>
    <xf numFmtId="0" fontId="6" fillId="0" borderId="19" xfId="84" applyBorder="1" applyAlignment="1">
      <alignment vertical="center"/>
    </xf>
    <xf numFmtId="170" fontId="6" fillId="0" borderId="18" xfId="84" applyNumberFormat="1" applyBorder="1" applyAlignment="1">
      <alignment vertical="center"/>
    </xf>
    <xf numFmtId="170" fontId="6" fillId="0" borderId="72" xfId="84" applyNumberFormat="1" applyBorder="1" applyAlignment="1">
      <alignment vertical="center"/>
    </xf>
    <xf numFmtId="0" fontId="6" fillId="0" borderId="73" xfId="84" applyBorder="1" applyAlignment="1">
      <alignment horizontal="center" vertical="center"/>
    </xf>
    <xf numFmtId="0" fontId="6" fillId="0" borderId="74" xfId="84" applyBorder="1" applyAlignment="1">
      <alignment vertical="center"/>
    </xf>
    <xf numFmtId="170" fontId="6" fillId="0" borderId="75" xfId="84" applyNumberFormat="1" applyBorder="1" applyAlignment="1">
      <alignment vertical="center"/>
    </xf>
    <xf numFmtId="0" fontId="6" fillId="0" borderId="76" xfId="84" applyBorder="1" applyAlignment="1">
      <alignment horizontal="center" vertical="center"/>
    </xf>
    <xf numFmtId="0" fontId="6" fillId="0" borderId="77" xfId="84" applyBorder="1" applyAlignment="1">
      <alignment vertical="center"/>
    </xf>
    <xf numFmtId="170" fontId="6" fillId="0" borderId="78" xfId="84" applyNumberFormat="1" applyBorder="1" applyAlignment="1">
      <alignment vertical="center"/>
    </xf>
    <xf numFmtId="168" fontId="17" fillId="34" borderId="72" xfId="88" applyNumberFormat="1" applyFont="1" applyFill="1" applyBorder="1" applyAlignment="1" applyProtection="1">
      <alignment vertical="center"/>
      <protection locked="0"/>
    </xf>
    <xf numFmtId="0" fontId="6" fillId="0" borderId="0" xfId="84" applyBorder="1" applyAlignment="1">
      <alignment vertical="center" wrapText="1"/>
    </xf>
    <xf numFmtId="0" fontId="6" fillId="0" borderId="16" xfId="84" applyBorder="1" applyAlignment="1">
      <alignment horizontal="center" vertical="center"/>
    </xf>
    <xf numFmtId="0" fontId="6" fillId="0" borderId="17" xfId="84" applyBorder="1" applyAlignment="1">
      <alignment vertical="center"/>
    </xf>
    <xf numFmtId="170" fontId="6" fillId="0" borderId="15" xfId="84" applyNumberFormat="1" applyBorder="1" applyAlignment="1">
      <alignment vertical="center"/>
    </xf>
    <xf numFmtId="170" fontId="6" fillId="0" borderId="0" xfId="84" applyNumberFormat="1" applyAlignment="1">
      <alignment vertical="center"/>
    </xf>
    <xf numFmtId="173" fontId="6" fillId="0" borderId="18" xfId="84" applyNumberFormat="1" applyBorder="1" applyAlignment="1">
      <alignment horizontal="left" vertical="center"/>
    </xf>
    <xf numFmtId="173" fontId="6" fillId="0" borderId="20" xfId="84" applyNumberFormat="1" applyBorder="1" applyAlignment="1">
      <alignment horizontal="left" vertical="center"/>
    </xf>
    <xf numFmtId="170" fontId="6" fillId="0" borderId="20" xfId="84" applyNumberFormat="1" applyBorder="1" applyAlignment="1">
      <alignment vertical="center"/>
    </xf>
    <xf numFmtId="0" fontId="23" fillId="0" borderId="16" xfId="84" applyFont="1" applyBorder="1" applyAlignment="1">
      <alignment vertical="center"/>
    </xf>
    <xf numFmtId="3" fontId="24" fillId="0" borderId="17" xfId="84" applyNumberFormat="1" applyFont="1" applyBorder="1" applyAlignment="1">
      <alignment horizontal="right" vertical="center"/>
    </xf>
    <xf numFmtId="0" fontId="24" fillId="0" borderId="27" xfId="84" applyNumberFormat="1" applyFont="1" applyBorder="1" applyAlignment="1">
      <alignment horizontal="left" vertical="center"/>
    </xf>
    <xf numFmtId="0" fontId="19" fillId="0" borderId="0" xfId="84" applyFont="1" applyAlignment="1">
      <alignment horizontal="left" vertical="center"/>
    </xf>
    <xf numFmtId="3" fontId="19" fillId="0" borderId="0" xfId="84" applyNumberFormat="1" applyFont="1" applyAlignment="1">
      <alignment vertical="center"/>
    </xf>
    <xf numFmtId="0" fontId="20" fillId="0" borderId="0" xfId="84" applyFont="1" applyAlignment="1">
      <alignment horizontal="left" vertical="center"/>
    </xf>
    <xf numFmtId="3" fontId="20" fillId="0" borderId="0" xfId="84" applyNumberFormat="1" applyFont="1" applyAlignment="1">
      <alignment vertical="center"/>
    </xf>
    <xf numFmtId="0" fontId="17" fillId="0" borderId="0" xfId="88" applyNumberFormat="1" applyFont="1" applyFill="1" applyAlignment="1" applyProtection="1">
      <alignment horizontal="right" vertical="center"/>
      <protection locked="0"/>
    </xf>
    <xf numFmtId="174" fontId="24" fillId="34" borderId="17" xfId="84" applyNumberFormat="1" applyFont="1" applyFill="1" applyBorder="1" applyAlignment="1" applyProtection="1">
      <alignment horizontal="right" vertical="center"/>
      <protection locked="0"/>
    </xf>
    <xf numFmtId="186" fontId="24" fillId="34" borderId="27" xfId="84" applyNumberFormat="1" applyFont="1" applyFill="1" applyBorder="1" applyAlignment="1" applyProtection="1">
      <alignment horizontal="left" vertical="center"/>
      <protection locked="0"/>
    </xf>
    <xf numFmtId="0" fontId="17" fillId="0" borderId="0" xfId="84" applyFont="1" applyAlignment="1">
      <alignment vertical="center"/>
    </xf>
    <xf numFmtId="9" fontId="19" fillId="0" borderId="0" xfId="84" applyNumberFormat="1" applyFont="1" applyAlignment="1">
      <alignment horizontal="center" vertical="center"/>
    </xf>
    <xf numFmtId="0" fontId="6" fillId="0" borderId="0" xfId="84" applyNumberFormat="1" applyAlignment="1">
      <alignment horizontal="right" vertical="center"/>
    </xf>
    <xf numFmtId="10" fontId="17" fillId="34" borderId="0" xfId="88" applyNumberFormat="1" applyFont="1" applyFill="1" applyAlignment="1" applyProtection="1">
      <alignment horizontal="center" vertical="center"/>
      <protection locked="0"/>
    </xf>
    <xf numFmtId="174" fontId="20" fillId="0" borderId="0" xfId="84" applyNumberFormat="1" applyFont="1" applyAlignment="1">
      <alignment vertical="center"/>
    </xf>
    <xf numFmtId="174" fontId="6" fillId="34" borderId="0" xfId="84" applyNumberFormat="1" applyFill="1" applyAlignment="1" applyProtection="1">
      <alignment horizontal="center" vertical="center"/>
      <protection locked="0"/>
    </xf>
    <xf numFmtId="0" fontId="25" fillId="0" borderId="0" xfId="84" applyFont="1" applyAlignment="1">
      <alignment horizontal="left" vertical="center"/>
    </xf>
    <xf numFmtId="0" fontId="20" fillId="0" borderId="0" xfId="84" applyFont="1" applyAlignment="1">
      <alignment horizontal="right" vertical="center"/>
    </xf>
    <xf numFmtId="186" fontId="20" fillId="0" borderId="0" xfId="84" applyNumberFormat="1" applyFont="1" applyAlignment="1">
      <alignment horizontal="left" vertical="center"/>
    </xf>
    <xf numFmtId="3" fontId="6" fillId="0" borderId="0" xfId="84" applyNumberFormat="1" applyAlignment="1">
      <alignment vertical="center"/>
    </xf>
    <xf numFmtId="0" fontId="25" fillId="0" borderId="0" xfId="84" applyFont="1" applyAlignment="1">
      <alignment vertical="center"/>
    </xf>
    <xf numFmtId="10" fontId="17" fillId="0" borderId="0" xfId="88" applyNumberFormat="1" applyFont="1" applyFill="1" applyAlignment="1" applyProtection="1">
      <alignment horizontal="right" vertical="center"/>
      <protection locked="0"/>
    </xf>
    <xf numFmtId="167" fontId="17" fillId="0" borderId="0" xfId="84" applyNumberFormat="1" applyFont="1" applyAlignment="1">
      <alignment vertical="center"/>
    </xf>
    <xf numFmtId="1" fontId="6" fillId="0" borderId="0" xfId="84" applyNumberFormat="1" applyAlignment="1">
      <alignment vertical="center"/>
    </xf>
    <xf numFmtId="3" fontId="6" fillId="0" borderId="0" xfId="84" applyNumberFormat="1" applyAlignment="1">
      <alignment horizontal="right" vertical="center"/>
    </xf>
    <xf numFmtId="176" fontId="6" fillId="0" borderId="0" xfId="84" applyNumberFormat="1" applyAlignment="1">
      <alignment vertical="center"/>
    </xf>
    <xf numFmtId="0" fontId="6" fillId="0" borderId="0" xfId="84" applyFont="1" applyFill="1" applyAlignment="1">
      <alignment vertical="center"/>
    </xf>
    <xf numFmtId="0" fontId="6" fillId="0" borderId="0" xfId="84" applyFont="1" applyAlignment="1">
      <alignment vertical="center"/>
    </xf>
    <xf numFmtId="0" fontId="6" fillId="0" borderId="0" xfId="84" applyFont="1" applyAlignment="1">
      <alignment horizontal="left" vertical="center"/>
    </xf>
    <xf numFmtId="2" fontId="17" fillId="0" borderId="0" xfId="84" applyNumberFormat="1" applyFont="1" applyAlignment="1">
      <alignment vertical="center"/>
    </xf>
    <xf numFmtId="9" fontId="6" fillId="0" borderId="0" xfId="86" applyNumberFormat="1" applyAlignment="1" applyProtection="1">
      <alignment vertical="center"/>
    </xf>
    <xf numFmtId="0" fontId="6" fillId="0" borderId="0" xfId="80" applyFont="1"/>
    <xf numFmtId="0" fontId="6" fillId="31" borderId="0" xfId="80" applyFill="1"/>
    <xf numFmtId="3" fontId="34" fillId="0" borderId="0" xfId="83" applyNumberFormat="1" applyFont="1"/>
    <xf numFmtId="170" fontId="6" fillId="0" borderId="19" xfId="84" applyNumberFormat="1" applyBorder="1" applyAlignment="1">
      <alignment horizontal="right" vertical="center"/>
    </xf>
    <xf numFmtId="170" fontId="6" fillId="0" borderId="0" xfId="84" applyNumberFormat="1" applyBorder="1" applyAlignment="1">
      <alignment horizontal="right" vertical="center"/>
    </xf>
    <xf numFmtId="170" fontId="6" fillId="0" borderId="25" xfId="84" applyNumberFormat="1" applyBorder="1" applyAlignment="1">
      <alignment horizontal="right" vertical="center"/>
    </xf>
    <xf numFmtId="0" fontId="86" fillId="0" borderId="0" xfId="0" applyFont="1"/>
    <xf numFmtId="0" fontId="87" fillId="0" borderId="15" xfId="0" applyFont="1" applyBorder="1"/>
    <xf numFmtId="3" fontId="0" fillId="0" borderId="15" xfId="0" applyNumberFormat="1" applyBorder="1"/>
    <xf numFmtId="0" fontId="88" fillId="0" borderId="0" xfId="0" applyFont="1"/>
    <xf numFmtId="0" fontId="0" fillId="0" borderId="15" xfId="0" applyFill="1" applyBorder="1"/>
    <xf numFmtId="170" fontId="0" fillId="0" borderId="0" xfId="0" applyNumberFormat="1" applyBorder="1"/>
    <xf numFmtId="3" fontId="15" fillId="0" borderId="15" xfId="0" applyNumberFormat="1" applyFont="1" applyBorder="1"/>
    <xf numFmtId="3" fontId="10" fillId="0" borderId="15" xfId="0" applyNumberFormat="1" applyFont="1" applyBorder="1"/>
    <xf numFmtId="167" fontId="0" fillId="0" borderId="15" xfId="0" applyNumberFormat="1" applyBorder="1"/>
    <xf numFmtId="9" fontId="0" fillId="0" borderId="15" xfId="0" applyNumberFormat="1" applyBorder="1" applyAlignment="1"/>
    <xf numFmtId="0" fontId="88" fillId="24" borderId="0" xfId="0" applyFont="1" applyFill="1"/>
    <xf numFmtId="3" fontId="0" fillId="0" borderId="0" xfId="0" applyNumberFormat="1" applyFill="1" applyBorder="1"/>
    <xf numFmtId="3" fontId="10" fillId="0" borderId="0" xfId="0" applyNumberFormat="1" applyFont="1" applyBorder="1"/>
    <xf numFmtId="3" fontId="10" fillId="30" borderId="0" xfId="0" applyNumberFormat="1" applyFont="1" applyFill="1" applyBorder="1"/>
    <xf numFmtId="9" fontId="0" fillId="30" borderId="0" xfId="0" applyNumberFormat="1" applyFill="1" applyBorder="1" applyAlignment="1">
      <alignment horizontal="center"/>
    </xf>
    <xf numFmtId="0" fontId="88" fillId="30" borderId="0" xfId="0" applyFont="1" applyFill="1"/>
    <xf numFmtId="0" fontId="0" fillId="30" borderId="0" xfId="0" applyFill="1"/>
    <xf numFmtId="0" fontId="0" fillId="0" borderId="123" xfId="0" applyBorder="1"/>
    <xf numFmtId="0" fontId="0" fillId="0" borderId="126" xfId="0" applyBorder="1"/>
    <xf numFmtId="0" fontId="0" fillId="0" borderId="142" xfId="0" applyBorder="1"/>
    <xf numFmtId="0" fontId="0" fillId="0" borderId="124" xfId="0" applyBorder="1"/>
    <xf numFmtId="3" fontId="0" fillId="0" borderId="98" xfId="0" applyNumberFormat="1" applyBorder="1" applyAlignment="1">
      <alignment horizontal="center"/>
    </xf>
    <xf numFmtId="0" fontId="0" fillId="0" borderId="96" xfId="0" applyBorder="1" applyAlignment="1">
      <alignment horizontal="center"/>
    </xf>
    <xf numFmtId="0" fontId="0" fillId="0" borderId="97" xfId="0" applyBorder="1" applyAlignment="1">
      <alignment horizontal="center"/>
    </xf>
    <xf numFmtId="1" fontId="3" fillId="0" borderId="69" xfId="83" applyNumberFormat="1" applyFont="1" applyFill="1" applyBorder="1"/>
    <xf numFmtId="4" fontId="89" fillId="0" borderId="79" xfId="83" quotePrefix="1" applyNumberFormat="1" applyFont="1" applyBorder="1" applyAlignment="1">
      <alignment horizontal="left"/>
    </xf>
    <xf numFmtId="167" fontId="0" fillId="0" borderId="0" xfId="0" applyNumberFormat="1"/>
    <xf numFmtId="0" fontId="6" fillId="0" borderId="0" xfId="84" applyBorder="1" applyAlignment="1">
      <alignment horizontal="right" vertical="center"/>
    </xf>
    <xf numFmtId="170" fontId="6" fillId="34" borderId="29" xfId="84" applyNumberFormat="1" applyFill="1" applyBorder="1" applyAlignment="1" applyProtection="1">
      <alignment horizontal="right" vertical="center"/>
      <protection locked="0"/>
    </xf>
    <xf numFmtId="0" fontId="90" fillId="0" borderId="16" xfId="84" applyFont="1" applyBorder="1" applyAlignment="1">
      <alignment vertical="center"/>
    </xf>
    <xf numFmtId="0" fontId="15" fillId="0" borderId="17" xfId="84" applyFont="1" applyBorder="1" applyAlignment="1">
      <alignment vertical="center"/>
    </xf>
    <xf numFmtId="174" fontId="15" fillId="0" borderId="27" xfId="84" applyNumberFormat="1" applyFont="1" applyBorder="1" applyAlignment="1">
      <alignment vertical="center"/>
    </xf>
    <xf numFmtId="0" fontId="6" fillId="0" borderId="0" xfId="84" applyFill="1" applyAlignment="1">
      <alignment vertical="center"/>
    </xf>
    <xf numFmtId="0" fontId="24" fillId="0" borderId="0" xfId="84" applyFont="1" applyAlignment="1">
      <alignment vertical="center"/>
    </xf>
    <xf numFmtId="10" fontId="6" fillId="0" borderId="0" xfId="84" applyNumberFormat="1" applyAlignment="1">
      <alignment vertical="center"/>
    </xf>
    <xf numFmtId="168" fontId="19" fillId="0" borderId="0" xfId="84" applyNumberFormat="1" applyFont="1" applyAlignment="1">
      <alignment horizontal="center" vertical="center"/>
    </xf>
    <xf numFmtId="0" fontId="6" fillId="42" borderId="0" xfId="84" applyFill="1" applyAlignment="1">
      <alignment horizontal="center" vertical="center"/>
    </xf>
    <xf numFmtId="1" fontId="6" fillId="0" borderId="0" xfId="84" applyNumberFormat="1" applyAlignment="1">
      <alignment horizontal="center" vertical="center"/>
    </xf>
    <xf numFmtId="166" fontId="6" fillId="0" borderId="0" xfId="84" applyNumberFormat="1" applyAlignment="1">
      <alignment vertical="center"/>
    </xf>
    <xf numFmtId="3" fontId="6" fillId="0" borderId="0" xfId="84" applyNumberFormat="1" applyFont="1" applyAlignment="1">
      <alignment vertical="center"/>
    </xf>
    <xf numFmtId="3" fontId="6" fillId="0" borderId="0" xfId="84" applyNumberFormat="1" applyFont="1" applyFill="1" applyAlignment="1">
      <alignment vertical="center"/>
    </xf>
    <xf numFmtId="0" fontId="6" fillId="0" borderId="123" xfId="84" applyBorder="1" applyAlignment="1">
      <alignment vertical="center"/>
    </xf>
    <xf numFmtId="174" fontId="20" fillId="0" borderId="126" xfId="84" applyNumberFormat="1" applyFont="1" applyBorder="1" applyAlignment="1">
      <alignment vertical="center"/>
    </xf>
    <xf numFmtId="0" fontId="6" fillId="0" borderId="142" xfId="84" applyBorder="1" applyAlignment="1">
      <alignment vertical="center"/>
    </xf>
    <xf numFmtId="0" fontId="6" fillId="0" borderId="79" xfId="84" applyBorder="1" applyAlignment="1">
      <alignment vertical="center"/>
    </xf>
    <xf numFmtId="0" fontId="6" fillId="0" borderId="119" xfId="84" applyBorder="1" applyAlignment="1">
      <alignment vertical="center"/>
    </xf>
    <xf numFmtId="0" fontId="17" fillId="0" borderId="79" xfId="84" applyFont="1" applyBorder="1" applyAlignment="1">
      <alignment vertical="center"/>
    </xf>
    <xf numFmtId="170" fontId="6" fillId="0" borderId="119" xfId="84" applyNumberFormat="1" applyBorder="1" applyAlignment="1">
      <alignment vertical="center"/>
    </xf>
    <xf numFmtId="192" fontId="6" fillId="35" borderId="119" xfId="84" applyNumberFormat="1" applyFill="1" applyBorder="1" applyAlignment="1">
      <alignment vertical="center"/>
    </xf>
    <xf numFmtId="9" fontId="6" fillId="35" borderId="119" xfId="88" applyFont="1" applyFill="1" applyBorder="1" applyAlignment="1">
      <alignment vertical="center"/>
    </xf>
    <xf numFmtId="0" fontId="24" fillId="0" borderId="79" xfId="84" applyFont="1" applyBorder="1" applyAlignment="1">
      <alignment vertical="center"/>
    </xf>
    <xf numFmtId="0" fontId="17" fillId="0" borderId="79" xfId="84" quotePrefix="1" applyFont="1" applyBorder="1" applyAlignment="1">
      <alignment vertical="center"/>
    </xf>
    <xf numFmtId="0" fontId="6" fillId="35" borderId="119" xfId="84" applyFill="1" applyBorder="1" applyAlignment="1">
      <alignment vertical="center"/>
    </xf>
    <xf numFmtId="0" fontId="24" fillId="0" borderId="124" xfId="84" applyFont="1" applyBorder="1" applyAlignment="1">
      <alignment vertical="center"/>
    </xf>
    <xf numFmtId="0" fontId="6" fillId="0" borderId="129" xfId="84" applyBorder="1" applyAlignment="1">
      <alignment vertical="center"/>
    </xf>
    <xf numFmtId="184" fontId="6" fillId="0" borderId="143" xfId="62" applyNumberFormat="1" applyFont="1" applyBorder="1" applyAlignment="1">
      <alignment vertical="center"/>
    </xf>
    <xf numFmtId="170" fontId="6" fillId="34" borderId="19" xfId="84" quotePrefix="1" applyNumberFormat="1" applyFont="1" applyFill="1" applyBorder="1" applyAlignment="1" applyProtection="1">
      <alignment horizontal="right" vertical="center"/>
      <protection locked="0"/>
    </xf>
    <xf numFmtId="0" fontId="6" fillId="0" borderId="0" xfId="84" applyFill="1" applyAlignment="1" applyProtection="1">
      <alignment horizontal="left" vertical="center"/>
      <protection locked="0"/>
    </xf>
    <xf numFmtId="0" fontId="6" fillId="0" borderId="0" xfId="84" applyAlignment="1">
      <alignment horizontal="left" vertical="center"/>
    </xf>
    <xf numFmtId="168" fontId="28" fillId="0" borderId="0" xfId="0" applyNumberFormat="1" applyFont="1" applyBorder="1" applyAlignment="1">
      <alignment horizontal="center"/>
    </xf>
    <xf numFmtId="0" fontId="6" fillId="0" borderId="0" xfId="84" applyFont="1" applyAlignment="1">
      <alignment horizontal="center" vertical="center"/>
    </xf>
    <xf numFmtId="14" fontId="95" fillId="38" borderId="79" xfId="83" applyNumberFormat="1" applyFont="1" applyFill="1" applyBorder="1" applyAlignment="1">
      <alignment horizontal="center"/>
    </xf>
    <xf numFmtId="14" fontId="95" fillId="38" borderId="13" xfId="83" applyNumberFormat="1" applyFont="1" applyFill="1" applyBorder="1" applyAlignment="1">
      <alignment horizontal="center"/>
    </xf>
    <xf numFmtId="0" fontId="10" fillId="27" borderId="144" xfId="0" applyFont="1" applyFill="1" applyBorder="1" applyAlignment="1">
      <alignment horizontal="center"/>
    </xf>
    <xf numFmtId="0" fontId="10" fillId="27" borderId="145" xfId="0" applyFont="1" applyFill="1" applyBorder="1" applyAlignment="1">
      <alignment horizontal="center"/>
    </xf>
    <xf numFmtId="174" fontId="92" fillId="0" borderId="39" xfId="84" applyNumberFormat="1" applyFont="1" applyBorder="1" applyAlignment="1">
      <alignment vertical="center"/>
    </xf>
    <xf numFmtId="186" fontId="92" fillId="0" borderId="41" xfId="84" applyNumberFormat="1" applyFont="1" applyBorder="1" applyAlignment="1">
      <alignment horizontal="center" vertical="center"/>
    </xf>
    <xf numFmtId="174" fontId="17" fillId="34" borderId="17" xfId="84" applyNumberFormat="1" applyFont="1" applyFill="1" applyBorder="1" applyAlignment="1" applyProtection="1">
      <alignment horizontal="right" vertical="center"/>
      <protection locked="0"/>
    </xf>
    <xf numFmtId="186" fontId="17" fillId="34" borderId="17" xfId="84" applyNumberFormat="1" applyFont="1" applyFill="1" applyBorder="1" applyAlignment="1" applyProtection="1">
      <alignment horizontal="left" vertical="center"/>
      <protection locked="0"/>
    </xf>
    <xf numFmtId="3" fontId="0" fillId="33" borderId="15" xfId="0" applyNumberFormat="1" applyFill="1" applyBorder="1" applyAlignment="1">
      <alignment horizontal="center"/>
    </xf>
    <xf numFmtId="168" fontId="96" fillId="0" borderId="18" xfId="0" applyNumberFormat="1" applyFont="1" applyFill="1" applyBorder="1" applyAlignment="1">
      <alignment horizontal="center"/>
    </xf>
    <xf numFmtId="168" fontId="96" fillId="0" borderId="18" xfId="88" applyNumberFormat="1" applyFont="1" applyFill="1" applyBorder="1" applyAlignment="1">
      <alignment horizontal="center"/>
    </xf>
    <xf numFmtId="0" fontId="96" fillId="0" borderId="0" xfId="0" applyFont="1"/>
    <xf numFmtId="0" fontId="8" fillId="0" borderId="0" xfId="0" applyFont="1" applyFill="1"/>
    <xf numFmtId="9" fontId="0" fillId="0" borderId="0" xfId="88" applyFont="1" applyFill="1" applyBorder="1" applyAlignment="1">
      <alignment horizontal="center"/>
    </xf>
    <xf numFmtId="0" fontId="0" fillId="0" borderId="31" xfId="0" applyBorder="1"/>
    <xf numFmtId="0" fontId="0" fillId="0" borderId="71" xfId="0" applyBorder="1"/>
    <xf numFmtId="184" fontId="73" fillId="0" borderId="36" xfId="62" applyNumberFormat="1" applyFont="1" applyFill="1" applyBorder="1" applyAlignment="1">
      <alignment horizontal="center"/>
    </xf>
    <xf numFmtId="184" fontId="73" fillId="0" borderId="38" xfId="62" applyNumberFormat="1" applyFont="1" applyFill="1" applyBorder="1" applyAlignment="1">
      <alignment horizontal="center"/>
    </xf>
    <xf numFmtId="184" fontId="58" fillId="0" borderId="146" xfId="62" applyNumberFormat="1" applyFont="1" applyFill="1" applyBorder="1" applyAlignment="1">
      <alignment horizontal="center"/>
    </xf>
    <xf numFmtId="184" fontId="58" fillId="0" borderId="147" xfId="62" applyNumberFormat="1" applyFont="1" applyFill="1" applyBorder="1" applyAlignment="1">
      <alignment horizontal="center"/>
    </xf>
    <xf numFmtId="184" fontId="58" fillId="0" borderId="38" xfId="62" applyNumberFormat="1" applyFont="1" applyFill="1" applyBorder="1" applyAlignment="1">
      <alignment horizontal="center"/>
    </xf>
    <xf numFmtId="184" fontId="73" fillId="0" borderId="38" xfId="81" applyNumberFormat="1" applyFont="1" applyFill="1" applyBorder="1" applyAlignment="1">
      <alignment horizontal="center"/>
    </xf>
    <xf numFmtId="184" fontId="73" fillId="0" borderId="146" xfId="81" applyNumberFormat="1" applyFont="1" applyFill="1" applyBorder="1" applyAlignment="1">
      <alignment horizontal="center"/>
    </xf>
    <xf numFmtId="184" fontId="58" fillId="0" borderId="146" xfId="81" applyNumberFormat="1" applyFont="1" applyFill="1" applyBorder="1" applyAlignment="1">
      <alignment horizontal="center"/>
    </xf>
    <xf numFmtId="0" fontId="58" fillId="0" borderId="147" xfId="81" applyFont="1" applyFill="1" applyBorder="1" applyAlignment="1">
      <alignment horizontal="center"/>
    </xf>
    <xf numFmtId="184" fontId="58" fillId="0" borderId="147" xfId="81" applyNumberFormat="1" applyFont="1" applyFill="1" applyBorder="1" applyAlignment="1">
      <alignment horizontal="center"/>
    </xf>
    <xf numFmtId="184" fontId="58" fillId="0" borderId="38" xfId="81" applyNumberFormat="1" applyFont="1" applyFill="1" applyBorder="1" applyAlignment="1">
      <alignment horizontal="center"/>
    </xf>
    <xf numFmtId="184" fontId="73" fillId="0" borderId="148" xfId="81" applyNumberFormat="1" applyFont="1" applyFill="1" applyBorder="1" applyAlignment="1">
      <alignment horizontal="center"/>
    </xf>
    <xf numFmtId="0" fontId="0" fillId="43" borderId="15" xfId="0" applyFill="1" applyBorder="1" applyAlignment="1">
      <alignment horizontal="center"/>
    </xf>
    <xf numFmtId="184" fontId="0" fillId="0" borderId="15" xfId="62" applyNumberFormat="1" applyFont="1" applyBorder="1" applyAlignment="1">
      <alignment horizontal="center"/>
    </xf>
    <xf numFmtId="0" fontId="0" fillId="31" borderId="15" xfId="0" applyFill="1" applyBorder="1" applyAlignment="1">
      <alignment horizontal="center"/>
    </xf>
    <xf numFmtId="2" fontId="0" fillId="37" borderId="15" xfId="0" applyNumberFormat="1" applyFill="1" applyBorder="1" applyAlignment="1">
      <alignment horizontal="center"/>
    </xf>
    <xf numFmtId="9" fontId="0" fillId="0" borderId="0" xfId="0" applyNumberFormat="1" applyAlignment="1">
      <alignment horizontal="center"/>
    </xf>
    <xf numFmtId="0" fontId="15" fillId="0" borderId="0" xfId="0" applyFont="1" applyAlignment="1">
      <alignment horizontal="center"/>
    </xf>
    <xf numFmtId="3" fontId="0" fillId="30" borderId="0" xfId="0" applyNumberFormat="1" applyFill="1"/>
    <xf numFmtId="0" fontId="10" fillId="30" borderId="0" xfId="0" applyFont="1" applyFill="1"/>
    <xf numFmtId="3" fontId="10" fillId="0" borderId="0" xfId="0" applyNumberFormat="1" applyFont="1"/>
    <xf numFmtId="3" fontId="0" fillId="0" borderId="126" xfId="0" applyNumberFormat="1" applyBorder="1"/>
    <xf numFmtId="0" fontId="0" fillId="0" borderId="79" xfId="0" applyBorder="1"/>
    <xf numFmtId="3" fontId="0" fillId="0" borderId="0" xfId="0" applyNumberFormat="1" applyBorder="1"/>
    <xf numFmtId="0" fontId="0" fillId="0" borderId="119" xfId="0" applyBorder="1"/>
    <xf numFmtId="0" fontId="0" fillId="0" borderId="129" xfId="0" applyBorder="1"/>
    <xf numFmtId="0" fontId="0" fillId="0" borderId="143" xfId="0" applyBorder="1"/>
    <xf numFmtId="0" fontId="87" fillId="0" borderId="129" xfId="0" applyFont="1" applyBorder="1"/>
    <xf numFmtId="3" fontId="87" fillId="0" borderId="129" xfId="0" applyNumberFormat="1" applyFont="1" applyBorder="1"/>
    <xf numFmtId="0" fontId="0" fillId="31" borderId="0" xfId="0" applyFill="1"/>
    <xf numFmtId="3" fontId="0" fillId="31" borderId="0" xfId="0" applyNumberFormat="1" applyFill="1"/>
    <xf numFmtId="0" fontId="86" fillId="31" borderId="0" xfId="0" applyFont="1" applyFill="1"/>
    <xf numFmtId="0" fontId="10" fillId="0" borderId="15" xfId="0" applyFont="1" applyBorder="1"/>
    <xf numFmtId="0" fontId="86" fillId="0" borderId="0" xfId="0" applyFont="1" applyFill="1"/>
    <xf numFmtId="0" fontId="0" fillId="0" borderId="0" xfId="0" applyFill="1"/>
    <xf numFmtId="3" fontId="0" fillId="0" borderId="0" xfId="0" applyNumberFormat="1" applyFill="1"/>
    <xf numFmtId="0" fontId="87" fillId="0" borderId="0" xfId="0" applyFont="1" applyBorder="1"/>
    <xf numFmtId="3" fontId="87" fillId="0" borderId="0" xfId="0" applyNumberFormat="1" applyFont="1" applyBorder="1"/>
    <xf numFmtId="0" fontId="0" fillId="0" borderId="0" xfId="0" applyFill="1" applyAlignment="1">
      <alignment horizontal="center"/>
    </xf>
    <xf numFmtId="3" fontId="10" fillId="0" borderId="15" xfId="0" applyNumberFormat="1" applyFont="1" applyBorder="1" applyAlignment="1">
      <alignment horizontal="center"/>
    </xf>
    <xf numFmtId="0" fontId="15" fillId="0" borderId="0" xfId="0" applyFont="1" applyBorder="1"/>
    <xf numFmtId="0" fontId="0" fillId="31" borderId="0" xfId="0" applyFill="1" applyAlignment="1">
      <alignment horizontal="center"/>
    </xf>
    <xf numFmtId="0" fontId="15" fillId="0" borderId="15" xfId="0" applyFont="1" applyBorder="1"/>
    <xf numFmtId="9" fontId="0" fillId="0" borderId="0" xfId="0" applyNumberFormat="1" applyFill="1"/>
    <xf numFmtId="0" fontId="34" fillId="0" borderId="0" xfId="83" applyFont="1" applyFill="1" applyBorder="1"/>
    <xf numFmtId="0" fontId="3" fillId="0" borderId="0" xfId="83" applyFont="1" applyFill="1" applyBorder="1"/>
    <xf numFmtId="0" fontId="34" fillId="0" borderId="15" xfId="83" applyFont="1" applyBorder="1"/>
    <xf numFmtId="0" fontId="3" fillId="0" borderId="15" xfId="83" applyFont="1" applyFill="1" applyBorder="1"/>
    <xf numFmtId="0" fontId="10" fillId="0" borderId="15" xfId="0" applyFont="1" applyBorder="1" applyAlignment="1">
      <alignment horizontal="right"/>
    </xf>
    <xf numFmtId="3" fontId="0" fillId="44" borderId="15" xfId="0" applyNumberFormat="1" applyFill="1" applyBorder="1" applyAlignment="1">
      <alignment horizontal="center"/>
    </xf>
    <xf numFmtId="184" fontId="88" fillId="0" borderId="0" xfId="62" applyNumberFormat="1" applyFont="1" applyAlignment="1">
      <alignment horizontal="center"/>
    </xf>
    <xf numFmtId="184" fontId="88" fillId="0" borderId="0" xfId="62" applyNumberFormat="1" applyFont="1"/>
    <xf numFmtId="0" fontId="0" fillId="0" borderId="15" xfId="0" applyBorder="1" applyAlignment="1">
      <alignment horizontal="center" vertical="center"/>
    </xf>
    <xf numFmtId="3" fontId="0" fillId="0" borderId="15" xfId="0" applyNumberFormat="1" applyBorder="1" applyAlignment="1">
      <alignment horizontal="center" vertical="center"/>
    </xf>
    <xf numFmtId="2" fontId="10" fillId="26" borderId="33" xfId="0" applyNumberFormat="1" applyFont="1" applyFill="1" applyBorder="1" applyAlignment="1">
      <alignment horizontal="center"/>
    </xf>
    <xf numFmtId="167" fontId="15" fillId="26" borderId="149" xfId="75" applyNumberFormat="1" applyFill="1" applyBorder="1" applyAlignment="1">
      <alignment horizontal="center"/>
    </xf>
    <xf numFmtId="2" fontId="15" fillId="0" borderId="141" xfId="75" applyNumberFormat="1" applyBorder="1" applyAlignment="1">
      <alignment horizontal="center"/>
    </xf>
    <xf numFmtId="2" fontId="15" fillId="0" borderId="69" xfId="75" applyNumberFormat="1" applyBorder="1" applyAlignment="1">
      <alignment horizontal="center"/>
    </xf>
    <xf numFmtId="0" fontId="0" fillId="0" borderId="183" xfId="0" applyBorder="1" applyAlignment="1">
      <alignment horizontal="center"/>
    </xf>
    <xf numFmtId="167" fontId="0" fillId="46" borderId="15" xfId="0" applyNumberFormat="1" applyFill="1" applyBorder="1" applyAlignment="1">
      <alignment horizontal="center"/>
    </xf>
    <xf numFmtId="184" fontId="98" fillId="46" borderId="15" xfId="62" applyNumberFormat="1" applyFont="1" applyFill="1" applyBorder="1" applyAlignment="1">
      <alignment horizontal="center"/>
    </xf>
    <xf numFmtId="184" fontId="0" fillId="0" borderId="0" xfId="0" applyNumberFormat="1"/>
    <xf numFmtId="0" fontId="0" fillId="0" borderId="27" xfId="0" applyBorder="1" applyAlignment="1">
      <alignment horizontal="center"/>
    </xf>
    <xf numFmtId="0" fontId="15" fillId="0" borderId="15" xfId="0" applyFont="1" applyFill="1" applyBorder="1"/>
    <xf numFmtId="184" fontId="98" fillId="46" borderId="18" xfId="62" applyNumberFormat="1" applyFont="1" applyFill="1" applyBorder="1" applyAlignment="1">
      <alignment horizontal="center"/>
    </xf>
    <xf numFmtId="184" fontId="0" fillId="46" borderId="33" xfId="0" applyNumberFormat="1" applyFill="1" applyBorder="1"/>
    <xf numFmtId="0" fontId="99" fillId="0" borderId="0" xfId="77" applyAlignment="1">
      <alignment vertical="center"/>
    </xf>
    <xf numFmtId="0" fontId="99" fillId="0" borderId="0" xfId="77" applyAlignment="1">
      <alignment horizontal="center" vertical="center"/>
    </xf>
    <xf numFmtId="0" fontId="99" fillId="0" borderId="0" xfId="77" applyAlignment="1">
      <alignment horizontal="right" vertical="center"/>
    </xf>
    <xf numFmtId="0" fontId="99" fillId="34" borderId="19" xfId="77" applyFill="1" applyBorder="1" applyAlignment="1" applyProtection="1">
      <alignment horizontal="right" vertical="center"/>
      <protection locked="0"/>
    </xf>
    <xf numFmtId="0" fontId="99" fillId="34" borderId="71" xfId="77" applyFill="1" applyBorder="1" applyAlignment="1" applyProtection="1">
      <alignment horizontal="left" vertical="center"/>
      <protection locked="0"/>
    </xf>
    <xf numFmtId="0" fontId="99" fillId="34" borderId="29" xfId="77" applyFill="1" applyBorder="1" applyAlignment="1" applyProtection="1">
      <alignment horizontal="right" vertical="center"/>
      <protection locked="0"/>
    </xf>
    <xf numFmtId="0" fontId="99" fillId="34" borderId="30" xfId="77" applyFill="1" applyBorder="1" applyAlignment="1" applyProtection="1">
      <alignment horizontal="left" vertical="center"/>
      <protection locked="0"/>
    </xf>
    <xf numFmtId="0" fontId="99" fillId="0" borderId="0" xfId="77" applyBorder="1" applyAlignment="1">
      <alignment horizontal="right" vertical="center"/>
    </xf>
    <xf numFmtId="0" fontId="99" fillId="0" borderId="0" xfId="77" applyFill="1" applyAlignment="1">
      <alignment vertical="center"/>
    </xf>
    <xf numFmtId="0" fontId="99" fillId="0" borderId="16" xfId="77" applyBorder="1" applyAlignment="1">
      <alignment vertical="center"/>
    </xf>
    <xf numFmtId="0" fontId="18" fillId="0" borderId="27" xfId="77" applyFont="1" applyBorder="1" applyAlignment="1">
      <alignment horizontal="center" vertical="center"/>
    </xf>
    <xf numFmtId="0" fontId="99" fillId="34" borderId="15" xfId="77" applyFill="1" applyBorder="1" applyAlignment="1" applyProtection="1">
      <alignment horizontal="center" vertical="center"/>
      <protection locked="0"/>
    </xf>
    <xf numFmtId="0" fontId="99" fillId="34" borderId="27" xfId="77" applyFill="1" applyBorder="1" applyAlignment="1" applyProtection="1">
      <alignment horizontal="center" vertical="center"/>
      <protection locked="0"/>
    </xf>
    <xf numFmtId="0" fontId="99" fillId="34" borderId="15" xfId="77" applyFill="1" applyBorder="1" applyAlignment="1" applyProtection="1">
      <alignment vertical="center"/>
      <protection locked="0"/>
    </xf>
    <xf numFmtId="0" fontId="99" fillId="0" borderId="31" xfId="77" applyBorder="1" applyAlignment="1">
      <alignment horizontal="center" vertical="center"/>
    </xf>
    <xf numFmtId="0" fontId="99" fillId="0" borderId="0" xfId="77" applyBorder="1" applyAlignment="1">
      <alignment vertical="center"/>
    </xf>
    <xf numFmtId="170" fontId="99" fillId="34" borderId="18" xfId="77" applyNumberFormat="1" applyFill="1" applyBorder="1" applyAlignment="1" applyProtection="1">
      <alignment vertical="center"/>
      <protection locked="0"/>
    </xf>
    <xf numFmtId="0" fontId="99" fillId="0" borderId="26" xfId="77" applyBorder="1" applyAlignment="1">
      <alignment horizontal="center" vertical="center"/>
    </xf>
    <xf numFmtId="170" fontId="99" fillId="34" borderId="72" xfId="77" applyNumberFormat="1" applyFill="1" applyBorder="1" applyAlignment="1" applyProtection="1">
      <alignment vertical="center"/>
      <protection locked="0"/>
    </xf>
    <xf numFmtId="0" fontId="99" fillId="0" borderId="22" xfId="77" applyBorder="1" applyAlignment="1">
      <alignment horizontal="center" vertical="center"/>
    </xf>
    <xf numFmtId="0" fontId="99" fillId="0" borderId="29" xfId="77" applyBorder="1" applyAlignment="1">
      <alignment vertical="center"/>
    </xf>
    <xf numFmtId="170" fontId="99" fillId="34" borderId="20" xfId="77" applyNumberFormat="1" applyFill="1" applyBorder="1" applyAlignment="1" applyProtection="1">
      <alignment vertical="center"/>
      <protection locked="0"/>
    </xf>
    <xf numFmtId="0" fontId="99" fillId="0" borderId="19" xfId="77" applyBorder="1" applyAlignment="1">
      <alignment vertical="center"/>
    </xf>
    <xf numFmtId="170" fontId="99" fillId="0" borderId="18" xfId="77" applyNumberFormat="1" applyBorder="1" applyAlignment="1">
      <alignment vertical="center"/>
    </xf>
    <xf numFmtId="170" fontId="99" fillId="0" borderId="72" xfId="77" applyNumberFormat="1" applyBorder="1" applyAlignment="1">
      <alignment vertical="center"/>
    </xf>
    <xf numFmtId="0" fontId="99" fillId="0" borderId="73" xfId="77" applyBorder="1" applyAlignment="1">
      <alignment horizontal="center" vertical="center"/>
    </xf>
    <xf numFmtId="0" fontId="99" fillId="0" borderId="74" xfId="77" applyBorder="1" applyAlignment="1">
      <alignment vertical="center"/>
    </xf>
    <xf numFmtId="170" fontId="99" fillId="0" borderId="75" xfId="77" applyNumberFormat="1" applyBorder="1" applyAlignment="1">
      <alignment vertical="center"/>
    </xf>
    <xf numFmtId="0" fontId="99" fillId="0" borderId="76" xfId="77" applyBorder="1" applyAlignment="1">
      <alignment horizontal="center" vertical="center"/>
    </xf>
    <xf numFmtId="0" fontId="99" fillId="0" borderId="77" xfId="77" applyBorder="1" applyAlignment="1">
      <alignment vertical="center"/>
    </xf>
    <xf numFmtId="170" fontId="99" fillId="0" borderId="78" xfId="77" applyNumberFormat="1" applyBorder="1" applyAlignment="1">
      <alignment vertical="center"/>
    </xf>
    <xf numFmtId="168" fontId="99" fillId="34" borderId="72" xfId="95" applyNumberFormat="1" applyFill="1" applyBorder="1" applyAlignment="1" applyProtection="1">
      <alignment vertical="center"/>
      <protection locked="0"/>
    </xf>
    <xf numFmtId="170" fontId="99" fillId="0" borderId="0" xfId="77" applyNumberFormat="1" applyBorder="1" applyAlignment="1">
      <alignment horizontal="right" vertical="center"/>
    </xf>
    <xf numFmtId="0" fontId="99" fillId="0" borderId="0" xfId="77" applyBorder="1" applyAlignment="1">
      <alignment vertical="center" wrapText="1"/>
    </xf>
    <xf numFmtId="0" fontId="99" fillId="0" borderId="16" xfId="77" applyBorder="1" applyAlignment="1">
      <alignment horizontal="center" vertical="center"/>
    </xf>
    <xf numFmtId="0" fontId="99" fillId="0" borderId="17" xfId="77" applyBorder="1" applyAlignment="1">
      <alignment vertical="center"/>
    </xf>
    <xf numFmtId="170" fontId="99" fillId="0" borderId="15" xfId="77" applyNumberFormat="1" applyBorder="1" applyAlignment="1">
      <alignment vertical="center"/>
    </xf>
    <xf numFmtId="170" fontId="99" fillId="0" borderId="0" xfId="77" applyNumberFormat="1" applyAlignment="1">
      <alignment vertical="center"/>
    </xf>
    <xf numFmtId="173" fontId="99" fillId="0" borderId="18" xfId="77" applyNumberFormat="1" applyBorder="1" applyAlignment="1">
      <alignment horizontal="left" vertical="center"/>
    </xf>
    <xf numFmtId="173" fontId="99" fillId="0" borderId="20" xfId="77" applyNumberFormat="1" applyBorder="1" applyAlignment="1">
      <alignment horizontal="left" vertical="center"/>
    </xf>
    <xf numFmtId="170" fontId="99" fillId="0" borderId="20" xfId="77" applyNumberFormat="1" applyBorder="1" applyAlignment="1">
      <alignment vertical="center"/>
    </xf>
    <xf numFmtId="0" fontId="23" fillId="0" borderId="16" xfId="77" applyFont="1" applyBorder="1" applyAlignment="1">
      <alignment vertical="center"/>
    </xf>
    <xf numFmtId="3" fontId="24" fillId="0" borderId="17" xfId="77" applyNumberFormat="1" applyFont="1" applyBorder="1" applyAlignment="1">
      <alignment horizontal="right" vertical="center"/>
    </xf>
    <xf numFmtId="0" fontId="24" fillId="0" borderId="27" xfId="77" applyNumberFormat="1" applyFont="1" applyBorder="1" applyAlignment="1">
      <alignment horizontal="left" vertical="center"/>
    </xf>
    <xf numFmtId="0" fontId="99" fillId="0" borderId="0" xfId="95" applyNumberFormat="1" applyFill="1" applyAlignment="1" applyProtection="1">
      <alignment horizontal="right" vertical="center"/>
      <protection locked="0"/>
    </xf>
    <xf numFmtId="174" fontId="24" fillId="34" borderId="17" xfId="77" applyNumberFormat="1" applyFont="1" applyFill="1" applyBorder="1" applyAlignment="1" applyProtection="1">
      <alignment horizontal="right" vertical="center"/>
      <protection locked="0"/>
    </xf>
    <xf numFmtId="186" fontId="24" fillId="34" borderId="27" xfId="77" applyNumberFormat="1" applyFont="1" applyFill="1" applyBorder="1" applyAlignment="1" applyProtection="1">
      <alignment horizontal="left" vertical="center"/>
      <protection locked="0"/>
    </xf>
    <xf numFmtId="0" fontId="99" fillId="0" borderId="0" xfId="77" applyNumberFormat="1" applyAlignment="1">
      <alignment horizontal="right" vertical="center"/>
    </xf>
    <xf numFmtId="10" fontId="6" fillId="34" borderId="0" xfId="95" applyNumberFormat="1" applyFont="1" applyFill="1" applyAlignment="1" applyProtection="1">
      <alignment horizontal="center" vertical="center"/>
      <protection locked="0"/>
    </xf>
    <xf numFmtId="174" fontId="99" fillId="34" borderId="0" xfId="77" applyNumberFormat="1" applyFill="1" applyAlignment="1" applyProtection="1">
      <alignment horizontal="center" vertical="center"/>
      <protection locked="0"/>
    </xf>
    <xf numFmtId="10" fontId="99" fillId="34" borderId="0" xfId="95" applyNumberFormat="1" applyFill="1" applyAlignment="1" applyProtection="1">
      <alignment horizontal="center" vertical="center"/>
      <protection locked="0"/>
    </xf>
    <xf numFmtId="0" fontId="19" fillId="0" borderId="0" xfId="77" applyFont="1" applyAlignment="1">
      <alignment vertical="center"/>
    </xf>
    <xf numFmtId="3" fontId="19" fillId="0" borderId="0" xfId="77" applyNumberFormat="1" applyFont="1" applyAlignment="1">
      <alignment vertical="center"/>
    </xf>
    <xf numFmtId="3" fontId="99" fillId="0" borderId="0" xfId="77" applyNumberFormat="1" applyAlignment="1">
      <alignment vertical="center"/>
    </xf>
    <xf numFmtId="0" fontId="20" fillId="0" borderId="0" xfId="77" applyFont="1" applyAlignment="1">
      <alignment horizontal="right" vertical="center"/>
    </xf>
    <xf numFmtId="3" fontId="20" fillId="0" borderId="0" xfId="77" applyNumberFormat="1" applyFont="1" applyAlignment="1">
      <alignment vertical="center"/>
    </xf>
    <xf numFmtId="0" fontId="6" fillId="0" borderId="0" xfId="77" applyFont="1" applyAlignment="1">
      <alignment vertical="center"/>
    </xf>
    <xf numFmtId="174" fontId="20" fillId="0" borderId="0" xfId="77" applyNumberFormat="1" applyFont="1" applyAlignment="1">
      <alignment vertical="center"/>
    </xf>
    <xf numFmtId="186" fontId="20" fillId="0" borderId="0" xfId="77" applyNumberFormat="1" applyFont="1" applyAlignment="1">
      <alignment horizontal="left" vertical="center"/>
    </xf>
    <xf numFmtId="0" fontId="25" fillId="0" borderId="0" xfId="77" applyFont="1" applyAlignment="1">
      <alignment horizontal="right" vertical="center"/>
    </xf>
    <xf numFmtId="10" fontId="99" fillId="0" borderId="0" xfId="95" applyNumberFormat="1" applyFont="1" applyFill="1" applyAlignment="1" applyProtection="1">
      <alignment horizontal="right" vertical="center"/>
      <protection locked="0"/>
    </xf>
    <xf numFmtId="176" fontId="99" fillId="0" borderId="0" xfId="77" applyNumberFormat="1" applyAlignment="1">
      <alignment vertical="center"/>
    </xf>
    <xf numFmtId="1" fontId="99" fillId="0" borderId="0" xfId="77" applyNumberFormat="1" applyAlignment="1">
      <alignment horizontal="center" vertical="center"/>
    </xf>
    <xf numFmtId="174" fontId="99" fillId="0" borderId="0" xfId="77" applyNumberFormat="1" applyAlignment="1">
      <alignment horizontal="center" vertical="center"/>
    </xf>
    <xf numFmtId="168" fontId="0" fillId="0" borderId="0" xfId="88" applyNumberFormat="1" applyFont="1" applyAlignment="1">
      <alignment horizontal="center"/>
    </xf>
    <xf numFmtId="185" fontId="0" fillId="0" borderId="0" xfId="0" applyNumberFormat="1"/>
    <xf numFmtId="0" fontId="15" fillId="0" borderId="0" xfId="0" applyFont="1" applyAlignment="1">
      <alignment horizontal="left" indent="1"/>
    </xf>
    <xf numFmtId="191" fontId="0" fillId="0" borderId="33" xfId="0" applyNumberFormat="1" applyBorder="1" applyAlignment="1">
      <alignment horizontal="center"/>
    </xf>
    <xf numFmtId="0" fontId="15" fillId="0" borderId="15" xfId="0" applyFont="1" applyBorder="1" applyAlignment="1">
      <alignment horizontal="center"/>
    </xf>
    <xf numFmtId="0" fontId="15" fillId="0" borderId="15" xfId="0" applyFont="1" applyBorder="1" applyAlignment="1">
      <alignment horizontal="left" indent="1"/>
    </xf>
    <xf numFmtId="0" fontId="0" fillId="47" borderId="15" xfId="0" applyFill="1" applyBorder="1" applyAlignment="1">
      <alignment horizontal="center"/>
    </xf>
    <xf numFmtId="0" fontId="102" fillId="0" borderId="15" xfId="0" applyFont="1" applyBorder="1" applyAlignment="1">
      <alignment horizontal="center"/>
    </xf>
    <xf numFmtId="0" fontId="15" fillId="48" borderId="15" xfId="0" applyFont="1" applyFill="1" applyBorder="1" applyAlignment="1">
      <alignment horizontal="center"/>
    </xf>
    <xf numFmtId="0" fontId="103" fillId="0" borderId="15" xfId="0" applyFont="1" applyBorder="1"/>
    <xf numFmtId="2" fontId="15" fillId="0" borderId="69" xfId="75" applyNumberFormat="1" applyFont="1" applyBorder="1" applyAlignment="1">
      <alignment horizontal="center"/>
    </xf>
    <xf numFmtId="1" fontId="0" fillId="0" borderId="20" xfId="0" applyNumberFormat="1" applyBorder="1" applyAlignment="1">
      <alignment horizontal="center"/>
    </xf>
    <xf numFmtId="166" fontId="0" fillId="0" borderId="15" xfId="0" applyNumberFormat="1" applyBorder="1" applyAlignment="1">
      <alignment horizontal="center"/>
    </xf>
    <xf numFmtId="0" fontId="0" fillId="48" borderId="15" xfId="0" applyFill="1" applyBorder="1" applyAlignment="1">
      <alignment horizontal="center"/>
    </xf>
    <xf numFmtId="166" fontId="0" fillId="0" borderId="0" xfId="0" applyNumberFormat="1"/>
    <xf numFmtId="189" fontId="0" fillId="0" borderId="0" xfId="0" applyNumberFormat="1"/>
    <xf numFmtId="190" fontId="0" fillId="0" borderId="0" xfId="0" applyNumberFormat="1"/>
    <xf numFmtId="193" fontId="0" fillId="0" borderId="0" xfId="0" applyNumberFormat="1"/>
    <xf numFmtId="0" fontId="0" fillId="48" borderId="15" xfId="0" applyFill="1" applyBorder="1" applyAlignment="1">
      <alignment horizontal="center"/>
    </xf>
    <xf numFmtId="182" fontId="35" fillId="49" borderId="13" xfId="83" applyNumberFormat="1" applyFont="1" applyFill="1" applyBorder="1"/>
    <xf numFmtId="182" fontId="34" fillId="49" borderId="13" xfId="83" applyNumberFormat="1" applyFont="1" applyFill="1" applyBorder="1"/>
    <xf numFmtId="0" fontId="104" fillId="0" borderId="0" xfId="0" applyFont="1"/>
    <xf numFmtId="0" fontId="105" fillId="0" borderId="0" xfId="0" applyFont="1"/>
    <xf numFmtId="0" fontId="15" fillId="48" borderId="18" xfId="0" applyFont="1" applyFill="1" applyBorder="1" applyAlignment="1">
      <alignment horizontal="center" wrapText="1"/>
    </xf>
    <xf numFmtId="0" fontId="0" fillId="48" borderId="31" xfId="0" applyFont="1" applyFill="1" applyBorder="1" applyAlignment="1">
      <alignment horizontal="center" vertical="center" wrapText="1"/>
    </xf>
    <xf numFmtId="0" fontId="15" fillId="48" borderId="31" xfId="0" applyFont="1" applyFill="1" applyBorder="1" applyAlignment="1">
      <alignment horizontal="center" vertical="center" wrapText="1"/>
    </xf>
    <xf numFmtId="0" fontId="15" fillId="48" borderId="18"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7" borderId="18" xfId="0" applyFont="1" applyFill="1" applyBorder="1" applyAlignment="1">
      <alignment horizontal="center" wrapText="1"/>
    </xf>
    <xf numFmtId="0" fontId="0" fillId="27" borderId="31" xfId="0" applyFont="1" applyFill="1" applyBorder="1" applyAlignment="1">
      <alignment horizontal="center" vertical="center" wrapText="1"/>
    </xf>
    <xf numFmtId="0" fontId="15" fillId="27" borderId="31" xfId="0" applyFont="1" applyFill="1" applyBorder="1" applyAlignment="1">
      <alignment horizontal="center" vertical="center" wrapText="1"/>
    </xf>
    <xf numFmtId="0" fontId="15" fillId="27" borderId="18" xfId="0" applyFont="1" applyFill="1" applyBorder="1" applyAlignment="1">
      <alignment horizontal="center" vertical="center" wrapText="1"/>
    </xf>
    <xf numFmtId="9" fontId="15" fillId="0" borderId="0" xfId="88" applyFont="1" applyBorder="1" applyAlignment="1">
      <alignment horizontal="center"/>
    </xf>
    <xf numFmtId="0" fontId="15" fillId="0" borderId="15" xfId="88" applyNumberFormat="1" applyFont="1" applyFill="1" applyBorder="1" applyAlignment="1">
      <alignment horizontal="center"/>
    </xf>
    <xf numFmtId="0" fontId="0" fillId="48" borderId="18" xfId="0" applyFill="1" applyBorder="1" applyAlignment="1">
      <alignment horizontal="center" vertical="center"/>
    </xf>
    <xf numFmtId="0" fontId="0" fillId="0" borderId="184" xfId="0" applyBorder="1" applyAlignment="1">
      <alignment horizontal="left"/>
    </xf>
    <xf numFmtId="0" fontId="106" fillId="0" borderId="0" xfId="0" applyFont="1"/>
    <xf numFmtId="0" fontId="106" fillId="0" borderId="0" xfId="0" applyFont="1" applyFill="1"/>
    <xf numFmtId="0" fontId="0" fillId="0" borderId="184" xfId="0" applyBorder="1"/>
    <xf numFmtId="0" fontId="0" fillId="48" borderId="18" xfId="0" applyFill="1" applyBorder="1" applyAlignment="1">
      <alignment horizontal="center" vertical="center" wrapText="1"/>
    </xf>
    <xf numFmtId="0" fontId="0" fillId="0" borderId="185" xfId="0" applyBorder="1" applyAlignment="1">
      <alignment horizontal="center"/>
    </xf>
    <xf numFmtId="0" fontId="0" fillId="47" borderId="27" xfId="0" applyFill="1" applyBorder="1" applyAlignment="1">
      <alignment horizontal="center"/>
    </xf>
    <xf numFmtId="0" fontId="0" fillId="48" borderId="18" xfId="0" applyFill="1" applyBorder="1" applyAlignment="1">
      <alignment horizontal="center"/>
    </xf>
    <xf numFmtId="0" fontId="0" fillId="48" borderId="18" xfId="0" quotePrefix="1" applyFill="1" applyBorder="1" applyAlignment="1">
      <alignment horizontal="center"/>
    </xf>
    <xf numFmtId="0" fontId="0" fillId="0" borderId="186" xfId="0" applyBorder="1" applyAlignment="1">
      <alignment horizontal="center"/>
    </xf>
    <xf numFmtId="0" fontId="0" fillId="0" borderId="187" xfId="0" applyBorder="1" applyAlignment="1">
      <alignment horizontal="center"/>
    </xf>
    <xf numFmtId="0" fontId="0" fillId="0" borderId="188" xfId="0" applyBorder="1" applyAlignment="1">
      <alignment horizontal="center"/>
    </xf>
    <xf numFmtId="0" fontId="0" fillId="0" borderId="189" xfId="0" applyBorder="1" applyAlignment="1">
      <alignment horizontal="center"/>
    </xf>
    <xf numFmtId="0" fontId="0" fillId="0" borderId="0" xfId="0" applyAlignment="1">
      <alignment horizontal="center" vertical="center" wrapText="1"/>
    </xf>
    <xf numFmtId="0" fontId="0" fillId="0" borderId="15" xfId="0" applyBorder="1" applyAlignment="1">
      <alignment horizontal="center" vertical="center" wrapText="1"/>
    </xf>
    <xf numFmtId="0" fontId="0" fillId="47" borderId="27" xfId="0" applyNumberFormat="1" applyFill="1" applyBorder="1" applyAlignment="1">
      <alignment horizontal="center"/>
    </xf>
    <xf numFmtId="194" fontId="0" fillId="0" borderId="0" xfId="0" applyNumberFormat="1"/>
    <xf numFmtId="0" fontId="0" fillId="48" borderId="0" xfId="0" applyFill="1"/>
    <xf numFmtId="1" fontId="0" fillId="0" borderId="0" xfId="0" applyNumberFormat="1" applyBorder="1" applyAlignment="1">
      <alignment horizontal="center"/>
    </xf>
    <xf numFmtId="0" fontId="0" fillId="0" borderId="25" xfId="0" applyBorder="1" applyAlignment="1">
      <alignment horizontal="center"/>
    </xf>
    <xf numFmtId="0" fontId="0" fillId="0" borderId="183" xfId="0" applyFill="1" applyBorder="1"/>
    <xf numFmtId="0" fontId="0" fillId="47" borderId="20" xfId="0" applyNumberFormat="1" applyFill="1" applyBorder="1" applyAlignment="1">
      <alignment horizontal="center" vertical="center" wrapText="1"/>
    </xf>
    <xf numFmtId="2" fontId="0" fillId="0" borderId="16" xfId="0" applyNumberFormat="1" applyBorder="1" applyAlignment="1">
      <alignment horizontal="center"/>
    </xf>
    <xf numFmtId="2" fontId="0" fillId="0" borderId="15" xfId="0" applyNumberFormat="1" applyBorder="1"/>
    <xf numFmtId="0" fontId="0" fillId="47" borderId="15" xfId="0" applyNumberFormat="1" applyFill="1" applyBorder="1" applyAlignment="1">
      <alignment horizontal="center" vertical="center" wrapText="1"/>
    </xf>
    <xf numFmtId="0" fontId="0" fillId="47" borderId="15" xfId="0" applyFill="1" applyBorder="1"/>
    <xf numFmtId="17" fontId="0" fillId="0" borderId="15" xfId="0" applyNumberFormat="1" applyBorder="1" applyAlignment="1">
      <alignment horizontal="center"/>
    </xf>
    <xf numFmtId="0" fontId="0" fillId="0" borderId="0" xfId="0" applyAlignment="1"/>
    <xf numFmtId="0" fontId="107" fillId="0" borderId="0" xfId="0" applyFont="1"/>
    <xf numFmtId="0" fontId="0" fillId="0" borderId="0" xfId="0" applyAlignment="1">
      <alignment horizontal="left" indent="2"/>
    </xf>
    <xf numFmtId="17" fontId="0" fillId="48" borderId="15" xfId="0" applyNumberFormat="1" applyFill="1" applyBorder="1" applyAlignment="1">
      <alignment horizontal="center"/>
    </xf>
    <xf numFmtId="2" fontId="0" fillId="0" borderId="15" xfId="0" applyNumberFormat="1" applyBorder="1" applyAlignment="1">
      <alignment horizontal="center" vertical="center"/>
    </xf>
    <xf numFmtId="0" fontId="6" fillId="0" borderId="15" xfId="0" applyFont="1" applyBorder="1" applyAlignment="1">
      <alignment horizontal="center" wrapText="1"/>
    </xf>
    <xf numFmtId="2" fontId="15" fillId="0" borderId="0" xfId="0" applyNumberFormat="1" applyFont="1"/>
    <xf numFmtId="0" fontId="10" fillId="49" borderId="0" xfId="0" applyFont="1" applyFill="1"/>
    <xf numFmtId="0" fontId="86" fillId="49" borderId="0" xfId="0" applyFont="1" applyFill="1"/>
    <xf numFmtId="0" fontId="0" fillId="49" borderId="0" xfId="0" applyFill="1"/>
    <xf numFmtId="0" fontId="15" fillId="49" borderId="0" xfId="0" applyFont="1" applyFill="1"/>
    <xf numFmtId="1" fontId="10" fillId="0" borderId="15" xfId="0" applyNumberFormat="1" applyFont="1" applyBorder="1" applyAlignment="1">
      <alignment horizontal="center"/>
    </xf>
    <xf numFmtId="0" fontId="15" fillId="0" borderId="0" xfId="75"/>
    <xf numFmtId="0" fontId="15" fillId="0" borderId="0" xfId="75" applyAlignment="1">
      <alignment horizontal="center"/>
    </xf>
    <xf numFmtId="0" fontId="15" fillId="0" borderId="152" xfId="75" applyBorder="1"/>
    <xf numFmtId="0" fontId="15" fillId="0" borderId="153" xfId="75" applyBorder="1"/>
    <xf numFmtId="0" fontId="15" fillId="0" borderId="154" xfId="75" applyBorder="1"/>
    <xf numFmtId="0" fontId="15" fillId="0" borderId="155" xfId="75" applyBorder="1"/>
    <xf numFmtId="0" fontId="15" fillId="0" borderId="156" xfId="75" applyBorder="1"/>
    <xf numFmtId="0" fontId="15" fillId="0" borderId="157" xfId="75" applyBorder="1"/>
    <xf numFmtId="3" fontId="15" fillId="0" borderId="15" xfId="75" applyNumberFormat="1" applyBorder="1" applyAlignment="1">
      <alignment horizontal="center"/>
    </xf>
    <xf numFmtId="9" fontId="15" fillId="48" borderId="0" xfId="75" applyNumberFormat="1" applyFill="1" applyAlignment="1">
      <alignment horizontal="right"/>
    </xf>
    <xf numFmtId="9" fontId="15" fillId="0" borderId="0" xfId="75" applyNumberFormat="1" applyAlignment="1">
      <alignment horizontal="left"/>
    </xf>
    <xf numFmtId="3" fontId="15" fillId="0" borderId="15" xfId="75" applyNumberFormat="1" applyFill="1" applyBorder="1" applyAlignment="1">
      <alignment horizontal="center"/>
    </xf>
    <xf numFmtId="0" fontId="15" fillId="31" borderId="156" xfId="75" applyFont="1" applyFill="1" applyBorder="1"/>
    <xf numFmtId="0" fontId="15" fillId="31" borderId="157" xfId="75" applyFont="1" applyFill="1" applyBorder="1"/>
    <xf numFmtId="0" fontId="15" fillId="31" borderId="155" xfId="75" applyFont="1" applyFill="1" applyBorder="1"/>
    <xf numFmtId="0" fontId="15" fillId="31" borderId="155" xfId="75" applyFill="1" applyBorder="1"/>
    <xf numFmtId="0" fontId="15" fillId="31" borderId="156" xfId="75" applyFill="1" applyBorder="1"/>
    <xf numFmtId="0" fontId="15" fillId="31" borderId="157" xfId="75" applyFill="1" applyBorder="1"/>
    <xf numFmtId="0" fontId="15" fillId="0" borderId="157" xfId="75" applyFill="1" applyBorder="1"/>
    <xf numFmtId="9" fontId="15" fillId="0" borderId="0" xfId="75" applyNumberFormat="1" applyAlignment="1">
      <alignment horizontal="right"/>
    </xf>
    <xf numFmtId="0" fontId="15" fillId="33" borderId="156" xfId="75" applyFill="1" applyBorder="1"/>
    <xf numFmtId="0" fontId="15" fillId="33" borderId="157" xfId="75" applyFill="1" applyBorder="1"/>
    <xf numFmtId="0" fontId="15" fillId="33" borderId="155" xfId="75" applyFill="1" applyBorder="1"/>
    <xf numFmtId="0" fontId="15" fillId="42" borderId="156" xfId="75" applyFill="1" applyBorder="1"/>
    <xf numFmtId="0" fontId="15" fillId="42" borderId="157" xfId="75" applyFill="1" applyBorder="1"/>
    <xf numFmtId="0" fontId="15" fillId="42" borderId="155" xfId="75" applyFill="1" applyBorder="1"/>
    <xf numFmtId="9" fontId="15" fillId="48" borderId="0" xfId="75" applyNumberFormat="1" applyFill="1"/>
    <xf numFmtId="0" fontId="15" fillId="0" borderId="0" xfId="75" applyFont="1"/>
    <xf numFmtId="9" fontId="15" fillId="33" borderId="157" xfId="75" applyNumberFormat="1" applyFill="1" applyBorder="1"/>
    <xf numFmtId="9" fontId="15" fillId="33" borderId="155" xfId="75" applyNumberFormat="1" applyFill="1" applyBorder="1"/>
    <xf numFmtId="0" fontId="15" fillId="0" borderId="155" xfId="75" applyFill="1" applyBorder="1"/>
    <xf numFmtId="0" fontId="15" fillId="0" borderId="156" xfId="75" applyFill="1" applyBorder="1"/>
    <xf numFmtId="9" fontId="15" fillId="0" borderId="0" xfId="75" applyNumberFormat="1"/>
    <xf numFmtId="9" fontId="0" fillId="0" borderId="0" xfId="91" applyFont="1"/>
    <xf numFmtId="9" fontId="15" fillId="48" borderId="0" xfId="91" applyFont="1" applyFill="1"/>
    <xf numFmtId="3" fontId="15" fillId="49" borderId="15" xfId="75" applyNumberFormat="1" applyFill="1" applyBorder="1" applyAlignment="1">
      <alignment horizontal="center"/>
    </xf>
    <xf numFmtId="0" fontId="15" fillId="0" borderId="158" xfId="75" applyBorder="1"/>
    <xf numFmtId="0" fontId="15" fillId="0" borderId="159" xfId="75" applyBorder="1"/>
    <xf numFmtId="0" fontId="15" fillId="0" borderId="160" xfId="75" applyBorder="1"/>
    <xf numFmtId="0" fontId="15" fillId="0" borderId="158" xfId="75" applyFill="1" applyBorder="1"/>
    <xf numFmtId="0" fontId="15" fillId="0" borderId="159" xfId="75" applyFill="1" applyBorder="1"/>
    <xf numFmtId="0" fontId="15" fillId="33" borderId="159" xfId="75" applyFill="1" applyBorder="1"/>
    <xf numFmtId="0" fontId="15" fillId="33" borderId="160" xfId="75" applyFill="1" applyBorder="1"/>
    <xf numFmtId="0" fontId="15" fillId="33" borderId="158" xfId="75" applyFill="1" applyBorder="1"/>
    <xf numFmtId="0" fontId="15" fillId="0" borderId="15" xfId="75" applyBorder="1"/>
    <xf numFmtId="0" fontId="15" fillId="0" borderId="15" xfId="75" applyBorder="1" applyAlignment="1">
      <alignment horizontal="center"/>
    </xf>
    <xf numFmtId="166" fontId="15" fillId="0" borderId="0" xfId="75" applyNumberFormat="1" applyAlignment="1">
      <alignment horizontal="center"/>
    </xf>
    <xf numFmtId="0" fontId="15" fillId="49" borderId="0" xfId="75" applyFill="1"/>
    <xf numFmtId="3" fontId="15" fillId="0" borderId="0" xfId="75" applyNumberFormat="1"/>
    <xf numFmtId="9" fontId="15" fillId="0" borderId="15" xfId="98" applyFont="1" applyBorder="1" applyAlignment="1">
      <alignment horizontal="center"/>
    </xf>
    <xf numFmtId="9" fontId="15" fillId="0" borderId="16" xfId="98" applyFont="1" applyBorder="1" applyAlignment="1">
      <alignment horizontal="center"/>
    </xf>
    <xf numFmtId="9" fontId="15" fillId="0" borderId="185" xfId="98" applyFont="1" applyBorder="1" applyAlignment="1">
      <alignment horizontal="center"/>
    </xf>
    <xf numFmtId="9" fontId="15" fillId="0" borderId="187" xfId="98" applyFont="1" applyBorder="1" applyAlignment="1">
      <alignment horizontal="center"/>
    </xf>
    <xf numFmtId="9" fontId="15" fillId="0" borderId="190" xfId="98" applyFont="1" applyBorder="1" applyAlignment="1">
      <alignment horizontal="center"/>
    </xf>
    <xf numFmtId="9" fontId="15" fillId="0" borderId="191" xfId="98" applyFont="1" applyBorder="1" applyAlignment="1">
      <alignment horizontal="center"/>
    </xf>
    <xf numFmtId="9" fontId="15" fillId="0" borderId="186" xfId="98" applyFont="1" applyBorder="1" applyAlignment="1">
      <alignment horizontal="center"/>
    </xf>
    <xf numFmtId="9" fontId="15" fillId="0" borderId="184" xfId="98" applyFont="1" applyBorder="1" applyAlignment="1">
      <alignment horizontal="center"/>
    </xf>
    <xf numFmtId="9" fontId="15" fillId="0" borderId="188" xfId="98" applyFont="1" applyBorder="1" applyAlignment="1">
      <alignment horizontal="center"/>
    </xf>
    <xf numFmtId="9" fontId="15" fillId="0" borderId="189" xfId="98" applyFont="1" applyBorder="1" applyAlignment="1">
      <alignment horizontal="center"/>
    </xf>
    <xf numFmtId="9" fontId="15" fillId="0" borderId="192" xfId="98" applyFont="1" applyBorder="1" applyAlignment="1">
      <alignment horizontal="center"/>
    </xf>
    <xf numFmtId="9" fontId="106" fillId="0" borderId="15" xfId="98" applyFont="1" applyBorder="1" applyAlignment="1">
      <alignment horizontal="center"/>
    </xf>
    <xf numFmtId="9" fontId="106" fillId="0" borderId="186" xfId="98" applyFont="1" applyBorder="1" applyAlignment="1">
      <alignment horizontal="center"/>
    </xf>
    <xf numFmtId="9" fontId="106" fillId="0" borderId="188" xfId="98" applyFont="1" applyBorder="1" applyAlignment="1">
      <alignment horizontal="center"/>
    </xf>
    <xf numFmtId="9" fontId="106" fillId="0" borderId="189" xfId="98" applyFont="1" applyBorder="1" applyAlignment="1">
      <alignment horizontal="center"/>
    </xf>
    <xf numFmtId="9" fontId="15" fillId="0" borderId="193" xfId="98" applyFont="1" applyBorder="1" applyAlignment="1">
      <alignment horizontal="center"/>
    </xf>
    <xf numFmtId="1" fontId="0" fillId="50" borderId="15" xfId="0" applyNumberFormat="1" applyFill="1" applyBorder="1" applyAlignment="1">
      <alignment horizontal="center"/>
    </xf>
    <xf numFmtId="0" fontId="0" fillId="48" borderId="15" xfId="0" applyFill="1" applyBorder="1" applyAlignment="1">
      <alignment horizontal="center"/>
    </xf>
    <xf numFmtId="164" fontId="0" fillId="0" borderId="15" xfId="0" applyNumberFormat="1" applyBorder="1"/>
    <xf numFmtId="0" fontId="0" fillId="0" borderId="0" xfId="0" applyBorder="1" applyAlignment="1">
      <alignment horizontal="right"/>
    </xf>
    <xf numFmtId="10" fontId="1" fillId="0" borderId="0" xfId="88" applyNumberFormat="1" applyBorder="1" applyAlignment="1">
      <alignment horizontal="center"/>
    </xf>
    <xf numFmtId="164" fontId="0" fillId="0" borderId="32" xfId="0" applyNumberFormat="1" applyBorder="1"/>
    <xf numFmtId="164" fontId="0" fillId="0" borderId="142" xfId="0" applyNumberFormat="1" applyBorder="1"/>
    <xf numFmtId="0" fontId="3" fillId="24" borderId="79" xfId="0" applyFont="1" applyFill="1" applyBorder="1" applyAlignment="1">
      <alignment horizontal="right"/>
    </xf>
    <xf numFmtId="0" fontId="0" fillId="0" borderId="161" xfId="0" applyBorder="1" applyAlignment="1">
      <alignment horizontal="right"/>
    </xf>
    <xf numFmtId="0" fontId="0" fillId="0" borderId="162" xfId="0" applyBorder="1"/>
    <xf numFmtId="0" fontId="15" fillId="0" borderId="79" xfId="0" applyFont="1" applyBorder="1"/>
    <xf numFmtId="0" fontId="0" fillId="0" borderId="79" xfId="0" applyBorder="1" applyAlignment="1">
      <alignment horizontal="right"/>
    </xf>
    <xf numFmtId="0" fontId="0" fillId="0" borderId="124" xfId="0" applyBorder="1" applyAlignment="1">
      <alignment horizontal="right"/>
    </xf>
    <xf numFmtId="10" fontId="1" fillId="0" borderId="125" xfId="88" applyNumberFormat="1" applyBorder="1" applyAlignment="1">
      <alignment horizontal="center"/>
    </xf>
    <xf numFmtId="164" fontId="3" fillId="24" borderId="79" xfId="0" applyNumberFormat="1" applyFont="1" applyFill="1" applyBorder="1" applyAlignment="1">
      <alignment horizontal="center"/>
    </xf>
    <xf numFmtId="164" fontId="3" fillId="24" borderId="119" xfId="0" applyNumberFormat="1" applyFont="1" applyFill="1" applyBorder="1" applyAlignment="1">
      <alignment horizontal="center"/>
    </xf>
    <xf numFmtId="164" fontId="3" fillId="24" borderId="0" xfId="0" applyNumberFormat="1" applyFont="1" applyFill="1" applyBorder="1" applyAlignment="1">
      <alignment horizontal="center"/>
    </xf>
    <xf numFmtId="164" fontId="0" fillId="0" borderId="162" xfId="0" applyNumberFormat="1" applyBorder="1"/>
    <xf numFmtId="164" fontId="0" fillId="0" borderId="79" xfId="0" applyNumberFormat="1" applyBorder="1" applyAlignment="1">
      <alignment horizontal="center"/>
    </xf>
    <xf numFmtId="164" fontId="0" fillId="0" borderId="79" xfId="0" applyNumberFormat="1" applyBorder="1"/>
    <xf numFmtId="165" fontId="1" fillId="0" borderId="79" xfId="0" applyNumberFormat="1" applyFont="1" applyBorder="1" applyAlignment="1">
      <alignment horizontal="center"/>
    </xf>
    <xf numFmtId="3" fontId="0" fillId="0" borderId="79" xfId="0" applyNumberFormat="1" applyBorder="1" applyAlignment="1">
      <alignment horizontal="center"/>
    </xf>
    <xf numFmtId="164" fontId="0" fillId="0" borderId="123" xfId="0" applyNumberFormat="1" applyBorder="1"/>
    <xf numFmtId="3" fontId="3" fillId="24" borderId="79" xfId="88" applyNumberFormat="1" applyFont="1" applyFill="1" applyBorder="1" applyAlignment="1">
      <alignment horizontal="center"/>
    </xf>
    <xf numFmtId="10" fontId="1" fillId="0" borderId="161" xfId="88" applyNumberFormat="1" applyBorder="1" applyAlignment="1">
      <alignment horizontal="center"/>
    </xf>
    <xf numFmtId="164" fontId="0" fillId="0" borderId="79" xfId="0" applyNumberFormat="1" applyFill="1" applyBorder="1" applyAlignment="1">
      <alignment horizontal="center"/>
    </xf>
    <xf numFmtId="3" fontId="5" fillId="0" borderId="79" xfId="88" applyNumberFormat="1" applyFont="1" applyBorder="1" applyAlignment="1">
      <alignment horizontal="center"/>
    </xf>
    <xf numFmtId="10" fontId="1" fillId="0" borderId="79" xfId="88" applyNumberFormat="1" applyBorder="1" applyAlignment="1">
      <alignment horizontal="center"/>
    </xf>
    <xf numFmtId="164" fontId="0" fillId="0" borderId="162" xfId="0" applyNumberFormat="1" applyBorder="1" applyAlignment="1">
      <alignment horizontal="center"/>
    </xf>
    <xf numFmtId="10" fontId="1" fillId="0" borderId="124" xfId="88" applyNumberFormat="1" applyBorder="1" applyAlignment="1">
      <alignment horizontal="center"/>
    </xf>
    <xf numFmtId="165" fontId="1" fillId="0" borderId="119" xfId="0" applyNumberFormat="1" applyFont="1" applyBorder="1" applyAlignment="1">
      <alignment horizontal="center"/>
    </xf>
    <xf numFmtId="3" fontId="0" fillId="0" borderId="119" xfId="0" applyNumberFormat="1" applyBorder="1" applyAlignment="1">
      <alignment horizontal="center"/>
    </xf>
    <xf numFmtId="3" fontId="3" fillId="24" borderId="119" xfId="88" applyNumberFormat="1" applyFont="1" applyFill="1" applyBorder="1" applyAlignment="1">
      <alignment horizontal="center"/>
    </xf>
    <xf numFmtId="164" fontId="0" fillId="0" borderId="119" xfId="0" applyNumberFormat="1" applyFill="1" applyBorder="1" applyAlignment="1">
      <alignment horizontal="center"/>
    </xf>
    <xf numFmtId="3" fontId="5" fillId="0" borderId="119" xfId="88" applyNumberFormat="1" applyFont="1" applyBorder="1" applyAlignment="1">
      <alignment horizontal="center"/>
    </xf>
    <xf numFmtId="10" fontId="1" fillId="0" borderId="119" xfId="88" applyNumberFormat="1" applyBorder="1" applyAlignment="1">
      <alignment horizontal="center"/>
    </xf>
    <xf numFmtId="164" fontId="0" fillId="0" borderId="118" xfId="0" applyNumberFormat="1" applyBorder="1" applyAlignment="1">
      <alignment horizontal="center"/>
    </xf>
    <xf numFmtId="10" fontId="1" fillId="0" borderId="143" xfId="88" applyNumberFormat="1" applyBorder="1" applyAlignment="1">
      <alignment horizontal="center"/>
    </xf>
    <xf numFmtId="164" fontId="0" fillId="0" borderId="15" xfId="0" applyNumberFormat="1" applyBorder="1" applyAlignment="1">
      <alignment horizontal="center" vertical="center"/>
    </xf>
    <xf numFmtId="0" fontId="0" fillId="0" borderId="15" xfId="0" applyBorder="1" applyAlignment="1">
      <alignment horizontal="left" vertical="center"/>
    </xf>
    <xf numFmtId="0" fontId="106" fillId="0" borderId="185" xfId="0" applyFont="1" applyBorder="1" applyAlignment="1">
      <alignment horizontal="center"/>
    </xf>
    <xf numFmtId="0" fontId="106" fillId="0" borderId="187" xfId="0" applyFont="1" applyBorder="1" applyAlignment="1">
      <alignment horizontal="center"/>
    </xf>
    <xf numFmtId="0" fontId="106" fillId="0" borderId="187" xfId="0" applyFont="1" applyBorder="1" applyAlignment="1">
      <alignment horizontal="center" vertical="center"/>
    </xf>
    <xf numFmtId="0" fontId="106" fillId="0" borderId="191" xfId="0" applyFont="1" applyBorder="1" applyAlignment="1">
      <alignment horizontal="center" vertical="center"/>
    </xf>
    <xf numFmtId="0" fontId="106" fillId="0" borderId="186" xfId="0" applyFont="1" applyBorder="1" applyAlignment="1">
      <alignment horizontal="center"/>
    </xf>
    <xf numFmtId="0" fontId="106" fillId="0" borderId="15" xfId="0" applyFont="1" applyBorder="1" applyAlignment="1">
      <alignment horizontal="center"/>
    </xf>
    <xf numFmtId="0" fontId="106" fillId="0" borderId="15" xfId="0" applyFont="1" applyBorder="1" applyAlignment="1">
      <alignment horizontal="center" vertical="center"/>
    </xf>
    <xf numFmtId="0" fontId="106" fillId="0" borderId="184" xfId="0" applyFont="1" applyBorder="1" applyAlignment="1">
      <alignment horizontal="center" vertical="center"/>
    </xf>
    <xf numFmtId="0" fontId="106" fillId="0" borderId="15" xfId="0" applyFont="1" applyFill="1" applyBorder="1" applyAlignment="1">
      <alignment horizontal="center"/>
    </xf>
    <xf numFmtId="9" fontId="15" fillId="0" borderId="194" xfId="0" applyNumberFormat="1" applyFont="1" applyFill="1" applyBorder="1" applyAlignment="1">
      <alignment horizontal="center" wrapText="1"/>
    </xf>
    <xf numFmtId="0" fontId="15" fillId="0" borderId="18" xfId="0" applyFont="1" applyFill="1" applyBorder="1" applyAlignment="1">
      <alignment horizontal="center" wrapText="1"/>
    </xf>
    <xf numFmtId="0" fontId="106" fillId="0" borderId="16" xfId="0" applyFont="1" applyFill="1" applyBorder="1" applyAlignment="1">
      <alignment horizontal="center" wrapText="1"/>
    </xf>
    <xf numFmtId="0" fontId="15" fillId="0" borderId="16" xfId="0" applyFont="1" applyFill="1" applyBorder="1" applyAlignment="1">
      <alignment horizontal="center" wrapText="1"/>
    </xf>
    <xf numFmtId="0" fontId="15" fillId="0" borderId="16" xfId="0" applyFont="1" applyFill="1" applyBorder="1" applyAlignment="1">
      <alignment horizontal="center" vertical="center" wrapText="1"/>
    </xf>
    <xf numFmtId="0" fontId="106" fillId="0" borderId="15" xfId="0" applyFont="1" applyFill="1" applyBorder="1" applyAlignment="1">
      <alignment horizontal="center" vertical="center"/>
    </xf>
    <xf numFmtId="0" fontId="106" fillId="0" borderId="184" xfId="0" applyFont="1" applyFill="1" applyBorder="1" applyAlignment="1">
      <alignment horizontal="center" vertical="center"/>
    </xf>
    <xf numFmtId="0" fontId="106" fillId="0" borderId="189" xfId="0" applyFont="1" applyBorder="1" applyAlignment="1">
      <alignment horizontal="center"/>
    </xf>
    <xf numFmtId="0" fontId="106" fillId="0" borderId="189" xfId="0" applyFont="1" applyBorder="1" applyAlignment="1">
      <alignment horizontal="center" vertical="center"/>
    </xf>
    <xf numFmtId="0" fontId="106" fillId="0" borderId="192" xfId="0" applyFont="1" applyBorder="1" applyAlignment="1">
      <alignment horizontal="center" vertical="center"/>
    </xf>
    <xf numFmtId="0" fontId="0" fillId="0" borderId="191" xfId="0" applyBorder="1" applyAlignment="1">
      <alignment horizontal="center"/>
    </xf>
    <xf numFmtId="0" fontId="0" fillId="0" borderId="184" xfId="0" applyBorder="1" applyAlignment="1">
      <alignment horizontal="center"/>
    </xf>
    <xf numFmtId="0" fontId="0" fillId="47" borderId="184" xfId="0" applyFill="1" applyBorder="1" applyAlignment="1">
      <alignment horizontal="center"/>
    </xf>
    <xf numFmtId="0" fontId="0" fillId="0" borderId="192" xfId="0" applyBorder="1" applyAlignment="1">
      <alignment horizontal="center"/>
    </xf>
    <xf numFmtId="0" fontId="0" fillId="0" borderId="195" xfId="0" applyBorder="1" applyAlignment="1">
      <alignment horizontal="center"/>
    </xf>
    <xf numFmtId="0" fontId="0" fillId="0" borderId="196" xfId="0" applyBorder="1" applyAlignment="1">
      <alignment horizontal="center"/>
    </xf>
    <xf numFmtId="0" fontId="0" fillId="47" borderId="196" xfId="0" applyFill="1" applyBorder="1" applyAlignment="1">
      <alignment horizontal="center"/>
    </xf>
    <xf numFmtId="0" fontId="0" fillId="0" borderId="197" xfId="0" applyBorder="1" applyAlignment="1">
      <alignment horizontal="center"/>
    </xf>
    <xf numFmtId="0" fontId="15" fillId="0" borderId="0" xfId="0" applyFont="1" applyBorder="1" applyAlignment="1">
      <alignment horizontal="center"/>
    </xf>
    <xf numFmtId="0" fontId="86" fillId="0" borderId="0" xfId="0" applyFont="1" applyFill="1" applyBorder="1"/>
    <xf numFmtId="0" fontId="0" fillId="0" borderId="0" xfId="0" applyFill="1" applyBorder="1" applyAlignment="1">
      <alignment horizontal="center"/>
    </xf>
    <xf numFmtId="3" fontId="0" fillId="0" borderId="0" xfId="0" applyNumberFormat="1" applyBorder="1" applyAlignment="1">
      <alignment horizontal="center"/>
    </xf>
    <xf numFmtId="3" fontId="10" fillId="0" borderId="0" xfId="0" applyNumberFormat="1" applyFont="1" applyBorder="1" applyAlignment="1">
      <alignment horizontal="center"/>
    </xf>
    <xf numFmtId="195" fontId="0" fillId="0" borderId="0" xfId="0" applyNumberFormat="1"/>
    <xf numFmtId="2" fontId="0" fillId="50" borderId="141" xfId="0" applyNumberFormat="1" applyFill="1" applyBorder="1" applyAlignment="1">
      <alignment horizontal="center"/>
    </xf>
    <xf numFmtId="2" fontId="0" fillId="50" borderId="69" xfId="0" applyNumberFormat="1" applyFill="1" applyBorder="1" applyAlignment="1">
      <alignment horizontal="center"/>
    </xf>
    <xf numFmtId="0" fontId="0" fillId="48" borderId="18" xfId="0" applyFill="1" applyBorder="1" applyAlignment="1">
      <alignment horizontal="center" vertical="center" wrapText="1"/>
    </xf>
    <xf numFmtId="0" fontId="0" fillId="48" borderId="31" xfId="0" applyFont="1" applyFill="1" applyBorder="1" applyAlignment="1">
      <alignment horizontal="center" vertical="center" wrapText="1"/>
    </xf>
    <xf numFmtId="0" fontId="15" fillId="48" borderId="31" xfId="0" applyFont="1" applyFill="1" applyBorder="1" applyAlignment="1">
      <alignment horizontal="center" vertical="center" wrapText="1"/>
    </xf>
    <xf numFmtId="2" fontId="0" fillId="0" borderId="195" xfId="0" applyNumberFormat="1" applyBorder="1" applyAlignment="1">
      <alignment horizontal="center"/>
    </xf>
    <xf numFmtId="2" fontId="0" fillId="0" borderId="196" xfId="0" applyNumberFormat="1" applyBorder="1" applyAlignment="1">
      <alignment horizontal="center"/>
    </xf>
    <xf numFmtId="2" fontId="0" fillId="0" borderId="197" xfId="0" applyNumberFormat="1" applyBorder="1" applyAlignment="1">
      <alignment horizontal="center"/>
    </xf>
    <xf numFmtId="0" fontId="106" fillId="0" borderId="191" xfId="0" applyFont="1" applyBorder="1" applyAlignment="1">
      <alignment horizontal="center"/>
    </xf>
    <xf numFmtId="0" fontId="106" fillId="0" borderId="184" xfId="0" applyFont="1" applyBorder="1" applyAlignment="1">
      <alignment horizontal="center"/>
    </xf>
    <xf numFmtId="0" fontId="106" fillId="0" borderId="0" xfId="0" applyFont="1" applyAlignment="1">
      <alignment horizontal="center"/>
    </xf>
    <xf numFmtId="9" fontId="15" fillId="0" borderId="15" xfId="88" applyFont="1" applyBorder="1" applyAlignment="1">
      <alignment horizontal="center"/>
    </xf>
    <xf numFmtId="2" fontId="0" fillId="46" borderId="187" xfId="0" applyNumberFormat="1" applyFill="1" applyBorder="1" applyAlignment="1">
      <alignment horizontal="center"/>
    </xf>
    <xf numFmtId="2" fontId="0" fillId="46" borderId="15" xfId="0" applyNumberFormat="1" applyFill="1" applyBorder="1" applyAlignment="1">
      <alignment horizontal="center"/>
    </xf>
    <xf numFmtId="0" fontId="0" fillId="46" borderId="15" xfId="0" applyFill="1" applyBorder="1"/>
    <xf numFmtId="0" fontId="0" fillId="26" borderId="16" xfId="0" applyFill="1" applyBorder="1" applyAlignment="1">
      <alignment horizontal="center"/>
    </xf>
    <xf numFmtId="3" fontId="34" fillId="0" borderId="15" xfId="83" applyNumberFormat="1" applyFont="1" applyBorder="1" applyAlignment="1">
      <alignment horizontal="center"/>
    </xf>
    <xf numFmtId="4" fontId="34" fillId="46" borderId="0" xfId="83" applyNumberFormat="1" applyFont="1" applyFill="1" applyAlignment="1">
      <alignment horizontal="center"/>
    </xf>
    <xf numFmtId="3" fontId="34" fillId="46" borderId="0" xfId="83" applyNumberFormat="1" applyFont="1" applyFill="1" applyAlignment="1">
      <alignment horizontal="center"/>
    </xf>
    <xf numFmtId="0" fontId="15" fillId="0" borderId="79" xfId="0" applyFont="1" applyBorder="1" applyAlignment="1">
      <alignment horizontal="left" indent="7"/>
    </xf>
    <xf numFmtId="3" fontId="0" fillId="46" borderId="15" xfId="0" applyNumberFormat="1" applyFill="1" applyBorder="1" applyAlignment="1">
      <alignment horizontal="center"/>
    </xf>
    <xf numFmtId="0" fontId="0" fillId="49" borderId="15" xfId="0" applyFill="1" applyBorder="1" applyAlignment="1">
      <alignment horizontal="center"/>
    </xf>
    <xf numFmtId="0" fontId="108" fillId="51" borderId="198" xfId="0" applyFont="1" applyFill="1" applyBorder="1"/>
    <xf numFmtId="0" fontId="15" fillId="0" borderId="0" xfId="0" applyFont="1" applyAlignment="1">
      <alignment horizontal="left"/>
    </xf>
    <xf numFmtId="4" fontId="109" fillId="0" borderId="0" xfId="0" applyNumberFormat="1" applyFont="1"/>
    <xf numFmtId="0" fontId="108" fillId="51" borderId="199" xfId="0" applyFont="1" applyFill="1" applyBorder="1" applyAlignment="1">
      <alignment horizontal="left"/>
    </xf>
    <xf numFmtId="3" fontId="108" fillId="51" borderId="199" xfId="0" applyNumberFormat="1" applyFont="1" applyFill="1" applyBorder="1"/>
    <xf numFmtId="168" fontId="106" fillId="0" borderId="186" xfId="98" applyNumberFormat="1" applyFont="1" applyBorder="1" applyAlignment="1">
      <alignment horizontal="center"/>
    </xf>
    <xf numFmtId="168" fontId="106" fillId="0" borderId="15" xfId="98" applyNumberFormat="1" applyFont="1" applyBorder="1" applyAlignment="1">
      <alignment horizontal="center"/>
    </xf>
    <xf numFmtId="184" fontId="0" fillId="0" borderId="0" xfId="62" applyNumberFormat="1" applyFont="1"/>
    <xf numFmtId="184" fontId="0" fillId="0" borderId="0" xfId="62" applyNumberFormat="1" applyFont="1" applyAlignment="1">
      <alignment horizontal="center"/>
    </xf>
    <xf numFmtId="0" fontId="36" fillId="0" borderId="79" xfId="83" applyFont="1" applyFill="1" applyBorder="1"/>
    <xf numFmtId="3" fontId="34" fillId="0" borderId="0" xfId="83" applyNumberFormat="1" applyFont="1" applyFill="1" applyBorder="1"/>
    <xf numFmtId="0" fontId="0" fillId="49" borderId="0" xfId="0" applyFill="1" applyAlignment="1">
      <alignment vertical="center" wrapText="1"/>
    </xf>
    <xf numFmtId="0" fontId="10" fillId="0" borderId="15" xfId="0" applyFont="1" applyBorder="1" applyAlignment="1">
      <alignment horizontal="center"/>
    </xf>
    <xf numFmtId="3" fontId="10" fillId="0" borderId="99" xfId="0" applyNumberFormat="1" applyFont="1" applyBorder="1" applyAlignment="1">
      <alignment horizontal="center"/>
    </xf>
    <xf numFmtId="180" fontId="56" fillId="47" borderId="0" xfId="83" applyNumberFormat="1" applyFont="1" applyFill="1"/>
    <xf numFmtId="0" fontId="56" fillId="47" borderId="0" xfId="83" applyFont="1" applyFill="1"/>
    <xf numFmtId="3" fontId="31" fillId="47" borderId="0" xfId="83" applyNumberFormat="1" applyFill="1"/>
    <xf numFmtId="0" fontId="0" fillId="49" borderId="15" xfId="0" applyFill="1" applyBorder="1" applyAlignment="1">
      <alignment horizontal="center"/>
    </xf>
    <xf numFmtId="0" fontId="1" fillId="0" borderId="0" xfId="88" applyNumberFormat="1" applyBorder="1" applyAlignment="1">
      <alignment horizontal="center"/>
    </xf>
    <xf numFmtId="9" fontId="0" fillId="0" borderId="0" xfId="88" applyFont="1"/>
    <xf numFmtId="166" fontId="10" fillId="0" borderId="0" xfId="0" applyNumberFormat="1" applyFont="1" applyFill="1" applyBorder="1"/>
    <xf numFmtId="0" fontId="0" fillId="0" borderId="0" xfId="0" applyFont="1" applyFill="1" applyBorder="1"/>
    <xf numFmtId="0" fontId="10" fillId="0" borderId="32" xfId="0" applyFont="1" applyBorder="1"/>
    <xf numFmtId="0" fontId="0" fillId="0" borderId="13" xfId="0" applyBorder="1"/>
    <xf numFmtId="0" fontId="0" fillId="0" borderId="125" xfId="0" applyBorder="1"/>
    <xf numFmtId="2" fontId="0" fillId="0" borderId="13" xfId="0" applyNumberFormat="1" applyBorder="1"/>
    <xf numFmtId="9" fontId="0" fillId="0" borderId="13" xfId="88" applyFont="1" applyBorder="1"/>
    <xf numFmtId="0" fontId="10" fillId="0" borderId="123" xfId="0" applyFont="1" applyBorder="1"/>
    <xf numFmtId="2" fontId="0" fillId="0" borderId="79" xfId="0" applyNumberFormat="1" applyBorder="1"/>
    <xf numFmtId="9" fontId="0" fillId="0" borderId="79" xfId="88" applyFont="1" applyBorder="1"/>
    <xf numFmtId="0" fontId="0" fillId="0" borderId="33" xfId="0" applyBorder="1"/>
    <xf numFmtId="9" fontId="0" fillId="0" borderId="119" xfId="88" applyFont="1" applyBorder="1"/>
    <xf numFmtId="0" fontId="10" fillId="0" borderId="72" xfId="0" applyFont="1" applyBorder="1"/>
    <xf numFmtId="9" fontId="10" fillId="0" borderId="72" xfId="88" applyFont="1" applyBorder="1"/>
    <xf numFmtId="0" fontId="0" fillId="53" borderId="13" xfId="0" applyFill="1" applyBorder="1"/>
    <xf numFmtId="2" fontId="0" fillId="53" borderId="79" xfId="0" applyNumberFormat="1" applyFill="1" applyBorder="1"/>
    <xf numFmtId="2" fontId="10" fillId="53" borderId="72" xfId="0" applyNumberFormat="1" applyFont="1" applyFill="1" applyBorder="1"/>
    <xf numFmtId="2" fontId="0" fillId="53" borderId="119" xfId="0" applyNumberFormat="1" applyFill="1" applyBorder="1"/>
    <xf numFmtId="2" fontId="10" fillId="54" borderId="125" xfId="0" applyNumberFormat="1" applyFont="1" applyFill="1" applyBorder="1"/>
    <xf numFmtId="0" fontId="0" fillId="54" borderId="124" xfId="0" applyFill="1" applyBorder="1"/>
    <xf numFmtId="2" fontId="0" fillId="54" borderId="124" xfId="0" applyNumberFormat="1" applyFill="1" applyBorder="1"/>
    <xf numFmtId="2" fontId="10" fillId="54" borderId="201" xfId="0" applyNumberFormat="1" applyFont="1" applyFill="1" applyBorder="1"/>
    <xf numFmtId="2" fontId="0" fillId="54" borderId="143" xfId="0" applyNumberFormat="1" applyFill="1" applyBorder="1"/>
    <xf numFmtId="0" fontId="15" fillId="0" borderId="0" xfId="0" applyFont="1" applyFill="1" applyBorder="1"/>
    <xf numFmtId="3" fontId="44" fillId="0" borderId="0" xfId="85" applyNumberFormat="1" applyFont="1" applyAlignment="1">
      <alignment horizontal="center"/>
    </xf>
    <xf numFmtId="0" fontId="10" fillId="0" borderId="94" xfId="0" applyFont="1" applyBorder="1" applyAlignment="1">
      <alignment horizontal="center" wrapText="1"/>
    </xf>
    <xf numFmtId="0" fontId="10" fillId="0" borderId="95" xfId="0" applyFont="1" applyBorder="1" applyAlignment="1">
      <alignment horizontal="center"/>
    </xf>
    <xf numFmtId="0" fontId="10" fillId="0" borderId="200" xfId="0" applyFont="1" applyBorder="1" applyAlignment="1">
      <alignment horizontal="center"/>
    </xf>
    <xf numFmtId="0" fontId="10" fillId="0" borderId="95" xfId="0" applyFont="1" applyBorder="1" applyAlignment="1">
      <alignment horizontal="center" wrapText="1"/>
    </xf>
    <xf numFmtId="0" fontId="10" fillId="0" borderId="200" xfId="0" applyFont="1" applyBorder="1" applyAlignment="1">
      <alignment horizontal="center" wrapText="1"/>
    </xf>
    <xf numFmtId="0" fontId="0" fillId="0" borderId="16" xfId="0" applyBorder="1" applyAlignment="1">
      <alignment horizontal="center"/>
    </xf>
    <xf numFmtId="0" fontId="0" fillId="0" borderId="17" xfId="0" applyBorder="1" applyAlignment="1">
      <alignment horizontal="center"/>
    </xf>
    <xf numFmtId="0" fontId="0" fillId="0" borderId="27" xfId="0" applyBorder="1" applyAlignment="1">
      <alignment horizontal="center"/>
    </xf>
    <xf numFmtId="0" fontId="0" fillId="0" borderId="15" xfId="0" applyBorder="1" applyAlignment="1">
      <alignment horizontal="center"/>
    </xf>
    <xf numFmtId="1" fontId="0" fillId="0" borderId="15" xfId="0" applyNumberFormat="1" applyBorder="1" applyAlignment="1">
      <alignment horizontal="center"/>
    </xf>
    <xf numFmtId="0" fontId="79" fillId="0" borderId="0" xfId="0" applyFont="1" applyFill="1" applyBorder="1" applyAlignment="1" applyProtection="1">
      <protection hidden="1"/>
    </xf>
    <xf numFmtId="0" fontId="76" fillId="26" borderId="0" xfId="0" applyFont="1" applyFill="1" applyBorder="1" applyAlignment="1" applyProtection="1">
      <alignment horizontal="center"/>
      <protection hidden="1"/>
    </xf>
    <xf numFmtId="0" fontId="82" fillId="41" borderId="137" xfId="0" applyFont="1" applyFill="1" applyBorder="1" applyAlignment="1" applyProtection="1">
      <protection hidden="1"/>
    </xf>
    <xf numFmtId="0" fontId="82" fillId="41" borderId="164" xfId="0" quotePrefix="1" applyFont="1" applyFill="1" applyBorder="1" applyAlignment="1" applyProtection="1">
      <protection hidden="1"/>
    </xf>
    <xf numFmtId="0" fontId="82" fillId="41" borderId="165" xfId="0" quotePrefix="1" applyFont="1" applyFill="1" applyBorder="1" applyAlignment="1" applyProtection="1">
      <protection hidden="1"/>
    </xf>
    <xf numFmtId="0" fontId="82" fillId="41" borderId="138" xfId="0" applyFont="1" applyFill="1" applyBorder="1" applyAlignment="1" applyProtection="1">
      <protection hidden="1"/>
    </xf>
    <xf numFmtId="0" fontId="82" fillId="41" borderId="164" xfId="0" applyFont="1" applyFill="1" applyBorder="1" applyAlignment="1" applyProtection="1">
      <protection hidden="1"/>
    </xf>
    <xf numFmtId="0" fontId="82" fillId="41" borderId="165" xfId="0" applyFont="1" applyFill="1" applyBorder="1" applyAlignment="1" applyProtection="1">
      <protection hidden="1"/>
    </xf>
    <xf numFmtId="0" fontId="80" fillId="41" borderId="137" xfId="0" applyFont="1" applyFill="1" applyBorder="1" applyAlignment="1" applyProtection="1">
      <protection hidden="1"/>
    </xf>
    <xf numFmtId="0" fontId="80" fillId="41" borderId="164" xfId="0" applyFont="1" applyFill="1" applyBorder="1" applyAlignment="1" applyProtection="1">
      <protection hidden="1"/>
    </xf>
    <xf numFmtId="0" fontId="80" fillId="41" borderId="165" xfId="0" applyFont="1" applyFill="1" applyBorder="1" applyAlignment="1" applyProtection="1">
      <protection hidden="1"/>
    </xf>
    <xf numFmtId="0" fontId="82" fillId="41" borderId="138" xfId="0" quotePrefix="1" applyFont="1" applyFill="1" applyBorder="1" applyAlignment="1" applyProtection="1">
      <protection hidden="1"/>
    </xf>
    <xf numFmtId="0" fontId="79" fillId="0" borderId="163" xfId="0" applyFont="1" applyFill="1" applyBorder="1" applyAlignment="1" applyProtection="1">
      <alignment horizontal="left"/>
      <protection hidden="1"/>
    </xf>
    <xf numFmtId="4" fontId="77" fillId="26" borderId="0" xfId="0" applyNumberFormat="1" applyFont="1" applyFill="1" applyBorder="1" applyAlignment="1" applyProtection="1">
      <alignment horizontal="center" vertical="top"/>
      <protection hidden="1"/>
    </xf>
    <xf numFmtId="4" fontId="2" fillId="26" borderId="0" xfId="61" applyNumberFormat="1" applyFill="1" applyBorder="1" applyAlignment="1" applyProtection="1">
      <alignment horizontal="center" vertical="top"/>
      <protection hidden="1"/>
    </xf>
    <xf numFmtId="0" fontId="0" fillId="0" borderId="15" xfId="0" applyBorder="1" applyAlignment="1">
      <alignment vertical="center"/>
    </xf>
    <xf numFmtId="0" fontId="0" fillId="0" borderId="16" xfId="0" applyBorder="1" applyAlignment="1">
      <alignment vertical="center"/>
    </xf>
    <xf numFmtId="0" fontId="0" fillId="32" borderId="22" xfId="0" applyFill="1" applyBorder="1" applyAlignment="1">
      <alignment horizontal="center" vertical="center" wrapText="1"/>
    </xf>
    <xf numFmtId="0" fontId="0" fillId="32" borderId="29" xfId="0" applyFill="1" applyBorder="1" applyAlignment="1">
      <alignment horizontal="center" vertical="center" wrapText="1"/>
    </xf>
    <xf numFmtId="0" fontId="0" fillId="27" borderId="15" xfId="0" applyFill="1" applyBorder="1" applyAlignment="1">
      <alignment vertical="center"/>
    </xf>
    <xf numFmtId="0" fontId="1" fillId="27" borderId="15" xfId="0" applyFont="1" applyFill="1" applyBorder="1" applyAlignment="1">
      <alignment horizontal="center" vertical="center" wrapText="1"/>
    </xf>
    <xf numFmtId="0" fontId="1" fillId="27" borderId="15" xfId="0" applyFont="1" applyFill="1" applyBorder="1" applyAlignment="1">
      <alignment horizontal="center" wrapText="1"/>
    </xf>
    <xf numFmtId="0" fontId="0" fillId="27" borderId="31" xfId="0" applyFill="1" applyBorder="1" applyAlignment="1">
      <alignment horizontal="left" vertical="center" wrapText="1"/>
    </xf>
    <xf numFmtId="0" fontId="0" fillId="27" borderId="19" xfId="0" applyFill="1" applyBorder="1" applyAlignment="1">
      <alignment horizontal="left" vertical="center" wrapText="1"/>
    </xf>
    <xf numFmtId="0" fontId="0" fillId="27" borderId="71" xfId="0" applyFill="1" applyBorder="1" applyAlignment="1">
      <alignment horizontal="left" vertical="center" wrapText="1"/>
    </xf>
    <xf numFmtId="0" fontId="0" fillId="27" borderId="26" xfId="0" applyFill="1" applyBorder="1" applyAlignment="1">
      <alignment horizontal="left" vertical="center" wrapText="1"/>
    </xf>
    <xf numFmtId="0" fontId="0" fillId="27" borderId="0" xfId="0" applyFill="1" applyBorder="1" applyAlignment="1">
      <alignment horizontal="left" vertical="center" wrapText="1"/>
    </xf>
    <xf numFmtId="0" fontId="0" fillId="27" borderId="25" xfId="0" applyFill="1" applyBorder="1" applyAlignment="1">
      <alignment horizontal="left" vertical="center" wrapText="1"/>
    </xf>
    <xf numFmtId="0" fontId="0" fillId="27" borderId="22" xfId="0" applyFill="1" applyBorder="1" applyAlignment="1">
      <alignment horizontal="left" vertical="center" wrapText="1"/>
    </xf>
    <xf numFmtId="0" fontId="0" fillId="27" borderId="29" xfId="0" applyFill="1" applyBorder="1" applyAlignment="1">
      <alignment horizontal="left" vertical="center" wrapText="1"/>
    </xf>
    <xf numFmtId="0" fontId="0" fillId="27" borderId="30" xfId="0" applyFill="1" applyBorder="1" applyAlignment="1">
      <alignment horizontal="left" vertical="center" wrapText="1"/>
    </xf>
    <xf numFmtId="0" fontId="1" fillId="27" borderId="27" xfId="0" applyFont="1" applyFill="1" applyBorder="1" applyAlignment="1">
      <alignment horizontal="center" vertical="center" wrapText="1"/>
    </xf>
    <xf numFmtId="0" fontId="0" fillId="27" borderId="15" xfId="0" applyFont="1" applyFill="1" applyBorder="1" applyAlignment="1">
      <alignment horizontal="center" vertical="center" wrapText="1"/>
    </xf>
    <xf numFmtId="0" fontId="8" fillId="0" borderId="0" xfId="0" applyFont="1" applyAlignment="1">
      <alignment vertical="center"/>
    </xf>
    <xf numFmtId="0" fontId="0" fillId="0" borderId="128" xfId="0" applyBorder="1" applyAlignment="1">
      <alignment horizontal="center" vertical="center" wrapText="1"/>
    </xf>
    <xf numFmtId="0" fontId="0" fillId="0" borderId="27" xfId="0" applyBorder="1" applyAlignment="1">
      <alignment vertical="center" wrapText="1"/>
    </xf>
    <xf numFmtId="0" fontId="0" fillId="0" borderId="128" xfId="0" applyBorder="1" applyAlignment="1">
      <alignment horizontal="center"/>
    </xf>
    <xf numFmtId="0" fontId="0" fillId="0" borderId="27" xfId="0" applyBorder="1" applyAlignment="1"/>
    <xf numFmtId="0" fontId="0" fillId="0" borderId="15" xfId="0" applyBorder="1" applyAlignment="1"/>
    <xf numFmtId="0" fontId="0" fillId="32" borderId="128" xfId="0" applyFill="1" applyBorder="1" applyAlignment="1">
      <alignment horizontal="center" vertical="center" wrapText="1"/>
    </xf>
    <xf numFmtId="0" fontId="0" fillId="26" borderId="128" xfId="0" applyFill="1" applyBorder="1" applyAlignment="1">
      <alignment horizontal="center" vertical="center" wrapText="1"/>
    </xf>
    <xf numFmtId="0" fontId="0" fillId="26" borderId="27" xfId="0" applyFill="1" applyBorder="1" applyAlignment="1">
      <alignment vertical="center" wrapText="1"/>
    </xf>
    <xf numFmtId="0" fontId="0" fillId="0" borderId="15" xfId="0" applyBorder="1" applyAlignment="1">
      <alignment horizontal="left"/>
    </xf>
    <xf numFmtId="0" fontId="0" fillId="0" borderId="184" xfId="0" applyBorder="1" applyAlignment="1">
      <alignment horizontal="left"/>
    </xf>
    <xf numFmtId="0" fontId="0" fillId="0" borderId="189" xfId="0" applyBorder="1" applyAlignment="1">
      <alignment horizontal="left"/>
    </xf>
    <xf numFmtId="0" fontId="0" fillId="0" borderId="192" xfId="0" applyBorder="1" applyAlignment="1">
      <alignment horizontal="left"/>
    </xf>
    <xf numFmtId="0" fontId="0" fillId="0" borderId="187" xfId="0" applyBorder="1" applyAlignment="1">
      <alignment horizontal="left"/>
    </xf>
    <xf numFmtId="0" fontId="0" fillId="0" borderId="191" xfId="0" applyBorder="1" applyAlignment="1">
      <alignment horizontal="left"/>
    </xf>
    <xf numFmtId="0" fontId="15" fillId="48" borderId="15" xfId="0" applyFont="1" applyFill="1" applyBorder="1" applyAlignment="1">
      <alignment horizontal="center" vertical="center" wrapText="1"/>
    </xf>
    <xf numFmtId="0" fontId="15" fillId="48" borderId="31" xfId="0" applyFont="1" applyFill="1" applyBorder="1" applyAlignment="1">
      <alignment horizontal="center" vertical="center" wrapText="1"/>
    </xf>
    <xf numFmtId="0" fontId="15" fillId="48" borderId="26" xfId="0" applyFont="1" applyFill="1" applyBorder="1" applyAlignment="1">
      <alignment horizontal="center" vertical="center" wrapText="1"/>
    </xf>
    <xf numFmtId="0" fontId="15" fillId="48" borderId="22" xfId="0" applyFont="1" applyFill="1" applyBorder="1" applyAlignment="1">
      <alignment horizontal="center" vertical="center" wrapText="1"/>
    </xf>
    <xf numFmtId="0" fontId="0" fillId="48" borderId="18" xfId="0" applyFill="1" applyBorder="1" applyAlignment="1">
      <alignment horizontal="center" vertical="center" wrapText="1"/>
    </xf>
    <xf numFmtId="0" fontId="0" fillId="48" borderId="15" xfId="0" applyFill="1" applyBorder="1" applyAlignment="1">
      <alignment horizontal="center" vertical="center" wrapText="1"/>
    </xf>
    <xf numFmtId="0" fontId="110" fillId="52" borderId="29" xfId="0" applyFont="1" applyFill="1" applyBorder="1" applyAlignment="1">
      <alignment horizontal="center" vertical="center"/>
    </xf>
    <xf numFmtId="0" fontId="0" fillId="48" borderId="18" xfId="0" applyFill="1" applyBorder="1" applyAlignment="1">
      <alignment horizontal="center"/>
    </xf>
    <xf numFmtId="0" fontId="15" fillId="48" borderId="18" xfId="0" applyFont="1" applyFill="1" applyBorder="1" applyAlignment="1">
      <alignment horizontal="center" wrapText="1"/>
    </xf>
    <xf numFmtId="0" fontId="0" fillId="48" borderId="31" xfId="0" applyFont="1" applyFill="1" applyBorder="1" applyAlignment="1">
      <alignment horizontal="center" vertical="center" wrapText="1"/>
    </xf>
    <xf numFmtId="0" fontId="0" fillId="48" borderId="26" xfId="0" applyFont="1" applyFill="1" applyBorder="1" applyAlignment="1">
      <alignment horizontal="center" vertical="center" wrapText="1"/>
    </xf>
    <xf numFmtId="0" fontId="0" fillId="48" borderId="22" xfId="0" applyFont="1" applyFill="1" applyBorder="1" applyAlignment="1">
      <alignment horizontal="center" vertical="center" wrapText="1"/>
    </xf>
    <xf numFmtId="0" fontId="0" fillId="48" borderId="15" xfId="0" applyFill="1" applyBorder="1" applyAlignment="1">
      <alignment horizontal="center"/>
    </xf>
    <xf numFmtId="2" fontId="0" fillId="0" borderId="15" xfId="0" applyNumberFormat="1" applyBorder="1" applyAlignment="1">
      <alignment horizontal="center"/>
    </xf>
    <xf numFmtId="0" fontId="0" fillId="0" borderId="25" xfId="0" applyBorder="1" applyAlignment="1">
      <alignment horizontal="center" vertical="center"/>
    </xf>
    <xf numFmtId="0" fontId="0" fillId="0" borderId="30" xfId="0" applyBorder="1" applyAlignment="1">
      <alignment horizontal="center" vertical="center"/>
    </xf>
    <xf numFmtId="0" fontId="15" fillId="0" borderId="15" xfId="75" applyBorder="1" applyAlignment="1">
      <alignment horizontal="center"/>
    </xf>
    <xf numFmtId="0" fontId="15" fillId="0" borderId="15" xfId="75" applyBorder="1" applyAlignment="1"/>
    <xf numFmtId="0" fontId="15" fillId="0" borderId="16" xfId="75" applyBorder="1" applyAlignment="1">
      <alignment horizontal="center"/>
    </xf>
    <xf numFmtId="0" fontId="15" fillId="0" borderId="17" xfId="75" applyBorder="1" applyAlignment="1">
      <alignment horizontal="center"/>
    </xf>
    <xf numFmtId="0" fontId="15" fillId="0" borderId="27" xfId="75" applyBorder="1" applyAlignment="1">
      <alignment horizontal="center"/>
    </xf>
    <xf numFmtId="0" fontId="15" fillId="0" borderId="15" xfId="0" applyFont="1" applyBorder="1" applyAlignment="1">
      <alignment horizontal="left"/>
    </xf>
    <xf numFmtId="0" fontId="0" fillId="0" borderId="172" xfId="0" applyBorder="1" applyAlignment="1">
      <alignment vertical="center"/>
    </xf>
    <xf numFmtId="0" fontId="0" fillId="0" borderId="116" xfId="0" applyBorder="1" applyAlignment="1">
      <alignment vertical="center"/>
    </xf>
    <xf numFmtId="0" fontId="0" fillId="31" borderId="172" xfId="0" applyFill="1" applyBorder="1" applyAlignment="1">
      <alignment vertical="center"/>
    </xf>
    <xf numFmtId="0" fontId="0" fillId="31" borderId="173" xfId="0" applyFill="1" applyBorder="1" applyAlignment="1">
      <alignment vertical="center"/>
    </xf>
    <xf numFmtId="0" fontId="0" fillId="24" borderId="91" xfId="0" applyFill="1" applyBorder="1" applyAlignment="1">
      <alignment vertical="center"/>
    </xf>
    <xf numFmtId="0" fontId="0" fillId="24" borderId="92" xfId="0" applyFill="1" applyBorder="1" applyAlignment="1">
      <alignment vertical="center"/>
    </xf>
    <xf numFmtId="0" fontId="0" fillId="0" borderId="17" xfId="0" applyBorder="1" applyAlignment="1">
      <alignment vertical="center"/>
    </xf>
    <xf numFmtId="0" fontId="0" fillId="0" borderId="22" xfId="0" applyBorder="1" applyAlignment="1">
      <alignment vertical="center"/>
    </xf>
    <xf numFmtId="0" fontId="0" fillId="0" borderId="30" xfId="0" applyBorder="1" applyAlignment="1">
      <alignment vertical="center"/>
    </xf>
    <xf numFmtId="0" fontId="0" fillId="0" borderId="27" xfId="0" applyBorder="1" applyAlignment="1">
      <alignment vertical="center"/>
    </xf>
    <xf numFmtId="0" fontId="0" fillId="0" borderId="15" xfId="0" applyBorder="1" applyAlignment="1">
      <alignment horizontal="center" vertical="center"/>
    </xf>
    <xf numFmtId="0" fontId="0" fillId="26" borderId="15" xfId="0" applyFill="1" applyBorder="1" applyAlignment="1">
      <alignment horizontal="center" vertical="center"/>
    </xf>
    <xf numFmtId="0" fontId="0" fillId="0" borderId="16" xfId="0" applyBorder="1" applyAlignment="1"/>
    <xf numFmtId="0" fontId="0" fillId="45" borderId="15" xfId="0" applyFill="1" applyBorder="1" applyAlignment="1">
      <alignment horizontal="center" vertical="center" wrapText="1"/>
    </xf>
    <xf numFmtId="0" fontId="0" fillId="45" borderId="15" xfId="0" applyFill="1" applyBorder="1" applyAlignment="1">
      <alignment wrapText="1"/>
    </xf>
    <xf numFmtId="0" fontId="0" fillId="0" borderId="20" xfId="0" applyFill="1" applyBorder="1" applyAlignment="1">
      <alignment vertical="center"/>
    </xf>
    <xf numFmtId="0" fontId="0" fillId="0" borderId="20" xfId="0" applyBorder="1" applyAlignment="1">
      <alignment vertical="center"/>
    </xf>
    <xf numFmtId="0" fontId="0" fillId="0" borderId="15" xfId="0" applyFill="1" applyBorder="1" applyAlignment="1">
      <alignment vertical="center"/>
    </xf>
    <xf numFmtId="0" fontId="0" fillId="0" borderId="31" xfId="0" applyBorder="1" applyAlignment="1">
      <alignment vertical="center"/>
    </xf>
    <xf numFmtId="0" fontId="0" fillId="0" borderId="19" xfId="0" applyBorder="1" applyAlignment="1">
      <alignment vertical="center"/>
    </xf>
    <xf numFmtId="0" fontId="0" fillId="0" borderId="71" xfId="0" applyBorder="1" applyAlignment="1">
      <alignment vertical="center"/>
    </xf>
    <xf numFmtId="0" fontId="0" fillId="0" borderId="166" xfId="0" applyBorder="1" applyAlignment="1">
      <alignment vertical="center"/>
    </xf>
    <xf numFmtId="0" fontId="0" fillId="0" borderId="167" xfId="0" applyBorder="1" applyAlignment="1">
      <alignment vertical="center"/>
    </xf>
    <xf numFmtId="0" fontId="0" fillId="0" borderId="170" xfId="0" applyFill="1" applyBorder="1" applyAlignment="1">
      <alignment vertical="center"/>
    </xf>
    <xf numFmtId="0" fontId="0" fillId="0" borderId="171" xfId="0" applyBorder="1" applyAlignment="1">
      <alignment vertical="center"/>
    </xf>
    <xf numFmtId="0" fontId="11" fillId="0" borderId="0" xfId="0" applyFont="1" applyBorder="1" applyAlignment="1"/>
    <xf numFmtId="0" fontId="0" fillId="0" borderId="0" xfId="0" applyBorder="1" applyAlignment="1"/>
    <xf numFmtId="0" fontId="0" fillId="0" borderId="0" xfId="0" applyAlignment="1">
      <alignment vertical="center"/>
    </xf>
    <xf numFmtId="0" fontId="0" fillId="0" borderId="25" xfId="0" applyBorder="1" applyAlignment="1">
      <alignment vertical="center"/>
    </xf>
    <xf numFmtId="0" fontId="11" fillId="0" borderId="0" xfId="0" applyFont="1" applyFill="1" applyBorder="1" applyAlignment="1"/>
    <xf numFmtId="0" fontId="0" fillId="0" borderId="0" xfId="0" applyFill="1" applyBorder="1" applyAlignment="1"/>
    <xf numFmtId="0" fontId="0" fillId="0" borderId="16" xfId="0" applyBorder="1" applyAlignment="1">
      <alignment horizontal="right" vertical="center"/>
    </xf>
    <xf numFmtId="0" fontId="15" fillId="0" borderId="0" xfId="0" applyFont="1" applyAlignment="1">
      <alignment vertical="center"/>
    </xf>
    <xf numFmtId="0" fontId="0" fillId="0" borderId="168" xfId="0" applyBorder="1" applyAlignment="1">
      <alignment vertical="center"/>
    </xf>
    <xf numFmtId="0" fontId="0" fillId="0" borderId="169" xfId="0" applyBorder="1" applyAlignment="1">
      <alignment vertical="center"/>
    </xf>
    <xf numFmtId="0" fontId="0" fillId="0" borderId="170" xfId="0" applyBorder="1" applyAlignment="1">
      <alignment vertical="center"/>
    </xf>
    <xf numFmtId="0" fontId="0" fillId="0" borderId="18" xfId="0" applyBorder="1" applyAlignment="1">
      <alignment vertical="center"/>
    </xf>
    <xf numFmtId="0" fontId="0" fillId="0" borderId="128" xfId="0" applyBorder="1" applyAlignment="1">
      <alignment vertical="center"/>
    </xf>
    <xf numFmtId="0" fontId="0" fillId="0" borderId="15" xfId="0" applyFill="1" applyBorder="1" applyAlignment="1"/>
    <xf numFmtId="0" fontId="0" fillId="0" borderId="24" xfId="0" applyBorder="1" applyAlignment="1">
      <alignment vertical="center"/>
    </xf>
    <xf numFmtId="0" fontId="0" fillId="0" borderId="151" xfId="0" applyFill="1" applyBorder="1" applyAlignment="1">
      <alignment vertical="center"/>
    </xf>
    <xf numFmtId="0" fontId="0" fillId="0" borderId="150" xfId="0" applyBorder="1" applyAlignment="1">
      <alignment vertical="center"/>
    </xf>
    <xf numFmtId="0" fontId="0" fillId="0" borderId="23" xfId="0" applyBorder="1" applyAlignment="1">
      <alignment vertical="center"/>
    </xf>
    <xf numFmtId="0" fontId="0" fillId="0" borderId="18" xfId="0" applyBorder="1" applyAlignment="1"/>
    <xf numFmtId="0" fontId="0" fillId="0" borderId="0" xfId="0" applyBorder="1" applyAlignment="1">
      <alignment vertical="center"/>
    </xf>
    <xf numFmtId="0" fontId="0" fillId="0" borderId="26" xfId="0" applyBorder="1" applyAlignment="1">
      <alignment vertical="center"/>
    </xf>
    <xf numFmtId="0" fontId="0" fillId="0" borderId="26" xfId="0" applyNumberFormat="1" applyBorder="1" applyAlignment="1">
      <alignment vertical="center"/>
    </xf>
    <xf numFmtId="0" fontId="0" fillId="0" borderId="0" xfId="0" applyNumberFormat="1" applyAlignment="1">
      <alignment vertical="center"/>
    </xf>
    <xf numFmtId="0" fontId="15" fillId="0" borderId="37" xfId="0" applyFont="1" applyBorder="1" applyAlignment="1">
      <alignment horizontal="center"/>
    </xf>
    <xf numFmtId="0" fontId="0" fillId="0" borderId="0" xfId="0" applyBorder="1" applyAlignment="1">
      <alignment horizontal="center"/>
    </xf>
    <xf numFmtId="0" fontId="0" fillId="0" borderId="38" xfId="0" applyBorder="1" applyAlignment="1">
      <alignment horizontal="center"/>
    </xf>
    <xf numFmtId="0" fontId="10" fillId="0" borderId="0" xfId="0" applyFont="1" applyAlignment="1">
      <alignment horizontal="center"/>
    </xf>
    <xf numFmtId="0" fontId="6" fillId="0" borderId="26" xfId="84" applyBorder="1" applyAlignment="1">
      <alignment horizontal="right" vertical="center"/>
    </xf>
    <xf numFmtId="0" fontId="6" fillId="0" borderId="0" xfId="84" applyBorder="1" applyAlignment="1">
      <alignment horizontal="right" vertical="center"/>
    </xf>
    <xf numFmtId="49" fontId="6" fillId="34" borderId="0" xfId="86" applyNumberFormat="1" applyFont="1" applyFill="1" applyBorder="1" applyAlignment="1" applyProtection="1">
      <alignment horizontal="left" vertical="center"/>
      <protection locked="0"/>
    </xf>
    <xf numFmtId="49" fontId="6" fillId="34" borderId="25" xfId="86" applyNumberFormat="1" applyFill="1" applyBorder="1" applyAlignment="1" applyProtection="1">
      <alignment horizontal="left" vertical="center"/>
      <protection locked="0"/>
    </xf>
    <xf numFmtId="0" fontId="6" fillId="0" borderId="31" xfId="84" applyFill="1" applyBorder="1" applyAlignment="1" applyProtection="1">
      <alignment horizontal="right" vertical="center"/>
    </xf>
    <xf numFmtId="0" fontId="6" fillId="0" borderId="19" xfId="84" applyFill="1" applyBorder="1" applyAlignment="1" applyProtection="1">
      <alignment horizontal="right" vertical="center"/>
    </xf>
    <xf numFmtId="0" fontId="6" fillId="34" borderId="0" xfId="86" applyFill="1" applyAlignment="1" applyProtection="1">
      <alignment horizontal="left" vertical="center"/>
      <protection locked="0"/>
    </xf>
    <xf numFmtId="0" fontId="6" fillId="0" borderId="22" xfId="84" applyFill="1" applyBorder="1" applyAlignment="1" applyProtection="1">
      <alignment horizontal="right" vertical="center"/>
    </xf>
    <xf numFmtId="0" fontId="6" fillId="0" borderId="29" xfId="84" applyFill="1" applyBorder="1" applyAlignment="1" applyProtection="1">
      <alignment horizontal="right" vertical="center"/>
    </xf>
    <xf numFmtId="0" fontId="6" fillId="34" borderId="0" xfId="86" applyFont="1" applyFill="1" applyAlignment="1" applyProtection="1">
      <alignment horizontal="left" vertical="center"/>
      <protection locked="0"/>
    </xf>
    <xf numFmtId="0" fontId="6" fillId="0" borderId="15" xfId="84" applyBorder="1" applyAlignment="1">
      <alignment vertical="center" wrapText="1"/>
    </xf>
    <xf numFmtId="0" fontId="9" fillId="0" borderId="0" xfId="84" applyFont="1" applyAlignment="1">
      <alignment horizontal="center" vertical="center"/>
    </xf>
    <xf numFmtId="188" fontId="6" fillId="0" borderId="0" xfId="84" applyNumberFormat="1" applyAlignment="1">
      <alignment vertical="center"/>
    </xf>
    <xf numFmtId="187" fontId="6" fillId="0" borderId="0" xfId="84" applyNumberFormat="1" applyAlignment="1">
      <alignment vertical="center"/>
    </xf>
    <xf numFmtId="0" fontId="23" fillId="0" borderId="16" xfId="84" applyFont="1" applyBorder="1" applyAlignment="1">
      <alignment horizontal="right" vertical="center"/>
    </xf>
    <xf numFmtId="0" fontId="23" fillId="0" borderId="17" xfId="84" applyFont="1" applyBorder="1" applyAlignment="1">
      <alignment horizontal="right" vertical="center"/>
    </xf>
    <xf numFmtId="0" fontId="23" fillId="0" borderId="180" xfId="84" applyFont="1" applyBorder="1" applyAlignment="1">
      <alignment horizontal="right" vertical="center"/>
    </xf>
    <xf numFmtId="0" fontId="23" fillId="0" borderId="181" xfId="84" applyFont="1" applyBorder="1" applyAlignment="1">
      <alignment horizontal="right" vertical="center"/>
    </xf>
    <xf numFmtId="0" fontId="25" fillId="0" borderId="0" xfId="84" applyFont="1" applyAlignment="1">
      <alignment vertical="center"/>
    </xf>
    <xf numFmtId="168" fontId="17" fillId="34" borderId="181" xfId="88" applyNumberFormat="1" applyFont="1" applyFill="1" applyBorder="1" applyAlignment="1" applyProtection="1">
      <alignment horizontal="center" vertical="center"/>
      <protection locked="0"/>
    </xf>
    <xf numFmtId="168" fontId="17" fillId="34" borderId="182" xfId="88" applyNumberFormat="1" applyFont="1" applyFill="1" applyBorder="1" applyAlignment="1" applyProtection="1">
      <alignment horizontal="center" vertical="center"/>
      <protection locked="0"/>
    </xf>
    <xf numFmtId="168" fontId="17" fillId="34" borderId="17" xfId="88" applyNumberFormat="1" applyFont="1" applyFill="1" applyBorder="1" applyAlignment="1" applyProtection="1">
      <alignment horizontal="center" vertical="center"/>
      <protection locked="0"/>
    </xf>
    <xf numFmtId="168" fontId="17" fillId="34" borderId="27" xfId="88" applyNumberFormat="1" applyFont="1" applyFill="1" applyBorder="1" applyAlignment="1" applyProtection="1">
      <alignment horizontal="center" vertical="center"/>
      <protection locked="0"/>
    </xf>
    <xf numFmtId="186" fontId="20" fillId="0" borderId="0" xfId="84" applyNumberFormat="1" applyFont="1" applyAlignment="1">
      <alignment horizontal="center" vertical="center"/>
    </xf>
    <xf numFmtId="0" fontId="6" fillId="34" borderId="0" xfId="84" applyFont="1" applyFill="1" applyAlignment="1" applyProtection="1">
      <alignment horizontal="center" vertical="center"/>
      <protection locked="0"/>
    </xf>
    <xf numFmtId="0" fontId="6" fillId="34" borderId="0" xfId="84" applyFill="1" applyAlignment="1" applyProtection="1">
      <alignment horizontal="center" vertical="center"/>
      <protection locked="0"/>
    </xf>
    <xf numFmtId="0" fontId="23" fillId="0" borderId="174" xfId="84" applyFont="1" applyBorder="1" applyAlignment="1">
      <alignment horizontal="right" vertical="center"/>
    </xf>
    <xf numFmtId="0" fontId="23" fillId="0" borderId="175" xfId="84" applyFont="1" applyBorder="1" applyAlignment="1">
      <alignment horizontal="right" vertical="center"/>
    </xf>
    <xf numFmtId="49" fontId="6" fillId="34" borderId="29" xfId="86" applyNumberFormat="1" applyFont="1" applyFill="1" applyBorder="1" applyAlignment="1" applyProtection="1">
      <alignment horizontal="left" vertical="center"/>
      <protection locked="0"/>
    </xf>
    <xf numFmtId="49" fontId="6" fillId="34" borderId="30" xfId="86" applyNumberFormat="1" applyFill="1" applyBorder="1" applyAlignment="1" applyProtection="1">
      <alignment horizontal="left" vertical="center"/>
      <protection locked="0"/>
    </xf>
    <xf numFmtId="174" fontId="6" fillId="0" borderId="175" xfId="84" applyNumberFormat="1" applyBorder="1" applyAlignment="1">
      <alignment horizontal="center" vertical="center"/>
    </xf>
    <xf numFmtId="174" fontId="6" fillId="0" borderId="176" xfId="84" applyNumberFormat="1" applyBorder="1" applyAlignment="1">
      <alignment horizontal="center" vertical="center"/>
    </xf>
    <xf numFmtId="0" fontId="6" fillId="0" borderId="22" xfId="84" applyBorder="1" applyAlignment="1">
      <alignment horizontal="right" vertical="center"/>
    </xf>
    <xf numFmtId="0" fontId="6" fillId="0" borderId="29" xfId="84" applyBorder="1" applyAlignment="1">
      <alignment horizontal="right" vertical="center"/>
    </xf>
    <xf numFmtId="0" fontId="23" fillId="0" borderId="177" xfId="84" applyFont="1" applyBorder="1" applyAlignment="1">
      <alignment horizontal="right" vertical="center"/>
    </xf>
    <xf numFmtId="0" fontId="23" fillId="0" borderId="178" xfId="84" applyFont="1" applyBorder="1" applyAlignment="1">
      <alignment horizontal="right" vertical="center"/>
    </xf>
    <xf numFmtId="170" fontId="6" fillId="0" borderId="178" xfId="84" applyNumberFormat="1" applyBorder="1" applyAlignment="1">
      <alignment horizontal="center" vertical="center"/>
    </xf>
    <xf numFmtId="170" fontId="6" fillId="0" borderId="179" xfId="84" applyNumberFormat="1" applyBorder="1" applyAlignment="1">
      <alignment horizontal="center" vertical="center"/>
    </xf>
    <xf numFmtId="9" fontId="24" fillId="0" borderId="17" xfId="88" applyNumberFormat="1" applyFont="1" applyBorder="1" applyAlignment="1">
      <alignment horizontal="center" vertical="center"/>
    </xf>
    <xf numFmtId="9" fontId="24" fillId="0" borderId="27" xfId="88" applyNumberFormat="1" applyFont="1" applyBorder="1" applyAlignment="1">
      <alignment horizontal="center" vertical="center"/>
    </xf>
    <xf numFmtId="170" fontId="6" fillId="34" borderId="175" xfId="84" applyNumberFormat="1" applyFill="1" applyBorder="1" applyAlignment="1" applyProtection="1">
      <alignment horizontal="center" vertical="center"/>
      <protection locked="0"/>
    </xf>
    <xf numFmtId="170" fontId="6" fillId="34" borderId="176" xfId="84" applyNumberFormat="1" applyFill="1" applyBorder="1" applyAlignment="1" applyProtection="1">
      <alignment horizontal="center" vertical="center"/>
      <protection locked="0"/>
    </xf>
    <xf numFmtId="0" fontId="23" fillId="0" borderId="16" xfId="86" applyFont="1" applyBorder="1" applyAlignment="1" applyProtection="1">
      <alignment horizontal="right" vertical="center"/>
    </xf>
    <xf numFmtId="0" fontId="23" fillId="0" borderId="17" xfId="86" applyFont="1" applyBorder="1" applyAlignment="1" applyProtection="1">
      <alignment horizontal="right" vertical="center"/>
    </xf>
    <xf numFmtId="0" fontId="23" fillId="0" borderId="180" xfId="86" applyFont="1" applyBorder="1" applyAlignment="1" applyProtection="1">
      <alignment horizontal="right" vertical="center"/>
    </xf>
    <xf numFmtId="0" fontId="23" fillId="0" borderId="181" xfId="86" applyFont="1" applyBorder="1" applyAlignment="1" applyProtection="1">
      <alignment horizontal="right" vertical="center"/>
    </xf>
    <xf numFmtId="168" fontId="6" fillId="34" borderId="17" xfId="88" applyNumberFormat="1" applyFont="1" applyFill="1" applyBorder="1" applyAlignment="1" applyProtection="1">
      <alignment horizontal="center" vertical="center"/>
      <protection locked="0"/>
    </xf>
    <xf numFmtId="168" fontId="6" fillId="34" borderId="27" xfId="88" applyNumberFormat="1" applyFont="1" applyFill="1" applyBorder="1" applyAlignment="1" applyProtection="1">
      <alignment horizontal="center" vertical="center"/>
      <protection locked="0"/>
    </xf>
    <xf numFmtId="170" fontId="6" fillId="0" borderId="178" xfId="86" applyNumberFormat="1" applyBorder="1" applyAlignment="1" applyProtection="1">
      <alignment horizontal="center" vertical="center"/>
    </xf>
    <xf numFmtId="170" fontId="6" fillId="0" borderId="179" xfId="86" applyNumberFormat="1" applyBorder="1" applyAlignment="1" applyProtection="1">
      <alignment horizontal="center" vertical="center"/>
    </xf>
    <xf numFmtId="0" fontId="23" fillId="0" borderId="174" xfId="86" applyFont="1" applyBorder="1" applyAlignment="1" applyProtection="1">
      <alignment horizontal="right" vertical="center"/>
    </xf>
    <xf numFmtId="0" fontId="23" fillId="0" borderId="175" xfId="86" applyFont="1" applyBorder="1" applyAlignment="1" applyProtection="1">
      <alignment horizontal="right" vertical="center"/>
    </xf>
    <xf numFmtId="174" fontId="6" fillId="0" borderId="175" xfId="86" applyNumberFormat="1" applyBorder="1" applyAlignment="1" applyProtection="1">
      <alignment horizontal="center" vertical="center"/>
    </xf>
    <xf numFmtId="174" fontId="6" fillId="0" borderId="176" xfId="86" applyNumberFormat="1" applyBorder="1" applyAlignment="1" applyProtection="1">
      <alignment horizontal="center" vertical="center"/>
    </xf>
    <xf numFmtId="0" fontId="23" fillId="0" borderId="177" xfId="86" applyFont="1" applyBorder="1" applyAlignment="1" applyProtection="1">
      <alignment horizontal="right" vertical="center"/>
    </xf>
    <xf numFmtId="0" fontId="23" fillId="0" borderId="178" xfId="86" applyFont="1" applyBorder="1" applyAlignment="1" applyProtection="1">
      <alignment horizontal="right" vertical="center"/>
    </xf>
    <xf numFmtId="0" fontId="6" fillId="0" borderId="15" xfId="86" applyBorder="1" applyAlignment="1" applyProtection="1">
      <alignment vertical="center" wrapText="1"/>
    </xf>
    <xf numFmtId="168" fontId="6" fillId="0" borderId="181" xfId="88" applyNumberFormat="1" applyFont="1" applyFill="1" applyBorder="1" applyAlignment="1" applyProtection="1">
      <alignment horizontal="center" vertical="center"/>
    </xf>
    <xf numFmtId="168" fontId="6" fillId="0" borderId="182" xfId="88" applyNumberFormat="1" applyFont="1" applyFill="1" applyBorder="1" applyAlignment="1" applyProtection="1">
      <alignment horizontal="center" vertical="center"/>
    </xf>
    <xf numFmtId="9" fontId="24" fillId="0" borderId="17" xfId="88" applyNumberFormat="1" applyFont="1" applyBorder="1" applyAlignment="1" applyProtection="1">
      <alignment horizontal="center" vertical="center"/>
    </xf>
    <xf numFmtId="9" fontId="24" fillId="0" borderId="27" xfId="88" applyNumberFormat="1" applyFont="1" applyBorder="1" applyAlignment="1" applyProtection="1">
      <alignment horizontal="center" vertical="center"/>
    </xf>
    <xf numFmtId="170" fontId="6" fillId="0" borderId="175" xfId="86" applyNumberFormat="1" applyFill="1" applyBorder="1" applyAlignment="1" applyProtection="1">
      <alignment horizontal="center" vertical="center"/>
    </xf>
    <xf numFmtId="170" fontId="6" fillId="0" borderId="176" xfId="86" applyNumberFormat="1" applyFill="1" applyBorder="1" applyAlignment="1" applyProtection="1">
      <alignment horizontal="center" vertical="center"/>
    </xf>
    <xf numFmtId="0" fontId="6" fillId="0" borderId="22" xfId="86" applyFill="1" applyBorder="1" applyAlignment="1" applyProtection="1">
      <alignment horizontal="right" vertical="center"/>
    </xf>
    <xf numFmtId="0" fontId="6" fillId="0" borderId="29" xfId="86" applyFill="1" applyBorder="1" applyAlignment="1" applyProtection="1">
      <alignment horizontal="right" vertical="center"/>
    </xf>
    <xf numFmtId="0" fontId="9" fillId="0" borderId="0" xfId="86" applyFont="1" applyAlignment="1" applyProtection="1">
      <alignment horizontal="center" vertical="center"/>
    </xf>
    <xf numFmtId="0" fontId="6" fillId="0" borderId="26" xfId="86" applyBorder="1" applyAlignment="1" applyProtection="1">
      <alignment horizontal="right" vertical="center"/>
    </xf>
    <xf numFmtId="0" fontId="6" fillId="0" borderId="0" xfId="86" applyBorder="1" applyAlignment="1" applyProtection="1">
      <alignment horizontal="right" vertical="center"/>
    </xf>
    <xf numFmtId="0" fontId="6" fillId="0" borderId="31" xfId="86" applyFill="1" applyBorder="1" applyAlignment="1" applyProtection="1">
      <alignment horizontal="right" vertical="center"/>
    </xf>
    <xf numFmtId="0" fontId="6" fillId="0" borderId="19" xfId="86" applyFill="1" applyBorder="1" applyAlignment="1" applyProtection="1">
      <alignment horizontal="right" vertical="center"/>
    </xf>
    <xf numFmtId="0" fontId="6" fillId="34" borderId="0" xfId="86" applyFill="1" applyAlignment="1" applyProtection="1">
      <alignment vertical="center"/>
      <protection locked="0"/>
    </xf>
    <xf numFmtId="0" fontId="6" fillId="0" borderId="22" xfId="86" applyBorder="1" applyAlignment="1" applyProtection="1">
      <alignment horizontal="right" vertical="center"/>
    </xf>
    <xf numFmtId="0" fontId="6" fillId="0" borderId="29" xfId="86" applyBorder="1" applyAlignment="1" applyProtection="1">
      <alignment horizontal="right" vertical="center"/>
    </xf>
    <xf numFmtId="168" fontId="24" fillId="0" borderId="17" xfId="88" applyNumberFormat="1" applyFont="1" applyBorder="1" applyAlignment="1">
      <alignment horizontal="center" vertical="center"/>
    </xf>
    <xf numFmtId="168" fontId="24" fillId="0" borderId="27" xfId="88" applyNumberFormat="1" applyFont="1" applyBorder="1" applyAlignment="1">
      <alignment horizontal="center" vertical="center"/>
    </xf>
    <xf numFmtId="0" fontId="91" fillId="0" borderId="34" xfId="84" applyFont="1" applyBorder="1" applyAlignment="1">
      <alignment horizontal="center" vertical="center"/>
    </xf>
    <xf numFmtId="0" fontId="91" fillId="0" borderId="36" xfId="84" applyFont="1" applyBorder="1" applyAlignment="1">
      <alignment horizontal="center" vertical="center"/>
    </xf>
    <xf numFmtId="0" fontId="6" fillId="0" borderId="0" xfId="84" applyFill="1" applyAlignment="1" applyProtection="1">
      <alignment horizontal="left" vertical="center"/>
      <protection locked="0"/>
    </xf>
    <xf numFmtId="0" fontId="27" fillId="0" borderId="0" xfId="80" applyFont="1" applyAlignment="1" applyProtection="1">
      <alignment vertical="center"/>
    </xf>
    <xf numFmtId="0" fontId="99" fillId="0" borderId="15" xfId="77" applyBorder="1" applyAlignment="1">
      <alignment vertical="center" wrapText="1"/>
    </xf>
    <xf numFmtId="0" fontId="9" fillId="0" borderId="0" xfId="77" applyFont="1" applyAlignment="1">
      <alignment horizontal="center" vertical="center"/>
    </xf>
    <xf numFmtId="0" fontId="99" fillId="34" borderId="0" xfId="77" applyFill="1" applyAlignment="1" applyProtection="1">
      <alignment horizontal="left" vertical="center"/>
      <protection locked="0"/>
    </xf>
    <xf numFmtId="0" fontId="99" fillId="0" borderId="31" xfId="77" applyFill="1" applyBorder="1" applyAlignment="1" applyProtection="1">
      <alignment horizontal="right" vertical="center"/>
    </xf>
    <xf numFmtId="0" fontId="99" fillId="0" borderId="19" xfId="77" applyFill="1" applyBorder="1" applyAlignment="1" applyProtection="1">
      <alignment horizontal="right" vertical="center"/>
    </xf>
    <xf numFmtId="0" fontId="99" fillId="0" borderId="22" xfId="77" applyFill="1" applyBorder="1" applyAlignment="1" applyProtection="1">
      <alignment horizontal="right" vertical="center"/>
    </xf>
    <xf numFmtId="0" fontId="99" fillId="0" borderId="29" xfId="77" applyFill="1" applyBorder="1" applyAlignment="1" applyProtection="1">
      <alignment horizontal="right" vertical="center"/>
    </xf>
    <xf numFmtId="0" fontId="99" fillId="0" borderId="26" xfId="77" applyBorder="1" applyAlignment="1">
      <alignment horizontal="right" vertical="center"/>
    </xf>
    <xf numFmtId="0" fontId="99" fillId="0" borderId="0" xfId="77" applyBorder="1" applyAlignment="1">
      <alignment horizontal="right" vertical="center"/>
    </xf>
    <xf numFmtId="49" fontId="99" fillId="34" borderId="0" xfId="77" applyNumberFormat="1" applyFill="1" applyBorder="1" applyAlignment="1" applyProtection="1">
      <alignment horizontal="left" vertical="center"/>
      <protection locked="0"/>
    </xf>
    <xf numFmtId="49" fontId="99" fillId="34" borderId="25" xfId="77" applyNumberFormat="1" applyFill="1" applyBorder="1" applyAlignment="1" applyProtection="1">
      <alignment horizontal="left" vertical="center"/>
      <protection locked="0"/>
    </xf>
    <xf numFmtId="0" fontId="99" fillId="0" borderId="22" xfId="77" applyBorder="1" applyAlignment="1">
      <alignment horizontal="right" vertical="center"/>
    </xf>
    <xf numFmtId="0" fontId="99" fillId="0" borderId="29" xfId="77" applyBorder="1" applyAlignment="1">
      <alignment horizontal="right" vertical="center"/>
    </xf>
    <xf numFmtId="49" fontId="6" fillId="34" borderId="29" xfId="77" applyNumberFormat="1" applyFont="1" applyFill="1" applyBorder="1" applyAlignment="1" applyProtection="1">
      <alignment horizontal="left" vertical="center"/>
      <protection locked="0"/>
    </xf>
    <xf numFmtId="49" fontId="99" fillId="34" borderId="30" xfId="77" applyNumberFormat="1" applyFill="1" applyBorder="1" applyAlignment="1" applyProtection="1">
      <alignment horizontal="left" vertical="center"/>
      <protection locked="0"/>
    </xf>
    <xf numFmtId="0" fontId="99" fillId="34" borderId="0" xfId="77" applyFill="1" applyAlignment="1" applyProtection="1">
      <alignment vertical="center"/>
      <protection locked="0"/>
    </xf>
    <xf numFmtId="0" fontId="23" fillId="0" borderId="174" xfId="77" applyFont="1" applyBorder="1" applyAlignment="1">
      <alignment horizontal="right" vertical="center"/>
    </xf>
    <xf numFmtId="0" fontId="23" fillId="0" borderId="175" xfId="77" applyFont="1" applyBorder="1" applyAlignment="1">
      <alignment horizontal="right" vertical="center"/>
    </xf>
    <xf numFmtId="170" fontId="99" fillId="34" borderId="175" xfId="77" applyNumberFormat="1" applyFill="1" applyBorder="1" applyAlignment="1" applyProtection="1">
      <alignment horizontal="center" vertical="center"/>
      <protection locked="0"/>
    </xf>
    <xf numFmtId="170" fontId="99" fillId="34" borderId="176" xfId="77" applyNumberFormat="1" applyFill="1" applyBorder="1" applyAlignment="1" applyProtection="1">
      <alignment horizontal="center" vertical="center"/>
      <protection locked="0"/>
    </xf>
    <xf numFmtId="0" fontId="23" fillId="0" borderId="177" xfId="77" applyFont="1" applyBorder="1" applyAlignment="1">
      <alignment horizontal="right" vertical="center"/>
    </xf>
    <xf numFmtId="0" fontId="23" fillId="0" borderId="178" xfId="77" applyFont="1" applyBorder="1" applyAlignment="1">
      <alignment horizontal="right" vertical="center"/>
    </xf>
    <xf numFmtId="170" fontId="99" fillId="0" borderId="178" xfId="77" applyNumberFormat="1" applyBorder="1" applyAlignment="1">
      <alignment horizontal="center" vertical="center"/>
    </xf>
    <xf numFmtId="170" fontId="99" fillId="0" borderId="179" xfId="77" applyNumberFormat="1" applyBorder="1" applyAlignment="1">
      <alignment horizontal="center" vertical="center"/>
    </xf>
    <xf numFmtId="168" fontId="24" fillId="0" borderId="17" xfId="95" applyNumberFormat="1" applyFont="1" applyBorder="1" applyAlignment="1">
      <alignment horizontal="center" vertical="center"/>
    </xf>
    <xf numFmtId="168" fontId="24" fillId="0" borderId="27" xfId="95" applyNumberFormat="1" applyFont="1" applyBorder="1" applyAlignment="1">
      <alignment horizontal="center" vertical="center"/>
    </xf>
    <xf numFmtId="174" fontId="99" fillId="0" borderId="175" xfId="77" applyNumberFormat="1" applyBorder="1" applyAlignment="1">
      <alignment horizontal="center" vertical="center"/>
    </xf>
    <xf numFmtId="174" fontId="99" fillId="0" borderId="176" xfId="77" applyNumberFormat="1" applyBorder="1" applyAlignment="1">
      <alignment horizontal="center" vertical="center"/>
    </xf>
    <xf numFmtId="0" fontId="23" fillId="0" borderId="180" xfId="77" applyFont="1" applyBorder="1" applyAlignment="1">
      <alignment horizontal="right" vertical="center"/>
    </xf>
    <xf numFmtId="0" fontId="23" fillId="0" borderId="181" xfId="77" applyFont="1" applyBorder="1" applyAlignment="1">
      <alignment horizontal="right" vertical="center"/>
    </xf>
    <xf numFmtId="168" fontId="99" fillId="34" borderId="181" xfId="95" applyNumberFormat="1" applyFill="1" applyBorder="1" applyAlignment="1" applyProtection="1">
      <alignment horizontal="center" vertical="center"/>
      <protection locked="0"/>
    </xf>
    <xf numFmtId="168" fontId="99" fillId="34" borderId="182" xfId="95" applyNumberFormat="1" applyFill="1" applyBorder="1" applyAlignment="1" applyProtection="1">
      <alignment horizontal="center" vertical="center"/>
      <protection locked="0"/>
    </xf>
    <xf numFmtId="188" fontId="99" fillId="0" borderId="0" xfId="77" applyNumberFormat="1" applyAlignment="1">
      <alignment vertical="center"/>
    </xf>
    <xf numFmtId="9" fontId="19" fillId="0" borderId="0" xfId="77" applyNumberFormat="1" applyFont="1" applyAlignment="1">
      <alignment horizontal="center" vertical="center"/>
    </xf>
    <xf numFmtId="0" fontId="25" fillId="0" borderId="0" xfId="77" applyFont="1" applyAlignment="1">
      <alignment vertical="center"/>
    </xf>
    <xf numFmtId="187" fontId="99" fillId="0" borderId="0" xfId="77" applyNumberFormat="1" applyAlignment="1">
      <alignment vertical="center"/>
    </xf>
    <xf numFmtId="0" fontId="23" fillId="0" borderId="16" xfId="77" applyFont="1" applyBorder="1" applyAlignment="1">
      <alignment horizontal="right" vertical="center"/>
    </xf>
    <xf numFmtId="0" fontId="23" fillId="0" borderId="17" xfId="77" applyFont="1" applyBorder="1" applyAlignment="1">
      <alignment horizontal="right" vertical="center"/>
    </xf>
    <xf numFmtId="168" fontId="99" fillId="34" borderId="17" xfId="95" applyNumberFormat="1" applyFill="1" applyBorder="1" applyAlignment="1" applyProtection="1">
      <alignment horizontal="center" vertical="center"/>
      <protection locked="0"/>
    </xf>
    <xf numFmtId="168" fontId="99" fillId="34" borderId="27" xfId="95" applyNumberFormat="1" applyFill="1" applyBorder="1" applyAlignment="1" applyProtection="1">
      <alignment horizontal="center" vertical="center"/>
      <protection locked="0"/>
    </xf>
  </cellXfs>
  <cellStyles count="123">
    <cellStyle name="20 % - Accent1" xfId="1" builtinId="30" customBuiltin="1"/>
    <cellStyle name="20 % - Accent1 2" xfId="2"/>
    <cellStyle name="20 % - Accent2" xfId="3" builtinId="34" customBuiltin="1"/>
    <cellStyle name="20 % - Accent2 2" xfId="4"/>
    <cellStyle name="20 % - Accent3" xfId="5" builtinId="38" customBuiltin="1"/>
    <cellStyle name="20 % - Accent3 2" xfId="6"/>
    <cellStyle name="20 % - Accent4" xfId="7" builtinId="42" customBuiltin="1"/>
    <cellStyle name="20 % - Accent4 2" xfId="8"/>
    <cellStyle name="20 % - Accent5" xfId="9" builtinId="46" customBuiltin="1"/>
    <cellStyle name="20 % - Accent5 2" xfId="10"/>
    <cellStyle name="20 % - Accent6" xfId="11" builtinId="50" customBuiltin="1"/>
    <cellStyle name="20 % - Accent6 2" xfId="12"/>
    <cellStyle name="40 % - Accent1" xfId="13" builtinId="31" customBuiltin="1"/>
    <cellStyle name="40 % - Accent1 2" xfId="14"/>
    <cellStyle name="40 % - Accent2" xfId="15" builtinId="35" customBuiltin="1"/>
    <cellStyle name="40 % - Accent2 2" xfId="16"/>
    <cellStyle name="40 % - Accent3" xfId="17" builtinId="39" customBuiltin="1"/>
    <cellStyle name="40 % - Accent3 2" xfId="18"/>
    <cellStyle name="40 % - Accent4" xfId="19" builtinId="43" customBuiltin="1"/>
    <cellStyle name="40 % - Accent4 2" xfId="20"/>
    <cellStyle name="40 % - Accent5" xfId="21" builtinId="47" customBuiltin="1"/>
    <cellStyle name="40 % - Accent5 2" xfId="22"/>
    <cellStyle name="40 % - Accent6" xfId="23" builtinId="51" customBuiltin="1"/>
    <cellStyle name="40 % - Accent6 2" xfId="24"/>
    <cellStyle name="60 % - Accent1" xfId="25" builtinId="32" customBuiltin="1"/>
    <cellStyle name="60 % - Accent1 2" xfId="26"/>
    <cellStyle name="60 % - Accent2" xfId="27" builtinId="36" customBuiltin="1"/>
    <cellStyle name="60 % - Accent2 2" xfId="28"/>
    <cellStyle name="60 % - Accent3" xfId="29" builtinId="40" customBuiltin="1"/>
    <cellStyle name="60 % - Accent3 2" xfId="30"/>
    <cellStyle name="60 % - Accent4" xfId="31" builtinId="44" customBuiltin="1"/>
    <cellStyle name="60 % - Accent4 2" xfId="32"/>
    <cellStyle name="60 % - Accent5" xfId="33" builtinId="48" customBuiltin="1"/>
    <cellStyle name="60 % - Accent5 2" xfId="34"/>
    <cellStyle name="60 % - Accent6" xfId="35" builtinId="52" customBuiltin="1"/>
    <cellStyle name="60 %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Avertissement" xfId="49" builtinId="11" customBuiltin="1"/>
    <cellStyle name="Avertissement 2" xfId="50"/>
    <cellStyle name="Calcul" xfId="51" builtinId="22" customBuiltin="1"/>
    <cellStyle name="Calcul 2" xfId="52"/>
    <cellStyle name="Cellule liée" xfId="53" builtinId="24" customBuiltin="1"/>
    <cellStyle name="Cellule liée 2" xfId="54"/>
    <cellStyle name="Commentaire" xfId="55" builtinId="10" customBuiltin="1"/>
    <cellStyle name="Commentaire 2" xfId="56"/>
    <cellStyle name="Entrée" xfId="57" builtinId="20" customBuiltin="1"/>
    <cellStyle name="Entrée 2" xfId="58"/>
    <cellStyle name="Insatisfaisant" xfId="59" builtinId="27" customBuiltin="1"/>
    <cellStyle name="Insatisfaisant 2" xfId="60"/>
    <cellStyle name="Lien hypertexte" xfId="61" builtinId="8"/>
    <cellStyle name="Milliers" xfId="62" builtinId="3"/>
    <cellStyle name="Milliers 2" xfId="63"/>
    <cellStyle name="Milliers 3" xfId="64"/>
    <cellStyle name="Milliers 4" xfId="65"/>
    <cellStyle name="Milliers 4 2" xfId="66"/>
    <cellStyle name="Milliers 4 3" xfId="67"/>
    <cellStyle name="Milliers 5" xfId="68"/>
    <cellStyle name="Milliers 5 2" xfId="69"/>
    <cellStyle name="Milliers 6" xfId="70"/>
    <cellStyle name="Milliers 6 2" xfId="71"/>
    <cellStyle name="Milliers_Synthèse" xfId="72"/>
    <cellStyle name="Neutre" xfId="73" builtinId="28" customBuiltin="1"/>
    <cellStyle name="Neutre 2" xfId="74"/>
    <cellStyle name="Normal" xfId="0" builtinId="0"/>
    <cellStyle name="Normal 2" xfId="75"/>
    <cellStyle name="Normal 3" xfId="76"/>
    <cellStyle name="Normal 4" xfId="77"/>
    <cellStyle name="Normal 4 2" xfId="78"/>
    <cellStyle name="Normal 4 3" xfId="79"/>
    <cellStyle name="Normal_~2767543" xfId="80"/>
    <cellStyle name="Normal_2012 02 15 Scénarii Economie Circulaire" xfId="81"/>
    <cellStyle name="Normal_Bilan AD" xfId="82"/>
    <cellStyle name="Normal_Etafi fin B2011 oct 2010" xfId="83"/>
    <cellStyle name="Normal_Evaluation Rentabilité Invest 20 ans" xfId="84"/>
    <cellStyle name="Normal_Flux" xfId="85"/>
    <cellStyle name="Normal_Rentabilité DAE EBCHR" xfId="86"/>
    <cellStyle name="Normal_résultat AD" xfId="87"/>
    <cellStyle name="Pourcentage" xfId="88" builtinId="5"/>
    <cellStyle name="Pourcentage 2" xfId="89"/>
    <cellStyle name="Pourcentage 3" xfId="90"/>
    <cellStyle name="Pourcentage 3 2" xfId="91"/>
    <cellStyle name="Pourcentage 4" xfId="92"/>
    <cellStyle name="Pourcentage 4 2" xfId="93"/>
    <cellStyle name="Pourcentage 4 3" xfId="94"/>
    <cellStyle name="Pourcentage 5" xfId="95"/>
    <cellStyle name="Pourcentage 5 2" xfId="96"/>
    <cellStyle name="Pourcentage 5 3" xfId="97"/>
    <cellStyle name="Pourcentage 6" xfId="98"/>
    <cellStyle name="Pourcentage 7" xfId="99"/>
    <cellStyle name="Pourcentage 7 2" xfId="100"/>
    <cellStyle name="Pourcentage 8" xfId="101"/>
    <cellStyle name="Pourcentage 8 2" xfId="102"/>
    <cellStyle name="Satisfaisant" xfId="103" builtinId="26" customBuiltin="1"/>
    <cellStyle name="Satisfaisant 2" xfId="104"/>
    <cellStyle name="Sortie" xfId="105" builtinId="21" customBuiltin="1"/>
    <cellStyle name="Sortie 2" xfId="106"/>
    <cellStyle name="Texte explicatif" xfId="107" builtinId="53" customBuiltin="1"/>
    <cellStyle name="Texte explicatif 2" xfId="108"/>
    <cellStyle name="Titre" xfId="109" builtinId="15" customBuiltin="1"/>
    <cellStyle name="Titre 2" xfId="110"/>
    <cellStyle name="Titre 1" xfId="111" builtinId="16" customBuiltin="1"/>
    <cellStyle name="Titre 1 2" xfId="112"/>
    <cellStyle name="Titre 2" xfId="113" builtinId="17" customBuiltin="1"/>
    <cellStyle name="Titre 2 2" xfId="114"/>
    <cellStyle name="Titre 3" xfId="115" builtinId="18" customBuiltin="1"/>
    <cellStyle name="Titre 3 2" xfId="116"/>
    <cellStyle name="Titre 4" xfId="117" builtinId="19" customBuiltin="1"/>
    <cellStyle name="Titre 4 2" xfId="118"/>
    <cellStyle name="Total" xfId="119" builtinId="25" customBuiltin="1"/>
    <cellStyle name="Total 2" xfId="120"/>
    <cellStyle name="Vérification" xfId="121" builtinId="23" customBuiltin="1"/>
    <cellStyle name="Vérification 2" xfId="122"/>
  </cellStyles>
  <dxfs count="7">
    <dxf>
      <font>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hartsheet" Target="chartsheets/sheet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3.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hartsheet" Target="chartsheets/sheet1.xml"/><Relationship Id="rId38" Type="http://schemas.openxmlformats.org/officeDocument/2006/relationships/worksheet" Target="worksheets/sheet35.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3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hartsheet" Target="chartsheets/sheet3.xml"/><Relationship Id="rId40" Type="http://schemas.openxmlformats.org/officeDocument/2006/relationships/worksheet" Target="worksheets/sheet36.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4.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hartsheet" Target="chartsheets/sheet2.xml"/><Relationship Id="rId43" Type="http://schemas.openxmlformats.org/officeDocument/2006/relationships/externalLink" Target="externalLinks/externalLink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29166666666667"/>
          <c:y val="4.208754208754209E-2"/>
          <c:w val="0.84479166666666672"/>
          <c:h val="0.8232323232323232"/>
        </c:manualLayout>
      </c:layout>
      <c:scatterChart>
        <c:scatterStyle val="lineMarker"/>
        <c:varyColors val="0"/>
        <c:ser>
          <c:idx val="1"/>
          <c:order val="0"/>
          <c:spPr>
            <a:ln w="25400">
              <a:solidFill>
                <a:srgbClr val="00FF00"/>
              </a:solidFill>
              <a:prstDash val="solid"/>
            </a:ln>
          </c:spPr>
          <c:marker>
            <c:symbol val="square"/>
            <c:size val="7"/>
            <c:spPr>
              <a:solidFill>
                <a:srgbClr val="00FF00"/>
              </a:solidFill>
              <a:ln>
                <a:solidFill>
                  <a:srgbClr val="00FF00"/>
                </a:solidFill>
                <a:prstDash val="solid"/>
              </a:ln>
            </c:spPr>
          </c:marker>
          <c:dPt>
            <c:idx val="4"/>
            <c:bubble3D val="0"/>
            <c:spPr>
              <a:ln w="38100">
                <a:solidFill>
                  <a:srgbClr val="00FF00"/>
                </a:solidFill>
                <a:prstDash val="solid"/>
              </a:ln>
            </c:spPr>
          </c:dPt>
          <c:dLbls>
            <c:numFmt formatCode="0.0" sourceLinked="0"/>
            <c:spPr>
              <a:noFill/>
              <a:ln w="25400">
                <a:noFill/>
              </a:ln>
            </c:spPr>
            <c:txPr>
              <a:bodyPr/>
              <a:lstStyle/>
              <a:p>
                <a:pPr>
                  <a:defRPr sz="12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xVal>
            <c:numRef>
              <c:f>Feuil1!$A$19:$A$24</c:f>
              <c:numCache>
                <c:formatCode>General</c:formatCode>
                <c:ptCount val="6"/>
                <c:pt idx="0">
                  <c:v>0</c:v>
                </c:pt>
                <c:pt idx="1">
                  <c:v>1</c:v>
                </c:pt>
                <c:pt idx="2">
                  <c:v>2.5</c:v>
                </c:pt>
                <c:pt idx="3">
                  <c:v>5</c:v>
                </c:pt>
                <c:pt idx="4">
                  <c:v>10</c:v>
                </c:pt>
                <c:pt idx="5">
                  <c:v>12.5</c:v>
                </c:pt>
              </c:numCache>
            </c:numRef>
          </c:xVal>
          <c:yVal>
            <c:numRef>
              <c:f>Feuil1!$E$19:$E$24</c:f>
              <c:numCache>
                <c:formatCode>0.0</c:formatCode>
                <c:ptCount val="6"/>
                <c:pt idx="0">
                  <c:v>14.717391304347824</c:v>
                </c:pt>
                <c:pt idx="1">
                  <c:v>15.54</c:v>
                </c:pt>
                <c:pt idx="2">
                  <c:v>16.77391304347826</c:v>
                </c:pt>
                <c:pt idx="3">
                  <c:v>18.830434782608695</c:v>
                </c:pt>
                <c:pt idx="4">
                  <c:v>22.943478260869565</c:v>
                </c:pt>
                <c:pt idx="5">
                  <c:v>25</c:v>
                </c:pt>
              </c:numCache>
            </c:numRef>
          </c:yVal>
          <c:smooth val="0"/>
        </c:ser>
        <c:dLbls>
          <c:showLegendKey val="0"/>
          <c:showVal val="0"/>
          <c:showCatName val="0"/>
          <c:showSerName val="0"/>
          <c:showPercent val="0"/>
          <c:showBubbleSize val="0"/>
        </c:dLbls>
        <c:axId val="239994752"/>
        <c:axId val="239996288"/>
      </c:scatterChart>
      <c:valAx>
        <c:axId val="239994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fr-FR"/>
          </a:p>
        </c:txPr>
        <c:crossAx val="239996288"/>
        <c:crosses val="autoZero"/>
        <c:crossBetween val="midCat"/>
      </c:valAx>
      <c:valAx>
        <c:axId val="239996288"/>
        <c:scaling>
          <c:orientation val="minMax"/>
          <c:max val="26.5"/>
          <c:min val="12"/>
        </c:scaling>
        <c:delete val="0"/>
        <c:axPos val="l"/>
        <c:title>
          <c:tx>
            <c:rich>
              <a:bodyPr/>
              <a:lstStyle/>
              <a:p>
                <a:pPr>
                  <a:defRPr sz="1200" b="0" i="0" u="none" strike="noStrike" baseline="0">
                    <a:solidFill>
                      <a:srgbClr val="000000"/>
                    </a:solidFill>
                    <a:latin typeface="Verdana"/>
                    <a:ea typeface="Verdana"/>
                    <a:cs typeface="Verdana"/>
                  </a:defRPr>
                </a:pPr>
                <a:r>
                  <a:rPr lang="fr-FR"/>
                  <a:t>Prix de vente ($/kg)</a:t>
                </a:r>
              </a:p>
            </c:rich>
          </c:tx>
          <c:layout>
            <c:manualLayout>
              <c:xMode val="edge"/>
              <c:yMode val="edge"/>
              <c:x val="6.7708307621421923E-2"/>
              <c:y val="0.309764133018726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fr-FR"/>
          </a:p>
        </c:txPr>
        <c:crossAx val="239994752"/>
        <c:crosses val="autoZero"/>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fr-FR"/>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1" u="none" strike="noStrike" baseline="0">
                <a:solidFill>
                  <a:srgbClr val="000080"/>
                </a:solidFill>
                <a:latin typeface="Arial"/>
                <a:ea typeface="Arial"/>
                <a:cs typeface="Arial"/>
              </a:defRPr>
            </a:pPr>
            <a:r>
              <a:rPr lang="fr-FR"/>
              <a:t>Cumul des cash-flows disponibles actualisés</a:t>
            </a:r>
          </a:p>
        </c:rich>
      </c:tx>
      <c:layout>
        <c:manualLayout>
          <c:xMode val="edge"/>
          <c:yMode val="edge"/>
          <c:x val="0.22361545810957731"/>
          <c:y val="2.066772655007949E-2"/>
        </c:manualLayout>
      </c:layout>
      <c:overlay val="0"/>
      <c:spPr>
        <a:solidFill>
          <a:srgbClr val="FFFFFF"/>
        </a:solidFill>
        <a:ln w="3175">
          <a:solidFill>
            <a:srgbClr val="000080"/>
          </a:solidFill>
          <a:prstDash val="solid"/>
        </a:ln>
        <a:effectLst>
          <a:outerShdw dist="35921" dir="2700000" algn="br">
            <a:srgbClr val="000000"/>
          </a:outerShdw>
        </a:effectLst>
      </c:spPr>
    </c:title>
    <c:autoTitleDeleted val="0"/>
    <c:plotArea>
      <c:layout>
        <c:manualLayout>
          <c:layoutTarget val="inner"/>
          <c:xMode val="edge"/>
          <c:yMode val="edge"/>
          <c:x val="0.10240334378265413"/>
          <c:y val="0.21144674085850557"/>
          <c:w val="0.89028213166144199"/>
          <c:h val="0.65659777424483312"/>
        </c:manualLayout>
      </c:layout>
      <c:barChart>
        <c:barDir val="col"/>
        <c:grouping val="clustered"/>
        <c:varyColors val="0"/>
        <c:ser>
          <c:idx val="1"/>
          <c:order val="0"/>
          <c:spPr>
            <a:solidFill>
              <a:srgbClr val="993366"/>
            </a:solidFill>
            <a:ln w="12700">
              <a:solidFill>
                <a:srgbClr val="000000"/>
              </a:solidFill>
              <a:prstDash val="solid"/>
            </a:ln>
          </c:spPr>
          <c:invertIfNegative val="0"/>
          <c:cat>
            <c:numRef>
              <c:f>'Calcul Rentabilité ERAMET 20ans'!$E$9:$X$9</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'Calcul Rentabilité ERAMET 20ans'!$E$33:$X$33</c:f>
              <c:numCache>
                <c:formatCode>#,##0.0</c:formatCode>
                <c:ptCount val="20"/>
                <c:pt idx="0">
                  <c:v>-15314.377798934065</c:v>
                </c:pt>
                <c:pt idx="1">
                  <c:v>-39954.541046155769</c:v>
                </c:pt>
                <c:pt idx="2">
                  <c:v>-51257.707774124763</c:v>
                </c:pt>
                <c:pt idx="3">
                  <c:v>-51267.872523902362</c:v>
                </c:pt>
                <c:pt idx="4">
                  <c:v>-49200.616413828961</c:v>
                </c:pt>
                <c:pt idx="5">
                  <c:v>-45408.043104937722</c:v>
                </c:pt>
                <c:pt idx="6">
                  <c:v>-39504.79563893826</c:v>
                </c:pt>
                <c:pt idx="7">
                  <c:v>-32186.194364370156</c:v>
                </c:pt>
                <c:pt idx="8">
                  <c:v>-24958.536458908249</c:v>
                </c:pt>
                <c:pt idx="9">
                  <c:v>-18287.502569012064</c:v>
                </c:pt>
                <c:pt idx="10">
                  <c:v>-12262.603335682743</c:v>
                </c:pt>
                <c:pt idx="11">
                  <c:v>-6805.8281288591197</c:v>
                </c:pt>
                <c:pt idx="12">
                  <c:v>-1888.2652845480043</c:v>
                </c:pt>
                <c:pt idx="13">
                  <c:v>2439.1483094236464</c:v>
                </c:pt>
                <c:pt idx="14">
                  <c:v>6086.282260215713</c:v>
                </c:pt>
                <c:pt idx="15">
                  <c:v>9257.6925864613768</c:v>
                </c:pt>
                <c:pt idx="16">
                  <c:v>12090.368987739286</c:v>
                </c:pt>
                <c:pt idx="17">
                  <c:v>14612.518115049144</c:v>
                </c:pt>
                <c:pt idx="18">
                  <c:v>16873.912184732922</c:v>
                </c:pt>
                <c:pt idx="19">
                  <c:v>18891.253592784429</c:v>
                </c:pt>
              </c:numCache>
            </c:numRef>
          </c:val>
        </c:ser>
        <c:dLbls>
          <c:showLegendKey val="0"/>
          <c:showVal val="0"/>
          <c:showCatName val="0"/>
          <c:showSerName val="0"/>
          <c:showPercent val="0"/>
          <c:showBubbleSize val="0"/>
        </c:dLbls>
        <c:gapWidth val="50"/>
        <c:axId val="241255168"/>
        <c:axId val="241256704"/>
      </c:barChart>
      <c:catAx>
        <c:axId val="241255168"/>
        <c:scaling>
          <c:orientation val="minMax"/>
        </c:scaling>
        <c:delete val="0"/>
        <c:axPos val="b"/>
        <c:numFmt formatCode="General" sourceLinked="1"/>
        <c:majorTickMark val="out"/>
        <c:minorTickMark val="none"/>
        <c:tickLblPos val="low"/>
        <c:spPr>
          <a:ln w="3175">
            <a:solidFill>
              <a:srgbClr val="000080"/>
            </a:solidFill>
            <a:prstDash val="solid"/>
          </a:ln>
        </c:spPr>
        <c:txPr>
          <a:bodyPr rot="-2700000" vert="horz"/>
          <a:lstStyle/>
          <a:p>
            <a:pPr>
              <a:defRPr sz="1400" b="1" i="0" u="none" strike="noStrike" baseline="0">
                <a:solidFill>
                  <a:srgbClr val="000080"/>
                </a:solidFill>
                <a:latin typeface="Arial"/>
                <a:ea typeface="Arial"/>
                <a:cs typeface="Arial"/>
              </a:defRPr>
            </a:pPr>
            <a:endParaRPr lang="fr-FR"/>
          </a:p>
        </c:txPr>
        <c:crossAx val="241256704"/>
        <c:crosses val="autoZero"/>
        <c:auto val="1"/>
        <c:lblAlgn val="ctr"/>
        <c:lblOffset val="100"/>
        <c:tickLblSkip val="1"/>
        <c:tickMarkSkip val="1"/>
        <c:noMultiLvlLbl val="0"/>
      </c:catAx>
      <c:valAx>
        <c:axId val="241256704"/>
        <c:scaling>
          <c:orientation val="minMax"/>
        </c:scaling>
        <c:delete val="0"/>
        <c:axPos val="l"/>
        <c:majorGridlines>
          <c:spPr>
            <a:ln w="3175">
              <a:solidFill>
                <a:srgbClr val="000080"/>
              </a:solidFill>
              <a:prstDash val="sysDash"/>
            </a:ln>
          </c:spPr>
        </c:majorGridlines>
        <c:numFmt formatCode="#,##0" sourceLinked="0"/>
        <c:majorTickMark val="in"/>
        <c:minorTickMark val="none"/>
        <c:tickLblPos val="low"/>
        <c:spPr>
          <a:ln w="3175">
            <a:solidFill>
              <a:srgbClr val="000080"/>
            </a:solidFill>
            <a:prstDash val="solid"/>
          </a:ln>
        </c:spPr>
        <c:txPr>
          <a:bodyPr rot="0" vert="horz"/>
          <a:lstStyle/>
          <a:p>
            <a:pPr>
              <a:defRPr sz="1400" b="1" i="0" u="none" strike="noStrike" baseline="0">
                <a:solidFill>
                  <a:srgbClr val="000080"/>
                </a:solidFill>
                <a:latin typeface="Arial"/>
                <a:ea typeface="Arial"/>
                <a:cs typeface="Arial"/>
              </a:defRPr>
            </a:pPr>
            <a:endParaRPr lang="fr-FR"/>
          </a:p>
        </c:txPr>
        <c:crossAx val="241255168"/>
        <c:crosses val="autoZero"/>
        <c:crossBetween val="between"/>
      </c:valAx>
      <c:spPr>
        <a:solidFill>
          <a:srgbClr val="FFFFFF"/>
        </a:solidFill>
        <a:ln w="12700">
          <a:solidFill>
            <a:srgbClr val="000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1" u="none" strike="noStrike" baseline="0">
                <a:solidFill>
                  <a:srgbClr val="000080"/>
                </a:solidFill>
                <a:latin typeface="Arial"/>
                <a:ea typeface="Arial"/>
                <a:cs typeface="Arial"/>
              </a:defRPr>
            </a:pPr>
            <a:r>
              <a:rPr lang="fr-FR"/>
              <a:t>Opportuniutés et Risques : Effets sur la valeur créée</a:t>
            </a:r>
          </a:p>
        </c:rich>
      </c:tx>
      <c:layout>
        <c:manualLayout>
          <c:xMode val="edge"/>
          <c:yMode val="edge"/>
          <c:x val="0.18181816185110752"/>
          <c:y val="2.066772655007949E-2"/>
        </c:manualLayout>
      </c:layout>
      <c:overlay val="0"/>
      <c:spPr>
        <a:solidFill>
          <a:srgbClr val="FFFFFF"/>
        </a:solidFill>
        <a:ln w="3175">
          <a:solidFill>
            <a:srgbClr val="000080"/>
          </a:solidFill>
          <a:prstDash val="solid"/>
        </a:ln>
        <a:effectLst>
          <a:outerShdw dist="35921" dir="2700000" algn="br">
            <a:srgbClr val="000000"/>
          </a:outerShdw>
        </a:effectLst>
      </c:spPr>
    </c:title>
    <c:autoTitleDeleted val="0"/>
    <c:plotArea>
      <c:layout>
        <c:manualLayout>
          <c:layoutTarget val="inner"/>
          <c:xMode val="edge"/>
          <c:yMode val="edge"/>
          <c:x val="6.1650992685475442E-2"/>
          <c:y val="0.21144674085850557"/>
          <c:w val="0.92685475444096133"/>
          <c:h val="0.70270270270270274"/>
        </c:manualLayout>
      </c:layout>
      <c:barChart>
        <c:barDir val="col"/>
        <c:grouping val="stacked"/>
        <c:varyColors val="0"/>
        <c:ser>
          <c:idx val="0"/>
          <c:order val="0"/>
          <c:spPr>
            <a:solidFill>
              <a:srgbClr val="9999FF"/>
            </a:solidFill>
            <a:ln w="12700">
              <a:solidFill>
                <a:srgbClr val="9999FF"/>
              </a:solidFill>
              <a:prstDash val="solid"/>
            </a:ln>
          </c:spPr>
          <c:invertIfNegative val="0"/>
          <c:dLbls>
            <c:spPr>
              <a:noFill/>
              <a:ln w="25400">
                <a:noFill/>
              </a:ln>
            </c:spPr>
            <c:txPr>
              <a:bodyPr/>
              <a:lstStyle/>
              <a:p>
                <a:pPr>
                  <a:defRPr sz="1550" b="1" i="0" u="none" strike="noStrike" baseline="0">
                    <a:solidFill>
                      <a:srgbClr val="FFFFFF"/>
                    </a:solidFill>
                    <a:latin typeface="Arial"/>
                    <a:ea typeface="Arial"/>
                    <a:cs typeface="Arial"/>
                  </a:defRPr>
                </a:pPr>
                <a:endParaRPr lang="fr-FR"/>
              </a:p>
            </c:txPr>
            <c:showLegendKey val="0"/>
            <c:showVal val="1"/>
            <c:showCatName val="0"/>
            <c:showSerName val="0"/>
            <c:showPercent val="0"/>
            <c:showBubbleSize val="0"/>
            <c:showLeaderLines val="0"/>
          </c:dLbls>
          <c:cat>
            <c:strRef>
              <c:f>[0]!or_titles</c:f>
              <c:strCache>
                <c:ptCount val="1"/>
                <c:pt idx="0">
                  <c:v>Valeur créée</c:v>
                </c:pt>
              </c:strCache>
            </c:strRef>
          </c:cat>
          <c:val>
            <c:numRef>
              <c:f>[0]!or_series1</c:f>
              <c:numCache>
                <c:formatCode>#,##0</c:formatCode>
                <c:ptCount val="1"/>
                <c:pt idx="0">
                  <c:v>0</c:v>
                </c:pt>
              </c:numCache>
            </c:numRef>
          </c:val>
        </c:ser>
        <c:ser>
          <c:idx val="1"/>
          <c:order val="1"/>
          <c:spPr>
            <a:noFill/>
            <a:ln w="25400">
              <a:noFill/>
            </a:ln>
          </c:spPr>
          <c:invertIfNegative val="0"/>
          <c:cat>
            <c:strRef>
              <c:f>[0]!or_titles</c:f>
              <c:strCache>
                <c:ptCount val="1"/>
                <c:pt idx="0">
                  <c:v>Valeur créée</c:v>
                </c:pt>
              </c:strCache>
            </c:strRef>
          </c:cat>
          <c:val>
            <c:numRef>
              <c:f>[0]!or_series2</c:f>
              <c:numCache>
                <c:formatCode>#,##0</c:formatCode>
                <c:ptCount val="1"/>
              </c:numCache>
            </c:numRef>
          </c:val>
        </c:ser>
        <c:ser>
          <c:idx val="2"/>
          <c:order val="2"/>
          <c:spPr>
            <a:solidFill>
              <a:srgbClr val="CCFFCC"/>
            </a:solidFill>
            <a:ln w="12700">
              <a:solidFill>
                <a:srgbClr val="CCFFCC"/>
              </a:solidFill>
              <a:prstDash val="solid"/>
            </a:ln>
          </c:spPr>
          <c:invertIfNegative val="0"/>
          <c:dLbls>
            <c:dLbl>
              <c:idx val="1"/>
              <c:tx>
                <c:strRef>
                  <c:f>'Opportunités et Risques'!$K$9</c:f>
                  <c:strCache>
                    <c:ptCount val="1"/>
                    <c:pt idx="0">
                      <c:v>0</c:v>
                    </c:pt>
                  </c:strCache>
                </c:strRef>
              </c:tx>
              <c:showLegendKey val="0"/>
              <c:showVal val="0"/>
              <c:showCatName val="0"/>
              <c:showSerName val="0"/>
              <c:showPercent val="0"/>
              <c:showBubbleSize val="0"/>
            </c:dLbl>
            <c:dLbl>
              <c:idx val="2"/>
              <c:tx>
                <c:strRef>
                  <c:f>'Opportunités et Risques'!$K$10</c:f>
                  <c:strCache>
                    <c:ptCount val="1"/>
                    <c:pt idx="0">
                      <c:v>0</c:v>
                    </c:pt>
                  </c:strCache>
                </c:strRef>
              </c:tx>
              <c:showLegendKey val="0"/>
              <c:showVal val="0"/>
              <c:showCatName val="0"/>
              <c:showSerName val="0"/>
              <c:showPercent val="0"/>
              <c:showBubbleSize val="0"/>
            </c:dLbl>
            <c:dLbl>
              <c:idx val="3"/>
              <c:delete val="1"/>
            </c:dLbl>
            <c:dLbl>
              <c:idx val="4"/>
              <c:delete val="1"/>
            </c:dLbl>
            <c:spPr>
              <a:noFill/>
              <a:ln w="25400">
                <a:noFill/>
              </a:ln>
            </c:spPr>
            <c:txPr>
              <a:bodyPr/>
              <a:lstStyle/>
              <a:p>
                <a:pPr>
                  <a:defRPr sz="1550" b="1" i="0" u="none" strike="noStrike" baseline="0">
                    <a:solidFill>
                      <a:srgbClr val="000080"/>
                    </a:solidFill>
                    <a:latin typeface="Arial"/>
                    <a:ea typeface="Arial"/>
                    <a:cs typeface="Arial"/>
                  </a:defRPr>
                </a:pPr>
                <a:endParaRPr lang="fr-FR"/>
              </a:p>
            </c:txPr>
            <c:showLegendKey val="0"/>
            <c:showVal val="1"/>
            <c:showCatName val="0"/>
            <c:showSerName val="0"/>
            <c:showPercent val="0"/>
            <c:showBubbleSize val="0"/>
            <c:showLeaderLines val="0"/>
          </c:dLbls>
          <c:cat>
            <c:strRef>
              <c:f>[0]!or_titles</c:f>
              <c:strCache>
                <c:ptCount val="1"/>
                <c:pt idx="0">
                  <c:v>Valeur créée</c:v>
                </c:pt>
              </c:strCache>
            </c:strRef>
          </c:cat>
          <c:val>
            <c:numRef>
              <c:f>[0]!or_series3</c:f>
              <c:numCache>
                <c:formatCode>#,##0</c:formatCode>
                <c:ptCount val="1"/>
              </c:numCache>
            </c:numRef>
          </c:val>
        </c:ser>
        <c:ser>
          <c:idx val="3"/>
          <c:order val="3"/>
          <c:spPr>
            <a:solidFill>
              <a:srgbClr val="CCFFCC"/>
            </a:solidFill>
            <a:ln w="12700">
              <a:solidFill>
                <a:srgbClr val="CCFFCC"/>
              </a:solidFill>
              <a:prstDash val="solid"/>
            </a:ln>
          </c:spPr>
          <c:invertIfNegative val="0"/>
          <c:cat>
            <c:strRef>
              <c:f>[0]!or_titles</c:f>
              <c:strCache>
                <c:ptCount val="1"/>
                <c:pt idx="0">
                  <c:v>Valeur créée</c:v>
                </c:pt>
              </c:strCache>
            </c:strRef>
          </c:cat>
          <c:val>
            <c:numRef>
              <c:f>[0]!or_series4</c:f>
              <c:numCache>
                <c:formatCode>#,##0</c:formatCode>
                <c:ptCount val="1"/>
              </c:numCache>
            </c:numRef>
          </c:val>
        </c:ser>
        <c:ser>
          <c:idx val="4"/>
          <c:order val="4"/>
          <c:spPr>
            <a:solidFill>
              <a:srgbClr val="FF8080"/>
            </a:solidFill>
            <a:ln w="12700">
              <a:solidFill>
                <a:srgbClr val="FF8080"/>
              </a:solidFill>
              <a:prstDash val="solid"/>
            </a:ln>
          </c:spPr>
          <c:invertIfNegative val="0"/>
          <c:dLbls>
            <c:dLbl>
              <c:idx val="1"/>
              <c:delete val="1"/>
            </c:dLbl>
            <c:dLbl>
              <c:idx val="2"/>
              <c:delete val="1"/>
            </c:dLbl>
            <c:dLbl>
              <c:idx val="3"/>
              <c:tx>
                <c:strRef>
                  <c:f>'Opportunités et Risques'!$K$11</c:f>
                  <c:strCache>
                    <c:ptCount val="1"/>
                    <c:pt idx="0">
                      <c:v>0</c:v>
                    </c:pt>
                  </c:strCache>
                </c:strRef>
              </c:tx>
              <c:showLegendKey val="0"/>
              <c:showVal val="0"/>
              <c:showCatName val="0"/>
              <c:showSerName val="0"/>
              <c:showPercent val="0"/>
              <c:showBubbleSize val="0"/>
            </c:dLbl>
            <c:dLbl>
              <c:idx val="4"/>
              <c:tx>
                <c:strRef>
                  <c:f>'Opportunités et Risques'!$K$12</c:f>
                  <c:strCache>
                    <c:ptCount val="1"/>
                    <c:pt idx="0">
                      <c:v>0</c:v>
                    </c:pt>
                  </c:strCache>
                </c:strRef>
              </c:tx>
              <c:showLegendKey val="0"/>
              <c:showVal val="0"/>
              <c:showCatName val="0"/>
              <c:showSerName val="0"/>
              <c:showPercent val="0"/>
              <c:showBubbleSize val="0"/>
            </c:dLbl>
            <c:spPr>
              <a:noFill/>
              <a:ln w="25400">
                <a:noFill/>
              </a:ln>
            </c:spPr>
            <c:txPr>
              <a:bodyPr/>
              <a:lstStyle/>
              <a:p>
                <a:pPr>
                  <a:defRPr sz="1550" b="1" i="0" u="none" strike="noStrike" baseline="0">
                    <a:solidFill>
                      <a:srgbClr val="003300"/>
                    </a:solidFill>
                    <a:latin typeface="Arial"/>
                    <a:ea typeface="Arial"/>
                    <a:cs typeface="Arial"/>
                  </a:defRPr>
                </a:pPr>
                <a:endParaRPr lang="fr-FR"/>
              </a:p>
            </c:txPr>
            <c:showLegendKey val="0"/>
            <c:showVal val="1"/>
            <c:showCatName val="0"/>
            <c:showSerName val="0"/>
            <c:showPercent val="0"/>
            <c:showBubbleSize val="0"/>
            <c:showLeaderLines val="0"/>
          </c:dLbls>
          <c:cat>
            <c:strRef>
              <c:f>[0]!or_titles</c:f>
              <c:strCache>
                <c:ptCount val="1"/>
                <c:pt idx="0">
                  <c:v>Valeur créée</c:v>
                </c:pt>
              </c:strCache>
            </c:strRef>
          </c:cat>
          <c:val>
            <c:numRef>
              <c:f>[0]!or_series5</c:f>
              <c:numCache>
                <c:formatCode>#,##0</c:formatCode>
                <c:ptCount val="1"/>
              </c:numCache>
            </c:numRef>
          </c:val>
        </c:ser>
        <c:ser>
          <c:idx val="5"/>
          <c:order val="5"/>
          <c:spPr>
            <a:solidFill>
              <a:srgbClr val="FF8080"/>
            </a:solidFill>
            <a:ln w="12700">
              <a:solidFill>
                <a:srgbClr val="FF8080"/>
              </a:solidFill>
              <a:prstDash val="solid"/>
            </a:ln>
          </c:spPr>
          <c:invertIfNegative val="0"/>
          <c:dLbls>
            <c:dLbl>
              <c:idx val="0"/>
              <c:delete val="1"/>
            </c:dLbl>
            <c:dLbl>
              <c:idx val="1"/>
              <c:delete val="1"/>
            </c:dLbl>
            <c:dLbl>
              <c:idx val="2"/>
              <c:delete val="1"/>
            </c:dLbl>
            <c:dLbl>
              <c:idx val="3"/>
              <c:delete val="1"/>
            </c:dLbl>
            <c:dLbl>
              <c:idx val="4"/>
              <c:delete val="1"/>
            </c:dLbl>
            <c:spPr>
              <a:noFill/>
              <a:ln w="25400">
                <a:noFill/>
              </a:ln>
            </c:spPr>
            <c:txPr>
              <a:bodyPr/>
              <a:lstStyle/>
              <a:p>
                <a:pPr>
                  <a:defRPr sz="95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cat>
            <c:strRef>
              <c:f>[0]!or_titles</c:f>
              <c:strCache>
                <c:ptCount val="1"/>
                <c:pt idx="0">
                  <c:v>Valeur créée</c:v>
                </c:pt>
              </c:strCache>
            </c:strRef>
          </c:cat>
          <c:val>
            <c:numRef>
              <c:f>[0]!or_series6</c:f>
              <c:numCache>
                <c:formatCode>#,##0</c:formatCode>
                <c:ptCount val="1"/>
              </c:numCache>
            </c:numRef>
          </c:val>
        </c:ser>
        <c:dLbls>
          <c:showLegendKey val="0"/>
          <c:showVal val="0"/>
          <c:showCatName val="0"/>
          <c:showSerName val="0"/>
          <c:showPercent val="0"/>
          <c:showBubbleSize val="0"/>
        </c:dLbls>
        <c:gapWidth val="50"/>
        <c:overlap val="100"/>
        <c:axId val="241104000"/>
        <c:axId val="241105536"/>
      </c:barChart>
      <c:catAx>
        <c:axId val="241104000"/>
        <c:scaling>
          <c:orientation val="minMax"/>
        </c:scaling>
        <c:delete val="0"/>
        <c:axPos val="b"/>
        <c:numFmt formatCode="General" sourceLinked="1"/>
        <c:majorTickMark val="in"/>
        <c:minorTickMark val="none"/>
        <c:tickLblPos val="low"/>
        <c:spPr>
          <a:ln w="3175">
            <a:solidFill>
              <a:srgbClr val="000080"/>
            </a:solidFill>
            <a:prstDash val="solid"/>
          </a:ln>
        </c:spPr>
        <c:txPr>
          <a:bodyPr rot="0" vert="horz"/>
          <a:lstStyle/>
          <a:p>
            <a:pPr>
              <a:defRPr sz="1325" b="1" i="0" u="none" strike="noStrike" baseline="0">
                <a:solidFill>
                  <a:srgbClr val="000080"/>
                </a:solidFill>
                <a:latin typeface="Arial"/>
                <a:ea typeface="Arial"/>
                <a:cs typeface="Arial"/>
              </a:defRPr>
            </a:pPr>
            <a:endParaRPr lang="fr-FR"/>
          </a:p>
        </c:txPr>
        <c:crossAx val="241105536"/>
        <c:crosses val="autoZero"/>
        <c:auto val="1"/>
        <c:lblAlgn val="ctr"/>
        <c:lblOffset val="100"/>
        <c:tickLblSkip val="1"/>
        <c:tickMarkSkip val="1"/>
        <c:noMultiLvlLbl val="0"/>
      </c:catAx>
      <c:valAx>
        <c:axId val="241105536"/>
        <c:scaling>
          <c:orientation val="minMax"/>
        </c:scaling>
        <c:delete val="0"/>
        <c:axPos val="l"/>
        <c:majorGridlines>
          <c:spPr>
            <a:ln w="3175">
              <a:solidFill>
                <a:srgbClr val="000080"/>
              </a:solidFill>
              <a:prstDash val="sysDash"/>
            </a:ln>
          </c:spPr>
        </c:majorGridlines>
        <c:numFmt formatCode="#,##0" sourceLinked="1"/>
        <c:majorTickMark val="in"/>
        <c:minorTickMark val="none"/>
        <c:tickLblPos val="nextTo"/>
        <c:spPr>
          <a:ln w="3175">
            <a:solidFill>
              <a:srgbClr val="000080"/>
            </a:solidFill>
            <a:prstDash val="solid"/>
          </a:ln>
        </c:spPr>
        <c:txPr>
          <a:bodyPr rot="0" vert="horz"/>
          <a:lstStyle/>
          <a:p>
            <a:pPr>
              <a:defRPr sz="1325" b="1" i="0" u="none" strike="noStrike" baseline="0">
                <a:solidFill>
                  <a:srgbClr val="000080"/>
                </a:solidFill>
                <a:latin typeface="Arial"/>
                <a:ea typeface="Arial"/>
                <a:cs typeface="Arial"/>
              </a:defRPr>
            </a:pPr>
            <a:endParaRPr lang="fr-FR"/>
          </a:p>
        </c:txPr>
        <c:crossAx val="241104000"/>
        <c:crosses val="autoZero"/>
        <c:crossBetween val="between"/>
        <c:minorUnit val="135.84466627433"/>
      </c:valAx>
      <c:spPr>
        <a:solidFill>
          <a:srgbClr val="FFFFFF"/>
        </a:solidFill>
        <a:ln w="12700">
          <a:solidFill>
            <a:srgbClr val="000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1" u="none" strike="noStrike" baseline="0">
                <a:solidFill>
                  <a:srgbClr val="000080"/>
                </a:solidFill>
                <a:latin typeface="Arial"/>
                <a:ea typeface="Arial"/>
                <a:cs typeface="Arial"/>
              </a:defRPr>
            </a:pPr>
            <a:r>
              <a:rPr lang="fr-FR"/>
              <a:t>Cumul des cash-flows disponibles actualisés</a:t>
            </a:r>
          </a:p>
        </c:rich>
      </c:tx>
      <c:layout>
        <c:manualLayout>
          <c:xMode val="edge"/>
          <c:yMode val="edge"/>
          <c:x val="0.22296717098844321"/>
          <c:y val="2.0356271046405364E-2"/>
        </c:manualLayout>
      </c:layout>
      <c:overlay val="0"/>
      <c:spPr>
        <a:solidFill>
          <a:srgbClr val="FFFFFF"/>
        </a:solidFill>
        <a:ln w="3175">
          <a:solidFill>
            <a:srgbClr val="000080"/>
          </a:solidFill>
          <a:prstDash val="solid"/>
        </a:ln>
        <a:effectLst>
          <a:outerShdw dist="35921" dir="2700000" algn="br">
            <a:srgbClr val="000000"/>
          </a:outerShdw>
        </a:effectLst>
      </c:spPr>
    </c:title>
    <c:autoTitleDeleted val="0"/>
    <c:plotArea>
      <c:layout>
        <c:manualLayout>
          <c:layoutTarget val="inner"/>
          <c:xMode val="edge"/>
          <c:yMode val="edge"/>
          <c:x val="5.7837384744341996E-2"/>
          <c:y val="0.13486005089058523"/>
          <c:w val="0.93126571668063696"/>
          <c:h val="0.78117048346055984"/>
        </c:manualLayout>
      </c:layout>
      <c:barChart>
        <c:barDir val="col"/>
        <c:grouping val="clustered"/>
        <c:varyColors val="0"/>
        <c:ser>
          <c:idx val="1"/>
          <c:order val="0"/>
          <c:spPr>
            <a:solidFill>
              <a:srgbClr val="008080"/>
            </a:solidFill>
            <a:ln w="12700">
              <a:solidFill>
                <a:srgbClr val="008080"/>
              </a:solidFill>
              <a:prstDash val="solid"/>
            </a:ln>
          </c:spPr>
          <c:invertIfNegative val="0"/>
          <c:cat>
            <c:numRef>
              <c:f>'Rentabilité Location 10 ans'!$E$9:$P$9</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'Rentabilité Location 10 ans'!$E$33:$P$33</c:f>
              <c:numCache>
                <c:formatCode>#,##0.0</c:formatCode>
                <c:ptCount val="12"/>
                <c:pt idx="0">
                  <c:v>0</c:v>
                </c:pt>
                <c:pt idx="1">
                  <c:v>-2850.6787330316747</c:v>
                </c:pt>
                <c:pt idx="2">
                  <c:v>-6816.9365901599058</c:v>
                </c:pt>
                <c:pt idx="3">
                  <c:v>-7279.8663981313075</c:v>
                </c:pt>
                <c:pt idx="4">
                  <c:v>-7074.6215264969023</c:v>
                </c:pt>
                <c:pt idx="5">
                  <c:v>-6888.8795612168969</c:v>
                </c:pt>
                <c:pt idx="6">
                  <c:v>-6720.7872849453988</c:v>
                </c:pt>
                <c:pt idx="7">
                  <c:v>-6568.6675779123689</c:v>
                </c:pt>
                <c:pt idx="8">
                  <c:v>-6431.0026846698083</c:v>
                </c:pt>
                <c:pt idx="9">
                  <c:v>-6306.419070875636</c:v>
                </c:pt>
                <c:pt idx="10">
                  <c:v>-6193.6737190257063</c:v>
                </c:pt>
                <c:pt idx="11">
                  <c:v>-6091.6417264013353</c:v>
                </c:pt>
              </c:numCache>
            </c:numRef>
          </c:val>
        </c:ser>
        <c:dLbls>
          <c:showLegendKey val="0"/>
          <c:showVal val="0"/>
          <c:showCatName val="0"/>
          <c:showSerName val="0"/>
          <c:showPercent val="0"/>
          <c:showBubbleSize val="0"/>
        </c:dLbls>
        <c:gapWidth val="50"/>
        <c:axId val="241181824"/>
        <c:axId val="241183360"/>
      </c:barChart>
      <c:catAx>
        <c:axId val="241181824"/>
        <c:scaling>
          <c:orientation val="minMax"/>
        </c:scaling>
        <c:delete val="0"/>
        <c:axPos val="b"/>
        <c:numFmt formatCode="General" sourceLinked="1"/>
        <c:majorTickMark val="out"/>
        <c:minorTickMark val="none"/>
        <c:tickLblPos val="low"/>
        <c:spPr>
          <a:ln w="3175">
            <a:solidFill>
              <a:srgbClr val="000080"/>
            </a:solidFill>
            <a:prstDash val="solid"/>
          </a:ln>
        </c:spPr>
        <c:txPr>
          <a:bodyPr rot="0" vert="horz"/>
          <a:lstStyle/>
          <a:p>
            <a:pPr>
              <a:defRPr sz="1400" b="1" i="0" u="none" strike="noStrike" baseline="0">
                <a:solidFill>
                  <a:srgbClr val="000080"/>
                </a:solidFill>
                <a:latin typeface="Arial"/>
                <a:ea typeface="Arial"/>
                <a:cs typeface="Arial"/>
              </a:defRPr>
            </a:pPr>
            <a:endParaRPr lang="fr-FR"/>
          </a:p>
        </c:txPr>
        <c:crossAx val="241183360"/>
        <c:crosses val="autoZero"/>
        <c:auto val="1"/>
        <c:lblAlgn val="ctr"/>
        <c:lblOffset val="100"/>
        <c:tickLblSkip val="1"/>
        <c:tickMarkSkip val="1"/>
        <c:noMultiLvlLbl val="0"/>
      </c:catAx>
      <c:valAx>
        <c:axId val="241183360"/>
        <c:scaling>
          <c:orientation val="minMax"/>
        </c:scaling>
        <c:delete val="0"/>
        <c:axPos val="l"/>
        <c:majorGridlines>
          <c:spPr>
            <a:ln w="3175">
              <a:solidFill>
                <a:srgbClr val="000080"/>
              </a:solidFill>
              <a:prstDash val="sysDash"/>
            </a:ln>
          </c:spPr>
        </c:majorGridlines>
        <c:numFmt formatCode="#,##0" sourceLinked="0"/>
        <c:majorTickMark val="in"/>
        <c:minorTickMark val="none"/>
        <c:tickLblPos val="low"/>
        <c:spPr>
          <a:ln w="3175">
            <a:solidFill>
              <a:srgbClr val="000080"/>
            </a:solidFill>
            <a:prstDash val="solid"/>
          </a:ln>
        </c:spPr>
        <c:txPr>
          <a:bodyPr rot="0" vert="horz"/>
          <a:lstStyle/>
          <a:p>
            <a:pPr>
              <a:defRPr sz="1400" b="1" i="0" u="none" strike="noStrike" baseline="0">
                <a:solidFill>
                  <a:srgbClr val="000080"/>
                </a:solidFill>
                <a:latin typeface="Arial"/>
                <a:ea typeface="Arial"/>
                <a:cs typeface="Arial"/>
              </a:defRPr>
            </a:pPr>
            <a:endParaRPr lang="fr-FR"/>
          </a:p>
        </c:txPr>
        <c:crossAx val="241181824"/>
        <c:crosses val="autoZero"/>
        <c:crossBetween val="between"/>
      </c:valAx>
      <c:spPr>
        <a:solidFill>
          <a:srgbClr val="FFFFFF"/>
        </a:solidFill>
        <a:ln w="12700">
          <a:solidFill>
            <a:srgbClr val="000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chartsheets/_rels/sheet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chartsheets/_rels/sheet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chartsheets/_rels/sheet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chartsheets/sheet1.xml><?xml version="1.0" encoding="utf-8"?>
<chartsheet xmlns="http://schemas.openxmlformats.org/spreadsheetml/2006/main" xmlns:r="http://schemas.openxmlformats.org/officeDocument/2006/relationships">
  <sheetPr codeName="Graph21"/>
  <sheetViews>
    <sheetView zoomScale="123" workbookViewId="0"/>
  </sheetViews>
  <pageMargins left="0.78740157499999996" right="0.78740157499999996" top="0.984251969" bottom="0.984251969" header="0.4921259845" footer="0.4921259845"/>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ashFlowGraph"/>
  <sheetViews>
    <sheetView workbookViewId="0"/>
  </sheetViews>
  <pageMargins left="0.8" right="0.8" top="0.8" bottom="0.8" header="0.5" footer="0.5"/>
  <pageSetup paperSize="9" orientation="landscape" r:id="rId1"/>
  <headerFooter alignWithMargins="0"/>
  <drawing r:id="rId2"/>
  <legacyDrawing r:id="rId3"/>
</chartsheet>
</file>

<file path=xl/chartsheets/sheet3.xml><?xml version="1.0" encoding="utf-8"?>
<chartsheet xmlns="http://schemas.openxmlformats.org/spreadsheetml/2006/main" xmlns:r="http://schemas.openxmlformats.org/officeDocument/2006/relationships">
  <sheetPr codeName="OpportunitiesGraph"/>
  <sheetViews>
    <sheetView workbookViewId="0"/>
  </sheetViews>
  <pageMargins left="0.8" right="0.8" top="0.8" bottom="0.8" header="0.5" footer="0.5"/>
  <pageSetup paperSize="9" orientation="landscape" r:id="rId1"/>
  <headerFooter alignWithMargins="0"/>
  <drawing r:id="rId2"/>
  <legacyDrawing r:id="rId3"/>
</chartsheet>
</file>

<file path=xl/chartsheets/sheet4.xml><?xml version="1.0" encoding="utf-8"?>
<chartsheet xmlns="http://schemas.openxmlformats.org/spreadsheetml/2006/main" xmlns:r="http://schemas.openxmlformats.org/officeDocument/2006/relationships">
  <sheetPr codeName="Graph32"/>
  <sheetViews>
    <sheetView zoomScale="84" workbookViewId="0"/>
  </sheetViews>
  <pageMargins left="0.8" right="0.8" top="0.8" bottom="0.8" header="0.5" footer="0.5"/>
  <pageSetup paperSize="9" orientation="landscape" r:id="rId1"/>
  <headerFooter alignWithMargins="0"/>
  <drawing r:id="rId2"/>
  <legacyDrawing r:id="rId3"/>
</chartsheet>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emf"/></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emf"/><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3</xdr:col>
      <xdr:colOff>152400</xdr:colOff>
      <xdr:row>63</xdr:row>
      <xdr:rowOff>66675</xdr:rowOff>
    </xdr:from>
    <xdr:to>
      <xdr:col>3</xdr:col>
      <xdr:colOff>361950</xdr:colOff>
      <xdr:row>63</xdr:row>
      <xdr:rowOff>66675</xdr:rowOff>
    </xdr:to>
    <xdr:sp macro="" textlink="">
      <xdr:nvSpPr>
        <xdr:cNvPr id="125847" name="Line 87"/>
        <xdr:cNvSpPr>
          <a:spLocks noChangeShapeType="1"/>
        </xdr:cNvSpPr>
      </xdr:nvSpPr>
      <xdr:spPr bwMode="auto">
        <a:xfrm>
          <a:off x="2314575" y="10163175"/>
          <a:ext cx="20955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81356</xdr:colOff>
      <xdr:row>77</xdr:row>
      <xdr:rowOff>137927</xdr:rowOff>
    </xdr:from>
    <xdr:to>
      <xdr:col>4</xdr:col>
      <xdr:colOff>637251</xdr:colOff>
      <xdr:row>80</xdr:row>
      <xdr:rowOff>39133</xdr:rowOff>
    </xdr:to>
    <xdr:sp macro="[0]!Emprunt2015" textlink="">
      <xdr:nvSpPr>
        <xdr:cNvPr id="5" name="Rectangle 4"/>
        <xdr:cNvSpPr/>
      </xdr:nvSpPr>
      <xdr:spPr>
        <a:xfrm>
          <a:off x="2779815" y="13070937"/>
          <a:ext cx="586152" cy="40038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800"/>
            <a:t>Emprunt </a:t>
          </a:r>
          <a:r>
            <a:rPr lang="fr-FR" sz="800" baseline="0"/>
            <a:t>2015</a:t>
          </a:r>
          <a:endParaRPr lang="fr-FR" sz="800"/>
        </a:p>
      </xdr:txBody>
    </xdr:sp>
    <xdr:clientData/>
  </xdr:twoCellAnchor>
  <xdr:twoCellAnchor>
    <xdr:from>
      <xdr:col>5</xdr:col>
      <xdr:colOff>138420</xdr:colOff>
      <xdr:row>78</xdr:row>
      <xdr:rowOff>100</xdr:rowOff>
    </xdr:from>
    <xdr:to>
      <xdr:col>5</xdr:col>
      <xdr:colOff>692624</xdr:colOff>
      <xdr:row>80</xdr:row>
      <xdr:rowOff>35906</xdr:rowOff>
    </xdr:to>
    <xdr:sp macro="[0]!Emprunt2016" textlink="">
      <xdr:nvSpPr>
        <xdr:cNvPr id="6" name="Rectangle 5"/>
        <xdr:cNvSpPr/>
      </xdr:nvSpPr>
      <xdr:spPr>
        <a:xfrm>
          <a:off x="3668787" y="13085427"/>
          <a:ext cx="576591" cy="365712"/>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800"/>
            <a:t>Emprunt </a:t>
          </a:r>
          <a:r>
            <a:rPr lang="fr-FR" sz="800" baseline="0"/>
            <a:t>2016</a:t>
          </a:r>
          <a:endParaRPr lang="fr-FR" sz="800"/>
        </a:p>
      </xdr:txBody>
    </xdr:sp>
    <xdr:clientData/>
  </xdr:twoCellAnchor>
  <xdr:twoCellAnchor>
    <xdr:from>
      <xdr:col>6</xdr:col>
      <xdr:colOff>116696</xdr:colOff>
      <xdr:row>78</xdr:row>
      <xdr:rowOff>4195</xdr:rowOff>
    </xdr:from>
    <xdr:to>
      <xdr:col>6</xdr:col>
      <xdr:colOff>681923</xdr:colOff>
      <xdr:row>80</xdr:row>
      <xdr:rowOff>35609</xdr:rowOff>
    </xdr:to>
    <xdr:sp macro="[0]!Emprunt2017" textlink="">
      <xdr:nvSpPr>
        <xdr:cNvPr id="7" name="Rectangle 6"/>
        <xdr:cNvSpPr/>
      </xdr:nvSpPr>
      <xdr:spPr>
        <a:xfrm>
          <a:off x="4553319" y="13084030"/>
          <a:ext cx="568799" cy="36697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800"/>
            <a:t>Emprunt </a:t>
          </a:r>
          <a:r>
            <a:rPr lang="fr-FR" sz="800" baseline="0"/>
            <a:t>2017</a:t>
          </a:r>
          <a:endParaRPr lang="fr-FR" sz="800"/>
        </a:p>
      </xdr:txBody>
    </xdr:sp>
    <xdr:clientData/>
  </xdr:twoCellAnchor>
  <xdr:twoCellAnchor>
    <xdr:from>
      <xdr:col>7</xdr:col>
      <xdr:colOff>65715</xdr:colOff>
      <xdr:row>78</xdr:row>
      <xdr:rowOff>2796</xdr:rowOff>
    </xdr:from>
    <xdr:to>
      <xdr:col>7</xdr:col>
      <xdr:colOff>604416</xdr:colOff>
      <xdr:row>80</xdr:row>
      <xdr:rowOff>41452</xdr:rowOff>
    </xdr:to>
    <xdr:sp macro="[0]!Emprunt2018" textlink="">
      <xdr:nvSpPr>
        <xdr:cNvPr id="8" name="Rectangle 7"/>
        <xdr:cNvSpPr/>
      </xdr:nvSpPr>
      <xdr:spPr>
        <a:xfrm>
          <a:off x="5280871" y="13082631"/>
          <a:ext cx="576383" cy="38169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800"/>
            <a:t>Emprunt </a:t>
          </a:r>
          <a:r>
            <a:rPr lang="fr-FR" sz="800" baseline="0"/>
            <a:t>2018</a:t>
          </a:r>
          <a:endParaRPr lang="fr-FR" sz="800"/>
        </a:p>
      </xdr:txBody>
    </xdr:sp>
    <xdr:clientData/>
  </xdr:twoCellAnchor>
  <xdr:twoCellAnchor>
    <xdr:from>
      <xdr:col>8</xdr:col>
      <xdr:colOff>40811</xdr:colOff>
      <xdr:row>78</xdr:row>
      <xdr:rowOff>770</xdr:rowOff>
    </xdr:from>
    <xdr:to>
      <xdr:col>8</xdr:col>
      <xdr:colOff>625043</xdr:colOff>
      <xdr:row>80</xdr:row>
      <xdr:rowOff>41316</xdr:rowOff>
    </xdr:to>
    <xdr:sp macro="[0]!Emprunt2019" textlink="">
      <xdr:nvSpPr>
        <xdr:cNvPr id="9" name="Rectangle 8"/>
        <xdr:cNvSpPr/>
      </xdr:nvSpPr>
      <xdr:spPr>
        <a:xfrm>
          <a:off x="6045930" y="13088225"/>
          <a:ext cx="595508" cy="37610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800"/>
            <a:t>Emprunt </a:t>
          </a:r>
          <a:r>
            <a:rPr lang="fr-FR" sz="800" baseline="0"/>
            <a:t>2019</a:t>
          </a:r>
          <a:endParaRPr lang="fr-FR" sz="800"/>
        </a:p>
      </xdr:txBody>
    </xdr:sp>
    <xdr:clientData/>
  </xdr:twoCellAnchor>
  <xdr:twoCellAnchor>
    <xdr:from>
      <xdr:col>9</xdr:col>
      <xdr:colOff>114513</xdr:colOff>
      <xdr:row>78</xdr:row>
      <xdr:rowOff>1399</xdr:rowOff>
    </xdr:from>
    <xdr:to>
      <xdr:col>9</xdr:col>
      <xdr:colOff>677467</xdr:colOff>
      <xdr:row>80</xdr:row>
      <xdr:rowOff>35669</xdr:rowOff>
    </xdr:to>
    <xdr:sp macro="[0]!Emprunt2020" textlink="">
      <xdr:nvSpPr>
        <xdr:cNvPr id="10" name="Rectangle 9"/>
        <xdr:cNvSpPr/>
      </xdr:nvSpPr>
      <xdr:spPr>
        <a:xfrm>
          <a:off x="6901976" y="13081234"/>
          <a:ext cx="576383" cy="3698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800"/>
            <a:t>Emprunt </a:t>
          </a:r>
          <a:r>
            <a:rPr lang="fr-FR" sz="800" baseline="0"/>
            <a:t>2020</a:t>
          </a:r>
          <a:endParaRPr lang="fr-FR" sz="800"/>
        </a:p>
      </xdr:txBody>
    </xdr:sp>
    <xdr:clientData/>
  </xdr:twoCellAnchor>
  <xdr:twoCellAnchor>
    <xdr:from>
      <xdr:col>0</xdr:col>
      <xdr:colOff>157370</xdr:colOff>
      <xdr:row>66</xdr:row>
      <xdr:rowOff>49696</xdr:rowOff>
    </xdr:from>
    <xdr:to>
      <xdr:col>0</xdr:col>
      <xdr:colOff>853109</xdr:colOff>
      <xdr:row>68</xdr:row>
      <xdr:rowOff>8283</xdr:rowOff>
    </xdr:to>
    <xdr:sp macro="[0]!Macro3" textlink="">
      <xdr:nvSpPr>
        <xdr:cNvPr id="2" name="Rectangle 1"/>
        <xdr:cNvSpPr/>
      </xdr:nvSpPr>
      <xdr:spPr>
        <a:xfrm>
          <a:off x="157370" y="10841935"/>
          <a:ext cx="695739" cy="28989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Mac</a:t>
          </a:r>
          <a:r>
            <a:rPr lang="fr-FR" sz="1100" baseline="0"/>
            <a:t>ro 3</a:t>
          </a:r>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absoluteAnchor>
    <xdr:pos x="0" y="0"/>
    <xdr:ext cx="9105900" cy="5981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cdr:x>
      <cdr:y>0.1275</cdr:y>
    </cdr:from>
    <cdr:to>
      <cdr:x>0.0795</cdr:x>
      <cdr:y>0.16825</cdr:y>
    </cdr:to>
    <cdr:sp macro="" textlink="'[5] '!$B$7">
      <cdr:nvSpPr>
        <cdr:cNvPr id="7169" name="Text Box 1"/>
        <cdr:cNvSpPr txBox="1">
          <a:spLocks xmlns:a="http://schemas.openxmlformats.org/drawingml/2006/main" noChangeArrowheads="1" noTextEdit="1"/>
        </cdr:cNvSpPr>
      </cdr:nvSpPr>
      <cdr:spPr bwMode="auto">
        <a:xfrm xmlns:a="http://schemas.openxmlformats.org/drawingml/2006/main">
          <a:off x="0" y="859741"/>
          <a:ext cx="713282" cy="2755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fld id="{9BD9D69A-E05A-4F51-A8B5-A008B0D033A5}" type="TxLink">
            <a:rPr lang="fr-FR" sz="1400" b="1" i="0" u="none" strike="noStrike" baseline="0">
              <a:solidFill>
                <a:srgbClr val="000080"/>
              </a:solidFill>
              <a:latin typeface="Arial"/>
              <a:cs typeface="Arial"/>
            </a:rPr>
            <a:pPr algn="ctr" rtl="0">
              <a:defRPr sz="1000"/>
            </a:pPr>
            <a:t></a:t>
          </a:fld>
          <a:endParaRPr lang="fr-FR" sz="1400" b="1" i="0" u="none" strike="noStrike" baseline="0">
            <a:solidFill>
              <a:srgbClr val="000080"/>
            </a:solidFill>
            <a:latin typeface="Arial"/>
            <a:cs typeface="Arial"/>
          </a:endParaRPr>
        </a:p>
      </cdr:txBody>
    </cdr:sp>
  </cdr:relSizeAnchor>
  <cdr:relSizeAnchor xmlns:cdr="http://schemas.openxmlformats.org/drawingml/2006/chartDrawing">
    <cdr:from>
      <cdr:x>0.43584</cdr:x>
      <cdr:y>0.68425</cdr:y>
    </cdr:from>
    <cdr:to>
      <cdr:x>1</cdr:x>
      <cdr:y>0.81065</cdr:y>
    </cdr:to>
    <mc:AlternateContent xmlns:mc="http://schemas.openxmlformats.org/markup-compatibility/2006" xmlns:a14="http://schemas.microsoft.com/office/drawing/2010/main">
      <mc:Choice Requires="a14">
        <cdr:pic>
          <cdr:nvPicPr>
            <cdr:cNvPr id="7170" name="Picture 2"/>
            <cdr:cNvPicPr>
              <a:picLocks xmlns:a="http://schemas.openxmlformats.org/drawingml/2006/main" noChangeAspect="1" noChangeArrowheads="1"/>
              <a:extLst xmlns:a="http://schemas.openxmlformats.org/drawingml/2006/main">
                <a:ext uri="{84589F7E-364E-4C9E-8A38-B11213B215E9}">
                  <a14:cameraTool cellRange="'Calcul Rentabilité ERAMET 20ans'!$H$37:$P$40" spid="_x0000_s134260"/>
                </a:ext>
              </a:extLst>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334802" y="4121963"/>
              <a:ext cx="5160818" cy="727364"/>
            </a:xfrm>
            <a:prstGeom xmlns:a="http://schemas.openxmlformats.org/drawingml/2006/main" prst="rect">
              <a:avLst/>
            </a:prstGeom>
            <a:solidFill xmlns:a="http://schemas.openxmlformats.org/drawingml/2006/main">
              <a:srgbClr val="FFFFFF" mc:Ignorable="a14" a14:legacySpreadsheetColorIndex="9"/>
            </a:solidFill>
            <a:ln xmlns:a="http://schemas.openxmlformats.org/drawingml/2006/main">
              <a:noFill/>
            </a:ln>
            <a:extLst xmlns:a="http://schemas.openxmlformats.org/drawingml/2006/main">
              <a:ext uri="{91240B29-F687-4F45-9708-019B960494DF}">
                <a14:hiddenLine w="9525">
                  <a:solidFill>
                    <a:srgbClr val="000000" mc:Ignorable="a14" a14:legacySpreadsheetColorIndex="64"/>
                  </a:solidFill>
                  <a:miter lim="800000"/>
                  <a:headEnd/>
                  <a:tailEnd/>
                </a14:hiddenLine>
              </a:ext>
            </a:extLst>
          </cdr:spPr>
        </cdr:pic>
      </mc:Choice>
      <mc:Fallback xmlns=""/>
    </mc:AlternateContent>
  </cdr:relSizeAnchor>
  <cdr:relSizeAnchor xmlns:cdr="http://schemas.openxmlformats.org/drawingml/2006/chartDrawing">
    <cdr:from>
      <cdr:x>0.05425</cdr:x>
      <cdr:y>0.0555</cdr:y>
    </cdr:from>
    <cdr:to>
      <cdr:x>0.44827</cdr:x>
      <cdr:y>0.19201</cdr:y>
    </cdr:to>
    <mc:AlternateContent xmlns:mc="http://schemas.openxmlformats.org/markup-compatibility/2006" xmlns:a14="http://schemas.microsoft.com/office/drawing/2010/main">
      <mc:Choice Requires="a14">
        <cdr:pic>
          <cdr:nvPicPr>
            <cdr:cNvPr id="7171" name="Picture 3"/>
            <cdr:cNvPicPr>
              <a:picLocks xmlns:a="http://schemas.openxmlformats.org/drawingml/2006/main" noChangeAspect="1" noChangeArrowheads="1"/>
              <a:extLst xmlns:a="http://schemas.openxmlformats.org/drawingml/2006/main">
                <a:ext uri="{84589F7E-364E-4C9E-8A38-B11213B215E9}">
                  <a14:cameraTool cellRange="'Calcul Rentabilité ERAMET 20ans'!$A$3:$C$7" spid="_x0000_s134261"/>
                </a:ext>
              </a:extLst>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483118" y="374452"/>
              <a:ext cx="3584864" cy="909205"/>
            </a:xfrm>
            <a:prstGeom xmlns:a="http://schemas.openxmlformats.org/drawingml/2006/main" prst="rect">
              <a:avLst/>
            </a:prstGeom>
            <a:solidFill xmlns:a="http://schemas.openxmlformats.org/drawingml/2006/main">
              <a:srgbClr val="FFFFFF" mc:Ignorable="a14" a14:legacySpreadsheetColorIndex="9"/>
            </a:solidFill>
            <a:ln xmlns:a="http://schemas.openxmlformats.org/drawingml/2006/main">
              <a:noFill/>
            </a:ln>
            <a:extLst xmlns:a="http://schemas.openxmlformats.org/drawingml/2006/main">
              <a:ext uri="{91240B29-F687-4F45-9708-019B960494DF}">
                <a14:hiddenLine w="9525">
                  <a:solidFill>
                    <a:srgbClr val="000000" mc:Ignorable="a14" a14:legacySpreadsheetColorIndex="64"/>
                  </a:solidFill>
                  <a:miter lim="800000"/>
                  <a:headEnd/>
                  <a:tailEnd/>
                </a14:hiddenLine>
              </a:ext>
            </a:extLst>
          </cdr:spPr>
        </cdr:pic>
      </mc:Choice>
      <mc:Fallback xmlns=""/>
    </mc:AlternateContent>
  </cdr:relSizeAnchor>
</c:userShapes>
</file>

<file path=xl/drawings/drawing12.xml><?xml version="1.0" encoding="utf-8"?>
<xdr:wsDr xmlns:xdr="http://schemas.openxmlformats.org/drawingml/2006/spreadsheetDrawing" xmlns:a="http://schemas.openxmlformats.org/drawingml/2006/main">
  <xdr:absoluteAnchor>
    <xdr:pos x="0" y="0"/>
    <xdr:ext cx="9105900" cy="5981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cdr:x>
      <cdr:y>0.045</cdr:y>
    </cdr:from>
    <cdr:to>
      <cdr:x>0.073</cdr:x>
      <cdr:y>0.08575</cdr:y>
    </cdr:to>
    <cdr:sp macro="" textlink="'[6]Opportunités et Risques'!$F$5">
      <cdr:nvSpPr>
        <cdr:cNvPr id="8193" name="Text Box 1"/>
        <cdr:cNvSpPr txBox="1">
          <a:spLocks xmlns:a="http://schemas.openxmlformats.org/drawingml/2006/main" noChangeArrowheads="1" noTextEdit="1"/>
        </cdr:cNvSpPr>
      </cdr:nvSpPr>
      <cdr:spPr bwMode="auto">
        <a:xfrm xmlns:a="http://schemas.openxmlformats.org/drawingml/2006/main">
          <a:off x="0" y="301059"/>
          <a:ext cx="667705" cy="2755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115A93D8-D2CF-4C10-8E92-E5380DF818EC}" type="TxLink">
            <a:rPr lang="fr-FR" sz="1000" b="1" i="0" u="none" strike="noStrike" baseline="0">
              <a:solidFill>
                <a:srgbClr val="000080"/>
              </a:solidFill>
              <a:latin typeface="Arial"/>
              <a:cs typeface="Arial"/>
            </a:rPr>
            <a:pPr algn="ctr" rtl="0">
              <a:defRPr sz="1000"/>
            </a:pPr>
            <a:t></a:t>
          </a:fld>
          <a:endParaRPr lang="fr-FR" sz="1000" b="1" i="0" u="none" strike="noStrike" baseline="0">
            <a:solidFill>
              <a:srgbClr val="000080"/>
            </a:solidFill>
            <a:latin typeface="Arial"/>
            <a:cs typeface="Arial"/>
          </a:endParaRPr>
        </a:p>
      </cdr:txBody>
    </cdr:sp>
  </cdr:relSizeAnchor>
  <cdr:relSizeAnchor xmlns:cdr="http://schemas.openxmlformats.org/drawingml/2006/chartDrawing">
    <cdr:from>
      <cdr:x>0.06125</cdr:x>
      <cdr:y>0.0905</cdr:y>
    </cdr:from>
    <cdr:to>
      <cdr:x>0.47868</cdr:x>
      <cdr:y>0.18861</cdr:y>
    </cdr:to>
    <mc:AlternateContent xmlns:mc="http://schemas.openxmlformats.org/markup-compatibility/2006" xmlns:a14="http://schemas.microsoft.com/office/drawing/2010/main">
      <mc:Choice Requires="a14">
        <cdr:pic>
          <cdr:nvPicPr>
            <cdr:cNvPr id="8194" name="Picture 2"/>
            <cdr:cNvPicPr>
              <a:picLocks xmlns:a="http://schemas.openxmlformats.org/drawingml/2006/main" noChangeAspect="1" noChangeArrowheads="1"/>
              <a:extLst xmlns:a="http://schemas.openxmlformats.org/drawingml/2006/main">
                <a:ext uri="{84589F7E-364E-4C9E-8A38-B11213B215E9}">
                  <a14:cameraTool cellRange="'Opportunités et Risques'!$E$1:$J$4" spid="_x0000_s118174"/>
                </a:ext>
              </a:extLst>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60599" y="605114"/>
              <a:ext cx="3800475" cy="647700"/>
            </a:xfrm>
            <a:prstGeom xmlns:a="http://schemas.openxmlformats.org/drawingml/2006/main" prst="rect">
              <a:avLst/>
            </a:prstGeom>
            <a:solidFill xmlns:a="http://schemas.openxmlformats.org/drawingml/2006/main">
              <a:srgbClr val="FFFFFF" mc:Ignorable="a14" a14:legacySpreadsheetColorIndex="9"/>
            </a:solidFill>
            <a:ln xmlns:a="http://schemas.openxmlformats.org/drawingml/2006/main">
              <a:noFill/>
            </a:ln>
            <a:extLst xmlns:a="http://schemas.openxmlformats.org/drawingml/2006/main">
              <a:ext uri="{91240B29-F687-4F45-9708-019B960494DF}">
                <a14:hiddenLine w="9525">
                  <a:solidFill>
                    <a:srgbClr val="000000" mc:Ignorable="a14" a14:legacySpreadsheetColorIndex="64"/>
                  </a:solidFill>
                  <a:miter lim="800000"/>
                  <a:headEnd/>
                  <a:tailEnd/>
                </a14:hiddenLine>
              </a:ext>
            </a:extLst>
          </cdr:spPr>
        </cdr:pic>
      </mc:Choice>
      <mc:Fallback xmlns=""/>
    </mc:AlternateContent>
  </cdr:relSizeAnchor>
</c:userShapes>
</file>

<file path=xl/drawings/drawing14.xml><?xml version="1.0" encoding="utf-8"?>
<xdr:wsDr xmlns:xdr="http://schemas.openxmlformats.org/drawingml/2006/spreadsheetDrawing" xmlns:a="http://schemas.openxmlformats.org/drawingml/2006/main">
  <xdr:twoCellAnchor>
    <xdr:from>
      <xdr:col>0</xdr:col>
      <xdr:colOff>161925</xdr:colOff>
      <xdr:row>0</xdr:row>
      <xdr:rowOff>19050</xdr:rowOff>
    </xdr:from>
    <xdr:to>
      <xdr:col>0</xdr:col>
      <xdr:colOff>885825</xdr:colOff>
      <xdr:row>1</xdr:row>
      <xdr:rowOff>123825</xdr:rowOff>
    </xdr:to>
    <xdr:pic>
      <xdr:nvPicPr>
        <xdr:cNvPr id="81401" name="Picture 21" descr="faxholding"/>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61925" y="19050"/>
          <a:ext cx="7239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absoluteAnchor>
    <xdr:pos x="0" y="0"/>
    <xdr:ext cx="9096375" cy="5981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0.05925</cdr:y>
    </cdr:from>
    <cdr:to>
      <cdr:x>0.081</cdr:x>
      <cdr:y>0.1005</cdr:y>
    </cdr:to>
    <cdr:sp macro="" textlink="'Rentabilité Location 10 ans'!$B$7">
      <cdr:nvSpPr>
        <cdr:cNvPr id="37889" name="Text Box 1"/>
        <cdr:cNvSpPr txBox="1">
          <a:spLocks xmlns:a="http://schemas.openxmlformats.org/drawingml/2006/main" noChangeArrowheads="1" noTextEdit="1"/>
        </cdr:cNvSpPr>
      </cdr:nvSpPr>
      <cdr:spPr bwMode="auto">
        <a:xfrm xmlns:a="http://schemas.openxmlformats.org/drawingml/2006/main">
          <a:off x="0" y="399787"/>
          <a:ext cx="715889" cy="2740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2004" rIns="45720" bIns="32004" anchor="ctr" upright="1"/>
        <a:lstStyle xmlns:a="http://schemas.openxmlformats.org/drawingml/2006/main"/>
        <a:p xmlns:a="http://schemas.openxmlformats.org/drawingml/2006/main">
          <a:pPr algn="ctr" rtl="0">
            <a:defRPr sz="1000"/>
          </a:pPr>
          <a:fld id="{7860D941-EC97-491D-A9C8-C2D233807C33}" type="TxLink">
            <a:rPr lang="fr-FR" sz="1400" b="1" i="0" u="none" strike="noStrike" baseline="0">
              <a:solidFill>
                <a:srgbClr val="000080"/>
              </a:solidFill>
              <a:latin typeface="Arial"/>
              <a:cs typeface="Arial"/>
            </a:rPr>
            <a:pPr algn="ctr" rtl="0">
              <a:defRPr sz="1000"/>
            </a:pPr>
            <a:t>K€</a:t>
          </a:fld>
          <a:endParaRPr lang="fr-FR" sz="1400" b="1" i="0" u="none" strike="noStrike" baseline="0">
            <a:solidFill>
              <a:srgbClr val="000080"/>
            </a:solidFill>
            <a:latin typeface="Arial"/>
            <a:cs typeface="Arial"/>
          </a:endParaRPr>
        </a:p>
      </cdr:txBody>
    </cdr:sp>
  </cdr:relSizeAnchor>
  <cdr:relSizeAnchor xmlns:cdr="http://schemas.openxmlformats.org/drawingml/2006/chartDrawing">
    <cdr:from>
      <cdr:x>0.557</cdr:x>
      <cdr:y>0.7475</cdr:y>
    </cdr:from>
    <cdr:to>
      <cdr:x>0.94727</cdr:x>
      <cdr:y>0.89758</cdr:y>
    </cdr:to>
    <mc:AlternateContent xmlns:mc="http://schemas.openxmlformats.org/markup-compatibility/2006" xmlns:a14="http://schemas.microsoft.com/office/drawing/2010/main">
      <mc:Choice Requires="a14">
        <cdr:pic>
          <cdr:nvPicPr>
            <cdr:cNvPr id="37891" name="Picture 3"/>
            <cdr:cNvPicPr>
              <a:picLocks xmlns:a="http://schemas.openxmlformats.org/drawingml/2006/main" noChangeAspect="1" noChangeArrowheads="1"/>
              <a:extLst xmlns:a="http://schemas.openxmlformats.org/drawingml/2006/main">
                <a:ext uri="{84589F7E-364E-4C9E-8A38-B11213B215E9}">
                  <a14:cameraTool cellRange="'Rentabilité Location 10 ans'!$Q$42:$S$45" spid="_x0000_s115659"/>
                </a:ext>
              </a:extLst>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029408" y="4517445"/>
              <a:ext cx="3543300" cy="883920"/>
            </a:xfrm>
            <a:prstGeom xmlns:a="http://schemas.openxmlformats.org/drawingml/2006/main" prst="rect">
              <a:avLst/>
            </a:prstGeom>
            <a:solidFill xmlns:a="http://schemas.openxmlformats.org/drawingml/2006/main">
              <a:srgbClr val="FFFFFF" mc:Ignorable="a14" a14:legacySpreadsheetColorIndex="9"/>
            </a:solidFill>
            <a:ln xmlns:a="http://schemas.openxmlformats.org/drawingml/2006/main">
              <a:noFill/>
            </a:ln>
            <a:extLst xmlns:a="http://schemas.openxmlformats.org/drawingml/2006/main">
              <a:ext uri="{91240B29-F687-4F45-9708-019B960494DF}">
                <a14:hiddenLine w="9525">
                  <a:solidFill>
                    <a:srgbClr val="000000" mc:Ignorable="a14" a14:legacySpreadsheetColorIndex="64"/>
                  </a:solidFill>
                  <a:miter lim="800000"/>
                  <a:headEnd/>
                  <a:tailEnd/>
                </a14:hiddenLine>
              </a:ext>
            </a:extLst>
          </cdr:spPr>
        </cdr:pic>
      </mc:Choice>
      <mc:Fallback xmlns=""/>
    </mc:AlternateContent>
  </cdr:relSizeAnchor>
  <cdr:relSizeAnchor xmlns:cdr="http://schemas.openxmlformats.org/drawingml/2006/chartDrawing">
    <cdr:from>
      <cdr:x>0.0665</cdr:x>
      <cdr:y>0.132</cdr:y>
    </cdr:from>
    <cdr:to>
      <cdr:x>0.49751</cdr:x>
      <cdr:y>0.26532</cdr:y>
    </cdr:to>
    <mc:AlternateContent xmlns:mc="http://schemas.openxmlformats.org/markup-compatibility/2006" xmlns:a14="http://schemas.microsoft.com/office/drawing/2010/main">
      <mc:Choice Requires="a14">
        <cdr:pic>
          <cdr:nvPicPr>
            <cdr:cNvPr id="37892" name="Picture 4"/>
            <cdr:cNvPicPr>
              <a:picLocks xmlns:a="http://schemas.openxmlformats.org/drawingml/2006/main" noChangeAspect="1" noChangeArrowheads="1"/>
              <a:extLst xmlns:a="http://schemas.openxmlformats.org/drawingml/2006/main">
                <a:ext uri="{84589F7E-364E-4C9E-8A38-B11213B215E9}">
                  <a14:cameraTool cellRange="'Rentabilité Location 10 ans'!$T$46:$Y$49" spid="_x0000_s115660"/>
                </a:ext>
              </a:extLst>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593166" y="857970"/>
              <a:ext cx="3909060" cy="792480"/>
            </a:xfrm>
            <a:prstGeom xmlns:a="http://schemas.openxmlformats.org/drawingml/2006/main" prst="rect">
              <a:avLst/>
            </a:prstGeom>
            <a:solidFill xmlns:a="http://schemas.openxmlformats.org/drawingml/2006/main">
              <a:srgbClr val="FFFFFF" mc:Ignorable="a14" a14:legacySpreadsheetColorIndex="9"/>
            </a:solidFill>
            <a:ln xmlns:a="http://schemas.openxmlformats.org/drawingml/2006/main">
              <a:noFill/>
            </a:ln>
            <a:extLst xmlns:a="http://schemas.openxmlformats.org/drawingml/2006/main">
              <a:ext uri="{91240B29-F687-4F45-9708-019B960494DF}">
                <a14:hiddenLine w="9525">
                  <a:solidFill>
                    <a:srgbClr val="000000" mc:Ignorable="a14" a14:legacySpreadsheetColorIndex="64"/>
                  </a:solidFill>
                  <a:miter lim="800000"/>
                  <a:headEnd/>
                  <a:tailEnd/>
                </a14:hiddenLine>
              </a:ext>
            </a:extLst>
          </cdr:spPr>
        </cdr:pic>
      </mc:Choice>
      <mc:Fallback xmlns=""/>
    </mc:AlternateContent>
  </cdr:relSizeAnchor>
  <cdr:relSizeAnchor xmlns:cdr="http://schemas.openxmlformats.org/drawingml/2006/chartDrawing">
    <cdr:from>
      <cdr:x>0.0545</cdr:x>
      <cdr:y>0.016</cdr:y>
    </cdr:from>
    <cdr:to>
      <cdr:x>0.13575</cdr:x>
      <cdr:y>0.07625</cdr:y>
    </cdr:to>
    <cdr:pic>
      <cdr:nvPicPr>
        <cdr:cNvPr id="37893" name="Picture 5" descr="faxholding"/>
        <cdr:cNvPicPr>
          <a:picLocks xmlns:a="http://schemas.openxmlformats.org/drawingml/2006/main" noChangeAspect="1" noChangeArrowheads="1"/>
        </cdr:cNvPicPr>
      </cdr:nvPicPr>
      <cdr:blipFill>
        <a:blip xmlns:a="http://schemas.openxmlformats.org/drawingml/2006/main" xmlns:r="http://schemas.openxmlformats.org/officeDocument/2006/relationships" r:embed="rId3">
          <a:grayscl/>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90896" y="106310"/>
          <a:ext cx="720434" cy="4057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xml><?xml version="1.0" encoding="utf-8"?>
<xdr:wsDr xmlns:xdr="http://schemas.openxmlformats.org/drawingml/2006/spreadsheetDrawing" xmlns:a="http://schemas.openxmlformats.org/drawingml/2006/main">
  <xdr:twoCellAnchor>
    <xdr:from>
      <xdr:col>0</xdr:col>
      <xdr:colOff>80010</xdr:colOff>
      <xdr:row>8</xdr:row>
      <xdr:rowOff>104775</xdr:rowOff>
    </xdr:from>
    <xdr:to>
      <xdr:col>11</xdr:col>
      <xdr:colOff>9531</xdr:colOff>
      <xdr:row>62</xdr:row>
      <xdr:rowOff>0</xdr:rowOff>
    </xdr:to>
    <xdr:cxnSp macro="">
      <xdr:nvCxnSpPr>
        <xdr:cNvPr id="3" name="Connecteur droit 2"/>
        <xdr:cNvCxnSpPr/>
      </xdr:nvCxnSpPr>
      <xdr:spPr>
        <a:xfrm>
          <a:off x="85725" y="1428750"/>
          <a:ext cx="10353675" cy="8639175"/>
        </a:xfrm>
        <a:prstGeom prst="line">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38101</xdr:colOff>
      <xdr:row>9</xdr:row>
      <xdr:rowOff>47625</xdr:rowOff>
    </xdr:from>
    <xdr:to>
      <xdr:col>11</xdr:col>
      <xdr:colOff>9525</xdr:colOff>
      <xdr:row>61</xdr:row>
      <xdr:rowOff>142875</xdr:rowOff>
    </xdr:to>
    <xdr:cxnSp macro="">
      <xdr:nvCxnSpPr>
        <xdr:cNvPr id="4" name="Connecteur droit 3"/>
        <xdr:cNvCxnSpPr/>
      </xdr:nvCxnSpPr>
      <xdr:spPr>
        <a:xfrm flipH="1">
          <a:off x="38101" y="1533525"/>
          <a:ext cx="10401299" cy="8515350"/>
        </a:xfrm>
        <a:prstGeom prst="line">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228600</xdr:colOff>
      <xdr:row>15</xdr:row>
      <xdr:rowOff>85725</xdr:rowOff>
    </xdr:from>
    <xdr:to>
      <xdr:col>24</xdr:col>
      <xdr:colOff>609600</xdr:colOff>
      <xdr:row>15</xdr:row>
      <xdr:rowOff>85725</xdr:rowOff>
    </xdr:to>
    <xdr:sp macro="" textlink="">
      <xdr:nvSpPr>
        <xdr:cNvPr id="129831" name="Line 1"/>
        <xdr:cNvSpPr>
          <a:spLocks noChangeShapeType="1"/>
        </xdr:cNvSpPr>
      </xdr:nvSpPr>
      <xdr:spPr bwMode="auto">
        <a:xfrm>
          <a:off x="19240500" y="2686050"/>
          <a:ext cx="1143000" cy="0"/>
        </a:xfrm>
        <a:prstGeom prst="line">
          <a:avLst/>
        </a:prstGeom>
        <a:noFill/>
        <a:ln w="1587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28575</xdr:colOff>
      <xdr:row>245</xdr:row>
      <xdr:rowOff>38100</xdr:rowOff>
    </xdr:from>
    <xdr:to>
      <xdr:col>24</xdr:col>
      <xdr:colOff>781050</xdr:colOff>
      <xdr:row>249</xdr:row>
      <xdr:rowOff>28575</xdr:rowOff>
    </xdr:to>
    <xdr:sp macro="" textlink="">
      <xdr:nvSpPr>
        <xdr:cNvPr id="129832" name="Line 2"/>
        <xdr:cNvSpPr>
          <a:spLocks noChangeShapeType="1"/>
        </xdr:cNvSpPr>
      </xdr:nvSpPr>
      <xdr:spPr bwMode="auto">
        <a:xfrm flipV="1">
          <a:off x="19040475" y="40062150"/>
          <a:ext cx="1495425" cy="6381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171450</xdr:colOff>
      <xdr:row>82</xdr:row>
      <xdr:rowOff>95250</xdr:rowOff>
    </xdr:from>
    <xdr:to>
      <xdr:col>23</xdr:col>
      <xdr:colOff>638175</xdr:colOff>
      <xdr:row>82</xdr:row>
      <xdr:rowOff>95250</xdr:rowOff>
    </xdr:to>
    <xdr:sp macro="" textlink="">
      <xdr:nvSpPr>
        <xdr:cNvPr id="129833" name="Line 3"/>
        <xdr:cNvSpPr>
          <a:spLocks noChangeShapeType="1"/>
        </xdr:cNvSpPr>
      </xdr:nvSpPr>
      <xdr:spPr bwMode="auto">
        <a:xfrm>
          <a:off x="19183350" y="13582650"/>
          <a:ext cx="466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180975</xdr:colOff>
      <xdr:row>83</xdr:row>
      <xdr:rowOff>85725</xdr:rowOff>
    </xdr:from>
    <xdr:to>
      <xdr:col>23</xdr:col>
      <xdr:colOff>647700</xdr:colOff>
      <xdr:row>83</xdr:row>
      <xdr:rowOff>85725</xdr:rowOff>
    </xdr:to>
    <xdr:sp macro="" textlink="">
      <xdr:nvSpPr>
        <xdr:cNvPr id="129834" name="Line 4"/>
        <xdr:cNvSpPr>
          <a:spLocks noChangeShapeType="1"/>
        </xdr:cNvSpPr>
      </xdr:nvSpPr>
      <xdr:spPr bwMode="auto">
        <a:xfrm>
          <a:off x="19192875" y="13735050"/>
          <a:ext cx="466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161925</xdr:colOff>
      <xdr:row>149</xdr:row>
      <xdr:rowOff>9525</xdr:rowOff>
    </xdr:from>
    <xdr:to>
      <xdr:col>23</xdr:col>
      <xdr:colOff>714375</xdr:colOff>
      <xdr:row>150</xdr:row>
      <xdr:rowOff>76200</xdr:rowOff>
    </xdr:to>
    <xdr:sp macro="" textlink="">
      <xdr:nvSpPr>
        <xdr:cNvPr id="129835" name="Line 6"/>
        <xdr:cNvSpPr>
          <a:spLocks noChangeShapeType="1"/>
        </xdr:cNvSpPr>
      </xdr:nvSpPr>
      <xdr:spPr bwMode="auto">
        <a:xfrm flipV="1">
          <a:off x="19173825" y="24488775"/>
          <a:ext cx="552450" cy="228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47625</xdr:colOff>
      <xdr:row>252</xdr:row>
      <xdr:rowOff>95250</xdr:rowOff>
    </xdr:from>
    <xdr:to>
      <xdr:col>24</xdr:col>
      <xdr:colOff>800100</xdr:colOff>
      <xdr:row>255</xdr:row>
      <xdr:rowOff>95250</xdr:rowOff>
    </xdr:to>
    <xdr:sp macro="" textlink="">
      <xdr:nvSpPr>
        <xdr:cNvPr id="129836" name="Line 7"/>
        <xdr:cNvSpPr>
          <a:spLocks noChangeShapeType="1"/>
        </xdr:cNvSpPr>
      </xdr:nvSpPr>
      <xdr:spPr bwMode="auto">
        <a:xfrm>
          <a:off x="19059525" y="41252775"/>
          <a:ext cx="1476375" cy="4857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xdr:colOff>
      <xdr:row>152</xdr:row>
      <xdr:rowOff>0</xdr:rowOff>
    </xdr:from>
    <xdr:to>
      <xdr:col>23</xdr:col>
      <xdr:colOff>733425</xdr:colOff>
      <xdr:row>159</xdr:row>
      <xdr:rowOff>57150</xdr:rowOff>
    </xdr:to>
    <xdr:sp macro="" textlink="">
      <xdr:nvSpPr>
        <xdr:cNvPr id="129837" name="Line 8"/>
        <xdr:cNvSpPr>
          <a:spLocks noChangeShapeType="1"/>
        </xdr:cNvSpPr>
      </xdr:nvSpPr>
      <xdr:spPr bwMode="auto">
        <a:xfrm>
          <a:off x="19097625" y="24965025"/>
          <a:ext cx="647700" cy="1190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409575</xdr:colOff>
      <xdr:row>23</xdr:row>
      <xdr:rowOff>57150</xdr:rowOff>
    </xdr:from>
    <xdr:to>
      <xdr:col>3</xdr:col>
      <xdr:colOff>409575</xdr:colOff>
      <xdr:row>24</xdr:row>
      <xdr:rowOff>0</xdr:rowOff>
    </xdr:to>
    <xdr:sp macro="" textlink="">
      <xdr:nvSpPr>
        <xdr:cNvPr id="129838" name="Line 9"/>
        <xdr:cNvSpPr>
          <a:spLocks noChangeShapeType="1"/>
        </xdr:cNvSpPr>
      </xdr:nvSpPr>
      <xdr:spPr bwMode="auto">
        <a:xfrm>
          <a:off x="3333750" y="3952875"/>
          <a:ext cx="0" cy="10477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24</xdr:row>
      <xdr:rowOff>0</xdr:rowOff>
    </xdr:from>
    <xdr:to>
      <xdr:col>3</xdr:col>
      <xdr:colOff>704850</xdr:colOff>
      <xdr:row>24</xdr:row>
      <xdr:rowOff>0</xdr:rowOff>
    </xdr:to>
    <xdr:sp macro="" textlink="">
      <xdr:nvSpPr>
        <xdr:cNvPr id="129839" name="Line 10"/>
        <xdr:cNvSpPr>
          <a:spLocks noChangeShapeType="1"/>
        </xdr:cNvSpPr>
      </xdr:nvSpPr>
      <xdr:spPr bwMode="auto">
        <a:xfrm>
          <a:off x="3333750" y="4057650"/>
          <a:ext cx="295275" cy="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485775</xdr:colOff>
      <xdr:row>66</xdr:row>
      <xdr:rowOff>9525</xdr:rowOff>
    </xdr:from>
    <xdr:to>
      <xdr:col>5</xdr:col>
      <xdr:colOff>485775</xdr:colOff>
      <xdr:row>66</xdr:row>
      <xdr:rowOff>85725</xdr:rowOff>
    </xdr:to>
    <xdr:sp macro="" textlink="">
      <xdr:nvSpPr>
        <xdr:cNvPr id="129840" name="Line 11"/>
        <xdr:cNvSpPr>
          <a:spLocks noChangeShapeType="1"/>
        </xdr:cNvSpPr>
      </xdr:nvSpPr>
      <xdr:spPr bwMode="auto">
        <a:xfrm>
          <a:off x="4991100" y="10887075"/>
          <a:ext cx="0" cy="76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485775</xdr:colOff>
      <xdr:row>66</xdr:row>
      <xdr:rowOff>85725</xdr:rowOff>
    </xdr:from>
    <xdr:to>
      <xdr:col>5</xdr:col>
      <xdr:colOff>771525</xdr:colOff>
      <xdr:row>66</xdr:row>
      <xdr:rowOff>85725</xdr:rowOff>
    </xdr:to>
    <xdr:sp macro="" textlink="">
      <xdr:nvSpPr>
        <xdr:cNvPr id="129841" name="Line 12"/>
        <xdr:cNvSpPr>
          <a:spLocks noChangeShapeType="1"/>
        </xdr:cNvSpPr>
      </xdr:nvSpPr>
      <xdr:spPr bwMode="auto">
        <a:xfrm>
          <a:off x="4991100" y="10963275"/>
          <a:ext cx="285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561975</xdr:colOff>
      <xdr:row>117</xdr:row>
      <xdr:rowOff>28575</xdr:rowOff>
    </xdr:from>
    <xdr:to>
      <xdr:col>3</xdr:col>
      <xdr:colOff>609600</xdr:colOff>
      <xdr:row>120</xdr:row>
      <xdr:rowOff>104775</xdr:rowOff>
    </xdr:to>
    <xdr:sp macro="" textlink="">
      <xdr:nvSpPr>
        <xdr:cNvPr id="129842" name="AutoShape 48"/>
        <xdr:cNvSpPr>
          <a:spLocks noChangeArrowheads="1"/>
        </xdr:cNvSpPr>
      </xdr:nvSpPr>
      <xdr:spPr bwMode="auto">
        <a:xfrm>
          <a:off x="1581150" y="19240500"/>
          <a:ext cx="1952625" cy="581025"/>
        </a:xfrm>
        <a:prstGeom prst="rightArrow">
          <a:avLst>
            <a:gd name="adj1" fmla="val 50000"/>
            <a:gd name="adj2" fmla="val 84016"/>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476250</xdr:colOff>
      <xdr:row>122</xdr:row>
      <xdr:rowOff>76200</xdr:rowOff>
    </xdr:from>
    <xdr:to>
      <xdr:col>23</xdr:col>
      <xdr:colOff>476250</xdr:colOff>
      <xdr:row>126</xdr:row>
      <xdr:rowOff>66675</xdr:rowOff>
    </xdr:to>
    <xdr:sp macro="" textlink="">
      <xdr:nvSpPr>
        <xdr:cNvPr id="129843" name="Line 49"/>
        <xdr:cNvSpPr>
          <a:spLocks noChangeShapeType="1"/>
        </xdr:cNvSpPr>
      </xdr:nvSpPr>
      <xdr:spPr bwMode="auto">
        <a:xfrm>
          <a:off x="19488150" y="20126325"/>
          <a:ext cx="0" cy="6477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209550</xdr:colOff>
      <xdr:row>126</xdr:row>
      <xdr:rowOff>66675</xdr:rowOff>
    </xdr:from>
    <xdr:to>
      <xdr:col>23</xdr:col>
      <xdr:colOff>485775</xdr:colOff>
      <xdr:row>126</xdr:row>
      <xdr:rowOff>66675</xdr:rowOff>
    </xdr:to>
    <xdr:sp macro="" textlink="">
      <xdr:nvSpPr>
        <xdr:cNvPr id="129844" name="Line 50"/>
        <xdr:cNvSpPr>
          <a:spLocks noChangeShapeType="1"/>
        </xdr:cNvSpPr>
      </xdr:nvSpPr>
      <xdr:spPr bwMode="auto">
        <a:xfrm flipH="1">
          <a:off x="19221450" y="20774025"/>
          <a:ext cx="27622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1905</xdr:colOff>
      <xdr:row>124</xdr:row>
      <xdr:rowOff>1905</xdr:rowOff>
    </xdr:from>
    <xdr:to>
      <xdr:col>25</xdr:col>
      <xdr:colOff>576626</xdr:colOff>
      <xdr:row>127</xdr:row>
      <xdr:rowOff>80431</xdr:rowOff>
    </xdr:to>
    <xdr:sp macro="" textlink="">
      <xdr:nvSpPr>
        <xdr:cNvPr id="1075" name="Text Box 51"/>
        <xdr:cNvSpPr txBox="1">
          <a:spLocks noChangeArrowheads="1"/>
        </xdr:cNvSpPr>
      </xdr:nvSpPr>
      <xdr:spPr bwMode="auto">
        <a:xfrm>
          <a:off x="19783425" y="20393025"/>
          <a:ext cx="1333500" cy="57150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2860" rIns="27432" bIns="0" anchor="t" upright="1"/>
        <a:lstStyle/>
        <a:p>
          <a:pPr algn="ctr" rtl="0">
            <a:defRPr sz="1000"/>
          </a:pPr>
          <a:r>
            <a:rPr lang="fr-FR" sz="1000" b="0" i="0" u="none" strike="noStrike" baseline="0">
              <a:solidFill>
                <a:srgbClr val="FF0000"/>
              </a:solidFill>
              <a:latin typeface="Arial"/>
              <a:cs typeface="Arial"/>
            </a:rPr>
            <a:t>COPIER </a:t>
          </a:r>
        </a:p>
        <a:p>
          <a:pPr algn="ctr" rtl="0">
            <a:defRPr sz="1000"/>
          </a:pPr>
          <a:r>
            <a:rPr lang="fr-FR" sz="1000" b="0" i="0" u="none" strike="noStrike" baseline="0">
              <a:solidFill>
                <a:srgbClr val="FF0000"/>
              </a:solidFill>
              <a:latin typeface="Arial"/>
              <a:cs typeface="Arial"/>
            </a:rPr>
            <a:t>puis</a:t>
          </a:r>
          <a:endParaRPr lang="fr-FR" sz="1000" b="1" i="0" u="none" strike="noStrike" baseline="0">
            <a:solidFill>
              <a:srgbClr val="FF0000"/>
            </a:solidFill>
            <a:latin typeface="Arial"/>
            <a:cs typeface="Arial"/>
          </a:endParaRPr>
        </a:p>
        <a:p>
          <a:pPr algn="ctr" rtl="0">
            <a:defRPr sz="1000"/>
          </a:pPr>
          <a:r>
            <a:rPr lang="fr-FR" sz="1000" b="1" i="0" u="sng" strike="noStrike" baseline="0">
              <a:solidFill>
                <a:srgbClr val="FF0000"/>
              </a:solidFill>
              <a:latin typeface="Arial"/>
              <a:cs typeface="Arial"/>
            </a:rPr>
            <a:t>COLLER VALEUR</a:t>
          </a:r>
        </a:p>
      </xdr:txBody>
    </xdr:sp>
    <xdr:clientData/>
  </xdr:twoCellAnchor>
  <xdr:twoCellAnchor>
    <xdr:from>
      <xdr:col>2</xdr:col>
      <xdr:colOff>466725</xdr:colOff>
      <xdr:row>148</xdr:row>
      <xdr:rowOff>85725</xdr:rowOff>
    </xdr:from>
    <xdr:to>
      <xdr:col>3</xdr:col>
      <xdr:colOff>0</xdr:colOff>
      <xdr:row>148</xdr:row>
      <xdr:rowOff>85725</xdr:rowOff>
    </xdr:to>
    <xdr:sp macro="" textlink="">
      <xdr:nvSpPr>
        <xdr:cNvPr id="129846" name="Line 52"/>
        <xdr:cNvSpPr>
          <a:spLocks noChangeShapeType="1"/>
        </xdr:cNvSpPr>
      </xdr:nvSpPr>
      <xdr:spPr bwMode="auto">
        <a:xfrm>
          <a:off x="2628900" y="24403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147</xdr:row>
      <xdr:rowOff>152400</xdr:rowOff>
    </xdr:from>
    <xdr:to>
      <xdr:col>2</xdr:col>
      <xdr:colOff>466725</xdr:colOff>
      <xdr:row>148</xdr:row>
      <xdr:rowOff>85725</xdr:rowOff>
    </xdr:to>
    <xdr:sp macro="" textlink="">
      <xdr:nvSpPr>
        <xdr:cNvPr id="129847" name="Line 53"/>
        <xdr:cNvSpPr>
          <a:spLocks noChangeShapeType="1"/>
        </xdr:cNvSpPr>
      </xdr:nvSpPr>
      <xdr:spPr bwMode="auto">
        <a:xfrm flipV="1">
          <a:off x="2628900" y="24307800"/>
          <a:ext cx="0" cy="95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123825</xdr:colOff>
      <xdr:row>14</xdr:row>
      <xdr:rowOff>76200</xdr:rowOff>
    </xdr:from>
    <xdr:to>
      <xdr:col>24</xdr:col>
      <xdr:colOff>647700</xdr:colOff>
      <xdr:row>14</xdr:row>
      <xdr:rowOff>76200</xdr:rowOff>
    </xdr:to>
    <xdr:sp macro="" textlink="">
      <xdr:nvSpPr>
        <xdr:cNvPr id="130440" name="Line 1"/>
        <xdr:cNvSpPr>
          <a:spLocks noChangeShapeType="1"/>
        </xdr:cNvSpPr>
      </xdr:nvSpPr>
      <xdr:spPr bwMode="auto">
        <a:xfrm>
          <a:off x="18040350" y="2514600"/>
          <a:ext cx="1285875" cy="0"/>
        </a:xfrm>
        <a:prstGeom prst="line">
          <a:avLst/>
        </a:prstGeom>
        <a:noFill/>
        <a:ln w="1587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485775</xdr:colOff>
      <xdr:row>80</xdr:row>
      <xdr:rowOff>9525</xdr:rowOff>
    </xdr:from>
    <xdr:to>
      <xdr:col>5</xdr:col>
      <xdr:colOff>485775</xdr:colOff>
      <xdr:row>80</xdr:row>
      <xdr:rowOff>85725</xdr:rowOff>
    </xdr:to>
    <xdr:sp macro="" textlink="">
      <xdr:nvSpPr>
        <xdr:cNvPr id="130441" name="Line 2"/>
        <xdr:cNvSpPr>
          <a:spLocks noChangeShapeType="1"/>
        </xdr:cNvSpPr>
      </xdr:nvSpPr>
      <xdr:spPr bwMode="auto">
        <a:xfrm>
          <a:off x="4667250" y="13154025"/>
          <a:ext cx="0" cy="76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485775</xdr:colOff>
      <xdr:row>80</xdr:row>
      <xdr:rowOff>85725</xdr:rowOff>
    </xdr:from>
    <xdr:to>
      <xdr:col>5</xdr:col>
      <xdr:colOff>762000</xdr:colOff>
      <xdr:row>80</xdr:row>
      <xdr:rowOff>85725</xdr:rowOff>
    </xdr:to>
    <xdr:sp macro="" textlink="">
      <xdr:nvSpPr>
        <xdr:cNvPr id="130442" name="Line 3"/>
        <xdr:cNvSpPr>
          <a:spLocks noChangeShapeType="1"/>
        </xdr:cNvSpPr>
      </xdr:nvSpPr>
      <xdr:spPr bwMode="auto">
        <a:xfrm>
          <a:off x="4667250" y="13230225"/>
          <a:ext cx="276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228600</xdr:colOff>
      <xdr:row>47</xdr:row>
      <xdr:rowOff>66675</xdr:rowOff>
    </xdr:from>
    <xdr:to>
      <xdr:col>3</xdr:col>
      <xdr:colOff>228600</xdr:colOff>
      <xdr:row>50</xdr:row>
      <xdr:rowOff>133350</xdr:rowOff>
    </xdr:to>
    <xdr:sp macro="" textlink="">
      <xdr:nvSpPr>
        <xdr:cNvPr id="130443" name="Line 4"/>
        <xdr:cNvSpPr>
          <a:spLocks noChangeShapeType="1"/>
        </xdr:cNvSpPr>
      </xdr:nvSpPr>
      <xdr:spPr bwMode="auto">
        <a:xfrm>
          <a:off x="2886075" y="7848600"/>
          <a:ext cx="0" cy="552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49</xdr:row>
      <xdr:rowOff>0</xdr:rowOff>
    </xdr:from>
    <xdr:to>
      <xdr:col>3</xdr:col>
      <xdr:colOff>723900</xdr:colOff>
      <xdr:row>49</xdr:row>
      <xdr:rowOff>0</xdr:rowOff>
    </xdr:to>
    <xdr:sp macro="" textlink="">
      <xdr:nvSpPr>
        <xdr:cNvPr id="130444" name="Line 5"/>
        <xdr:cNvSpPr>
          <a:spLocks noChangeShapeType="1"/>
        </xdr:cNvSpPr>
      </xdr:nvSpPr>
      <xdr:spPr bwMode="auto">
        <a:xfrm>
          <a:off x="2895600" y="8105775"/>
          <a:ext cx="485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409575</xdr:colOff>
      <xdr:row>22</xdr:row>
      <xdr:rowOff>57150</xdr:rowOff>
    </xdr:from>
    <xdr:to>
      <xdr:col>3</xdr:col>
      <xdr:colOff>409575</xdr:colOff>
      <xdr:row>23</xdr:row>
      <xdr:rowOff>0</xdr:rowOff>
    </xdr:to>
    <xdr:sp macro="" textlink="">
      <xdr:nvSpPr>
        <xdr:cNvPr id="130445" name="Line 6"/>
        <xdr:cNvSpPr>
          <a:spLocks noChangeShapeType="1"/>
        </xdr:cNvSpPr>
      </xdr:nvSpPr>
      <xdr:spPr bwMode="auto">
        <a:xfrm>
          <a:off x="3067050" y="3790950"/>
          <a:ext cx="0" cy="10477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23</xdr:row>
      <xdr:rowOff>0</xdr:rowOff>
    </xdr:from>
    <xdr:to>
      <xdr:col>3</xdr:col>
      <xdr:colOff>704850</xdr:colOff>
      <xdr:row>23</xdr:row>
      <xdr:rowOff>0</xdr:rowOff>
    </xdr:to>
    <xdr:sp macro="" textlink="">
      <xdr:nvSpPr>
        <xdr:cNvPr id="130446" name="Line 7"/>
        <xdr:cNvSpPr>
          <a:spLocks noChangeShapeType="1"/>
        </xdr:cNvSpPr>
      </xdr:nvSpPr>
      <xdr:spPr bwMode="auto">
        <a:xfrm>
          <a:off x="3067050" y="3895725"/>
          <a:ext cx="295275" cy="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9525</xdr:colOff>
      <xdr:row>81</xdr:row>
      <xdr:rowOff>9525</xdr:rowOff>
    </xdr:from>
    <xdr:to>
      <xdr:col>17</xdr:col>
      <xdr:colOff>752475</xdr:colOff>
      <xdr:row>88</xdr:row>
      <xdr:rowOff>152400</xdr:rowOff>
    </xdr:to>
    <xdr:sp macro="" textlink="">
      <xdr:nvSpPr>
        <xdr:cNvPr id="130447" name="Arc 8"/>
        <xdr:cNvSpPr>
          <a:spLocks/>
        </xdr:cNvSpPr>
      </xdr:nvSpPr>
      <xdr:spPr bwMode="auto">
        <a:xfrm>
          <a:off x="12592050" y="13315950"/>
          <a:ext cx="1504950" cy="1276350"/>
        </a:xfrm>
        <a:custGeom>
          <a:avLst/>
          <a:gdLst>
            <a:gd name="T0" fmla="*/ 0 w 21600"/>
            <a:gd name="T1" fmla="*/ 0 h 21600"/>
            <a:gd name="T2" fmla="*/ 2147483647 w 21600"/>
            <a:gd name="T3" fmla="*/ 2147483647 h 21600"/>
            <a:gd name="T4" fmla="*/ 0 w 21600"/>
            <a:gd name="T5" fmla="*/ 2147483647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0</xdr:colOff>
      <xdr:row>83</xdr:row>
      <xdr:rowOff>19050</xdr:rowOff>
    </xdr:from>
    <xdr:to>
      <xdr:col>17</xdr:col>
      <xdr:colOff>276225</xdr:colOff>
      <xdr:row>89</xdr:row>
      <xdr:rowOff>0</xdr:rowOff>
    </xdr:to>
    <xdr:sp macro="" textlink="">
      <xdr:nvSpPr>
        <xdr:cNvPr id="130448" name="Line 9"/>
        <xdr:cNvSpPr>
          <a:spLocks noChangeShapeType="1"/>
        </xdr:cNvSpPr>
      </xdr:nvSpPr>
      <xdr:spPr bwMode="auto">
        <a:xfrm flipV="1">
          <a:off x="12582525" y="13649325"/>
          <a:ext cx="1038225" cy="952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81</xdr:row>
      <xdr:rowOff>19050</xdr:rowOff>
    </xdr:from>
    <xdr:to>
      <xdr:col>23</xdr:col>
      <xdr:colOff>133350</xdr:colOff>
      <xdr:row>88</xdr:row>
      <xdr:rowOff>152400</xdr:rowOff>
    </xdr:to>
    <xdr:sp macro="" textlink="">
      <xdr:nvSpPr>
        <xdr:cNvPr id="130449" name="Rectangle 10"/>
        <xdr:cNvSpPr>
          <a:spLocks noChangeArrowheads="1"/>
        </xdr:cNvSpPr>
      </xdr:nvSpPr>
      <xdr:spPr bwMode="auto">
        <a:xfrm>
          <a:off x="17926050" y="13325475"/>
          <a:ext cx="123825" cy="12668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38100</xdr:colOff>
      <xdr:row>58</xdr:row>
      <xdr:rowOff>95250</xdr:rowOff>
    </xdr:from>
    <xdr:to>
      <xdr:col>25</xdr:col>
      <xdr:colOff>714375</xdr:colOff>
      <xdr:row>58</xdr:row>
      <xdr:rowOff>95250</xdr:rowOff>
    </xdr:to>
    <xdr:sp macro="" textlink="">
      <xdr:nvSpPr>
        <xdr:cNvPr id="133189" name="Line 1"/>
        <xdr:cNvSpPr>
          <a:spLocks noChangeShapeType="1"/>
        </xdr:cNvSpPr>
      </xdr:nvSpPr>
      <xdr:spPr bwMode="auto">
        <a:xfrm>
          <a:off x="18830925" y="9696450"/>
          <a:ext cx="1438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57150</xdr:colOff>
      <xdr:row>59</xdr:row>
      <xdr:rowOff>76200</xdr:rowOff>
    </xdr:from>
    <xdr:to>
      <xdr:col>25</xdr:col>
      <xdr:colOff>714375</xdr:colOff>
      <xdr:row>63</xdr:row>
      <xdr:rowOff>38100</xdr:rowOff>
    </xdr:to>
    <xdr:sp macro="" textlink="">
      <xdr:nvSpPr>
        <xdr:cNvPr id="133190" name="Line 2"/>
        <xdr:cNvSpPr>
          <a:spLocks noChangeShapeType="1"/>
        </xdr:cNvSpPr>
      </xdr:nvSpPr>
      <xdr:spPr bwMode="auto">
        <a:xfrm>
          <a:off x="18849975" y="9839325"/>
          <a:ext cx="1419225" cy="609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66675</xdr:colOff>
      <xdr:row>62</xdr:row>
      <xdr:rowOff>28575</xdr:rowOff>
    </xdr:from>
    <xdr:to>
      <xdr:col>25</xdr:col>
      <xdr:colOff>723900</xdr:colOff>
      <xdr:row>69</xdr:row>
      <xdr:rowOff>114300</xdr:rowOff>
    </xdr:to>
    <xdr:sp macro="" textlink="">
      <xdr:nvSpPr>
        <xdr:cNvPr id="133191" name="Line 3"/>
        <xdr:cNvSpPr>
          <a:spLocks noChangeShapeType="1"/>
        </xdr:cNvSpPr>
      </xdr:nvSpPr>
      <xdr:spPr bwMode="auto">
        <a:xfrm>
          <a:off x="18859500" y="10277475"/>
          <a:ext cx="1419225" cy="1219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257175</xdr:colOff>
      <xdr:row>12</xdr:row>
      <xdr:rowOff>0</xdr:rowOff>
    </xdr:from>
    <xdr:to>
      <xdr:col>8</xdr:col>
      <xdr:colOff>257175</xdr:colOff>
      <xdr:row>12</xdr:row>
      <xdr:rowOff>0</xdr:rowOff>
    </xdr:to>
    <xdr:sp macro="" textlink="">
      <xdr:nvSpPr>
        <xdr:cNvPr id="9958" name="Line 27"/>
        <xdr:cNvSpPr>
          <a:spLocks noChangeShapeType="1"/>
        </xdr:cNvSpPr>
      </xdr:nvSpPr>
      <xdr:spPr bwMode="auto">
        <a:xfrm>
          <a:off x="6438900" y="2114550"/>
          <a:ext cx="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171450</xdr:colOff>
      <xdr:row>5</xdr:row>
      <xdr:rowOff>85725</xdr:rowOff>
    </xdr:from>
    <xdr:to>
      <xdr:col>1</xdr:col>
      <xdr:colOff>600075</xdr:colOff>
      <xdr:row>5</xdr:row>
      <xdr:rowOff>85725</xdr:rowOff>
    </xdr:to>
    <xdr:sp macro="" textlink="">
      <xdr:nvSpPr>
        <xdr:cNvPr id="131774" name="Line 1"/>
        <xdr:cNvSpPr>
          <a:spLocks noChangeShapeType="1"/>
        </xdr:cNvSpPr>
      </xdr:nvSpPr>
      <xdr:spPr bwMode="auto">
        <a:xfrm>
          <a:off x="933450" y="1076325"/>
          <a:ext cx="428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161925</xdr:colOff>
      <xdr:row>5</xdr:row>
      <xdr:rowOff>76200</xdr:rowOff>
    </xdr:from>
    <xdr:to>
      <xdr:col>4</xdr:col>
      <xdr:colOff>590550</xdr:colOff>
      <xdr:row>5</xdr:row>
      <xdr:rowOff>76200</xdr:rowOff>
    </xdr:to>
    <xdr:sp macro="" textlink="">
      <xdr:nvSpPr>
        <xdr:cNvPr id="131775" name="Line 2"/>
        <xdr:cNvSpPr>
          <a:spLocks noChangeShapeType="1"/>
        </xdr:cNvSpPr>
      </xdr:nvSpPr>
      <xdr:spPr bwMode="auto">
        <a:xfrm>
          <a:off x="3209925" y="1066800"/>
          <a:ext cx="428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180975</xdr:colOff>
      <xdr:row>9</xdr:row>
      <xdr:rowOff>85725</xdr:rowOff>
    </xdr:from>
    <xdr:to>
      <xdr:col>1</xdr:col>
      <xdr:colOff>609600</xdr:colOff>
      <xdr:row>9</xdr:row>
      <xdr:rowOff>85725</xdr:rowOff>
    </xdr:to>
    <xdr:sp macro="" textlink="">
      <xdr:nvSpPr>
        <xdr:cNvPr id="131776" name="Line 3"/>
        <xdr:cNvSpPr>
          <a:spLocks noChangeShapeType="1"/>
        </xdr:cNvSpPr>
      </xdr:nvSpPr>
      <xdr:spPr bwMode="auto">
        <a:xfrm>
          <a:off x="942975" y="1733550"/>
          <a:ext cx="428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180975</xdr:colOff>
      <xdr:row>9</xdr:row>
      <xdr:rowOff>95250</xdr:rowOff>
    </xdr:from>
    <xdr:to>
      <xdr:col>4</xdr:col>
      <xdr:colOff>600075</xdr:colOff>
      <xdr:row>9</xdr:row>
      <xdr:rowOff>95250</xdr:rowOff>
    </xdr:to>
    <xdr:sp macro="" textlink="">
      <xdr:nvSpPr>
        <xdr:cNvPr id="131777" name="Line 4"/>
        <xdr:cNvSpPr>
          <a:spLocks noChangeShapeType="1"/>
        </xdr:cNvSpPr>
      </xdr:nvSpPr>
      <xdr:spPr bwMode="auto">
        <a:xfrm>
          <a:off x="2466975" y="1743075"/>
          <a:ext cx="1181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161925</xdr:colOff>
      <xdr:row>11</xdr:row>
      <xdr:rowOff>85725</xdr:rowOff>
    </xdr:from>
    <xdr:to>
      <xdr:col>1</xdr:col>
      <xdr:colOff>590550</xdr:colOff>
      <xdr:row>11</xdr:row>
      <xdr:rowOff>85725</xdr:rowOff>
    </xdr:to>
    <xdr:sp macro="" textlink="">
      <xdr:nvSpPr>
        <xdr:cNvPr id="131778" name="Line 5"/>
        <xdr:cNvSpPr>
          <a:spLocks noChangeShapeType="1"/>
        </xdr:cNvSpPr>
      </xdr:nvSpPr>
      <xdr:spPr bwMode="auto">
        <a:xfrm>
          <a:off x="923925" y="2057400"/>
          <a:ext cx="428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114300</xdr:colOff>
      <xdr:row>11</xdr:row>
      <xdr:rowOff>104775</xdr:rowOff>
    </xdr:from>
    <xdr:to>
      <xdr:col>4</xdr:col>
      <xdr:colOff>552450</xdr:colOff>
      <xdr:row>11</xdr:row>
      <xdr:rowOff>104775</xdr:rowOff>
    </xdr:to>
    <xdr:sp macro="" textlink="">
      <xdr:nvSpPr>
        <xdr:cNvPr id="131779" name="Line 6"/>
        <xdr:cNvSpPr>
          <a:spLocks noChangeShapeType="1"/>
        </xdr:cNvSpPr>
      </xdr:nvSpPr>
      <xdr:spPr bwMode="auto">
        <a:xfrm>
          <a:off x="3162300" y="207645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47625</xdr:colOff>
      <xdr:row>12</xdr:row>
      <xdr:rowOff>47625</xdr:rowOff>
    </xdr:from>
    <xdr:to>
      <xdr:col>4</xdr:col>
      <xdr:colOff>495300</xdr:colOff>
      <xdr:row>13</xdr:row>
      <xdr:rowOff>133350</xdr:rowOff>
    </xdr:to>
    <xdr:sp macro="" textlink="">
      <xdr:nvSpPr>
        <xdr:cNvPr id="131780" name="AutoShape 7"/>
        <xdr:cNvSpPr>
          <a:spLocks/>
        </xdr:cNvSpPr>
      </xdr:nvSpPr>
      <xdr:spPr bwMode="auto">
        <a:xfrm rot="-5400000">
          <a:off x="2047875" y="952500"/>
          <a:ext cx="257175" cy="2733675"/>
        </a:xfrm>
        <a:prstGeom prst="leftBrace">
          <a:avLst>
            <a:gd name="adj1" fmla="val 8858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295275</xdr:colOff>
      <xdr:row>13</xdr:row>
      <xdr:rowOff>57150</xdr:rowOff>
    </xdr:from>
    <xdr:to>
      <xdr:col>6</xdr:col>
      <xdr:colOff>295275</xdr:colOff>
      <xdr:row>16</xdr:row>
      <xdr:rowOff>57150</xdr:rowOff>
    </xdr:to>
    <xdr:sp macro="" textlink="">
      <xdr:nvSpPr>
        <xdr:cNvPr id="131781" name="Line 8"/>
        <xdr:cNvSpPr>
          <a:spLocks noChangeShapeType="1"/>
        </xdr:cNvSpPr>
      </xdr:nvSpPr>
      <xdr:spPr bwMode="auto">
        <a:xfrm>
          <a:off x="4867275" y="2371725"/>
          <a:ext cx="0"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352425</xdr:colOff>
      <xdr:row>12</xdr:row>
      <xdr:rowOff>95250</xdr:rowOff>
    </xdr:from>
    <xdr:to>
      <xdr:col>10</xdr:col>
      <xdr:colOff>352425</xdr:colOff>
      <xdr:row>16</xdr:row>
      <xdr:rowOff>76200</xdr:rowOff>
    </xdr:to>
    <xdr:sp macro="" textlink="">
      <xdr:nvSpPr>
        <xdr:cNvPr id="131782" name="Line 9"/>
        <xdr:cNvSpPr>
          <a:spLocks noChangeShapeType="1"/>
        </xdr:cNvSpPr>
      </xdr:nvSpPr>
      <xdr:spPr bwMode="auto">
        <a:xfrm>
          <a:off x="7972425" y="2238375"/>
          <a:ext cx="0" cy="638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409575</xdr:colOff>
      <xdr:row>27</xdr:row>
      <xdr:rowOff>76200</xdr:rowOff>
    </xdr:from>
    <xdr:to>
      <xdr:col>6</xdr:col>
      <xdr:colOff>409575</xdr:colOff>
      <xdr:row>30</xdr:row>
      <xdr:rowOff>95250</xdr:rowOff>
    </xdr:to>
    <xdr:sp macro="" textlink="">
      <xdr:nvSpPr>
        <xdr:cNvPr id="131783" name="Line 10"/>
        <xdr:cNvSpPr>
          <a:spLocks noChangeShapeType="1"/>
        </xdr:cNvSpPr>
      </xdr:nvSpPr>
      <xdr:spPr bwMode="auto">
        <a:xfrm>
          <a:off x="4981575" y="4676775"/>
          <a:ext cx="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409575</xdr:colOff>
      <xdr:row>32</xdr:row>
      <xdr:rowOff>57150</xdr:rowOff>
    </xdr:from>
    <xdr:to>
      <xdr:col>6</xdr:col>
      <xdr:colOff>409575</xdr:colOff>
      <xdr:row>35</xdr:row>
      <xdr:rowOff>76200</xdr:rowOff>
    </xdr:to>
    <xdr:sp macro="" textlink="">
      <xdr:nvSpPr>
        <xdr:cNvPr id="131784" name="Line 11"/>
        <xdr:cNvSpPr>
          <a:spLocks noChangeShapeType="1"/>
        </xdr:cNvSpPr>
      </xdr:nvSpPr>
      <xdr:spPr bwMode="auto">
        <a:xfrm>
          <a:off x="4981575" y="5467350"/>
          <a:ext cx="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552450</xdr:colOff>
      <xdr:row>25</xdr:row>
      <xdr:rowOff>0</xdr:rowOff>
    </xdr:from>
    <xdr:to>
      <xdr:col>9</xdr:col>
      <xdr:colOff>552450</xdr:colOff>
      <xdr:row>37</xdr:row>
      <xdr:rowOff>9525</xdr:rowOff>
    </xdr:to>
    <xdr:sp macro="" textlink="">
      <xdr:nvSpPr>
        <xdr:cNvPr id="131785" name="Line 12"/>
        <xdr:cNvSpPr>
          <a:spLocks noChangeShapeType="1"/>
        </xdr:cNvSpPr>
      </xdr:nvSpPr>
      <xdr:spPr bwMode="auto">
        <a:xfrm>
          <a:off x="7410450" y="4276725"/>
          <a:ext cx="0" cy="1952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371475</xdr:colOff>
      <xdr:row>3</xdr:row>
      <xdr:rowOff>57150</xdr:rowOff>
    </xdr:from>
    <xdr:to>
      <xdr:col>6</xdr:col>
      <xdr:colOff>371475</xdr:colOff>
      <xdr:row>4</xdr:row>
      <xdr:rowOff>95250</xdr:rowOff>
    </xdr:to>
    <xdr:sp macro="" textlink="">
      <xdr:nvSpPr>
        <xdr:cNvPr id="131786" name="Line 13"/>
        <xdr:cNvSpPr>
          <a:spLocks noChangeShapeType="1"/>
        </xdr:cNvSpPr>
      </xdr:nvSpPr>
      <xdr:spPr bwMode="auto">
        <a:xfrm>
          <a:off x="4943475" y="7143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685800</xdr:colOff>
      <xdr:row>20</xdr:row>
      <xdr:rowOff>47625</xdr:rowOff>
    </xdr:from>
    <xdr:to>
      <xdr:col>4</xdr:col>
      <xdr:colOff>685800</xdr:colOff>
      <xdr:row>22</xdr:row>
      <xdr:rowOff>142875</xdr:rowOff>
    </xdr:to>
    <xdr:sp macro="" textlink="">
      <xdr:nvSpPr>
        <xdr:cNvPr id="131787" name="Line 14"/>
        <xdr:cNvSpPr>
          <a:spLocks noChangeShapeType="1"/>
        </xdr:cNvSpPr>
      </xdr:nvSpPr>
      <xdr:spPr bwMode="auto">
        <a:xfrm>
          <a:off x="3733800" y="3514725"/>
          <a:ext cx="0" cy="419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676275</xdr:colOff>
      <xdr:row>18</xdr:row>
      <xdr:rowOff>0</xdr:rowOff>
    </xdr:from>
    <xdr:to>
      <xdr:col>4</xdr:col>
      <xdr:colOff>676275</xdr:colOff>
      <xdr:row>19</xdr:row>
      <xdr:rowOff>38100</xdr:rowOff>
    </xdr:to>
    <xdr:sp macro="" textlink="">
      <xdr:nvSpPr>
        <xdr:cNvPr id="131788" name="Line 15"/>
        <xdr:cNvSpPr>
          <a:spLocks noChangeShapeType="1"/>
        </xdr:cNvSpPr>
      </xdr:nvSpPr>
      <xdr:spPr bwMode="auto">
        <a:xfrm>
          <a:off x="3724275" y="31432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304800</xdr:colOff>
      <xdr:row>2</xdr:row>
      <xdr:rowOff>0</xdr:rowOff>
    </xdr:from>
    <xdr:to>
      <xdr:col>12</xdr:col>
      <xdr:colOff>304800</xdr:colOff>
      <xdr:row>45</xdr:row>
      <xdr:rowOff>9525</xdr:rowOff>
    </xdr:to>
    <xdr:sp macro="" textlink="">
      <xdr:nvSpPr>
        <xdr:cNvPr id="131789" name="Line 16"/>
        <xdr:cNvSpPr>
          <a:spLocks noChangeShapeType="1"/>
        </xdr:cNvSpPr>
      </xdr:nvSpPr>
      <xdr:spPr bwMode="auto">
        <a:xfrm>
          <a:off x="9448800" y="495300"/>
          <a:ext cx="0" cy="7038975"/>
        </a:xfrm>
        <a:prstGeom prst="line">
          <a:avLst/>
        </a:prstGeom>
        <a:noFill/>
        <a:ln w="38100">
          <a:solidFill>
            <a:srgbClr xmlns:mc="http://schemas.openxmlformats.org/markup-compatibility/2006" xmlns:a14="http://schemas.microsoft.com/office/drawing/2010/main" val="FF6600" mc:Ignorable="a14" a14:legacySpreadsheetColorIndex="53"/>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190500</xdr:colOff>
      <xdr:row>7</xdr:row>
      <xdr:rowOff>104775</xdr:rowOff>
    </xdr:from>
    <xdr:to>
      <xdr:col>1</xdr:col>
      <xdr:colOff>619125</xdr:colOff>
      <xdr:row>7</xdr:row>
      <xdr:rowOff>104775</xdr:rowOff>
    </xdr:to>
    <xdr:sp macro="" textlink="">
      <xdr:nvSpPr>
        <xdr:cNvPr id="131790" name="Line 18"/>
        <xdr:cNvSpPr>
          <a:spLocks noChangeShapeType="1"/>
        </xdr:cNvSpPr>
      </xdr:nvSpPr>
      <xdr:spPr bwMode="auto">
        <a:xfrm>
          <a:off x="952500" y="1419225"/>
          <a:ext cx="428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209550</xdr:colOff>
      <xdr:row>7</xdr:row>
      <xdr:rowOff>85725</xdr:rowOff>
    </xdr:from>
    <xdr:to>
      <xdr:col>4</xdr:col>
      <xdr:colOff>638175</xdr:colOff>
      <xdr:row>7</xdr:row>
      <xdr:rowOff>85725</xdr:rowOff>
    </xdr:to>
    <xdr:sp macro="" textlink="">
      <xdr:nvSpPr>
        <xdr:cNvPr id="131791" name="Line 19"/>
        <xdr:cNvSpPr>
          <a:spLocks noChangeShapeType="1"/>
        </xdr:cNvSpPr>
      </xdr:nvSpPr>
      <xdr:spPr bwMode="auto">
        <a:xfrm>
          <a:off x="3257550" y="1400175"/>
          <a:ext cx="428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absoluteAnchor>
    <xdr:pos x="0" y="0"/>
    <xdr:ext cx="9115425" cy="56483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0.19225</cdr:x>
      <cdr:y>0.65925</cdr:y>
    </cdr:from>
    <cdr:to>
      <cdr:x>0.19225</cdr:x>
      <cdr:y>0.92925</cdr:y>
    </cdr:to>
    <cdr:sp macro="" textlink="">
      <cdr:nvSpPr>
        <cdr:cNvPr id="11265" name="Line 1"/>
        <cdr:cNvSpPr>
          <a:spLocks xmlns:a="http://schemas.openxmlformats.org/drawingml/2006/main" noChangeShapeType="1"/>
        </cdr:cNvSpPr>
      </cdr:nvSpPr>
      <cdr:spPr bwMode="auto">
        <a:xfrm xmlns:a="http://schemas.openxmlformats.org/drawingml/2006/main" flipH="1">
          <a:off x="1757934" y="3745497"/>
          <a:ext cx="0" cy="1514889"/>
        </a:xfrm>
        <a:prstGeom xmlns:a="http://schemas.openxmlformats.org/drawingml/2006/main" prst="line">
          <a:avLst/>
        </a:prstGeom>
        <a:noFill xmlns:a="http://schemas.openxmlformats.org/drawingml/2006/main"/>
        <a:ln xmlns:a="http://schemas.openxmlformats.org/drawingml/2006/main" w="3175" cap="rnd">
          <a:solidFill>
            <a:srgbClr xmlns:mc="http://schemas.openxmlformats.org/markup-compatibility/2006" xmlns:a14="http://schemas.microsoft.com/office/drawing/2010/main" val="000000" mc:Ignorable="a14" a14:legacySpreadsheetColorIndex="64"/>
          </a:solidFill>
          <a:prstDash val="sysDot"/>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0.28325</cdr:x>
      <cdr:y>0.58125</cdr:y>
    </cdr:from>
    <cdr:to>
      <cdr:x>0.28325</cdr:x>
      <cdr:y>0.92925</cdr:y>
    </cdr:to>
    <cdr:sp macro="" textlink="">
      <cdr:nvSpPr>
        <cdr:cNvPr id="11266" name="Line 2"/>
        <cdr:cNvSpPr>
          <a:spLocks xmlns:a="http://schemas.openxmlformats.org/drawingml/2006/main" noChangeShapeType="1"/>
        </cdr:cNvSpPr>
      </cdr:nvSpPr>
      <cdr:spPr bwMode="auto">
        <a:xfrm xmlns:a="http://schemas.openxmlformats.org/drawingml/2006/main" flipH="1">
          <a:off x="2592324" y="3298527"/>
          <a:ext cx="0" cy="1961859"/>
        </a:xfrm>
        <a:prstGeom xmlns:a="http://schemas.openxmlformats.org/drawingml/2006/main" prst="line">
          <a:avLst/>
        </a:prstGeom>
        <a:noFill xmlns:a="http://schemas.openxmlformats.org/drawingml/2006/main"/>
        <a:ln xmlns:a="http://schemas.openxmlformats.org/drawingml/2006/main" w="3175" cap="rnd">
          <a:solidFill>
            <a:srgbClr xmlns:mc="http://schemas.openxmlformats.org/markup-compatibility/2006" xmlns:a14="http://schemas.microsoft.com/office/drawing/2010/main" val="000000" mc:Ignorable="a14" a14:legacySpreadsheetColorIndex="64"/>
          </a:solidFill>
          <a:prstDash val="sysDot"/>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0.43575</cdr:x>
      <cdr:y>0.47625</cdr:y>
    </cdr:from>
    <cdr:to>
      <cdr:x>0.43575</cdr:x>
      <cdr:y>0.92925</cdr:y>
    </cdr:to>
    <cdr:sp macro="" textlink="">
      <cdr:nvSpPr>
        <cdr:cNvPr id="11267" name="Line 3"/>
        <cdr:cNvSpPr>
          <a:spLocks xmlns:a="http://schemas.openxmlformats.org/drawingml/2006/main" noChangeShapeType="1"/>
        </cdr:cNvSpPr>
      </cdr:nvSpPr>
      <cdr:spPr bwMode="auto">
        <a:xfrm xmlns:a="http://schemas.openxmlformats.org/drawingml/2006/main" flipH="1">
          <a:off x="3966210" y="2701623"/>
          <a:ext cx="0" cy="2558763"/>
        </a:xfrm>
        <a:prstGeom xmlns:a="http://schemas.openxmlformats.org/drawingml/2006/main" prst="line">
          <a:avLst/>
        </a:prstGeom>
        <a:noFill xmlns:a="http://schemas.openxmlformats.org/drawingml/2006/main"/>
        <a:ln xmlns:a="http://schemas.openxmlformats.org/drawingml/2006/main" w="3175" cap="rnd">
          <a:solidFill>
            <a:srgbClr xmlns:mc="http://schemas.openxmlformats.org/markup-compatibility/2006" xmlns:a14="http://schemas.microsoft.com/office/drawing/2010/main" val="000000" mc:Ignorable="a14" a14:legacySpreadsheetColorIndex="64"/>
          </a:solidFill>
          <a:prstDash val="sysDot"/>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0.73625</cdr:x>
      <cdr:y>0.245</cdr:y>
    </cdr:from>
    <cdr:to>
      <cdr:x>0.73625</cdr:x>
      <cdr:y>0.92925</cdr:y>
    </cdr:to>
    <cdr:sp macro="" textlink="">
      <cdr:nvSpPr>
        <cdr:cNvPr id="11268" name="Line 4"/>
        <cdr:cNvSpPr>
          <a:spLocks xmlns:a="http://schemas.openxmlformats.org/drawingml/2006/main" noChangeShapeType="1"/>
        </cdr:cNvSpPr>
      </cdr:nvSpPr>
      <cdr:spPr bwMode="auto">
        <a:xfrm xmlns:a="http://schemas.openxmlformats.org/drawingml/2006/main">
          <a:off x="6732270" y="1387588"/>
          <a:ext cx="0" cy="3872798"/>
        </a:xfrm>
        <a:prstGeom xmlns:a="http://schemas.openxmlformats.org/drawingml/2006/main" prst="line">
          <a:avLst/>
        </a:prstGeom>
        <a:noFill xmlns:a="http://schemas.openxmlformats.org/drawingml/2006/main"/>
        <a:ln xmlns:a="http://schemas.openxmlformats.org/drawingml/2006/main" w="3175" cap="rnd">
          <a:solidFill>
            <a:srgbClr xmlns:mc="http://schemas.openxmlformats.org/markup-compatibility/2006" xmlns:a14="http://schemas.microsoft.com/office/drawing/2010/main" val="000000" mc:Ignorable="a14" a14:legacySpreadsheetColorIndex="64"/>
          </a:solidFill>
          <a:prstDash val="sysDot"/>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0.88575</cdr:x>
      <cdr:y>0.12075</cdr:y>
    </cdr:from>
    <cdr:to>
      <cdr:x>0.88575</cdr:x>
      <cdr:y>0.92925</cdr:y>
    </cdr:to>
    <cdr:sp macro="" textlink="">
      <cdr:nvSpPr>
        <cdr:cNvPr id="11269" name="Line 5"/>
        <cdr:cNvSpPr>
          <a:spLocks xmlns:a="http://schemas.openxmlformats.org/drawingml/2006/main" noChangeShapeType="1"/>
        </cdr:cNvSpPr>
      </cdr:nvSpPr>
      <cdr:spPr bwMode="auto">
        <a:xfrm xmlns:a="http://schemas.openxmlformats.org/drawingml/2006/main" flipH="1">
          <a:off x="8099298" y="684600"/>
          <a:ext cx="0" cy="4575786"/>
        </a:xfrm>
        <a:prstGeom xmlns:a="http://schemas.openxmlformats.org/drawingml/2006/main" prst="line">
          <a:avLst/>
        </a:prstGeom>
        <a:noFill xmlns:a="http://schemas.openxmlformats.org/drawingml/2006/main"/>
        <a:ln xmlns:a="http://schemas.openxmlformats.org/drawingml/2006/main" w="3175" cap="rnd">
          <a:solidFill>
            <a:srgbClr xmlns:mc="http://schemas.openxmlformats.org/markup-compatibility/2006" xmlns:a14="http://schemas.microsoft.com/office/drawing/2010/main" val="000000" mc:Ignorable="a14" a14:legacySpreadsheetColorIndex="64"/>
          </a:solidFill>
          <a:prstDash val="sysDot"/>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0.13175</cdr:x>
      <cdr:y>0.702</cdr:y>
    </cdr:from>
    <cdr:to>
      <cdr:x>0.13175</cdr:x>
      <cdr:y>0.92925</cdr:y>
    </cdr:to>
    <cdr:sp macro="" textlink="">
      <cdr:nvSpPr>
        <cdr:cNvPr id="11273" name="Line 9"/>
        <cdr:cNvSpPr>
          <a:spLocks xmlns:a="http://schemas.openxmlformats.org/drawingml/2006/main" noChangeShapeType="1"/>
        </cdr:cNvSpPr>
      </cdr:nvSpPr>
      <cdr:spPr bwMode="auto">
        <a:xfrm xmlns:a="http://schemas.openxmlformats.org/drawingml/2006/main">
          <a:off x="1200150" y="3983126"/>
          <a:ext cx="0" cy="1277260"/>
        </a:xfrm>
        <a:prstGeom xmlns:a="http://schemas.openxmlformats.org/drawingml/2006/main" prst="line">
          <a:avLst/>
        </a:prstGeom>
        <a:noFill xmlns:a="http://schemas.openxmlformats.org/drawingml/2006/main"/>
        <a:ln xmlns:a="http://schemas.openxmlformats.org/drawingml/2006/main" w="3175" cap="rnd">
          <a:solidFill>
            <a:srgbClr xmlns:mc="http://schemas.openxmlformats.org/markup-compatibility/2006" xmlns:a14="http://schemas.microsoft.com/office/drawing/2010/main" val="000000" mc:Ignorable="a14" a14:legacySpreadsheetColorIndex="64"/>
          </a:solidFill>
          <a:prstDash val="sysDot"/>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0.1525</cdr:x>
      <cdr:y>0.08075</cdr:y>
    </cdr:from>
    <cdr:to>
      <cdr:x>0.28775</cdr:x>
      <cdr:y>0.114</cdr:y>
    </cdr:to>
    <cdr:sp macro="" textlink="Feuil1!$A$3">
      <cdr:nvSpPr>
        <cdr:cNvPr id="11274" name="Text Box 10"/>
        <cdr:cNvSpPr txBox="1">
          <a:spLocks xmlns:a="http://schemas.openxmlformats.org/drawingml/2006/main" noChangeArrowheads="1" noTextEdit="1"/>
        </cdr:cNvSpPr>
      </cdr:nvSpPr>
      <cdr:spPr bwMode="auto">
        <a:xfrm xmlns:a="http://schemas.openxmlformats.org/drawingml/2006/main">
          <a:off x="1401318" y="456871"/>
          <a:ext cx="1236726" cy="18105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267CE764-94A9-43A5-82DE-ACB47E8B03B1}" type="TxLink">
            <a:rPr lang="fr-FR" sz="1000" b="0" i="0" u="none" strike="noStrike" baseline="0">
              <a:solidFill>
                <a:srgbClr val="000000"/>
              </a:solidFill>
              <a:latin typeface="Arial"/>
              <a:cs typeface="Arial"/>
            </a:rPr>
            <a:pPr algn="l" rtl="0">
              <a:defRPr sz="1000"/>
            </a:pPr>
            <a:t>Eponge à 10 $/kg</a:t>
          </a:fld>
          <a:endParaRPr lang="fr-FR" sz="1000" b="0" i="0" u="none" strike="noStrike" baseline="0">
            <a:solidFill>
              <a:srgbClr val="000000"/>
            </a:solidFill>
            <a:latin typeface="Arial"/>
            <a:cs typeface="Arial"/>
          </a:endParaRPr>
        </a:p>
      </cdr:txBody>
    </cdr:sp>
  </cdr:relSizeAnchor>
  <cdr:relSizeAnchor xmlns:cdr="http://schemas.openxmlformats.org/drawingml/2006/chartDrawing">
    <cdr:from>
      <cdr:x>0.1525</cdr:x>
      <cdr:y>0.12075</cdr:y>
    </cdr:from>
    <cdr:to>
      <cdr:x>0.2595</cdr:x>
      <cdr:y>0.17</cdr:y>
    </cdr:to>
    <cdr:sp macro="" textlink="Feuil1!$A$4">
      <cdr:nvSpPr>
        <cdr:cNvPr id="11275" name="Text Box 11"/>
        <cdr:cNvSpPr txBox="1">
          <a:spLocks xmlns:a="http://schemas.openxmlformats.org/drawingml/2006/main" noChangeArrowheads="1" noTextEdit="1"/>
        </cdr:cNvSpPr>
      </cdr:nvSpPr>
      <cdr:spPr bwMode="auto">
        <a:xfrm xmlns:a="http://schemas.openxmlformats.org/drawingml/2006/main">
          <a:off x="1401318" y="684600"/>
          <a:ext cx="973836" cy="284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6335D2C4-C9AE-4F9B-8A45-8954A58559CB}" type="TxLink">
            <a:rPr lang="fr-FR" sz="1000" b="0" i="0" u="none" strike="noStrike" baseline="0">
              <a:solidFill>
                <a:srgbClr val="000000"/>
              </a:solidFill>
              <a:latin typeface="Arial"/>
              <a:cs typeface="Arial"/>
            </a:rPr>
            <a:pPr algn="l" rtl="0">
              <a:defRPr sz="1000"/>
            </a:pPr>
            <a:t>Parité à 1,4</a:t>
          </a:fld>
          <a:endParaRPr lang="fr-FR" sz="1000" b="0" i="0" u="none" strike="noStrike" baseline="0">
            <a:solidFill>
              <a:srgbClr val="000000"/>
            </a:solidFill>
            <a:latin typeface="Arial"/>
            <a:cs typeface="Arial"/>
          </a:endParaRPr>
        </a:p>
      </cdr:txBody>
    </cdr:sp>
  </cdr:relSizeAnchor>
  <cdr:relSizeAnchor xmlns:cdr="http://schemas.openxmlformats.org/drawingml/2006/chartDrawing">
    <cdr:from>
      <cdr:x>0.00825</cdr:x>
      <cdr:y>0.92925</cdr:y>
    </cdr:from>
    <cdr:to>
      <cdr:x>0.13675</cdr:x>
      <cdr:y>0.96225</cdr:y>
    </cdr:to>
    <cdr:sp macro="" textlink="Feuil1!$A$6">
      <cdr:nvSpPr>
        <cdr:cNvPr id="11276" name="Text Box 12"/>
        <cdr:cNvSpPr txBox="1">
          <a:spLocks xmlns:a="http://schemas.openxmlformats.org/drawingml/2006/main" noChangeArrowheads="1" noTextEdit="1"/>
        </cdr:cNvSpPr>
      </cdr:nvSpPr>
      <cdr:spPr bwMode="auto">
        <a:xfrm xmlns:a="http://schemas.openxmlformats.org/drawingml/2006/main">
          <a:off x="75438" y="5258972"/>
          <a:ext cx="1179576" cy="188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A9446051-42FF-4794-A9DE-7DAF167D23D5}" type="TxLink">
            <a:rPr lang="fr-FR" sz="800" b="0" i="0" u="none" strike="noStrike" baseline="0">
              <a:solidFill>
                <a:srgbClr val="000000"/>
              </a:solidFill>
              <a:latin typeface="Arial"/>
              <a:cs typeface="Arial"/>
            </a:rPr>
            <a:pPr algn="l" rtl="0">
              <a:defRPr sz="1000"/>
            </a:pPr>
            <a:t>Chutes massives ($/kg)</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0.00825</cdr:x>
      <cdr:y>0.96225</cdr:y>
    </cdr:from>
    <cdr:to>
      <cdr:x>0.14275</cdr:x>
      <cdr:y>1</cdr:y>
    </cdr:to>
    <cdr:sp macro="" textlink="Feuil1!$B$6">
      <cdr:nvSpPr>
        <cdr:cNvPr id="11277" name="Text Box 13"/>
        <cdr:cNvSpPr txBox="1">
          <a:spLocks xmlns:a="http://schemas.openxmlformats.org/drawingml/2006/main" noChangeArrowheads="1" noTextEdit="1"/>
        </cdr:cNvSpPr>
      </cdr:nvSpPr>
      <cdr:spPr bwMode="auto">
        <a:xfrm xmlns:a="http://schemas.openxmlformats.org/drawingml/2006/main">
          <a:off x="75438" y="5447095"/>
          <a:ext cx="1227582" cy="21075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A4236071-0E8F-4F4B-976A-6EACF7BDD834}" type="TxLink">
            <a:rPr lang="fr-FR" sz="800" b="0" i="0" u="none" strike="noStrike" baseline="0">
              <a:solidFill>
                <a:srgbClr val="000000"/>
              </a:solidFill>
              <a:latin typeface="Arial"/>
              <a:cs typeface="Arial"/>
            </a:rPr>
            <a:pPr algn="l" rtl="0">
              <a:defRPr sz="1000"/>
            </a:pPr>
            <a:t>Copeaux ($/kg)</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0.1825</cdr:x>
      <cdr:y>0.92925</cdr:y>
    </cdr:from>
    <cdr:to>
      <cdr:x>0.20725</cdr:x>
      <cdr:y>0.96225</cdr:y>
    </cdr:to>
    <cdr:sp macro="" textlink="Feuil1!$A$8">
      <cdr:nvSpPr>
        <cdr:cNvPr id="11279" name="Text Box 15"/>
        <cdr:cNvSpPr txBox="1">
          <a:spLocks xmlns:a="http://schemas.openxmlformats.org/drawingml/2006/main" noChangeArrowheads="1" noTextEdit="1"/>
        </cdr:cNvSpPr>
      </cdr:nvSpPr>
      <cdr:spPr bwMode="auto">
        <a:xfrm xmlns:a="http://schemas.openxmlformats.org/drawingml/2006/main">
          <a:off x="1673352" y="5258972"/>
          <a:ext cx="230886" cy="188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03BF7616-7B67-47F6-A1E8-CD66C027C040}" type="TxLink">
            <a:rPr lang="fr-FR" sz="800" b="0" i="0" u="none" strike="noStrike" baseline="0">
              <a:solidFill>
                <a:srgbClr val="000000"/>
              </a:solidFill>
              <a:latin typeface="Arial"/>
              <a:cs typeface="Arial"/>
            </a:rPr>
            <a:pPr algn="l" rtl="0">
              <a:defRPr sz="1000"/>
            </a:pPr>
            <a:t>1</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0.1825</cdr:x>
      <cdr:y>0.96225</cdr:y>
    </cdr:from>
    <cdr:to>
      <cdr:x>0.214</cdr:x>
      <cdr:y>1</cdr:y>
    </cdr:to>
    <cdr:sp macro="" textlink="Feuil1!$B$8">
      <cdr:nvSpPr>
        <cdr:cNvPr id="11280" name="Text Box 16"/>
        <cdr:cNvSpPr txBox="1">
          <a:spLocks xmlns:a="http://schemas.openxmlformats.org/drawingml/2006/main" noChangeArrowheads="1" noTextEdit="1"/>
        </cdr:cNvSpPr>
      </cdr:nvSpPr>
      <cdr:spPr bwMode="auto">
        <a:xfrm xmlns:a="http://schemas.openxmlformats.org/drawingml/2006/main">
          <a:off x="1673352" y="5447095"/>
          <a:ext cx="292608" cy="21075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650B6E89-15A6-465D-98CC-0B89DE3C3CFE}" type="TxLink">
            <a:rPr lang="fr-FR" sz="800" b="0" i="0" u="none" strike="noStrike" baseline="0">
              <a:solidFill>
                <a:srgbClr val="000000"/>
              </a:solidFill>
              <a:latin typeface="Arial"/>
              <a:cs typeface="Arial"/>
            </a:rPr>
            <a:pPr algn="l" rtl="0">
              <a:defRPr sz="1000"/>
            </a:pPr>
            <a:t>0,6</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0.27425</cdr:x>
      <cdr:y>0.92925</cdr:y>
    </cdr:from>
    <cdr:to>
      <cdr:x>0.299</cdr:x>
      <cdr:y>0.96225</cdr:y>
    </cdr:to>
    <cdr:sp macro="" textlink="Feuil1!$A$9">
      <cdr:nvSpPr>
        <cdr:cNvPr id="11281" name="Text Box 17"/>
        <cdr:cNvSpPr txBox="1">
          <a:spLocks xmlns:a="http://schemas.openxmlformats.org/drawingml/2006/main" noChangeArrowheads="1" noTextEdit="1"/>
        </cdr:cNvSpPr>
      </cdr:nvSpPr>
      <cdr:spPr bwMode="auto">
        <a:xfrm xmlns:a="http://schemas.openxmlformats.org/drawingml/2006/main">
          <a:off x="2514600" y="5258972"/>
          <a:ext cx="224028" cy="188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54EAFA61-92EA-4726-A407-B00C021E37CD}" type="TxLink">
            <a:rPr lang="fr-FR" sz="800" b="0" i="0" u="none" strike="noStrike" baseline="0">
              <a:solidFill>
                <a:srgbClr val="000000"/>
              </a:solidFill>
              <a:latin typeface="Arial"/>
              <a:cs typeface="Arial"/>
            </a:rPr>
            <a:pPr algn="l" rtl="0">
              <a:defRPr sz="1000"/>
            </a:pPr>
            <a:t>2,5</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0.27425</cdr:x>
      <cdr:y>0.96225</cdr:y>
    </cdr:from>
    <cdr:to>
      <cdr:x>0.3045</cdr:x>
      <cdr:y>1</cdr:y>
    </cdr:to>
    <cdr:sp macro="" textlink="Feuil1!$B$9">
      <cdr:nvSpPr>
        <cdr:cNvPr id="11282" name="Text Box 18"/>
        <cdr:cNvSpPr txBox="1">
          <a:spLocks xmlns:a="http://schemas.openxmlformats.org/drawingml/2006/main" noChangeArrowheads="1" noTextEdit="1"/>
        </cdr:cNvSpPr>
      </cdr:nvSpPr>
      <cdr:spPr bwMode="auto">
        <a:xfrm xmlns:a="http://schemas.openxmlformats.org/drawingml/2006/main">
          <a:off x="2514600" y="5447095"/>
          <a:ext cx="278892" cy="21075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D8C34CA2-13AB-4075-A6BB-ECC6C440705A}" type="TxLink">
            <a:rPr lang="fr-FR" sz="800" b="0" i="0" u="none" strike="noStrike" baseline="0">
              <a:solidFill>
                <a:srgbClr val="000000"/>
              </a:solidFill>
              <a:latin typeface="Arial"/>
              <a:cs typeface="Arial"/>
            </a:rPr>
            <a:pPr algn="l" rtl="0">
              <a:defRPr sz="1000"/>
            </a:pPr>
            <a:t>1,5</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0.42775</cdr:x>
      <cdr:y>0.92925</cdr:y>
    </cdr:from>
    <cdr:to>
      <cdr:x>0.457</cdr:x>
      <cdr:y>0.96225</cdr:y>
    </cdr:to>
    <cdr:sp macro="" textlink="Feuil1!$A$10">
      <cdr:nvSpPr>
        <cdr:cNvPr id="11283" name="Text Box 19"/>
        <cdr:cNvSpPr txBox="1">
          <a:spLocks xmlns:a="http://schemas.openxmlformats.org/drawingml/2006/main" noChangeArrowheads="1" noTextEdit="1"/>
        </cdr:cNvSpPr>
      </cdr:nvSpPr>
      <cdr:spPr bwMode="auto">
        <a:xfrm xmlns:a="http://schemas.openxmlformats.org/drawingml/2006/main">
          <a:off x="3913632" y="5258972"/>
          <a:ext cx="262890" cy="188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994EBFC1-0B4A-4782-92FD-A3C7D0EBD010}" type="TxLink">
            <a:rPr lang="fr-FR" sz="800" b="0" i="0" u="none" strike="noStrike" baseline="0">
              <a:solidFill>
                <a:srgbClr val="000000"/>
              </a:solidFill>
              <a:latin typeface="Arial"/>
              <a:cs typeface="Arial"/>
            </a:rPr>
            <a:pPr algn="l" rtl="0">
              <a:defRPr sz="1000"/>
            </a:pPr>
            <a:t>5</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0.42775</cdr:x>
      <cdr:y>0.96225</cdr:y>
    </cdr:from>
    <cdr:to>
      <cdr:x>0.46225</cdr:x>
      <cdr:y>1</cdr:y>
    </cdr:to>
    <cdr:sp macro="" textlink="Feuil1!$B$10">
      <cdr:nvSpPr>
        <cdr:cNvPr id="11284" name="Text Box 20"/>
        <cdr:cNvSpPr txBox="1">
          <a:spLocks xmlns:a="http://schemas.openxmlformats.org/drawingml/2006/main" noChangeArrowheads="1" noTextEdit="1"/>
        </cdr:cNvSpPr>
      </cdr:nvSpPr>
      <cdr:spPr bwMode="auto">
        <a:xfrm xmlns:a="http://schemas.openxmlformats.org/drawingml/2006/main">
          <a:off x="3913632" y="5447095"/>
          <a:ext cx="315468" cy="21075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C56D9518-9AE7-403E-9CF2-E1BAAC64A7BB}" type="TxLink">
            <a:rPr lang="fr-FR" sz="800" b="0" i="0" u="none" strike="noStrike" baseline="0">
              <a:solidFill>
                <a:srgbClr val="000000"/>
              </a:solidFill>
              <a:latin typeface="Arial"/>
              <a:cs typeface="Arial"/>
            </a:rPr>
            <a:pPr algn="l" rtl="0">
              <a:defRPr sz="1000"/>
            </a:pPr>
            <a:t>3</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0.72875</cdr:x>
      <cdr:y>0.92925</cdr:y>
    </cdr:from>
    <cdr:to>
      <cdr:x>0.755</cdr:x>
      <cdr:y>0.96225</cdr:y>
    </cdr:to>
    <cdr:sp macro="" textlink="Feuil1!$A$11">
      <cdr:nvSpPr>
        <cdr:cNvPr id="11285" name="Text Box 21"/>
        <cdr:cNvSpPr txBox="1">
          <a:spLocks xmlns:a="http://schemas.openxmlformats.org/drawingml/2006/main" noChangeArrowheads="1" noTextEdit="1"/>
        </cdr:cNvSpPr>
      </cdr:nvSpPr>
      <cdr:spPr bwMode="auto">
        <a:xfrm xmlns:a="http://schemas.openxmlformats.org/drawingml/2006/main">
          <a:off x="6647688" y="5258972"/>
          <a:ext cx="240030" cy="188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26465E73-EF1C-4D13-A669-3CA6FBF18F6B}" type="TxLink">
            <a:rPr lang="fr-FR" sz="800" b="0" i="0" u="none" strike="noStrike" baseline="0">
              <a:solidFill>
                <a:srgbClr val="000000"/>
              </a:solidFill>
              <a:latin typeface="Arial"/>
              <a:cs typeface="Arial"/>
            </a:rPr>
            <a:pPr algn="l" rtl="0">
              <a:defRPr sz="1000"/>
            </a:pPr>
            <a:t>10</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0.73375</cdr:x>
      <cdr:y>0.96225</cdr:y>
    </cdr:from>
    <cdr:to>
      <cdr:x>0.764</cdr:x>
      <cdr:y>1</cdr:y>
    </cdr:to>
    <cdr:sp macro="" textlink="Feuil1!$B$11">
      <cdr:nvSpPr>
        <cdr:cNvPr id="11286" name="Text Box 22"/>
        <cdr:cNvSpPr txBox="1">
          <a:spLocks xmlns:a="http://schemas.openxmlformats.org/drawingml/2006/main" noChangeArrowheads="1" noTextEdit="1"/>
        </cdr:cNvSpPr>
      </cdr:nvSpPr>
      <cdr:spPr bwMode="auto">
        <a:xfrm xmlns:a="http://schemas.openxmlformats.org/drawingml/2006/main">
          <a:off x="6693408" y="5447095"/>
          <a:ext cx="285750" cy="21075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60D087B2-6837-4435-B4B5-177B4098D695}" type="TxLink">
            <a:rPr lang="fr-FR" sz="800" b="0" i="0" u="none" strike="noStrike" baseline="0">
              <a:solidFill>
                <a:srgbClr val="000000"/>
              </a:solidFill>
              <a:latin typeface="Arial"/>
              <a:cs typeface="Arial"/>
            </a:rPr>
            <a:pPr algn="l" rtl="0">
              <a:defRPr sz="1000"/>
            </a:pPr>
            <a:t>6</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0.879</cdr:x>
      <cdr:y>0.92925</cdr:y>
    </cdr:from>
    <cdr:to>
      <cdr:x>0.90675</cdr:x>
      <cdr:y>0.96225</cdr:y>
    </cdr:to>
    <cdr:sp macro="" textlink="Feuil1!$A$12">
      <cdr:nvSpPr>
        <cdr:cNvPr id="11287" name="Text Box 23"/>
        <cdr:cNvSpPr txBox="1">
          <a:spLocks xmlns:a="http://schemas.openxmlformats.org/drawingml/2006/main" noChangeArrowheads="1" noTextEdit="1"/>
        </cdr:cNvSpPr>
      </cdr:nvSpPr>
      <cdr:spPr bwMode="auto">
        <a:xfrm xmlns:a="http://schemas.openxmlformats.org/drawingml/2006/main">
          <a:off x="8030718" y="5258972"/>
          <a:ext cx="253746" cy="188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A6B89637-3E75-4A8F-8013-C4E8860B9E4A}" type="TxLink">
            <a:rPr lang="fr-FR" sz="800" b="0" i="0" u="none" strike="noStrike" baseline="0">
              <a:solidFill>
                <a:srgbClr val="000000"/>
              </a:solidFill>
              <a:latin typeface="Arial"/>
              <a:cs typeface="Arial"/>
            </a:rPr>
            <a:pPr algn="l" rtl="0">
              <a:defRPr sz="1000"/>
            </a:pPr>
            <a:t>12,5</a:t>
          </a:fld>
          <a:endParaRPr lang="fr-FR" sz="800" b="0" i="0" u="none" strike="noStrike" baseline="0">
            <a:solidFill>
              <a:srgbClr val="000000"/>
            </a:solidFill>
            <a:latin typeface="Arial"/>
            <a:cs typeface="Arial"/>
          </a:endParaRPr>
        </a:p>
      </cdr:txBody>
    </cdr:sp>
  </cdr:relSizeAnchor>
  <cdr:relSizeAnchor xmlns:cdr="http://schemas.openxmlformats.org/drawingml/2006/chartDrawing">
    <cdr:from>
      <cdr:x>0.879</cdr:x>
      <cdr:y>0.96225</cdr:y>
    </cdr:from>
    <cdr:to>
      <cdr:x>0.919</cdr:x>
      <cdr:y>0.9905</cdr:y>
    </cdr:to>
    <cdr:sp macro="" textlink="Feuil1!$B$12">
      <cdr:nvSpPr>
        <cdr:cNvPr id="11288" name="Text Box 24"/>
        <cdr:cNvSpPr txBox="1">
          <a:spLocks xmlns:a="http://schemas.openxmlformats.org/drawingml/2006/main" noChangeArrowheads="1" noTextEdit="1"/>
        </cdr:cNvSpPr>
      </cdr:nvSpPr>
      <cdr:spPr bwMode="auto">
        <a:xfrm xmlns:a="http://schemas.openxmlformats.org/drawingml/2006/main">
          <a:off x="8030718" y="5447095"/>
          <a:ext cx="338328" cy="1598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fld id="{A8965542-5C09-48B1-810E-AFBB3B507B7A}" type="TxLink">
            <a:rPr lang="fr-FR" sz="800" b="0" i="0" u="none" strike="noStrike" baseline="0">
              <a:solidFill>
                <a:srgbClr val="000000"/>
              </a:solidFill>
              <a:latin typeface="Arial"/>
              <a:cs typeface="Arial"/>
            </a:rPr>
            <a:pPr algn="l" rtl="0">
              <a:defRPr sz="1000"/>
            </a:pPr>
            <a:t>7,5</a:t>
          </a:fld>
          <a:endParaRPr lang="fr-FR" sz="800" b="0" i="0" u="none" strike="noStrike" baseline="0">
            <a:solidFill>
              <a:srgbClr val="000000"/>
            </a:solidFill>
            <a:latin typeface="Arial"/>
            <a:cs typeface="Aria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1\FGOURI~1\LOCALS~1\Temp\notes6030C8\2012%2002%2015%20Mod&#232;le%20Business%20Plan%20Affin&#233;%20v2%20chutes%20UKAD%20UKTMP%20sur%20Corrosion%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1\FGOURI~1\LOCALS~1\Temp\notes6030C8\Compte%20d'exploitation%20four%20recyclage%20titane%20V9%20&#224;%2050%20M&#8364;%20test%20&#224;%2015.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07V01\Data\Users\raymond.allier\AppData\Local\Microsoft\Windows\Temporary%20Internet%20Files\Content.Outlook\URF61LBN\Compte%20d'exploitation%20four%20recyclage%20titane%20V34%20-%20base%20-%20hors%20credit%20bail%20-%20CVA%20r&#233;aliste%20&#8364;%20$%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07V01\Data\Users\francois.gouriten\AppData\Local\Microsoft\Windows\Temporary%20Internet%20Files\Content.Outlook\QXBJF8JB\ECOTITANIUM%20au%2013%20d&#233;cembre%202013\Copie%20de%20D&#233;caissements%20mensuel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1\FGOURI~1\LOCALS~1\Temp\notes6030C8\Calcul%20de%20rentabilit&#233;%20Projet%20EBCH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Paramétrage"/>
      <sheetName val="Marchés et Chutes"/>
      <sheetName val="Prix Lingots et Chutes"/>
      <sheetName val="Negoce Chutes"/>
      <sheetName val="BP"/>
      <sheetName val="Lingots"/>
      <sheetName val="DP UKAD"/>
      <sheetName val="Massifs"/>
      <sheetName val="Copeaux"/>
      <sheetName val="Transfert"/>
      <sheetName val="Ver UKAD"/>
      <sheetName val="Vérification Lingots"/>
      <sheetName val="Door Frames"/>
      <sheetName val="Synt Annuelle Eco TI"/>
      <sheetName val="Feuil5"/>
    </sheetNames>
    <sheetDataSet>
      <sheetData sheetId="0"/>
      <sheetData sheetId="1">
        <row r="17">
          <cell r="A17" t="str">
            <v>Non Refondu</v>
          </cell>
          <cell r="B17">
            <v>1.0580000000000001</v>
          </cell>
          <cell r="C17">
            <v>0.88200000000000001</v>
          </cell>
        </row>
        <row r="18">
          <cell r="A18" t="str">
            <v>VAR</v>
          </cell>
          <cell r="B18">
            <v>1.028</v>
          </cell>
          <cell r="C18">
            <v>0.85699999999999998</v>
          </cell>
        </row>
        <row r="19">
          <cell r="A19" t="str">
            <v>2xVar</v>
          </cell>
          <cell r="B19">
            <v>1.008</v>
          </cell>
          <cell r="C19">
            <v>0.84</v>
          </cell>
        </row>
      </sheetData>
      <sheetData sheetId="2"/>
      <sheetData sheetId="3">
        <row r="16">
          <cell r="A16" t="str">
            <v>Massif
$/kg</v>
          </cell>
          <cell r="B16">
            <v>2</v>
          </cell>
          <cell r="C16">
            <v>3</v>
          </cell>
          <cell r="D16">
            <v>4</v>
          </cell>
          <cell r="E16">
            <v>5</v>
          </cell>
          <cell r="F16">
            <v>6</v>
          </cell>
          <cell r="G16">
            <v>7</v>
          </cell>
          <cell r="H16">
            <v>8</v>
          </cell>
          <cell r="I16">
            <v>9</v>
          </cell>
          <cell r="J16">
            <v>10</v>
          </cell>
          <cell r="K16">
            <v>11</v>
          </cell>
          <cell r="L16">
            <v>12</v>
          </cell>
          <cell r="M16">
            <v>13</v>
          </cell>
          <cell r="N16">
            <v>14</v>
          </cell>
        </row>
        <row r="17">
          <cell r="A17" t="str">
            <v>Année</v>
          </cell>
          <cell r="B17">
            <v>2012</v>
          </cell>
          <cell r="C17">
            <v>2013</v>
          </cell>
          <cell r="D17">
            <v>2014</v>
          </cell>
          <cell r="E17">
            <v>2015</v>
          </cell>
          <cell r="F17">
            <v>2016</v>
          </cell>
          <cell r="G17">
            <v>2017</v>
          </cell>
          <cell r="H17">
            <v>2018</v>
          </cell>
          <cell r="I17">
            <v>2019</v>
          </cell>
          <cell r="J17">
            <v>2020</v>
          </cell>
          <cell r="K17">
            <v>2021</v>
          </cell>
          <cell r="L17">
            <v>2022</v>
          </cell>
          <cell r="M17">
            <v>2023</v>
          </cell>
          <cell r="N17">
            <v>2024</v>
          </cell>
        </row>
        <row r="18">
          <cell r="A18" t="str">
            <v>K Massif / Lingot</v>
          </cell>
          <cell r="B18">
            <v>0.5</v>
          </cell>
          <cell r="C18">
            <v>0.5</v>
          </cell>
          <cell r="D18">
            <v>0.5</v>
          </cell>
          <cell r="E18">
            <v>0.5</v>
          </cell>
          <cell r="F18">
            <v>0.5</v>
          </cell>
          <cell r="G18">
            <v>0.5</v>
          </cell>
          <cell r="H18">
            <v>0.5</v>
          </cell>
          <cell r="I18">
            <v>0.5</v>
          </cell>
          <cell r="J18">
            <v>0.5</v>
          </cell>
          <cell r="K18">
            <v>0.5</v>
          </cell>
          <cell r="L18">
            <v>0.5</v>
          </cell>
          <cell r="M18">
            <v>0.5</v>
          </cell>
          <cell r="N18">
            <v>0.5</v>
          </cell>
        </row>
        <row r="19">
          <cell r="A19" t="str">
            <v>Marché 1</v>
          </cell>
          <cell r="B19">
            <v>12.5</v>
          </cell>
          <cell r="C19">
            <v>12.5</v>
          </cell>
          <cell r="D19">
            <v>12.5</v>
          </cell>
          <cell r="E19">
            <v>12.5</v>
          </cell>
          <cell r="F19">
            <v>12.5</v>
          </cell>
          <cell r="G19">
            <v>12.5</v>
          </cell>
          <cell r="H19">
            <v>12.5</v>
          </cell>
          <cell r="I19">
            <v>12.5</v>
          </cell>
          <cell r="J19">
            <v>12.5</v>
          </cell>
          <cell r="K19">
            <v>12.5</v>
          </cell>
          <cell r="L19">
            <v>12.5</v>
          </cell>
          <cell r="M19">
            <v>12.5</v>
          </cell>
          <cell r="N19">
            <v>12.5</v>
          </cell>
        </row>
        <row r="20">
          <cell r="A20" t="str">
            <v>Circ 1</v>
          </cell>
          <cell r="B20">
            <v>1</v>
          </cell>
          <cell r="C20">
            <v>1</v>
          </cell>
          <cell r="D20">
            <v>1</v>
          </cell>
          <cell r="E20">
            <v>1</v>
          </cell>
          <cell r="F20">
            <v>1</v>
          </cell>
          <cell r="G20">
            <v>1</v>
          </cell>
          <cell r="H20">
            <v>1</v>
          </cell>
          <cell r="I20">
            <v>1</v>
          </cell>
          <cell r="J20">
            <v>1</v>
          </cell>
          <cell r="K20">
            <v>1</v>
          </cell>
          <cell r="L20">
            <v>1</v>
          </cell>
          <cell r="M20">
            <v>1</v>
          </cell>
          <cell r="N20">
            <v>1</v>
          </cell>
        </row>
        <row r="21">
          <cell r="A21" t="str">
            <v>Corrosion</v>
          </cell>
          <cell r="B21">
            <v>3</v>
          </cell>
          <cell r="C21">
            <v>3</v>
          </cell>
          <cell r="D21">
            <v>3</v>
          </cell>
          <cell r="E21">
            <v>3</v>
          </cell>
          <cell r="F21">
            <v>3</v>
          </cell>
          <cell r="G21">
            <v>3</v>
          </cell>
          <cell r="H21">
            <v>3</v>
          </cell>
          <cell r="I21">
            <v>3</v>
          </cell>
          <cell r="J21">
            <v>3</v>
          </cell>
          <cell r="K21">
            <v>3</v>
          </cell>
          <cell r="L21">
            <v>3</v>
          </cell>
          <cell r="M21">
            <v>3</v>
          </cell>
          <cell r="N21">
            <v>3</v>
          </cell>
        </row>
        <row r="22">
          <cell r="A22" t="str">
            <v>Circ 2</v>
          </cell>
          <cell r="B22">
            <v>5</v>
          </cell>
          <cell r="C22">
            <v>5</v>
          </cell>
          <cell r="D22">
            <v>5</v>
          </cell>
          <cell r="E22">
            <v>5</v>
          </cell>
          <cell r="F22">
            <v>5</v>
          </cell>
          <cell r="G22">
            <v>5</v>
          </cell>
          <cell r="H22">
            <v>5</v>
          </cell>
          <cell r="I22">
            <v>5</v>
          </cell>
          <cell r="J22">
            <v>5</v>
          </cell>
          <cell r="K22">
            <v>5</v>
          </cell>
          <cell r="L22">
            <v>5</v>
          </cell>
          <cell r="M22">
            <v>5</v>
          </cell>
          <cell r="N22">
            <v>5</v>
          </cell>
        </row>
        <row r="25">
          <cell r="A25" t="str">
            <v>Copeaux
$/kg</v>
          </cell>
          <cell r="B25">
            <v>2</v>
          </cell>
          <cell r="C25">
            <v>3</v>
          </cell>
          <cell r="D25">
            <v>4</v>
          </cell>
          <cell r="E25">
            <v>5</v>
          </cell>
          <cell r="F25">
            <v>6</v>
          </cell>
          <cell r="G25">
            <v>7</v>
          </cell>
          <cell r="H25">
            <v>8</v>
          </cell>
          <cell r="I25">
            <v>9</v>
          </cell>
          <cell r="J25">
            <v>10</v>
          </cell>
          <cell r="K25">
            <v>11</v>
          </cell>
          <cell r="L25">
            <v>12</v>
          </cell>
          <cell r="M25">
            <v>13</v>
          </cell>
          <cell r="N25">
            <v>14</v>
          </cell>
        </row>
        <row r="26">
          <cell r="A26" t="str">
            <v>Année</v>
          </cell>
          <cell r="B26">
            <v>2012</v>
          </cell>
          <cell r="C26">
            <v>2013</v>
          </cell>
          <cell r="D26">
            <v>2014</v>
          </cell>
          <cell r="E26">
            <v>2015</v>
          </cell>
          <cell r="F26">
            <v>2016</v>
          </cell>
          <cell r="G26">
            <v>2017</v>
          </cell>
          <cell r="H26">
            <v>2018</v>
          </cell>
          <cell r="I26">
            <v>2019</v>
          </cell>
          <cell r="J26">
            <v>2020</v>
          </cell>
          <cell r="K26">
            <v>2021</v>
          </cell>
          <cell r="L26">
            <v>2022</v>
          </cell>
          <cell r="M26">
            <v>2023</v>
          </cell>
          <cell r="N26">
            <v>2024</v>
          </cell>
        </row>
        <row r="27">
          <cell r="A27" t="str">
            <v>K Copeaux/ Lingot</v>
          </cell>
          <cell r="B27">
            <v>0.3</v>
          </cell>
          <cell r="C27">
            <v>0.3</v>
          </cell>
          <cell r="D27">
            <v>0.3</v>
          </cell>
          <cell r="E27">
            <v>0.3</v>
          </cell>
          <cell r="F27">
            <v>0.3</v>
          </cell>
          <cell r="G27">
            <v>0.3</v>
          </cell>
          <cell r="H27">
            <v>0.3</v>
          </cell>
          <cell r="I27">
            <v>0.3</v>
          </cell>
          <cell r="J27">
            <v>0.3</v>
          </cell>
          <cell r="K27">
            <v>0.3</v>
          </cell>
          <cell r="L27">
            <v>0.3</v>
          </cell>
          <cell r="M27">
            <v>0.3</v>
          </cell>
          <cell r="N27">
            <v>0.3</v>
          </cell>
        </row>
        <row r="28">
          <cell r="A28" t="str">
            <v>Marché 1</v>
          </cell>
          <cell r="B28">
            <v>7.5</v>
          </cell>
          <cell r="C28">
            <v>7.5</v>
          </cell>
          <cell r="D28">
            <v>7.5</v>
          </cell>
          <cell r="E28">
            <v>7.5</v>
          </cell>
          <cell r="F28">
            <v>7.5</v>
          </cell>
          <cell r="G28">
            <v>7.5</v>
          </cell>
          <cell r="H28">
            <v>7.5</v>
          </cell>
          <cell r="I28">
            <v>7.5</v>
          </cell>
          <cell r="J28">
            <v>7.5</v>
          </cell>
          <cell r="K28">
            <v>7.5</v>
          </cell>
          <cell r="L28">
            <v>7.5</v>
          </cell>
          <cell r="M28">
            <v>7.5</v>
          </cell>
          <cell r="N28">
            <v>7.5</v>
          </cell>
        </row>
        <row r="29">
          <cell r="A29" t="str">
            <v>Circ 1</v>
          </cell>
          <cell r="B29">
            <v>0.6</v>
          </cell>
          <cell r="C29">
            <v>0.6</v>
          </cell>
          <cell r="D29">
            <v>0.6</v>
          </cell>
          <cell r="E29">
            <v>0.6</v>
          </cell>
          <cell r="F29">
            <v>0.6</v>
          </cell>
          <cell r="G29">
            <v>0.6</v>
          </cell>
          <cell r="H29">
            <v>0.6</v>
          </cell>
          <cell r="I29">
            <v>0.6</v>
          </cell>
          <cell r="J29">
            <v>0.6</v>
          </cell>
          <cell r="K29">
            <v>0.6</v>
          </cell>
          <cell r="L29">
            <v>0.6</v>
          </cell>
          <cell r="M29">
            <v>0.6</v>
          </cell>
          <cell r="N29">
            <v>0.6</v>
          </cell>
        </row>
        <row r="30">
          <cell r="A30" t="str">
            <v>Corrosion</v>
          </cell>
          <cell r="B30">
            <v>1.8</v>
          </cell>
          <cell r="C30">
            <v>1.8</v>
          </cell>
          <cell r="D30">
            <v>1.8</v>
          </cell>
          <cell r="E30">
            <v>1.8</v>
          </cell>
          <cell r="F30">
            <v>1.8</v>
          </cell>
          <cell r="G30">
            <v>1.8</v>
          </cell>
          <cell r="H30">
            <v>1.8</v>
          </cell>
          <cell r="I30">
            <v>1.8</v>
          </cell>
          <cell r="J30">
            <v>1.8</v>
          </cell>
          <cell r="K30">
            <v>1.8</v>
          </cell>
          <cell r="L30">
            <v>1.8</v>
          </cell>
          <cell r="M30">
            <v>1.8</v>
          </cell>
          <cell r="N30">
            <v>1.8</v>
          </cell>
        </row>
        <row r="31">
          <cell r="A31" t="str">
            <v>Circ 2</v>
          </cell>
          <cell r="B31">
            <v>3</v>
          </cell>
          <cell r="C31">
            <v>3</v>
          </cell>
          <cell r="D31">
            <v>3</v>
          </cell>
          <cell r="E31">
            <v>3</v>
          </cell>
          <cell r="F31">
            <v>3</v>
          </cell>
          <cell r="G31">
            <v>3</v>
          </cell>
          <cell r="H31">
            <v>3</v>
          </cell>
          <cell r="I31">
            <v>3</v>
          </cell>
          <cell r="J31">
            <v>3</v>
          </cell>
          <cell r="K31">
            <v>3</v>
          </cell>
          <cell r="L31">
            <v>3</v>
          </cell>
          <cell r="M31">
            <v>3</v>
          </cell>
          <cell r="N31">
            <v>3</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Exploitation"/>
      <sheetName val="Données EBCHR"/>
      <sheetName val="Données VAR"/>
      <sheetName val="Données gestion"/>
      <sheetName val="Données Investissement"/>
      <sheetName val="Données Matières"/>
      <sheetName val="Données Economie Circulaire"/>
      <sheetName val="Données Flux et BFR"/>
      <sheetName val="Données Rentabilité"/>
      <sheetName val="Graphe Cash Flow"/>
      <sheetName val="Project Data"/>
      <sheetName val="Opportunités et Risques"/>
      <sheetName val="Graphe Opportunités"/>
      <sheetName val="Graph2"/>
      <sheetName val="Feuil1"/>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ow r="9">
          <cell r="E9">
            <v>2013</v>
          </cell>
        </row>
        <row r="33">
          <cell r="E33">
            <v>-13677.04</v>
          </cell>
        </row>
      </sheetData>
      <sheetData sheetId="10" refreshError="1"/>
      <sheetData sheetId="11">
        <row r="13">
          <cell r="H13">
            <v>12</v>
          </cell>
        </row>
        <row r="33">
          <cell r="H33">
            <v>1</v>
          </cell>
        </row>
      </sheetData>
      <sheetData sheetId="12">
        <row r="8">
          <cell r="A8" t="str">
            <v>Valeur créée</v>
          </cell>
          <cell r="E8">
            <v>63266.326993468581</v>
          </cell>
        </row>
      </sheetData>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t"/>
      <sheetName val="Bilan"/>
      <sheetName val="Flux"/>
      <sheetName val="Subventions"/>
      <sheetName val="Données Investissement"/>
      <sheetName val="Détails subventions"/>
      <sheetName val="Emprunt 1"/>
      <sheetName val="Emprunt 2"/>
      <sheetName val="Emprunt 3"/>
      <sheetName val="investisseurs"/>
      <sheetName val="Exploitation"/>
      <sheetName val="Données PAMCHR"/>
      <sheetName val="Données VAR"/>
      <sheetName val="Scénario"/>
      <sheetName val="Données gestion"/>
      <sheetName val="Données Matières"/>
      <sheetName val="Données Economie Circulaire"/>
      <sheetName val="Données Flux et BFR"/>
      <sheetName val="Calcul Rentabilité 20 ans"/>
      <sheetName val="Données Rentabilité"/>
      <sheetName val="Project Data"/>
      <sheetName val="Calcul Rentabilité ERAMET 20ans"/>
      <sheetName val="Graphe Cash Flow"/>
      <sheetName val="Opportunités et Risques"/>
      <sheetName val="Graphe Opportunités"/>
      <sheetName val="Feuil1"/>
      <sheetName val="Graph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D9">
            <v>1.4</v>
          </cell>
        </row>
      </sheetData>
      <sheetData sheetId="15"/>
      <sheetData sheetId="16"/>
      <sheetData sheetId="17"/>
      <sheetData sheetId="18"/>
      <sheetData sheetId="19"/>
      <sheetData sheetId="20"/>
      <sheetData sheetId="21"/>
      <sheetData sheetId="22" refreshError="1"/>
      <sheetData sheetId="23"/>
      <sheetData sheetId="24" refreshError="1"/>
      <sheetData sheetId="25"/>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investissements"/>
      <sheetName val="Résultats investissements"/>
      <sheetName val="Feuil1"/>
    </sheetNames>
    <sheetDataSet>
      <sheetData sheetId="0" refreshError="1">
        <row r="26">
          <cell r="A26" t="str">
            <v>Four PAMCHR :</v>
          </cell>
        </row>
        <row r="27">
          <cell r="A27" t="str">
            <v>Annexe four : outillage</v>
          </cell>
        </row>
        <row r="28">
          <cell r="A28" t="str">
            <v>1er Four VAR :</v>
          </cell>
        </row>
        <row r="29">
          <cell r="A29" t="str">
            <v>2ème four VAR :</v>
          </cell>
        </row>
        <row r="30">
          <cell r="A30" t="str">
            <v>Annexe VAR : nettoyage haute pression</v>
          </cell>
        </row>
        <row r="31">
          <cell r="A31" t="str">
            <v>Annexe VAR : outillage (scie)</v>
          </cell>
        </row>
        <row r="32">
          <cell r="A32" t="str">
            <v>Retourneur à lingot</v>
          </cell>
        </row>
        <row r="33">
          <cell r="A33" t="str">
            <v>Unité de pesage et briquetage :</v>
          </cell>
        </row>
        <row r="34">
          <cell r="A34" t="str">
            <v>Equipement prépa chutes et parachèvement :</v>
          </cell>
        </row>
        <row r="35">
          <cell r="A35" t="str">
            <v>Terrain (Avril 2014)</v>
          </cell>
        </row>
        <row r="36">
          <cell r="A36" t="str">
            <v>SI + MES</v>
          </cell>
        </row>
        <row r="37">
          <cell r="A37" t="str">
            <v>Batiment (charpente, GCs, bureaux)</v>
          </cell>
        </row>
        <row r="38">
          <cell r="A38" t="str">
            <v>Ponts (1 pour EB, 1 pour VAR, 2 prépa)</v>
          </cell>
        </row>
        <row r="39">
          <cell r="A39" t="str">
            <v>Electricité (poste en aout 2015 et 1,2 M€)</v>
          </cell>
        </row>
        <row r="40">
          <cell r="A40" t="str">
            <v>Autre Electricité et utilités</v>
          </cell>
        </row>
        <row r="41">
          <cell r="A41" t="str">
            <v>VRD</v>
          </cell>
        </row>
        <row r="42">
          <cell r="A42" t="str">
            <v>Projet</v>
          </cell>
        </row>
        <row r="43">
          <cell r="A43" t="str">
            <v>DNR</v>
          </cell>
        </row>
        <row r="48">
          <cell r="A48" t="str">
            <v>Four PAMCHR :</v>
          </cell>
          <cell r="B48">
            <v>1</v>
          </cell>
          <cell r="C48" t="str">
            <v>C</v>
          </cell>
          <cell r="D48">
            <v>2</v>
          </cell>
        </row>
        <row r="49">
          <cell r="A49" t="str">
            <v>Annexe four : outillage</v>
          </cell>
          <cell r="B49">
            <v>1</v>
          </cell>
          <cell r="C49" t="str">
            <v>C</v>
          </cell>
          <cell r="D49">
            <v>2</v>
          </cell>
        </row>
        <row r="50">
          <cell r="A50" t="str">
            <v>1er Four VAR :</v>
          </cell>
          <cell r="B50">
            <v>1</v>
          </cell>
          <cell r="C50" t="str">
            <v>C</v>
          </cell>
          <cell r="D50">
            <v>2</v>
          </cell>
        </row>
        <row r="51">
          <cell r="A51" t="str">
            <v>2ème four VAR :</v>
          </cell>
          <cell r="B51">
            <v>1</v>
          </cell>
          <cell r="C51" t="str">
            <v>C</v>
          </cell>
          <cell r="D51">
            <v>2</v>
          </cell>
        </row>
        <row r="52">
          <cell r="A52" t="str">
            <v>Annexe VAR : nettoyage haute pression</v>
          </cell>
          <cell r="B52">
            <v>1</v>
          </cell>
          <cell r="C52" t="str">
            <v>A</v>
          </cell>
          <cell r="D52">
            <v>2</v>
          </cell>
        </row>
        <row r="53">
          <cell r="A53" t="str">
            <v>Annexe VAR : outillage (scie)</v>
          </cell>
          <cell r="B53">
            <v>1</v>
          </cell>
          <cell r="C53" t="str">
            <v>B</v>
          </cell>
          <cell r="D53">
            <v>3</v>
          </cell>
        </row>
        <row r="54">
          <cell r="A54" t="str">
            <v>Retourneur à lingot</v>
          </cell>
          <cell r="B54">
            <v>1</v>
          </cell>
          <cell r="C54" t="str">
            <v>A</v>
          </cell>
          <cell r="D54">
            <v>2</v>
          </cell>
        </row>
        <row r="55">
          <cell r="A55" t="str">
            <v>Unité de pesage et briquetage :</v>
          </cell>
          <cell r="B55">
            <v>1</v>
          </cell>
          <cell r="C55" t="str">
            <v>B</v>
          </cell>
          <cell r="D55">
            <v>3</v>
          </cell>
        </row>
        <row r="56">
          <cell r="A56" t="str">
            <v>Equipement prépa chutes et parachèvement :</v>
          </cell>
          <cell r="B56">
            <v>1</v>
          </cell>
          <cell r="C56" t="str">
            <v>A</v>
          </cell>
          <cell r="D56">
            <v>2</v>
          </cell>
        </row>
        <row r="57">
          <cell r="A57" t="str">
            <v>Terrain (Avril 2014)</v>
          </cell>
          <cell r="B57">
            <v>0</v>
          </cell>
          <cell r="D57" t="str">
            <v/>
          </cell>
        </row>
        <row r="58">
          <cell r="A58" t="str">
            <v>SI + MES</v>
          </cell>
          <cell r="B58">
            <v>1</v>
          </cell>
          <cell r="C58" t="str">
            <v>A</v>
          </cell>
          <cell r="D58">
            <v>2</v>
          </cell>
        </row>
        <row r="59">
          <cell r="A59" t="str">
            <v>Batiment (charpente, GCs, bureaux)</v>
          </cell>
          <cell r="B59">
            <v>1</v>
          </cell>
          <cell r="C59" t="str">
            <v>A</v>
          </cell>
          <cell r="D59">
            <v>2</v>
          </cell>
        </row>
        <row r="60">
          <cell r="A60" t="str">
            <v>Ponts (1 pour EB, 1 pour VAR, 2 prépa)</v>
          </cell>
          <cell r="B60">
            <v>1</v>
          </cell>
          <cell r="C60" t="str">
            <v>B</v>
          </cell>
          <cell r="D60">
            <v>3</v>
          </cell>
        </row>
        <row r="61">
          <cell r="A61" t="str">
            <v>Electricité (poste en aout 2015 et 1,2 M€)</v>
          </cell>
          <cell r="B61">
            <v>1</v>
          </cell>
          <cell r="C61" t="str">
            <v>A</v>
          </cell>
          <cell r="D61">
            <v>2</v>
          </cell>
        </row>
        <row r="62">
          <cell r="A62" t="str">
            <v>Autre Electricité et utilités</v>
          </cell>
          <cell r="B62">
            <v>1</v>
          </cell>
          <cell r="C62" t="str">
            <v>B</v>
          </cell>
          <cell r="D62">
            <v>3</v>
          </cell>
        </row>
        <row r="63">
          <cell r="A63" t="str">
            <v>VRD</v>
          </cell>
          <cell r="B63">
            <v>1</v>
          </cell>
          <cell r="C63" t="str">
            <v>A</v>
          </cell>
          <cell r="D63">
            <v>2</v>
          </cell>
        </row>
        <row r="64">
          <cell r="A64" t="str">
            <v>Projet</v>
          </cell>
          <cell r="B64">
            <v>0</v>
          </cell>
          <cell r="C64" t="str">
            <v>D</v>
          </cell>
          <cell r="D64">
            <v>0</v>
          </cell>
        </row>
        <row r="65">
          <cell r="A65" t="str">
            <v>DNR</v>
          </cell>
          <cell r="B65">
            <v>2</v>
          </cell>
          <cell r="C65" t="str">
            <v>A</v>
          </cell>
          <cell r="D65">
            <v>2</v>
          </cell>
        </row>
      </sheetData>
      <sheetData sheetId="1" refreshError="1">
        <row r="3">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cell r="AA3">
            <v>25</v>
          </cell>
          <cell r="AB3">
            <v>26</v>
          </cell>
          <cell r="AC3">
            <v>27</v>
          </cell>
          <cell r="AD3">
            <v>28</v>
          </cell>
          <cell r="AE3">
            <v>29</v>
          </cell>
          <cell r="AF3">
            <v>30</v>
          </cell>
          <cell r="AG3">
            <v>31</v>
          </cell>
          <cell r="AH3">
            <v>32</v>
          </cell>
          <cell r="AI3">
            <v>33</v>
          </cell>
          <cell r="AJ3">
            <v>34</v>
          </cell>
          <cell r="AK3">
            <v>35</v>
          </cell>
          <cell r="AL3">
            <v>36</v>
          </cell>
          <cell r="AM3">
            <v>37</v>
          </cell>
          <cell r="AN3">
            <v>38</v>
          </cell>
          <cell r="AO3">
            <v>39</v>
          </cell>
          <cell r="AP3">
            <v>40</v>
          </cell>
          <cell r="AQ3">
            <v>41</v>
          </cell>
          <cell r="AR3">
            <v>42</v>
          </cell>
          <cell r="AS3">
            <v>43</v>
          </cell>
          <cell r="AT3">
            <v>44</v>
          </cell>
          <cell r="AU3">
            <v>45</v>
          </cell>
          <cell r="AV3">
            <v>46</v>
          </cell>
          <cell r="AW3">
            <v>47</v>
          </cell>
          <cell r="AX3">
            <v>48</v>
          </cell>
          <cell r="AY3">
            <v>49</v>
          </cell>
          <cell r="AZ3">
            <v>50</v>
          </cell>
          <cell r="BA3">
            <v>51</v>
          </cell>
          <cell r="BB3">
            <v>52</v>
          </cell>
          <cell r="BC3">
            <v>53</v>
          </cell>
          <cell r="BD3">
            <v>54</v>
          </cell>
          <cell r="BE3">
            <v>55</v>
          </cell>
          <cell r="BF3">
            <v>56</v>
          </cell>
          <cell r="BG3">
            <v>57</v>
          </cell>
          <cell r="BH3">
            <v>58</v>
          </cell>
          <cell r="BI3">
            <v>59</v>
          </cell>
          <cell r="BJ3">
            <v>60</v>
          </cell>
          <cell r="BK3">
            <v>61</v>
          </cell>
          <cell r="BL3">
            <v>62</v>
          </cell>
          <cell r="BM3">
            <v>63</v>
          </cell>
          <cell r="BN3">
            <v>64</v>
          </cell>
          <cell r="BO3">
            <v>65</v>
          </cell>
          <cell r="BP3">
            <v>66</v>
          </cell>
          <cell r="BQ3">
            <v>67</v>
          </cell>
          <cell r="BR3">
            <v>68</v>
          </cell>
          <cell r="BS3">
            <v>69</v>
          </cell>
          <cell r="BT3">
            <v>70</v>
          </cell>
          <cell r="BU3">
            <v>71</v>
          </cell>
          <cell r="BV3">
            <v>72</v>
          </cell>
          <cell r="BW3">
            <v>73</v>
          </cell>
          <cell r="BX3">
            <v>74</v>
          </cell>
          <cell r="BY3">
            <v>75</v>
          </cell>
          <cell r="BZ3">
            <v>76</v>
          </cell>
          <cell r="CA3">
            <v>77</v>
          </cell>
          <cell r="CB3">
            <v>78</v>
          </cell>
          <cell r="CC3">
            <v>79</v>
          </cell>
          <cell r="CD3">
            <v>80</v>
          </cell>
          <cell r="CE3">
            <v>81</v>
          </cell>
          <cell r="CF3">
            <v>82</v>
          </cell>
          <cell r="CG3">
            <v>83</v>
          </cell>
          <cell r="CH3">
            <v>84</v>
          </cell>
          <cell r="CI3">
            <v>85</v>
          </cell>
          <cell r="CJ3">
            <v>86</v>
          </cell>
          <cell r="CK3">
            <v>87</v>
          </cell>
          <cell r="CL3">
            <v>88</v>
          </cell>
          <cell r="CM3">
            <v>89</v>
          </cell>
          <cell r="CN3">
            <v>90</v>
          </cell>
          <cell r="CO3">
            <v>91</v>
          </cell>
          <cell r="CP3">
            <v>92</v>
          </cell>
          <cell r="CQ3">
            <v>93</v>
          </cell>
          <cell r="CR3">
            <v>94</v>
          </cell>
          <cell r="CS3">
            <v>95</v>
          </cell>
          <cell r="CT3">
            <v>96</v>
          </cell>
          <cell r="CU3">
            <v>97</v>
          </cell>
          <cell r="CV3">
            <v>98</v>
          </cell>
          <cell r="CW3">
            <v>99</v>
          </cell>
          <cell r="CX3">
            <v>100</v>
          </cell>
          <cell r="CY3">
            <v>101</v>
          </cell>
          <cell r="CZ3">
            <v>102</v>
          </cell>
          <cell r="DA3">
            <v>103</v>
          </cell>
          <cell r="DB3">
            <v>104</v>
          </cell>
          <cell r="DC3">
            <v>105</v>
          </cell>
          <cell r="DD3">
            <v>106</v>
          </cell>
          <cell r="DE3">
            <v>107</v>
          </cell>
          <cell r="DF3">
            <v>108</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entabilité"/>
      <sheetName val="Graphe Cash Flow"/>
      <sheetName val="Project Data"/>
      <sheetName val="Opportunités et Risques"/>
      <sheetName val="Graphe Opportunités"/>
    </sheetNames>
    <sheetDataSet>
      <sheetData sheetId="0"/>
      <sheetData sheetId="1">
        <row r="3">
          <cell r="A3" t="str">
            <v>Société :</v>
          </cell>
        </row>
        <row r="4">
          <cell r="A4" t="str">
            <v>Site :</v>
          </cell>
        </row>
        <row r="5">
          <cell r="A5" t="str">
            <v>Secteur :</v>
          </cell>
        </row>
        <row r="6">
          <cell r="A6" t="str">
            <v>Projet :</v>
          </cell>
        </row>
        <row r="7">
          <cell r="A7" t="str">
            <v>Unité monétaire :</v>
          </cell>
        </row>
      </sheetData>
      <sheetData sheetId="2" refreshError="1"/>
      <sheetData sheetId="3"/>
      <sheetData sheetId="4"/>
      <sheetData sheetId="5"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cbanque.com/?go=jxpret" TargetMode="External"/><Relationship Id="rId1" Type="http://schemas.openxmlformats.org/officeDocument/2006/relationships/hyperlink" Target="http://www.cbanque.co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cbanque.com/?go=jxpret" TargetMode="External"/><Relationship Id="rId1" Type="http://schemas.openxmlformats.org/officeDocument/2006/relationships/hyperlink" Target="http://www.cbanque.com/"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cbanque.com/?go=jxpret" TargetMode="External"/><Relationship Id="rId1" Type="http://schemas.openxmlformats.org/officeDocument/2006/relationships/hyperlink" Target="http://www.cbanque.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cbanque.com/?go=jxpret" TargetMode="External"/><Relationship Id="rId1" Type="http://schemas.openxmlformats.org/officeDocument/2006/relationships/hyperlink" Target="http://www.cbanque.com/"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36.bin"/><Relationship Id="rId4" Type="http://schemas.openxmlformats.org/officeDocument/2006/relationships/comments" Target="../comments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banque.com/?go=jxpret" TargetMode="External"/><Relationship Id="rId1" Type="http://schemas.openxmlformats.org/officeDocument/2006/relationships/hyperlink" Target="http://www.cbanque.com/"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cbanque.com/?go=jxpret" TargetMode="External"/><Relationship Id="rId1" Type="http://schemas.openxmlformats.org/officeDocument/2006/relationships/hyperlink" Target="http://www.cbanque.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00B050"/>
    <pageSetUpPr fitToPage="1"/>
  </sheetPr>
  <dimension ref="A1:Y72"/>
  <sheetViews>
    <sheetView showGridLines="0" showZeros="0" zoomScale="103" zoomScaleNormal="100" workbookViewId="0">
      <pane ySplit="4" topLeftCell="A43" activePane="bottomLeft" state="frozenSplit"/>
      <selection activeCell="J64" sqref="J64"/>
      <selection pane="bottomLeft" activeCell="E68" sqref="E68"/>
    </sheetView>
  </sheetViews>
  <sheetFormatPr baseColWidth="10" defaultRowHeight="12.75" outlineLevelRow="1" x14ac:dyDescent="0.2"/>
  <cols>
    <col min="1" max="1" width="49.85546875" style="453" customWidth="1"/>
    <col min="2" max="3" width="12.28515625" style="453" customWidth="1"/>
    <col min="4" max="12" width="12.28515625" style="472" customWidth="1"/>
    <col min="13" max="24" width="12.5703125" style="472" customWidth="1"/>
    <col min="25" max="25" width="13" style="453" bestFit="1" customWidth="1"/>
    <col min="26" max="16384" width="11.42578125" style="453"/>
  </cols>
  <sheetData>
    <row r="1" spans="1:25" ht="16.5" thickBot="1" x14ac:dyDescent="0.3">
      <c r="A1" s="451" t="s">
        <v>1124</v>
      </c>
      <c r="B1" s="451"/>
      <c r="C1" s="451"/>
      <c r="D1" s="452"/>
      <c r="E1" s="452"/>
      <c r="F1" s="452"/>
      <c r="G1" s="452"/>
      <c r="H1" s="452"/>
      <c r="I1" s="452"/>
      <c r="J1" s="452"/>
      <c r="K1" s="452"/>
      <c r="L1" s="452"/>
      <c r="M1" s="452"/>
      <c r="N1" s="452"/>
      <c r="O1" s="452"/>
      <c r="P1" s="452"/>
      <c r="Q1" s="452"/>
      <c r="R1" s="452"/>
      <c r="S1" s="452"/>
      <c r="T1" s="452"/>
      <c r="U1" s="452"/>
      <c r="V1" s="452"/>
      <c r="W1" s="452"/>
      <c r="X1" s="452"/>
    </row>
    <row r="2" spans="1:25" ht="12.75" customHeight="1" x14ac:dyDescent="0.25">
      <c r="A2" s="454"/>
      <c r="B2" s="454"/>
      <c r="C2" s="454"/>
      <c r="D2" s="455"/>
      <c r="E2" s="455"/>
      <c r="F2" s="455"/>
      <c r="G2" s="455"/>
      <c r="H2" s="455"/>
      <c r="I2" s="455"/>
      <c r="J2" s="455"/>
      <c r="K2" s="455"/>
      <c r="L2" s="455"/>
      <c r="M2" s="455"/>
      <c r="N2" s="455"/>
      <c r="O2" s="455"/>
      <c r="P2" s="455"/>
      <c r="Q2" s="455"/>
      <c r="R2" s="455"/>
      <c r="S2" s="455"/>
      <c r="T2" s="455"/>
      <c r="U2" s="455"/>
      <c r="V2" s="455"/>
      <c r="W2" s="455"/>
      <c r="X2" s="455"/>
    </row>
    <row r="3" spans="1:25" ht="12.75" customHeight="1" x14ac:dyDescent="0.2">
      <c r="A3" s="456" t="s">
        <v>353</v>
      </c>
      <c r="B3" s="816">
        <v>42369</v>
      </c>
      <c r="C3" s="816">
        <v>42735</v>
      </c>
      <c r="D3" s="816">
        <v>43100</v>
      </c>
      <c r="E3" s="816">
        <v>43465</v>
      </c>
      <c r="F3" s="816">
        <v>43830</v>
      </c>
      <c r="G3" s="816">
        <v>44196</v>
      </c>
      <c r="H3" s="816">
        <v>44561</v>
      </c>
      <c r="I3" s="816">
        <v>44926</v>
      </c>
      <c r="J3" s="816">
        <v>45291</v>
      </c>
      <c r="K3" s="816">
        <v>45657</v>
      </c>
      <c r="L3" s="816">
        <v>46022</v>
      </c>
      <c r="M3" s="816">
        <v>46387</v>
      </c>
      <c r="N3" s="816">
        <v>46752</v>
      </c>
      <c r="O3" s="816">
        <v>47118</v>
      </c>
      <c r="P3" s="816">
        <v>47483</v>
      </c>
      <c r="Q3" s="816">
        <v>47848</v>
      </c>
      <c r="R3" s="816">
        <v>48213</v>
      </c>
      <c r="S3" s="816">
        <v>48579</v>
      </c>
      <c r="T3" s="816">
        <v>48944</v>
      </c>
      <c r="U3" s="816">
        <v>49309</v>
      </c>
      <c r="V3" s="816">
        <v>49674</v>
      </c>
      <c r="W3" s="816">
        <v>50040</v>
      </c>
      <c r="X3" s="816">
        <v>50405</v>
      </c>
    </row>
    <row r="4" spans="1:25" s="459" customFormat="1" ht="12.75" customHeight="1" thickBot="1" x14ac:dyDescent="0.25">
      <c r="A4" s="457"/>
      <c r="B4" s="458" t="s">
        <v>354</v>
      </c>
      <c r="C4" s="458" t="s">
        <v>354</v>
      </c>
      <c r="D4" s="458" t="s">
        <v>354</v>
      </c>
      <c r="E4" s="458" t="s">
        <v>354</v>
      </c>
      <c r="F4" s="458" t="s">
        <v>354</v>
      </c>
      <c r="G4" s="458" t="s">
        <v>354</v>
      </c>
      <c r="H4" s="458" t="s">
        <v>354</v>
      </c>
      <c r="I4" s="458" t="s">
        <v>354</v>
      </c>
      <c r="J4" s="458" t="s">
        <v>354</v>
      </c>
      <c r="K4" s="458" t="s">
        <v>354</v>
      </c>
      <c r="L4" s="458" t="s">
        <v>354</v>
      </c>
      <c r="M4" s="458" t="s">
        <v>354</v>
      </c>
      <c r="N4" s="458" t="s">
        <v>354</v>
      </c>
      <c r="O4" s="458" t="s">
        <v>354</v>
      </c>
      <c r="P4" s="458" t="s">
        <v>354</v>
      </c>
      <c r="Q4" s="458" t="s">
        <v>354</v>
      </c>
      <c r="R4" s="458" t="s">
        <v>354</v>
      </c>
      <c r="S4" s="458" t="s">
        <v>354</v>
      </c>
      <c r="T4" s="458" t="s">
        <v>354</v>
      </c>
      <c r="U4" s="458" t="s">
        <v>354</v>
      </c>
      <c r="V4" s="458" t="s">
        <v>354</v>
      </c>
      <c r="W4" s="458" t="s">
        <v>354</v>
      </c>
      <c r="X4" s="458" t="s">
        <v>354</v>
      </c>
    </row>
    <row r="5" spans="1:25" x14ac:dyDescent="0.2">
      <c r="A5" s="460" t="s">
        <v>355</v>
      </c>
      <c r="B5" s="461">
        <v>1.0000000000000001E-5</v>
      </c>
      <c r="C5" s="461">
        <v>1.0000000000000001E-5</v>
      </c>
      <c r="D5" s="981">
        <f>Exploitation!B7</f>
        <v>1651102.3750736774</v>
      </c>
      <c r="E5" s="461">
        <f>Exploitation!C7</f>
        <v>16162385.174033605</v>
      </c>
      <c r="F5" s="461">
        <f>Exploitation!D7</f>
        <v>25245255.464871518</v>
      </c>
      <c r="G5" s="461">
        <f>Exploitation!E7</f>
        <v>38761137.567357346</v>
      </c>
      <c r="H5" s="461">
        <f>Exploitation!F7</f>
        <v>48680712.572517477</v>
      </c>
      <c r="I5" s="461">
        <f>Exploitation!G7</f>
        <v>56962376.391314052</v>
      </c>
      <c r="J5" s="461">
        <f>Exploitation!H7</f>
        <v>57465797.440408245</v>
      </c>
      <c r="K5" s="461">
        <f>Exploitation!I7</f>
        <v>57819505.022014305</v>
      </c>
      <c r="L5" s="461">
        <f>Exploitation!J7</f>
        <v>57886470.805669613</v>
      </c>
      <c r="M5" s="461">
        <f>Exploitation!K7</f>
        <v>58218578.186902992</v>
      </c>
      <c r="N5" s="461">
        <f>Exploitation!L7</f>
        <v>58218578.186902992</v>
      </c>
      <c r="O5" s="461">
        <f>Exploitation!M7</f>
        <v>58218578.186902992</v>
      </c>
      <c r="P5" s="461">
        <f>Exploitation!N7</f>
        <v>58218578.186902992</v>
      </c>
      <c r="Q5" s="461">
        <f>Exploitation!O7</f>
        <v>58218578.186902992</v>
      </c>
      <c r="R5" s="461">
        <f>Exploitation!P7</f>
        <v>58218578.186902992</v>
      </c>
      <c r="S5" s="461">
        <f>Exploitation!Q7</f>
        <v>58218578.186902992</v>
      </c>
      <c r="T5" s="461">
        <f>Exploitation!R7</f>
        <v>58218578.186902992</v>
      </c>
      <c r="U5" s="461">
        <f>Exploitation!S7</f>
        <v>58218578.186902992</v>
      </c>
      <c r="V5" s="461">
        <f>Exploitation!T7</f>
        <v>58218578.186902992</v>
      </c>
      <c r="W5" s="461">
        <f>Exploitation!U7</f>
        <v>58218578.186902992</v>
      </c>
      <c r="X5" s="461">
        <f>Exploitation!V7</f>
        <v>58218578.186902992</v>
      </c>
      <c r="Y5" s="472">
        <f>SUM(B5:U5)</f>
        <v>884601946.49540687</v>
      </c>
    </row>
    <row r="6" spans="1:25" x14ac:dyDescent="0.2">
      <c r="A6" s="462"/>
      <c r="B6" s="463"/>
      <c r="C6" s="463"/>
      <c r="D6" s="982"/>
      <c r="E6" s="463"/>
      <c r="F6" s="463"/>
      <c r="G6" s="463"/>
      <c r="H6" s="463"/>
      <c r="I6" s="463"/>
      <c r="J6" s="463"/>
      <c r="K6" s="463"/>
      <c r="L6" s="463"/>
      <c r="M6" s="463"/>
      <c r="N6" s="463"/>
      <c r="O6" s="463"/>
      <c r="P6" s="463"/>
      <c r="Q6" s="463"/>
      <c r="R6" s="463"/>
      <c r="S6" s="463"/>
      <c r="T6" s="463"/>
      <c r="U6" s="463"/>
      <c r="V6" s="463"/>
      <c r="W6" s="463"/>
      <c r="X6" s="463"/>
    </row>
    <row r="7" spans="1:25" hidden="1" outlineLevel="1" x14ac:dyDescent="0.2">
      <c r="A7" s="462" t="s">
        <v>356</v>
      </c>
      <c r="B7" s="463">
        <v>1.0000000000000001E-5</v>
      </c>
      <c r="C7" s="463">
        <v>1.0000000000000001E-5</v>
      </c>
      <c r="D7" s="982">
        <f>-Exploitation!B10</f>
        <v>-665975.12244075234</v>
      </c>
      <c r="E7" s="463">
        <f>-Exploitation!C10</f>
        <v>-7472602.5076406887</v>
      </c>
      <c r="F7" s="463">
        <f>-Exploitation!D10</f>
        <v>-12433045.189442432</v>
      </c>
      <c r="G7" s="463">
        <f>-Exploitation!E10</f>
        <v>-19321408.673628271</v>
      </c>
      <c r="H7" s="463">
        <f>-Exploitation!F10</f>
        <v>-23316451.925534528</v>
      </c>
      <c r="I7" s="463">
        <f>-Exploitation!G10</f>
        <v>-25908865.758602891</v>
      </c>
      <c r="J7" s="463">
        <f>-Exploitation!H10</f>
        <v>-25880124.476029724</v>
      </c>
      <c r="K7" s="463">
        <f>-Exploitation!I10</f>
        <v>-25790316.355193913</v>
      </c>
      <c r="L7" s="463">
        <f>-Exploitation!J10</f>
        <v>-25923073.084068563</v>
      </c>
      <c r="M7" s="463">
        <f>-Exploitation!K10</f>
        <v>-26105736.997947417</v>
      </c>
      <c r="N7" s="463">
        <f>-Exploitation!L10</f>
        <v>-26333379.378345892</v>
      </c>
      <c r="O7" s="463">
        <f>-Exploitation!M10</f>
        <v>-26567679.501648173</v>
      </c>
      <c r="P7" s="463">
        <f>-Exploitation!N10</f>
        <v>-26808835.384856291</v>
      </c>
      <c r="Q7" s="463">
        <f>-Exploitation!O10</f>
        <v>-27057050.968329489</v>
      </c>
      <c r="R7" s="463">
        <f>-Exploitation!P10</f>
        <v>-27312536.293313421</v>
      </c>
      <c r="S7" s="463">
        <f>-Exploitation!Q10</f>
        <v>-27575507.684793457</v>
      </c>
      <c r="T7" s="463">
        <f>-Exploitation!R10</f>
        <v>-27846187.93983195</v>
      </c>
      <c r="U7" s="463">
        <f>-Exploitation!S10</f>
        <v>-28124806.521553807</v>
      </c>
      <c r="V7" s="463">
        <f>-Exploitation!T10</f>
        <v>-28411599.758949839</v>
      </c>
      <c r="W7" s="463">
        <f>-Exploitation!U10</f>
        <v>-28706811.052672498</v>
      </c>
      <c r="X7" s="463">
        <f>-Exploitation!V10</f>
        <v>-29010691.087003633</v>
      </c>
    </row>
    <row r="8" spans="1:25" collapsed="1" x14ac:dyDescent="0.2">
      <c r="A8" s="462"/>
      <c r="B8" s="463"/>
      <c r="C8" s="463"/>
      <c r="D8" s="463"/>
      <c r="E8" s="463"/>
      <c r="F8" s="463"/>
      <c r="G8" s="463"/>
      <c r="H8" s="463"/>
      <c r="I8" s="463"/>
      <c r="J8" s="463"/>
      <c r="K8" s="463"/>
      <c r="L8" s="463"/>
      <c r="M8" s="463"/>
      <c r="N8" s="463"/>
      <c r="O8" s="463"/>
      <c r="P8" s="463"/>
      <c r="Q8" s="463"/>
      <c r="R8" s="463"/>
      <c r="S8" s="463"/>
      <c r="T8" s="463"/>
      <c r="U8" s="463"/>
      <c r="V8" s="463"/>
      <c r="W8" s="463"/>
      <c r="X8" s="463"/>
    </row>
    <row r="9" spans="1:25" ht="14.25" x14ac:dyDescent="0.2">
      <c r="A9" s="464" t="s">
        <v>357</v>
      </c>
      <c r="B9" s="461">
        <f t="shared" ref="B9:X9" si="0">B5+B7</f>
        <v>2.0000000000000002E-5</v>
      </c>
      <c r="C9" s="461">
        <f t="shared" si="0"/>
        <v>2.0000000000000002E-5</v>
      </c>
      <c r="D9" s="461">
        <f t="shared" si="0"/>
        <v>985127.25263292505</v>
      </c>
      <c r="E9" s="461">
        <f t="shared" si="0"/>
        <v>8689782.666392915</v>
      </c>
      <c r="F9" s="461">
        <f t="shared" si="0"/>
        <v>12812210.275429087</v>
      </c>
      <c r="G9" s="461">
        <f t="shared" si="0"/>
        <v>19439728.893729076</v>
      </c>
      <c r="H9" s="461">
        <f t="shared" si="0"/>
        <v>25364260.646982949</v>
      </c>
      <c r="I9" s="461">
        <f t="shared" si="0"/>
        <v>31053510.632711161</v>
      </c>
      <c r="J9" s="461">
        <f t="shared" si="0"/>
        <v>31585672.964378521</v>
      </c>
      <c r="K9" s="461">
        <f t="shared" si="0"/>
        <v>32029188.666820392</v>
      </c>
      <c r="L9" s="461">
        <f t="shared" si="0"/>
        <v>31963397.72160105</v>
      </c>
      <c r="M9" s="461">
        <f t="shared" si="0"/>
        <v>32112841.188955575</v>
      </c>
      <c r="N9" s="461">
        <f t="shared" si="0"/>
        <v>31885198.808557101</v>
      </c>
      <c r="O9" s="461">
        <f t="shared" si="0"/>
        <v>31650898.68525482</v>
      </c>
      <c r="P9" s="461">
        <f t="shared" si="0"/>
        <v>31409742.802046701</v>
      </c>
      <c r="Q9" s="461">
        <f t="shared" si="0"/>
        <v>31161527.218573503</v>
      </c>
      <c r="R9" s="461">
        <f t="shared" si="0"/>
        <v>30906041.893589571</v>
      </c>
      <c r="S9" s="461">
        <f t="shared" si="0"/>
        <v>30643070.502109535</v>
      </c>
      <c r="T9" s="461">
        <f t="shared" si="0"/>
        <v>30372390.247071043</v>
      </c>
      <c r="U9" s="461">
        <f t="shared" si="0"/>
        <v>30093771.665349185</v>
      </c>
      <c r="V9" s="461">
        <f t="shared" si="0"/>
        <v>29806978.427953154</v>
      </c>
      <c r="W9" s="461">
        <f t="shared" si="0"/>
        <v>29511767.134230494</v>
      </c>
      <c r="X9" s="461">
        <f t="shared" si="0"/>
        <v>29207887.099899359</v>
      </c>
    </row>
    <row r="10" spans="1:25" x14ac:dyDescent="0.2">
      <c r="A10" s="465"/>
      <c r="B10" s="463"/>
      <c r="C10" s="463"/>
      <c r="D10" s="463"/>
      <c r="E10" s="463"/>
      <c r="F10" s="463"/>
      <c r="G10" s="463"/>
      <c r="H10" s="463"/>
      <c r="I10" s="463"/>
      <c r="J10" s="463"/>
      <c r="K10" s="463"/>
      <c r="L10" s="463"/>
      <c r="M10" s="463"/>
      <c r="N10" s="463"/>
      <c r="O10" s="463"/>
      <c r="P10" s="463"/>
      <c r="Q10" s="463"/>
      <c r="R10" s="463"/>
      <c r="S10" s="463"/>
      <c r="T10" s="463"/>
      <c r="U10" s="463"/>
      <c r="V10" s="463"/>
      <c r="W10" s="463"/>
      <c r="X10" s="463"/>
    </row>
    <row r="11" spans="1:25" outlineLevel="1" x14ac:dyDescent="0.2">
      <c r="A11" s="462" t="s">
        <v>358</v>
      </c>
      <c r="B11" s="463">
        <f>-('Equipe projet'!D39+'Equipe projet'!E39+'Equipe projet'!F39)*1000</f>
        <v>-45000</v>
      </c>
      <c r="C11" s="463">
        <f>-'Equipe projet'!G39*1000</f>
        <v>-30000</v>
      </c>
      <c r="D11" s="463">
        <f>-Exploitation!B18</f>
        <v>-104687.65954552223</v>
      </c>
      <c r="E11" s="463">
        <f>-Exploitation!C18</f>
        <v>-742407.45477474609</v>
      </c>
      <c r="F11" s="463">
        <f>-Exploitation!D18</f>
        <v>-1183801.5965781258</v>
      </c>
      <c r="G11" s="463">
        <f>-Exploitation!E18</f>
        <v>-1883181.9287454777</v>
      </c>
      <c r="H11" s="463">
        <f>-Exploitation!F18</f>
        <v>-2423958.4406087217</v>
      </c>
      <c r="I11" s="463">
        <f>-Exploitation!G18</f>
        <v>-2928675.3587125842</v>
      </c>
      <c r="J11" s="463">
        <f>-Exploitation!H18</f>
        <v>-3104395.8802353395</v>
      </c>
      <c r="K11" s="463">
        <f>-Exploitation!I18</f>
        <v>-3290659.6330494601</v>
      </c>
      <c r="L11" s="463">
        <f>-Exploitation!J18</f>
        <v>-3488099.2110324274</v>
      </c>
      <c r="M11" s="463">
        <f>-Exploitation!K18</f>
        <v>-3697385.1636943733</v>
      </c>
      <c r="N11" s="463">
        <f>-Exploitation!L18</f>
        <v>-3697385.1636943733</v>
      </c>
      <c r="O11" s="463">
        <f>-Exploitation!M18</f>
        <v>-3697385.1636943733</v>
      </c>
      <c r="P11" s="463">
        <f>-Exploitation!N18</f>
        <v>-3697385.1636943733</v>
      </c>
      <c r="Q11" s="463">
        <f>-Exploitation!O18</f>
        <v>-3697385.1636943733</v>
      </c>
      <c r="R11" s="463">
        <f>-Exploitation!P18</f>
        <v>-3697385.1636943733</v>
      </c>
      <c r="S11" s="463">
        <f>-Exploitation!Q18</f>
        <v>-3697385.1636943733</v>
      </c>
      <c r="T11" s="463">
        <f>-Exploitation!R18</f>
        <v>-3697385.1636943733</v>
      </c>
      <c r="U11" s="463">
        <f>-Exploitation!S18</f>
        <v>-3697385.1636943733</v>
      </c>
      <c r="V11" s="463">
        <f>-Exploitation!T18</f>
        <v>-3697385.1636943733</v>
      </c>
      <c r="W11" s="463">
        <f>-Exploitation!U18</f>
        <v>-3697385.1636943733</v>
      </c>
      <c r="X11" s="463">
        <f>-Exploitation!V18</f>
        <v>-3697385.1636943733</v>
      </c>
    </row>
    <row r="12" spans="1:25" ht="12.75" customHeight="1" outlineLevel="1" x14ac:dyDescent="0.2">
      <c r="A12" s="462" t="s">
        <v>359</v>
      </c>
      <c r="B12" s="463">
        <f>-('Equipe projet'!D40+'Equipe projet'!E40+'Equipe projet'!F40)*1000</f>
        <v>-105000</v>
      </c>
      <c r="C12" s="463">
        <f>-'Equipe projet'!G40*1000</f>
        <v>-70000</v>
      </c>
      <c r="D12" s="463">
        <f>-Exploitation!B16</f>
        <v>-367008.04003414296</v>
      </c>
      <c r="E12" s="463">
        <f>-Exploitation!C16</f>
        <v>-1263698.3069284293</v>
      </c>
      <c r="F12" s="463">
        <f>-Exploitation!D16</f>
        <v>-1672290.7441181038</v>
      </c>
      <c r="G12" s="463">
        <f>-Exploitation!E16</f>
        <v>-2213180.4199253325</v>
      </c>
      <c r="H12" s="463">
        <f>-Exploitation!F16</f>
        <v>-2480975.5022917087</v>
      </c>
      <c r="I12" s="463">
        <f>-Exploitation!G16</f>
        <v>-2615287.7685091654</v>
      </c>
      <c r="J12" s="463">
        <f>-Exploitation!H16</f>
        <v>-2484596.9593659351</v>
      </c>
      <c r="K12" s="463">
        <f>-Exploitation!I16</f>
        <v>-2491353.9338815189</v>
      </c>
      <c r="L12" s="463">
        <f>-Exploitation!J16</f>
        <v>-2498246.0478874147</v>
      </c>
      <c r="M12" s="463">
        <f>-Exploitation!K16</f>
        <v>-2505276.0041734288</v>
      </c>
      <c r="N12" s="463">
        <f>-Exploitation!L16</f>
        <v>-2512446.5595851624</v>
      </c>
      <c r="O12" s="463">
        <f>-Exploitation!M16</f>
        <v>-2519760.526105131</v>
      </c>
      <c r="P12" s="463">
        <f>-Exploitation!N16</f>
        <v>-2527220.7719554985</v>
      </c>
      <c r="Q12" s="463">
        <f>-Exploitation!O16</f>
        <v>-2534830.222722874</v>
      </c>
      <c r="R12" s="463">
        <f>-Exploitation!P16</f>
        <v>-2542591.8625055971</v>
      </c>
      <c r="S12" s="463">
        <f>-Exploitation!Q16</f>
        <v>-2550508.735083974</v>
      </c>
      <c r="T12" s="463">
        <f>-Exploitation!R16</f>
        <v>-2558583.9451139187</v>
      </c>
      <c r="U12" s="463">
        <f>-Exploitation!S16</f>
        <v>-2566820.6593444622</v>
      </c>
      <c r="V12" s="463">
        <f>-Exploitation!T16</f>
        <v>-2575222.1078596171</v>
      </c>
      <c r="W12" s="463">
        <f>-Exploitation!U16</f>
        <v>-2583791.5853450745</v>
      </c>
      <c r="X12" s="463">
        <f>-Exploitation!V16</f>
        <v>-2592532.4523802409</v>
      </c>
    </row>
    <row r="13" spans="1:25" outlineLevel="1" x14ac:dyDescent="0.2">
      <c r="A13" s="462" t="s">
        <v>360</v>
      </c>
      <c r="B13" s="463"/>
      <c r="C13" s="463"/>
      <c r="D13" s="463">
        <v>0</v>
      </c>
      <c r="E13" s="463"/>
      <c r="F13" s="463"/>
      <c r="G13" s="463"/>
      <c r="H13" s="463"/>
      <c r="I13" s="463"/>
      <c r="J13" s="463"/>
      <c r="K13" s="463"/>
      <c r="L13" s="463"/>
      <c r="M13" s="463"/>
      <c r="N13" s="463"/>
      <c r="O13" s="463"/>
      <c r="P13" s="463"/>
      <c r="Q13" s="463"/>
      <c r="R13" s="463"/>
      <c r="S13" s="463"/>
      <c r="T13" s="463"/>
      <c r="U13" s="463"/>
      <c r="V13" s="463"/>
      <c r="W13" s="463"/>
      <c r="X13" s="463"/>
    </row>
    <row r="14" spans="1:25" outlineLevel="1" x14ac:dyDescent="0.2">
      <c r="A14" s="462" t="s">
        <v>361</v>
      </c>
      <c r="B14" s="463">
        <f>-'Equipe projet'!E43*1000</f>
        <v>0</v>
      </c>
      <c r="C14" s="463">
        <f>-'Equipe projet'!F43*1000</f>
        <v>0</v>
      </c>
      <c r="D14" s="463">
        <f>-Exploitation!B17-Exploitation!B19</f>
        <v>-96735.04347826085</v>
      </c>
      <c r="E14" s="463">
        <f>-Exploitation!C17-Exploitation!C19</f>
        <v>-549952.24031195499</v>
      </c>
      <c r="F14" s="463">
        <f>-Exploitation!D17-Exploitation!D19</f>
        <v>-701184.18906487885</v>
      </c>
      <c r="G14" s="463">
        <f>-Exploitation!E17-Exploitation!E19</f>
        <v>-859882.73075313005</v>
      </c>
      <c r="H14" s="463">
        <f>-Exploitation!F17-Exploitation!F19</f>
        <v>-964564.73264840804</v>
      </c>
      <c r="I14" s="463">
        <f>-Exploitation!G17-Exploitation!G19</f>
        <v>-984279.49108223431</v>
      </c>
      <c r="J14" s="463">
        <f>-Exploitation!H17-Exploitation!H19</f>
        <v>-1003050.098081312</v>
      </c>
      <c r="K14" s="463">
        <f>-Exploitation!I17-Exploitation!I19</f>
        <v>-1022896.4367298116</v>
      </c>
      <c r="L14" s="463">
        <f>-Exploitation!J17-Exploitation!J19</f>
        <v>-1043139.6789006124</v>
      </c>
      <c r="M14" s="463">
        <f>-Exploitation!K17-Exploitation!K19</f>
        <v>-1063787.797655266</v>
      </c>
      <c r="N14" s="463">
        <f>-Exploitation!L17-Exploitation!L19</f>
        <v>-1084848.8787850128</v>
      </c>
      <c r="O14" s="463">
        <f>-Exploitation!M17-Exploitation!M19</f>
        <v>-1106331.1815373541</v>
      </c>
      <c r="P14" s="463">
        <f>-Exploitation!N17-Exploitation!N19</f>
        <v>-1128243.1303447427</v>
      </c>
      <c r="Q14" s="463">
        <f>-Exploitation!O17-Exploitation!O19</f>
        <v>-1150593.3181282787</v>
      </c>
      <c r="R14" s="463">
        <f>-Exploitation!P17-Exploitation!P19</f>
        <v>-1173390.5096674857</v>
      </c>
      <c r="S14" s="463">
        <f>-Exploitation!Q17-Exploitation!Q19</f>
        <v>-1196643.6450374764</v>
      </c>
      <c r="T14" s="463">
        <f>-Exploitation!R17-Exploitation!R19</f>
        <v>-1220361.8431148676</v>
      </c>
      <c r="U14" s="463">
        <f>-Exploitation!S17-Exploitation!S19</f>
        <v>-1244554.4051538063</v>
      </c>
      <c r="V14" s="463">
        <f>-Exploitation!T17-Exploitation!T19</f>
        <v>-1269230.8184335236</v>
      </c>
      <c r="W14" s="463">
        <f>-Exploitation!U17-Exploitation!U19</f>
        <v>-1294400.7599788355</v>
      </c>
      <c r="X14" s="463">
        <f>-Exploitation!V17-Exploitation!V19</f>
        <v>-1320074.1003550536</v>
      </c>
    </row>
    <row r="15" spans="1:25" outlineLevel="1" x14ac:dyDescent="0.2">
      <c r="A15" s="462" t="s">
        <v>362</v>
      </c>
      <c r="B15" s="463"/>
      <c r="C15" s="463"/>
      <c r="D15" s="463">
        <v>0</v>
      </c>
      <c r="E15" s="463"/>
      <c r="F15" s="463"/>
      <c r="G15" s="463"/>
      <c r="H15" s="463"/>
      <c r="I15" s="463"/>
      <c r="J15" s="463"/>
      <c r="K15" s="463"/>
      <c r="L15" s="463"/>
      <c r="M15" s="463"/>
      <c r="N15" s="463"/>
      <c r="O15" s="463"/>
      <c r="P15" s="463"/>
      <c r="Q15" s="463"/>
      <c r="R15" s="463"/>
      <c r="S15" s="463"/>
      <c r="T15" s="463"/>
      <c r="U15" s="463"/>
      <c r="V15" s="463"/>
      <c r="W15" s="463"/>
      <c r="X15" s="463"/>
    </row>
    <row r="16" spans="1:25" outlineLevel="1" x14ac:dyDescent="0.2">
      <c r="A16" s="462" t="s">
        <v>363</v>
      </c>
      <c r="B16" s="463"/>
      <c r="C16" s="463"/>
      <c r="D16" s="463">
        <v>0</v>
      </c>
      <c r="E16" s="463"/>
      <c r="F16" s="463"/>
      <c r="G16" s="463"/>
      <c r="H16" s="463"/>
      <c r="I16" s="463"/>
      <c r="J16" s="463"/>
      <c r="K16" s="463"/>
      <c r="L16" s="463"/>
      <c r="M16" s="463"/>
      <c r="N16" s="463"/>
      <c r="O16" s="463"/>
      <c r="P16" s="463"/>
      <c r="Q16" s="463"/>
      <c r="R16" s="463"/>
      <c r="S16" s="463"/>
      <c r="T16" s="463"/>
      <c r="U16" s="463"/>
      <c r="V16" s="463"/>
      <c r="W16" s="463"/>
      <c r="X16" s="463"/>
    </row>
    <row r="17" spans="1:24" outlineLevel="1" x14ac:dyDescent="0.2">
      <c r="A17" s="462" t="s">
        <v>364</v>
      </c>
      <c r="B17" s="463"/>
      <c r="C17" s="463"/>
      <c r="D17" s="463">
        <v>0</v>
      </c>
      <c r="E17" s="463"/>
      <c r="F17" s="463"/>
      <c r="G17" s="463"/>
      <c r="H17" s="463"/>
      <c r="I17" s="463"/>
      <c r="J17" s="463"/>
      <c r="K17" s="463"/>
      <c r="L17" s="463"/>
      <c r="M17" s="463"/>
      <c r="N17" s="463"/>
      <c r="O17" s="463"/>
      <c r="P17" s="463"/>
      <c r="Q17" s="463"/>
      <c r="R17" s="463"/>
      <c r="S17" s="463"/>
      <c r="T17" s="463"/>
      <c r="U17" s="463"/>
      <c r="V17" s="463"/>
      <c r="W17" s="463"/>
      <c r="X17" s="463"/>
    </row>
    <row r="18" spans="1:24" outlineLevel="1" x14ac:dyDescent="0.2">
      <c r="A18" s="462" t="s">
        <v>365</v>
      </c>
      <c r="B18" s="463"/>
      <c r="C18" s="463"/>
      <c r="D18" s="463">
        <f>-Exploitation!B20</f>
        <v>-65217.391304347824</v>
      </c>
      <c r="E18" s="463">
        <f>-Exploitation!C20</f>
        <v>-375000</v>
      </c>
      <c r="F18" s="463">
        <f>-Exploitation!D20</f>
        <v>-382000</v>
      </c>
      <c r="G18" s="463">
        <f>-Exploitation!E20</f>
        <v>-389140</v>
      </c>
      <c r="H18" s="463">
        <f>-Exploitation!F20</f>
        <v>-396422.8</v>
      </c>
      <c r="I18" s="463">
        <f>-Exploitation!G20</f>
        <v>-403851.25599999999</v>
      </c>
      <c r="J18" s="463">
        <f>-Exploitation!H20</f>
        <v>-411428.28112</v>
      </c>
      <c r="K18" s="463">
        <f>-Exploitation!I20</f>
        <v>-419156.84674240003</v>
      </c>
      <c r="L18" s="463">
        <f>-Exploitation!J20</f>
        <v>-427039.98367724806</v>
      </c>
      <c r="M18" s="463">
        <f>-Exploitation!K20</f>
        <v>-435080.783350793</v>
      </c>
      <c r="N18" s="463">
        <f>-Exploitation!L20</f>
        <v>-443282.3990178089</v>
      </c>
      <c r="O18" s="463">
        <f>-Exploitation!M20</f>
        <v>-451648.04699816508</v>
      </c>
      <c r="P18" s="463">
        <f>-Exploitation!N20</f>
        <v>-460181.00793812837</v>
      </c>
      <c r="Q18" s="463">
        <f>-Exploitation!O20</f>
        <v>-468884.62809689093</v>
      </c>
      <c r="R18" s="463">
        <f>-Exploitation!P20</f>
        <v>-477762.32065882877</v>
      </c>
      <c r="S18" s="463">
        <f>-Exploitation!Q20</f>
        <v>-486817.56707200536</v>
      </c>
      <c r="T18" s="463">
        <f>-Exploitation!R20</f>
        <v>-496053.91841344547</v>
      </c>
      <c r="U18" s="463">
        <f>-Exploitation!S20</f>
        <v>-505474.99678171438</v>
      </c>
      <c r="V18" s="463">
        <f>-Exploitation!T20</f>
        <v>-515084.49671734869</v>
      </c>
      <c r="W18" s="463">
        <f>-Exploitation!U20</f>
        <v>-524886.18665169575</v>
      </c>
      <c r="X18" s="463">
        <f>-Exploitation!V20</f>
        <v>-534883.91038472962</v>
      </c>
    </row>
    <row r="19" spans="1:24" x14ac:dyDescent="0.2">
      <c r="A19" s="462"/>
      <c r="B19" s="466"/>
      <c r="C19" s="466"/>
      <c r="D19" s="466"/>
      <c r="E19" s="466"/>
      <c r="F19" s="466"/>
      <c r="G19" s="466"/>
      <c r="H19" s="466"/>
      <c r="I19" s="466"/>
      <c r="J19" s="466"/>
      <c r="K19" s="466"/>
      <c r="L19" s="466"/>
      <c r="M19" s="466"/>
      <c r="N19" s="466"/>
      <c r="O19" s="466"/>
      <c r="P19" s="466"/>
      <c r="Q19" s="466"/>
      <c r="R19" s="466"/>
      <c r="S19" s="466"/>
      <c r="T19" s="466"/>
      <c r="U19" s="466"/>
      <c r="V19" s="466"/>
      <c r="W19" s="466"/>
      <c r="X19" s="466"/>
    </row>
    <row r="20" spans="1:24" ht="14.25" x14ac:dyDescent="0.2">
      <c r="A20" s="464" t="s">
        <v>366</v>
      </c>
      <c r="B20" s="467">
        <f t="shared" ref="B20:X20" si="1">B9+B11+B12+B13+B14+B15+B16+B17+B18</f>
        <v>-149999.99997999999</v>
      </c>
      <c r="C20" s="467">
        <f t="shared" si="1"/>
        <v>-99999.999979999993</v>
      </c>
      <c r="D20" s="467">
        <f t="shared" si="1"/>
        <v>351479.1182706512</v>
      </c>
      <c r="E20" s="467">
        <f t="shared" si="1"/>
        <v>5758724.6643777853</v>
      </c>
      <c r="F20" s="467">
        <f t="shared" si="1"/>
        <v>8872933.7456679773</v>
      </c>
      <c r="G20" s="467">
        <f t="shared" si="1"/>
        <v>14094343.814305136</v>
      </c>
      <c r="H20" s="467">
        <f t="shared" si="1"/>
        <v>19098339.171434108</v>
      </c>
      <c r="I20" s="467">
        <f t="shared" si="1"/>
        <v>24121416.758407179</v>
      </c>
      <c r="J20" s="467">
        <f t="shared" si="1"/>
        <v>24582201.745575935</v>
      </c>
      <c r="K20" s="467">
        <f t="shared" si="1"/>
        <v>24805121.816417206</v>
      </c>
      <c r="L20" s="467">
        <f t="shared" si="1"/>
        <v>24506872.800103348</v>
      </c>
      <c r="M20" s="467">
        <f t="shared" si="1"/>
        <v>24411311.440081716</v>
      </c>
      <c r="N20" s="467">
        <f t="shared" si="1"/>
        <v>24147235.807474744</v>
      </c>
      <c r="O20" s="467">
        <f t="shared" si="1"/>
        <v>23875773.766919795</v>
      </c>
      <c r="P20" s="467">
        <f t="shared" si="1"/>
        <v>23596712.72811396</v>
      </c>
      <c r="Q20" s="467">
        <f t="shared" si="1"/>
        <v>23309833.885931086</v>
      </c>
      <c r="R20" s="467">
        <f t="shared" si="1"/>
        <v>23014912.037063286</v>
      </c>
      <c r="S20" s="467">
        <f t="shared" si="1"/>
        <v>22711715.391221706</v>
      </c>
      <c r="T20" s="467">
        <f t="shared" si="1"/>
        <v>22400005.376734436</v>
      </c>
      <c r="U20" s="467">
        <f t="shared" si="1"/>
        <v>22079536.440374829</v>
      </c>
      <c r="V20" s="467">
        <f t="shared" si="1"/>
        <v>21750055.841248289</v>
      </c>
      <c r="W20" s="467">
        <f t="shared" si="1"/>
        <v>21411303.438560516</v>
      </c>
      <c r="X20" s="467">
        <f t="shared" si="1"/>
        <v>21063011.47308496</v>
      </c>
    </row>
    <row r="21" spans="1:24" x14ac:dyDescent="0.2">
      <c r="A21" s="462"/>
      <c r="B21" s="466"/>
      <c r="C21" s="466"/>
      <c r="D21" s="466"/>
      <c r="E21" s="466"/>
      <c r="F21" s="466"/>
      <c r="G21" s="466"/>
      <c r="H21" s="466"/>
      <c r="I21" s="466"/>
      <c r="J21" s="466"/>
      <c r="K21" s="466"/>
      <c r="L21" s="466"/>
      <c r="M21" s="466"/>
      <c r="N21" s="466"/>
      <c r="O21" s="466"/>
      <c r="P21" s="466"/>
      <c r="Q21" s="466"/>
      <c r="R21" s="466"/>
      <c r="S21" s="466"/>
      <c r="T21" s="466"/>
      <c r="U21" s="466"/>
      <c r="V21" s="466"/>
      <c r="W21" s="466"/>
      <c r="X21" s="466"/>
    </row>
    <row r="22" spans="1:24" outlineLevel="1" x14ac:dyDescent="0.2">
      <c r="A22" s="462" t="s">
        <v>367</v>
      </c>
      <c r="B22" s="463"/>
      <c r="C22" s="463"/>
      <c r="D22" s="463">
        <v>0</v>
      </c>
      <c r="E22" s="463"/>
      <c r="F22" s="463"/>
      <c r="G22" s="463"/>
      <c r="H22" s="463"/>
      <c r="I22" s="463"/>
      <c r="J22" s="463"/>
      <c r="K22" s="463"/>
      <c r="L22" s="463"/>
      <c r="M22" s="463"/>
      <c r="N22" s="463"/>
      <c r="O22" s="463"/>
      <c r="P22" s="463"/>
      <c r="Q22" s="463"/>
      <c r="R22" s="463"/>
      <c r="S22" s="463"/>
      <c r="T22" s="463"/>
      <c r="U22" s="463"/>
      <c r="V22" s="463"/>
      <c r="W22" s="463"/>
      <c r="X22" s="463"/>
    </row>
    <row r="23" spans="1:24" outlineLevel="1" x14ac:dyDescent="0.2">
      <c r="A23" s="462" t="s">
        <v>403</v>
      </c>
      <c r="B23" s="463"/>
      <c r="C23" s="463"/>
      <c r="D23" s="463">
        <f>-Exploitation!B21</f>
        <v>0</v>
      </c>
      <c r="E23" s="463">
        <f>-Exploitation!C21</f>
        <v>0</v>
      </c>
      <c r="F23" s="463">
        <f>-Exploitation!D21</f>
        <v>0</v>
      </c>
      <c r="G23" s="463">
        <f>-Exploitation!E21</f>
        <v>0</v>
      </c>
      <c r="H23" s="463">
        <f>-Exploitation!F21</f>
        <v>0</v>
      </c>
      <c r="I23" s="463">
        <f>-Exploitation!G21</f>
        <v>0</v>
      </c>
      <c r="J23" s="463">
        <f>-Exploitation!H21</f>
        <v>0</v>
      </c>
      <c r="K23" s="463">
        <f>-Exploitation!I21</f>
        <v>0</v>
      </c>
      <c r="L23" s="463">
        <f>-Exploitation!J21</f>
        <v>0</v>
      </c>
      <c r="M23" s="463">
        <f>-Exploitation!K21</f>
        <v>0</v>
      </c>
      <c r="N23" s="463">
        <f>-Exploitation!L21</f>
        <v>0</v>
      </c>
      <c r="O23" s="463">
        <f>-Exploitation!M21</f>
        <v>0</v>
      </c>
      <c r="P23" s="463">
        <f>-Exploitation!N21</f>
        <v>0</v>
      </c>
      <c r="Q23" s="463">
        <f>-Exploitation!O21</f>
        <v>0</v>
      </c>
      <c r="R23" s="463">
        <f>-Exploitation!P21</f>
        <v>0</v>
      </c>
      <c r="S23" s="463">
        <f>-Exploitation!Q21</f>
        <v>0</v>
      </c>
      <c r="T23" s="463">
        <f>-Exploitation!R21</f>
        <v>0</v>
      </c>
      <c r="U23" s="463">
        <f>-Exploitation!S21</f>
        <v>0</v>
      </c>
      <c r="V23" s="463">
        <f>-Exploitation!T21</f>
        <v>0</v>
      </c>
      <c r="W23" s="463">
        <f>-Exploitation!U21</f>
        <v>0</v>
      </c>
      <c r="X23" s="463">
        <f>-Exploitation!V21</f>
        <v>0</v>
      </c>
    </row>
    <row r="24" spans="1:24" outlineLevel="1" x14ac:dyDescent="0.2">
      <c r="A24" s="462" t="s">
        <v>404</v>
      </c>
      <c r="B24" s="463"/>
      <c r="C24" s="463"/>
      <c r="D24" s="463">
        <v>0</v>
      </c>
      <c r="E24" s="463"/>
      <c r="F24" s="463"/>
      <c r="G24" s="463"/>
      <c r="H24" s="463"/>
      <c r="I24" s="463"/>
      <c r="J24" s="463"/>
      <c r="K24" s="463"/>
      <c r="L24" s="463"/>
      <c r="M24" s="463"/>
      <c r="N24" s="463"/>
      <c r="O24" s="463"/>
      <c r="P24" s="463"/>
      <c r="Q24" s="463"/>
      <c r="R24" s="463"/>
      <c r="S24" s="463"/>
      <c r="T24" s="463"/>
      <c r="U24" s="463"/>
      <c r="V24" s="463"/>
      <c r="W24" s="463"/>
      <c r="X24" s="463"/>
    </row>
    <row r="25" spans="1:24" ht="12.75" customHeight="1" outlineLevel="1" x14ac:dyDescent="0.2">
      <c r="A25" s="462" t="s">
        <v>405</v>
      </c>
      <c r="B25" s="463">
        <f>-('Equipe projet'!D41+'Equipe projet'!E41+'Equipe projet'!F41)*1000</f>
        <v>-1012987.75</v>
      </c>
      <c r="C25" s="463">
        <f>-'Equipe projet'!G41*1000</f>
        <v>-662000</v>
      </c>
      <c r="D25" s="463">
        <f>-'Exploitation année pleine'!B70</f>
        <v>-819820.07144123781</v>
      </c>
      <c r="E25" s="463">
        <f>-'Exploitation année pleine'!C70</f>
        <v>-911041.69007239619</v>
      </c>
      <c r="F25" s="463">
        <f>-'Exploitation année pleine'!D70</f>
        <v>-1031277.9200136156</v>
      </c>
      <c r="G25" s="463">
        <f>-'Exploitation année pleine'!E70</f>
        <v>-1100033.0416029894</v>
      </c>
      <c r="H25" s="463">
        <f>-'Exploitation année pleine'!F70</f>
        <v>-827664.66604114999</v>
      </c>
      <c r="I25" s="463">
        <f>-'Exploitation année pleine'!G70</f>
        <v>-752910.83866972697</v>
      </c>
      <c r="J25" s="463">
        <f>-'Exploitation année pleine'!H70</f>
        <v>-765951.73307715019</v>
      </c>
      <c r="K25" s="463">
        <f>-'Exploitation année pleine'!I70</f>
        <v>-778997.79435116972</v>
      </c>
      <c r="L25" s="463">
        <f>-'Exploitation année pleine'!J70</f>
        <v>-791834.6713313373</v>
      </c>
      <c r="M25" s="463">
        <f>-'Exploitation année pleine'!K70</f>
        <v>-805350.36950215593</v>
      </c>
      <c r="N25" s="463">
        <f>-'Exploitation année pleine'!L70</f>
        <v>-818594.3823902182</v>
      </c>
      <c r="O25" s="463">
        <f>-'Exploitation année pleine'!M70</f>
        <v>-832103.27553604147</v>
      </c>
      <c r="P25" s="463">
        <f>-'Exploitation année pleine'!N70</f>
        <v>-845882.34654478158</v>
      </c>
      <c r="Q25" s="463">
        <f>-'Exploitation année pleine'!O70</f>
        <v>-859936.99897369638</v>
      </c>
      <c r="R25" s="463">
        <f>-'Exploitation année pleine'!P70</f>
        <v>-874272.74445118941</v>
      </c>
      <c r="S25" s="463">
        <f>-'Exploitation année pleine'!Q70</f>
        <v>-888895.20483823214</v>
      </c>
      <c r="T25" s="463">
        <f>-'Exploitation année pleine'!R70</f>
        <v>-903810.11443301593</v>
      </c>
      <c r="U25" s="463">
        <f>-'Exploitation année pleine'!S70</f>
        <v>-919023.32221969543</v>
      </c>
      <c r="V25" s="463">
        <f>-'Exploitation année pleine'!T70</f>
        <v>-934540.79416210845</v>
      </c>
      <c r="W25" s="463">
        <f>-'Exploitation année pleine'!U70</f>
        <v>-950368.61554336967</v>
      </c>
      <c r="X25" s="463">
        <f>-'Exploitation année pleine'!V70</f>
        <v>-966512.99335225625</v>
      </c>
    </row>
    <row r="26" spans="1:24" outlineLevel="1" x14ac:dyDescent="0.2">
      <c r="A26" s="462" t="s">
        <v>308</v>
      </c>
      <c r="B26" s="463">
        <f>-'Données gestion'!B86</f>
        <v>-175000</v>
      </c>
      <c r="C26" s="463">
        <f>-'Données gestion'!C86</f>
        <v>-200000</v>
      </c>
      <c r="D26" s="463">
        <f>-Exploitation!B29</f>
        <v>-200000</v>
      </c>
      <c r="E26" s="463">
        <f>-Exploitation!C29</f>
        <v>-200000</v>
      </c>
      <c r="F26" s="463">
        <f>-Exploitation!D29</f>
        <v>-200000</v>
      </c>
      <c r="G26" s="463">
        <f>-Exploitation!E29</f>
        <v>-200000</v>
      </c>
      <c r="H26" s="463">
        <f>-Exploitation!F29</f>
        <v>-200000</v>
      </c>
      <c r="I26" s="463">
        <f>-Exploitation!G29</f>
        <v>-200000</v>
      </c>
      <c r="J26" s="463">
        <f>-Exploitation!H29</f>
        <v>-200000</v>
      </c>
      <c r="K26" s="463">
        <f>-Exploitation!I29</f>
        <v>-200000</v>
      </c>
      <c r="L26" s="463">
        <f>-Exploitation!J29</f>
        <v>-200000</v>
      </c>
      <c r="M26" s="463">
        <f>-Exploitation!K29</f>
        <v>-200000</v>
      </c>
      <c r="N26" s="463">
        <f>-Exploitation!L29</f>
        <v>-200000</v>
      </c>
      <c r="O26" s="463">
        <f>-Exploitation!M29</f>
        <v>-200000</v>
      </c>
      <c r="P26" s="463">
        <f>-Exploitation!N29</f>
        <v>-200000</v>
      </c>
      <c r="Q26" s="463">
        <f>-Exploitation!O29</f>
        <v>-200000</v>
      </c>
      <c r="R26" s="463">
        <f>-Exploitation!P29</f>
        <v>-200000</v>
      </c>
      <c r="S26" s="463">
        <f>-Exploitation!Q29</f>
        <v>-200000</v>
      </c>
      <c r="T26" s="463">
        <f>-Exploitation!R29</f>
        <v>-200000</v>
      </c>
      <c r="U26" s="463">
        <f>-Exploitation!S29</f>
        <v>-200000</v>
      </c>
      <c r="V26" s="463">
        <f>-Exploitation!T29</f>
        <v>-200000</v>
      </c>
      <c r="W26" s="463">
        <f>-Exploitation!U29</f>
        <v>-200000</v>
      </c>
      <c r="X26" s="463">
        <f>-Exploitation!V29</f>
        <v>-200000</v>
      </c>
    </row>
    <row r="27" spans="1:24" outlineLevel="1" x14ac:dyDescent="0.2">
      <c r="A27" s="462" t="s">
        <v>406</v>
      </c>
      <c r="B27" s="463"/>
      <c r="C27" s="463"/>
      <c r="D27" s="463">
        <v>0</v>
      </c>
      <c r="E27" s="463"/>
      <c r="F27" s="463"/>
      <c r="G27" s="463"/>
      <c r="H27" s="463"/>
      <c r="I27" s="463"/>
      <c r="J27" s="463"/>
      <c r="K27" s="463"/>
      <c r="L27" s="463"/>
      <c r="M27" s="463"/>
      <c r="N27" s="463"/>
      <c r="O27" s="463"/>
      <c r="P27" s="463"/>
      <c r="Q27" s="463"/>
      <c r="R27" s="463"/>
      <c r="S27" s="463"/>
      <c r="T27" s="463"/>
      <c r="U27" s="463"/>
      <c r="V27" s="463"/>
      <c r="W27" s="463"/>
      <c r="X27" s="463"/>
    </row>
    <row r="28" spans="1:24" outlineLevel="1" x14ac:dyDescent="0.2">
      <c r="A28" s="462" t="s">
        <v>407</v>
      </c>
      <c r="B28" s="463"/>
      <c r="C28" s="463"/>
      <c r="D28" s="463">
        <v>0</v>
      </c>
      <c r="E28" s="463"/>
      <c r="F28" s="463"/>
      <c r="G28" s="463"/>
      <c r="H28" s="463"/>
      <c r="I28" s="463"/>
      <c r="J28" s="463"/>
      <c r="K28" s="463"/>
      <c r="L28" s="463"/>
      <c r="M28" s="463"/>
      <c r="N28" s="463"/>
      <c r="O28" s="463"/>
      <c r="P28" s="463"/>
      <c r="Q28" s="463"/>
      <c r="R28" s="463"/>
      <c r="S28" s="463"/>
      <c r="T28" s="463"/>
      <c r="U28" s="463"/>
      <c r="V28" s="463"/>
      <c r="W28" s="463"/>
      <c r="X28" s="463"/>
    </row>
    <row r="29" spans="1:24" outlineLevel="1" x14ac:dyDescent="0.2">
      <c r="A29" s="462"/>
      <c r="B29" s="463"/>
      <c r="C29" s="463"/>
      <c r="D29" s="463"/>
      <c r="E29" s="463"/>
      <c r="F29" s="463"/>
      <c r="G29" s="463"/>
      <c r="H29" s="463"/>
      <c r="I29" s="463"/>
      <c r="J29" s="463"/>
      <c r="K29" s="463"/>
      <c r="L29" s="463"/>
      <c r="M29" s="463"/>
      <c r="N29" s="463"/>
      <c r="O29" s="463"/>
      <c r="P29" s="463"/>
      <c r="Q29" s="463"/>
      <c r="R29" s="463"/>
      <c r="S29" s="463"/>
      <c r="T29" s="463"/>
      <c r="U29" s="463"/>
      <c r="V29" s="463"/>
      <c r="W29" s="463"/>
      <c r="X29" s="463"/>
    </row>
    <row r="30" spans="1:24" outlineLevel="1" x14ac:dyDescent="0.2">
      <c r="A30" s="462" t="s">
        <v>408</v>
      </c>
      <c r="B30" s="463">
        <f t="shared" ref="B30:K30" si="2">SUM(B22:B29)</f>
        <v>-1187987.75</v>
      </c>
      <c r="C30" s="463">
        <f t="shared" si="2"/>
        <v>-862000</v>
      </c>
      <c r="D30" s="463">
        <f t="shared" si="2"/>
        <v>-1019820.0714412378</v>
      </c>
      <c r="E30" s="463">
        <f t="shared" si="2"/>
        <v>-1111041.6900723963</v>
      </c>
      <c r="F30" s="463">
        <f t="shared" si="2"/>
        <v>-1231277.9200136156</v>
      </c>
      <c r="G30" s="463">
        <f t="shared" si="2"/>
        <v>-1300033.0416029894</v>
      </c>
      <c r="H30" s="463">
        <f t="shared" si="2"/>
        <v>-1027664.66604115</v>
      </c>
      <c r="I30" s="463">
        <f t="shared" si="2"/>
        <v>-952910.83866972697</v>
      </c>
      <c r="J30" s="463">
        <f t="shared" si="2"/>
        <v>-965951.73307715019</v>
      </c>
      <c r="K30" s="463">
        <f t="shared" si="2"/>
        <v>-978997.79435116972</v>
      </c>
      <c r="L30" s="463">
        <f>SUM(L22:L29)</f>
        <v>-991834.6713313373</v>
      </c>
      <c r="M30" s="463">
        <f>SUM(M22:M29)</f>
        <v>-1005350.3695021559</v>
      </c>
      <c r="N30" s="463">
        <f t="shared" ref="N30:X30" si="3">SUM(N22:N29)</f>
        <v>-1018594.3823902182</v>
      </c>
      <c r="O30" s="463">
        <f t="shared" si="3"/>
        <v>-1032103.2755360415</v>
      </c>
      <c r="P30" s="463">
        <f t="shared" si="3"/>
        <v>-1045882.3465447816</v>
      </c>
      <c r="Q30" s="463">
        <f t="shared" si="3"/>
        <v>-1059936.9989736965</v>
      </c>
      <c r="R30" s="463">
        <f t="shared" si="3"/>
        <v>-1074272.7444511894</v>
      </c>
      <c r="S30" s="463">
        <f t="shared" si="3"/>
        <v>-1088895.2048382321</v>
      </c>
      <c r="T30" s="463">
        <f t="shared" si="3"/>
        <v>-1103810.1144330159</v>
      </c>
      <c r="U30" s="463">
        <f t="shared" si="3"/>
        <v>-1119023.3222196954</v>
      </c>
      <c r="V30" s="463">
        <f t="shared" si="3"/>
        <v>-1134540.7941621086</v>
      </c>
      <c r="W30" s="463">
        <f t="shared" si="3"/>
        <v>-1150368.6155433697</v>
      </c>
      <c r="X30" s="463">
        <f t="shared" si="3"/>
        <v>-1166512.9933522562</v>
      </c>
    </row>
    <row r="31" spans="1:24" x14ac:dyDescent="0.2">
      <c r="A31" s="462"/>
      <c r="B31" s="463"/>
      <c r="C31" s="463"/>
      <c r="D31" s="463"/>
      <c r="E31" s="463"/>
      <c r="F31" s="463"/>
      <c r="G31" s="463"/>
      <c r="H31" s="463"/>
      <c r="I31" s="463"/>
      <c r="J31" s="463"/>
      <c r="K31" s="463"/>
      <c r="L31" s="463"/>
      <c r="M31" s="463"/>
      <c r="N31" s="463"/>
      <c r="O31" s="463"/>
      <c r="P31" s="463"/>
      <c r="Q31" s="463"/>
      <c r="R31" s="463"/>
      <c r="S31" s="463"/>
      <c r="T31" s="463"/>
      <c r="U31" s="463"/>
      <c r="V31" s="463"/>
      <c r="W31" s="463"/>
      <c r="X31" s="463"/>
    </row>
    <row r="32" spans="1:24" x14ac:dyDescent="0.2">
      <c r="A32" s="460" t="s">
        <v>409</v>
      </c>
      <c r="B32" s="461">
        <f t="shared" ref="B32:X32" si="4">B20+B30</f>
        <v>-1337987.7499800001</v>
      </c>
      <c r="C32" s="461">
        <f t="shared" si="4"/>
        <v>-961999.99997999996</v>
      </c>
      <c r="D32" s="461">
        <f t="shared" si="4"/>
        <v>-668340.95317058661</v>
      </c>
      <c r="E32" s="461">
        <f t="shared" si="4"/>
        <v>4647682.9743053894</v>
      </c>
      <c r="F32" s="461">
        <f t="shared" si="4"/>
        <v>7641655.8256543614</v>
      </c>
      <c r="G32" s="461">
        <f t="shared" si="4"/>
        <v>12794310.772702146</v>
      </c>
      <c r="H32" s="461">
        <f t="shared" si="4"/>
        <v>18070674.505392957</v>
      </c>
      <c r="I32" s="461">
        <f t="shared" si="4"/>
        <v>23168505.919737451</v>
      </c>
      <c r="J32" s="461">
        <f t="shared" si="4"/>
        <v>23616250.012498785</v>
      </c>
      <c r="K32" s="461">
        <f t="shared" si="4"/>
        <v>23826124.022066038</v>
      </c>
      <c r="L32" s="461">
        <f t="shared" si="4"/>
        <v>23515038.128772009</v>
      </c>
      <c r="M32" s="461">
        <f t="shared" si="4"/>
        <v>23405961.070579559</v>
      </c>
      <c r="N32" s="461">
        <f t="shared" si="4"/>
        <v>23128641.425084524</v>
      </c>
      <c r="O32" s="461">
        <f t="shared" si="4"/>
        <v>22843670.491383754</v>
      </c>
      <c r="P32" s="461">
        <f t="shared" si="4"/>
        <v>22550830.381569181</v>
      </c>
      <c r="Q32" s="461">
        <f t="shared" si="4"/>
        <v>22249896.886957388</v>
      </c>
      <c r="R32" s="461">
        <f t="shared" si="4"/>
        <v>21940639.292612098</v>
      </c>
      <c r="S32" s="461">
        <f t="shared" si="4"/>
        <v>21622820.186383475</v>
      </c>
      <c r="T32" s="461">
        <f t="shared" si="4"/>
        <v>21296195.262301419</v>
      </c>
      <c r="U32" s="461">
        <f t="shared" si="4"/>
        <v>20960513.118155133</v>
      </c>
      <c r="V32" s="461">
        <f t="shared" si="4"/>
        <v>20615515.047086179</v>
      </c>
      <c r="W32" s="461">
        <f t="shared" si="4"/>
        <v>20260934.823017146</v>
      </c>
      <c r="X32" s="461">
        <f t="shared" si="4"/>
        <v>19896498.479732703</v>
      </c>
    </row>
    <row r="33" spans="1:25" x14ac:dyDescent="0.2">
      <c r="A33" s="462"/>
      <c r="B33" s="463"/>
      <c r="C33" s="463"/>
      <c r="D33" s="463"/>
      <c r="E33" s="463"/>
      <c r="F33" s="463"/>
      <c r="G33" s="463"/>
      <c r="H33" s="463"/>
      <c r="I33" s="463"/>
      <c r="J33" s="463"/>
      <c r="K33" s="463"/>
      <c r="L33" s="463"/>
      <c r="M33" s="463"/>
      <c r="N33" s="463"/>
      <c r="O33" s="463"/>
      <c r="P33" s="463"/>
      <c r="Q33" s="463"/>
      <c r="R33" s="463"/>
      <c r="S33" s="463"/>
      <c r="T33" s="463"/>
      <c r="U33" s="463"/>
      <c r="V33" s="463"/>
      <c r="W33" s="463"/>
      <c r="X33" s="463"/>
    </row>
    <row r="34" spans="1:25" outlineLevel="1" x14ac:dyDescent="0.2">
      <c r="A34" s="462" t="s">
        <v>410</v>
      </c>
      <c r="B34" s="463"/>
      <c r="C34" s="463"/>
      <c r="D34" s="463">
        <v>0</v>
      </c>
      <c r="E34" s="463"/>
      <c r="F34" s="463"/>
      <c r="G34" s="463"/>
      <c r="H34" s="463"/>
      <c r="I34" s="463"/>
      <c r="J34" s="463"/>
      <c r="K34" s="463"/>
      <c r="L34" s="463"/>
      <c r="M34" s="463"/>
      <c r="N34" s="463"/>
      <c r="O34" s="463"/>
      <c r="P34" s="463"/>
      <c r="Q34" s="463"/>
      <c r="R34" s="463"/>
      <c r="S34" s="463"/>
      <c r="T34" s="463"/>
      <c r="U34" s="463"/>
      <c r="V34" s="463"/>
      <c r="W34" s="463"/>
      <c r="X34" s="463"/>
    </row>
    <row r="35" spans="1:25" outlineLevel="1" x14ac:dyDescent="0.2">
      <c r="A35" s="462" t="s">
        <v>411</v>
      </c>
      <c r="B35" s="463"/>
      <c r="C35" s="463"/>
      <c r="D35" s="463">
        <v>0</v>
      </c>
      <c r="E35" s="463"/>
      <c r="F35" s="463"/>
      <c r="G35" s="463"/>
      <c r="H35" s="463"/>
      <c r="I35" s="463"/>
      <c r="J35" s="463"/>
      <c r="K35" s="463"/>
      <c r="L35" s="463"/>
      <c r="M35" s="463"/>
      <c r="N35" s="463"/>
      <c r="O35" s="463"/>
      <c r="P35" s="463"/>
      <c r="Q35" s="463"/>
      <c r="R35" s="463"/>
      <c r="S35" s="463"/>
      <c r="T35" s="463"/>
      <c r="U35" s="463"/>
      <c r="V35" s="463"/>
      <c r="W35" s="463"/>
      <c r="X35" s="463"/>
    </row>
    <row r="36" spans="1:25" outlineLevel="1" x14ac:dyDescent="0.2">
      <c r="A36" s="462" t="s">
        <v>412</v>
      </c>
      <c r="B36" s="463">
        <f>-('Equipe projet'!D42+'Equipe projet'!E42+'Equipe projet'!F42)*1000</f>
        <v>-1375096.7799999998</v>
      </c>
      <c r="C36" s="463">
        <f>-'Equipe projet'!G42*1000</f>
        <v>-797500</v>
      </c>
      <c r="D36" s="463">
        <f>-'Exploitation année pleine'!B71</f>
        <v>-1270295.4775163522</v>
      </c>
      <c r="E36" s="463">
        <f>-'Exploitation année pleine'!C71</f>
        <v>-1930922.6025648187</v>
      </c>
      <c r="F36" s="463">
        <f>-'Exploitation année pleine'!D71</f>
        <v>-2225797.5112597672</v>
      </c>
      <c r="G36" s="463">
        <f>-'Exploitation année pleine'!E71</f>
        <v>-2703363.3634460703</v>
      </c>
      <c r="H36" s="463">
        <f>-'Exploitation année pleine'!F71</f>
        <v>-3199141.5307153221</v>
      </c>
      <c r="I36" s="463">
        <f>-'Exploitation année pleine'!G71</f>
        <v>-3263124.3613296286</v>
      </c>
      <c r="J36" s="463">
        <f>-'Exploitation année pleine'!H71</f>
        <v>-3240863.0492005982</v>
      </c>
      <c r="K36" s="463">
        <f>-'Exploitation année pleine'!I71</f>
        <v>-3216406.0348418728</v>
      </c>
      <c r="L36" s="463">
        <f>-'Exploitation année pleine'!J71</f>
        <v>-3189674.3946891204</v>
      </c>
      <c r="M36" s="463">
        <f>-'Exploitation année pleine'!K71</f>
        <v>-3207027.4045496113</v>
      </c>
      <c r="N36" s="463">
        <f>-'Exploitation année pleine'!L71</f>
        <v>-3223798.6650466463</v>
      </c>
      <c r="O36" s="463">
        <f>-'Exploitation année pleine'!M71</f>
        <v>-3239957.9650017424</v>
      </c>
      <c r="P36" s="463">
        <f>-'Exploitation année pleine'!N71</f>
        <v>-3255474.117489025</v>
      </c>
      <c r="Q36" s="463">
        <f>-'Exploitation année pleine'!O71</f>
        <v>-3320583.5998388054</v>
      </c>
      <c r="R36" s="463">
        <f>-'Exploitation année pleine'!P71</f>
        <v>-3335721.2315475931</v>
      </c>
      <c r="S36" s="463">
        <f>-'Exploitation année pleine'!Q71</f>
        <v>-3402435.6561785443</v>
      </c>
      <c r="T36" s="463">
        <f>-'Exploitation année pleine'!R71</f>
        <v>-3417138.8577864924</v>
      </c>
      <c r="U36" s="463">
        <f>-'Exploitation année pleine'!S71</f>
        <v>-3485481.6349422233</v>
      </c>
      <c r="V36" s="463">
        <f>-'Exploitation année pleine'!T71</f>
        <v>-3555191.267641067</v>
      </c>
      <c r="W36" s="463">
        <f>-'Exploitation année pleine'!U71</f>
        <v>-3569684.4094094168</v>
      </c>
      <c r="X36" s="463">
        <f>-'Exploitation année pleine'!V71</f>
        <v>-3641078.097597606</v>
      </c>
    </row>
    <row r="37" spans="1:25" x14ac:dyDescent="0.2">
      <c r="A37" s="462"/>
      <c r="B37" s="463"/>
      <c r="C37" s="463"/>
      <c r="D37" s="463"/>
      <c r="E37" s="463"/>
      <c r="F37" s="463"/>
      <c r="G37" s="463"/>
      <c r="H37" s="463"/>
      <c r="I37" s="463"/>
      <c r="J37" s="463"/>
      <c r="K37" s="463"/>
      <c r="L37" s="463"/>
      <c r="M37" s="463"/>
      <c r="N37" s="463"/>
      <c r="O37" s="463"/>
      <c r="P37" s="463"/>
      <c r="Q37" s="463"/>
      <c r="R37" s="463"/>
      <c r="S37" s="463"/>
      <c r="T37" s="463"/>
      <c r="U37" s="463"/>
      <c r="V37" s="463"/>
      <c r="W37" s="463"/>
      <c r="X37" s="463"/>
    </row>
    <row r="38" spans="1:25" x14ac:dyDescent="0.2">
      <c r="A38" s="460" t="s">
        <v>413</v>
      </c>
      <c r="B38" s="461">
        <f t="shared" ref="B38:X38" si="5">B32+B34+B35+B36</f>
        <v>-2713084.5299800001</v>
      </c>
      <c r="C38" s="461">
        <f t="shared" si="5"/>
        <v>-1759499.9999799998</v>
      </c>
      <c r="D38" s="461">
        <f t="shared" si="5"/>
        <v>-1938636.4306869388</v>
      </c>
      <c r="E38" s="461">
        <f t="shared" si="5"/>
        <v>2716760.3717405708</v>
      </c>
      <c r="F38" s="461">
        <f t="shared" si="5"/>
        <v>5415858.3143945942</v>
      </c>
      <c r="G38" s="461">
        <f t="shared" si="5"/>
        <v>10090947.409256076</v>
      </c>
      <c r="H38" s="461">
        <f t="shared" si="5"/>
        <v>14871532.974677635</v>
      </c>
      <c r="I38" s="461">
        <f t="shared" si="5"/>
        <v>19905381.558407821</v>
      </c>
      <c r="J38" s="461">
        <f t="shared" si="5"/>
        <v>20375386.963298187</v>
      </c>
      <c r="K38" s="461">
        <f t="shared" si="5"/>
        <v>20609717.987224165</v>
      </c>
      <c r="L38" s="461">
        <f t="shared" si="5"/>
        <v>20325363.734082889</v>
      </c>
      <c r="M38" s="461">
        <f t="shared" si="5"/>
        <v>20198933.666029949</v>
      </c>
      <c r="N38" s="461">
        <f t="shared" si="5"/>
        <v>19904842.760037877</v>
      </c>
      <c r="O38" s="461">
        <f t="shared" si="5"/>
        <v>19603712.52638201</v>
      </c>
      <c r="P38" s="461">
        <f t="shared" si="5"/>
        <v>19295356.264080156</v>
      </c>
      <c r="Q38" s="461">
        <f t="shared" si="5"/>
        <v>18929313.287118584</v>
      </c>
      <c r="R38" s="461">
        <f t="shared" si="5"/>
        <v>18604918.061064504</v>
      </c>
      <c r="S38" s="461">
        <f t="shared" si="5"/>
        <v>18220384.530204929</v>
      </c>
      <c r="T38" s="461">
        <f t="shared" si="5"/>
        <v>17879056.404514927</v>
      </c>
      <c r="U38" s="461">
        <f t="shared" si="5"/>
        <v>17475031.483212911</v>
      </c>
      <c r="V38" s="461">
        <f t="shared" si="5"/>
        <v>17060323.779445112</v>
      </c>
      <c r="W38" s="461">
        <f t="shared" si="5"/>
        <v>16691250.41360773</v>
      </c>
      <c r="X38" s="461">
        <f t="shared" si="5"/>
        <v>16255420.382135097</v>
      </c>
      <c r="Y38" s="472">
        <f>SUM(B38:V38)</f>
        <v>295071601.11452597</v>
      </c>
    </row>
    <row r="39" spans="1:25" x14ac:dyDescent="0.2">
      <c r="A39" s="462"/>
      <c r="B39" s="463"/>
      <c r="C39" s="463"/>
      <c r="D39" s="463"/>
      <c r="E39" s="463"/>
      <c r="F39" s="463"/>
      <c r="G39" s="463"/>
      <c r="H39" s="463"/>
      <c r="I39" s="463"/>
      <c r="J39" s="463"/>
      <c r="K39" s="463"/>
      <c r="L39" s="463"/>
      <c r="M39" s="463"/>
      <c r="N39" s="463"/>
      <c r="O39" s="463"/>
      <c r="P39" s="463"/>
      <c r="Q39" s="463"/>
      <c r="R39" s="463"/>
      <c r="S39" s="463"/>
      <c r="T39" s="463"/>
      <c r="U39" s="463"/>
      <c r="V39" s="463"/>
      <c r="W39" s="463"/>
      <c r="X39" s="463"/>
    </row>
    <row r="40" spans="1:25" outlineLevel="1" x14ac:dyDescent="0.2">
      <c r="A40" s="462" t="s">
        <v>414</v>
      </c>
      <c r="B40" s="463"/>
      <c r="C40" s="463"/>
      <c r="D40" s="463">
        <v>0</v>
      </c>
      <c r="E40" s="463"/>
      <c r="F40" s="463"/>
      <c r="G40" s="463"/>
      <c r="H40" s="463"/>
      <c r="I40" s="463"/>
      <c r="J40" s="463"/>
      <c r="K40" s="463"/>
      <c r="L40" s="463"/>
      <c r="M40" s="463"/>
      <c r="N40" s="463"/>
      <c r="O40" s="463"/>
      <c r="P40" s="463"/>
      <c r="Q40" s="463"/>
      <c r="R40" s="463"/>
      <c r="S40" s="463"/>
      <c r="T40" s="463"/>
      <c r="U40" s="463"/>
      <c r="V40" s="463"/>
      <c r="W40" s="463"/>
      <c r="X40" s="463"/>
    </row>
    <row r="41" spans="1:25" outlineLevel="1" x14ac:dyDescent="0.2">
      <c r="A41" s="462" t="s">
        <v>415</v>
      </c>
      <c r="B41" s="463"/>
      <c r="C41" s="463"/>
      <c r="D41" s="463">
        <v>0</v>
      </c>
      <c r="E41" s="463"/>
      <c r="F41" s="463"/>
      <c r="G41" s="463"/>
      <c r="H41" s="463"/>
      <c r="I41" s="463"/>
      <c r="J41" s="463"/>
      <c r="K41" s="463"/>
      <c r="L41" s="463"/>
      <c r="M41" s="463"/>
      <c r="N41" s="463"/>
      <c r="O41" s="463"/>
      <c r="P41" s="463"/>
      <c r="Q41" s="463"/>
      <c r="R41" s="463"/>
      <c r="S41" s="463"/>
      <c r="T41" s="463"/>
      <c r="U41" s="463"/>
      <c r="V41" s="463"/>
      <c r="W41" s="463"/>
      <c r="X41" s="463"/>
    </row>
    <row r="42" spans="1:25" x14ac:dyDescent="0.2">
      <c r="A42" s="462"/>
      <c r="B42" s="463"/>
      <c r="C42" s="463"/>
      <c r="D42" s="463"/>
      <c r="E42" s="463"/>
      <c r="F42" s="463"/>
      <c r="G42" s="463"/>
      <c r="H42" s="463"/>
      <c r="I42" s="463"/>
      <c r="J42" s="463"/>
      <c r="K42" s="463"/>
      <c r="L42" s="463"/>
      <c r="M42" s="463"/>
      <c r="N42" s="463"/>
      <c r="O42" s="463"/>
      <c r="P42" s="463"/>
      <c r="Q42" s="463"/>
      <c r="R42" s="463"/>
      <c r="S42" s="463"/>
      <c r="T42" s="463"/>
      <c r="U42" s="463"/>
      <c r="V42" s="463"/>
      <c r="W42" s="463"/>
      <c r="X42" s="463"/>
    </row>
    <row r="43" spans="1:25" x14ac:dyDescent="0.2">
      <c r="A43" s="460" t="s">
        <v>416</v>
      </c>
      <c r="B43" s="461">
        <f t="shared" ref="B43:X43" si="6">B38+B40+B41</f>
        <v>-2713084.5299800001</v>
      </c>
      <c r="C43" s="461">
        <f t="shared" si="6"/>
        <v>-1759499.9999799998</v>
      </c>
      <c r="D43" s="461">
        <f t="shared" si="6"/>
        <v>-1938636.4306869388</v>
      </c>
      <c r="E43" s="461">
        <f t="shared" si="6"/>
        <v>2716760.3717405708</v>
      </c>
      <c r="F43" s="461">
        <f t="shared" si="6"/>
        <v>5415858.3143945942</v>
      </c>
      <c r="G43" s="461">
        <f t="shared" si="6"/>
        <v>10090947.409256076</v>
      </c>
      <c r="H43" s="461">
        <f t="shared" si="6"/>
        <v>14871532.974677635</v>
      </c>
      <c r="I43" s="461">
        <f t="shared" si="6"/>
        <v>19905381.558407821</v>
      </c>
      <c r="J43" s="461">
        <f t="shared" si="6"/>
        <v>20375386.963298187</v>
      </c>
      <c r="K43" s="461">
        <f t="shared" si="6"/>
        <v>20609717.987224165</v>
      </c>
      <c r="L43" s="461">
        <f t="shared" si="6"/>
        <v>20325363.734082889</v>
      </c>
      <c r="M43" s="461">
        <f t="shared" si="6"/>
        <v>20198933.666029949</v>
      </c>
      <c r="N43" s="461">
        <f t="shared" si="6"/>
        <v>19904842.760037877</v>
      </c>
      <c r="O43" s="461">
        <f t="shared" si="6"/>
        <v>19603712.52638201</v>
      </c>
      <c r="P43" s="461">
        <f t="shared" si="6"/>
        <v>19295356.264080156</v>
      </c>
      <c r="Q43" s="461">
        <f t="shared" si="6"/>
        <v>18929313.287118584</v>
      </c>
      <c r="R43" s="461">
        <f t="shared" si="6"/>
        <v>18604918.061064504</v>
      </c>
      <c r="S43" s="461">
        <f t="shared" si="6"/>
        <v>18220384.530204929</v>
      </c>
      <c r="T43" s="461">
        <f t="shared" si="6"/>
        <v>17879056.404514927</v>
      </c>
      <c r="U43" s="461">
        <f t="shared" si="6"/>
        <v>17475031.483212911</v>
      </c>
      <c r="V43" s="461">
        <f t="shared" si="6"/>
        <v>17060323.779445112</v>
      </c>
      <c r="W43" s="461">
        <f t="shared" si="6"/>
        <v>16691250.41360773</v>
      </c>
      <c r="X43" s="461">
        <f t="shared" si="6"/>
        <v>16255420.382135097</v>
      </c>
    </row>
    <row r="44" spans="1:25" x14ac:dyDescent="0.2">
      <c r="A44" s="460"/>
      <c r="B44" s="466"/>
      <c r="C44" s="466"/>
      <c r="D44" s="466"/>
      <c r="E44" s="466"/>
      <c r="F44" s="466"/>
      <c r="G44" s="466"/>
      <c r="H44" s="466"/>
      <c r="I44" s="466"/>
      <c r="J44" s="466"/>
      <c r="K44" s="466"/>
      <c r="L44" s="466"/>
      <c r="M44" s="466"/>
      <c r="N44" s="466"/>
      <c r="O44" s="466"/>
      <c r="P44" s="466"/>
      <c r="Q44" s="466"/>
      <c r="R44" s="466"/>
      <c r="S44" s="466"/>
      <c r="T44" s="466"/>
      <c r="U44" s="466"/>
      <c r="V44" s="466"/>
      <c r="W44" s="466"/>
      <c r="X44" s="466"/>
    </row>
    <row r="45" spans="1:25" outlineLevel="1" x14ac:dyDescent="0.2">
      <c r="A45" s="462" t="s">
        <v>417</v>
      </c>
      <c r="B45" s="463"/>
      <c r="C45" s="463"/>
      <c r="D45" s="463">
        <f>-Exploitation!B28</f>
        <v>0</v>
      </c>
      <c r="E45" s="463">
        <f>-Exploitation!C28</f>
        <v>-3632333.3333333335</v>
      </c>
      <c r="F45" s="463">
        <f>-Exploitation!D28</f>
        <v>-3632333.3333333335</v>
      </c>
      <c r="G45" s="463">
        <f>-Exploitation!E28</f>
        <v>-3762333.3333333335</v>
      </c>
      <c r="H45" s="463">
        <f>-Exploitation!F28</f>
        <v>-3787333.3333333335</v>
      </c>
      <c r="I45" s="463">
        <f>-Exploitation!G28</f>
        <v>-3462333.333333333</v>
      </c>
      <c r="J45" s="463">
        <f>-Exploitation!H28</f>
        <v>-3289333.3333333335</v>
      </c>
      <c r="K45" s="463">
        <f>-Exploitation!I28</f>
        <v>-3306000</v>
      </c>
      <c r="L45" s="463">
        <f>-Exploitation!J28</f>
        <v>-3322666.666666667</v>
      </c>
      <c r="M45" s="463">
        <f>-Exploitation!K28</f>
        <v>-3339333.3333333335</v>
      </c>
      <c r="N45" s="463">
        <f>-Exploitation!L28</f>
        <v>-3356000</v>
      </c>
      <c r="O45" s="463">
        <f>-Exploitation!M28</f>
        <v>-2448666.6666666665</v>
      </c>
      <c r="P45" s="463">
        <f>-Exploitation!N28</f>
        <v>-2531999.9999999995</v>
      </c>
      <c r="Q45" s="463">
        <f>-Exploitation!O28</f>
        <v>-2548666.6666666665</v>
      </c>
      <c r="R45" s="463">
        <f>-Exploitation!P28</f>
        <v>-2565333.333333333</v>
      </c>
      <c r="S45" s="463">
        <f>-Exploitation!Q28</f>
        <v>-2581999.9999999995</v>
      </c>
      <c r="T45" s="463">
        <f>-Exploitation!R28</f>
        <v>-2418333.3333333335</v>
      </c>
      <c r="U45" s="463">
        <f>-Exploitation!S28</f>
        <v>-2410000</v>
      </c>
      <c r="V45" s="463">
        <f>-Exploitation!T28</f>
        <v>-2468333.3333333335</v>
      </c>
      <c r="W45" s="463">
        <f>-Exploitation!U28</f>
        <v>-2468333.3333333335</v>
      </c>
      <c r="X45" s="463">
        <f>-Exploitation!V28</f>
        <v>-2468333.3333333335</v>
      </c>
    </row>
    <row r="46" spans="1:25" x14ac:dyDescent="0.2">
      <c r="A46" s="462"/>
      <c r="B46" s="463"/>
      <c r="C46" s="463"/>
      <c r="D46" s="463"/>
      <c r="E46" s="463"/>
      <c r="F46" s="463"/>
      <c r="G46" s="463"/>
      <c r="H46" s="463"/>
      <c r="I46" s="463"/>
      <c r="J46" s="463"/>
      <c r="K46" s="463"/>
      <c r="L46" s="463"/>
      <c r="M46" s="463"/>
      <c r="N46" s="463"/>
      <c r="O46" s="463"/>
      <c r="P46" s="463"/>
      <c r="Q46" s="463"/>
      <c r="R46" s="463"/>
      <c r="S46" s="463"/>
      <c r="T46" s="463"/>
      <c r="U46" s="463"/>
      <c r="V46" s="463"/>
      <c r="W46" s="463"/>
      <c r="X46" s="463"/>
    </row>
    <row r="47" spans="1:25" x14ac:dyDescent="0.2">
      <c r="A47" s="460" t="s">
        <v>418</v>
      </c>
      <c r="B47" s="461">
        <f t="shared" ref="B47:X47" si="7">B43+B45</f>
        <v>-2713084.5299800001</v>
      </c>
      <c r="C47" s="461">
        <f t="shared" si="7"/>
        <v>-1759499.9999799998</v>
      </c>
      <c r="D47" s="461">
        <f t="shared" si="7"/>
        <v>-1938636.4306869388</v>
      </c>
      <c r="E47" s="461">
        <f t="shared" si="7"/>
        <v>-915572.96159276273</v>
      </c>
      <c r="F47" s="461">
        <f t="shared" si="7"/>
        <v>1783524.9810612607</v>
      </c>
      <c r="G47" s="461">
        <f t="shared" si="7"/>
        <v>6328614.0759227425</v>
      </c>
      <c r="H47" s="461">
        <f t="shared" si="7"/>
        <v>11084199.641344301</v>
      </c>
      <c r="I47" s="461">
        <f t="shared" si="7"/>
        <v>16443048.225074489</v>
      </c>
      <c r="J47" s="461">
        <f t="shared" si="7"/>
        <v>17086053.629964855</v>
      </c>
      <c r="K47" s="461">
        <f t="shared" si="7"/>
        <v>17303717.987224165</v>
      </c>
      <c r="L47" s="461">
        <f t="shared" si="7"/>
        <v>17002697.067416221</v>
      </c>
      <c r="M47" s="461">
        <f t="shared" si="7"/>
        <v>16859600.332696617</v>
      </c>
      <c r="N47" s="461">
        <f t="shared" si="7"/>
        <v>16548842.760037877</v>
      </c>
      <c r="O47" s="461">
        <f t="shared" si="7"/>
        <v>17155045.859715343</v>
      </c>
      <c r="P47" s="461">
        <f t="shared" si="7"/>
        <v>16763356.264080156</v>
      </c>
      <c r="Q47" s="461">
        <f t="shared" si="7"/>
        <v>16380646.620451918</v>
      </c>
      <c r="R47" s="461">
        <f t="shared" si="7"/>
        <v>16039584.727731172</v>
      </c>
      <c r="S47" s="461">
        <f t="shared" si="7"/>
        <v>15638384.530204929</v>
      </c>
      <c r="T47" s="461">
        <f t="shared" si="7"/>
        <v>15460723.071181593</v>
      </c>
      <c r="U47" s="461">
        <f t="shared" si="7"/>
        <v>15065031.483212911</v>
      </c>
      <c r="V47" s="461">
        <f t="shared" si="7"/>
        <v>14591990.446111778</v>
      </c>
      <c r="W47" s="461">
        <f t="shared" si="7"/>
        <v>14222917.080274396</v>
      </c>
      <c r="X47" s="461">
        <f t="shared" si="7"/>
        <v>13787087.048801763</v>
      </c>
    </row>
    <row r="48" spans="1:25" x14ac:dyDescent="0.2">
      <c r="A48" s="462"/>
      <c r="B48" s="463"/>
      <c r="C48" s="463"/>
      <c r="D48" s="463"/>
      <c r="E48" s="463"/>
      <c r="F48" s="463"/>
      <c r="G48" s="463"/>
      <c r="H48" s="463"/>
      <c r="I48" s="463"/>
      <c r="J48" s="463"/>
      <c r="K48" s="463"/>
      <c r="L48" s="463"/>
      <c r="M48" s="463"/>
      <c r="N48" s="463"/>
      <c r="O48" s="463"/>
      <c r="P48" s="463"/>
      <c r="Q48" s="463"/>
      <c r="R48" s="463"/>
      <c r="S48" s="463"/>
      <c r="T48" s="463"/>
      <c r="U48" s="463"/>
      <c r="V48" s="463"/>
      <c r="W48" s="463"/>
      <c r="X48" s="463"/>
    </row>
    <row r="49" spans="1:24" outlineLevel="1" x14ac:dyDescent="0.2">
      <c r="A49" s="462" t="s">
        <v>419</v>
      </c>
      <c r="B49" s="463"/>
      <c r="C49" s="463"/>
      <c r="D49" s="463">
        <v>0</v>
      </c>
      <c r="E49" s="463"/>
      <c r="F49" s="463"/>
      <c r="G49" s="463"/>
      <c r="H49" s="463"/>
      <c r="I49" s="463"/>
      <c r="J49" s="463"/>
      <c r="K49" s="463"/>
      <c r="L49" s="463"/>
      <c r="M49" s="463"/>
      <c r="N49" s="463"/>
      <c r="O49" s="463"/>
      <c r="P49" s="463"/>
      <c r="Q49" s="463"/>
      <c r="R49" s="463"/>
      <c r="S49" s="463"/>
      <c r="T49" s="463"/>
      <c r="U49" s="463"/>
      <c r="V49" s="463"/>
      <c r="W49" s="463"/>
      <c r="X49" s="463"/>
    </row>
    <row r="50" spans="1:24" outlineLevel="1" x14ac:dyDescent="0.2">
      <c r="A50" s="462" t="s">
        <v>420</v>
      </c>
      <c r="B50" s="468"/>
      <c r="C50" s="468"/>
      <c r="D50" s="468"/>
      <c r="E50" s="468"/>
      <c r="F50" s="468"/>
      <c r="G50" s="468"/>
      <c r="H50" s="468"/>
      <c r="I50" s="468"/>
      <c r="J50" s="468"/>
      <c r="K50" s="468"/>
      <c r="L50" s="463"/>
      <c r="M50" s="463"/>
      <c r="N50" s="463"/>
      <c r="O50" s="463"/>
      <c r="P50" s="463"/>
      <c r="Q50" s="463"/>
      <c r="R50" s="463"/>
      <c r="S50" s="463"/>
      <c r="T50" s="463"/>
      <c r="U50" s="463"/>
      <c r="V50" s="463"/>
      <c r="W50" s="463"/>
      <c r="X50" s="463"/>
    </row>
    <row r="51" spans="1:24" outlineLevel="1" x14ac:dyDescent="0.2">
      <c r="A51" s="462" t="s">
        <v>421</v>
      </c>
      <c r="B51" s="463">
        <f>-SUM('Emprunt 2015'!E11:E23)</f>
        <v>0</v>
      </c>
      <c r="C51" s="463">
        <f>-SUM('Emprunt 2015'!E24:E35)-SUM('Emprunt 2016'!E12:E23)</f>
        <v>-678952.19999999984</v>
      </c>
      <c r="D51" s="463">
        <f>-SUM('Emprunt 2015'!E36:E47)-SUM('Emprunt 2016'!E24:E35)-SUM('Emprunt 2017'!E12:E23)</f>
        <v>-1214646.1200000001</v>
      </c>
      <c r="E51" s="463">
        <f>-SUM('Emprunt 2015'!E48:E59)-SUM('Emprunt 2016'!E36:E47)-SUM('Emprunt 2017'!E24:E35)-SUM('Emprunt 2018'!E12:E23)</f>
        <v>-1313074.1800000002</v>
      </c>
      <c r="F51" s="463">
        <f>-SUM('Emprunt 2015'!E60:E71)-SUM('Emprunt 2016'!E48:E59)-SUM('Emprunt 2017'!E36:E47)-SUM('Emprunt 2018'!E24:E35)-SUM('Emprunt 2019'!E12:E23)</f>
        <v>-1297644.6399999999</v>
      </c>
      <c r="G51" s="463">
        <f>-SUM('Emprunt 2015'!E72:E83)-SUM('Emprunt 2016'!E60:E71)-SUM('Emprunt 2017'!E48:E59)-SUM('Emprunt 2018'!E36:E47)-SUM('Emprunt 2019'!E24:E35)-SUM('Emprunt 2020'!E12:E23)</f>
        <v>-1244955.48</v>
      </c>
      <c r="H51" s="463">
        <f>-SUM('Emprunt 2015'!E84:E95)-SUM('Emprunt 2016'!E72:E83)-SUM('Emprunt 2017'!E60:E71)-SUM('Emprunt 2018'!E48:E59)-SUM('Emprunt 2019'!E36:E47)-SUM('Emprunt 2020'!E24:E35)</f>
        <v>-1083648.8400000001</v>
      </c>
      <c r="I51" s="463">
        <f>-SUM('Emprunt 2015'!E96:E107)-SUM('Emprunt 2016'!E84:E95)-SUM('Emprunt 2017'!E72:E83)-SUM('Emprunt 2018'!E60:E71)-SUM('Emprunt 2019'!E48:E59)-SUM('Emprunt 2020'!E36:E47)</f>
        <v>-906238.05</v>
      </c>
      <c r="J51" s="463">
        <f>-SUM('Emprunt 2015'!E108:E119)-SUM('Emprunt 2016'!E96:E107)-SUM('Emprunt 2017'!E84:E95)-SUM('Emprunt 2018'!E72:E83)-SUM('Emprunt 2019'!E60:E71)-SUM('Emprunt 2020'!E48:E59)</f>
        <v>-716245.03</v>
      </c>
      <c r="K51" s="463">
        <f>-SUM('Emprunt 2015'!E120:E131)-SUM('Emprunt 2016'!E108:E119)-SUM('Emprunt 2017'!E96:E107)-SUM('Emprunt 2018'!E84:E95)-SUM('Emprunt 2019'!E72:E83)-SUM('Emprunt 2020'!E60:E71)</f>
        <v>-518511.47000000009</v>
      </c>
      <c r="L51" s="463">
        <f>-SUM('Emprunt 2016'!E120:E131)-SUM('Emprunt 2017'!E108:E119)-SUM('Emprunt 2018'!E96:E107)-SUM('Emprunt 2019'!E84:E95)-SUM('Emprunt 2020'!E72:E83)</f>
        <v>-312721.91000000003</v>
      </c>
      <c r="M51" s="463">
        <f>-SUM('Emprunt 2017'!E120:E131)-SUM('Emprunt 2018'!E108:E119)-SUM('Emprunt 2019'!E96:E107)-SUM('Emprunt 2020'!E84:E95)</f>
        <v>-144575.35999999999</v>
      </c>
      <c r="N51" s="463">
        <f>-SUM('Emprunt 2018'!E120:E131)-SUM('Emprunt 2019'!E108:E119)-SUM('Emprunt 2020'!E96:E107)</f>
        <v>-61018.86</v>
      </c>
      <c r="O51" s="463">
        <f>-SUM('Emprunt 2019'!E120:E131)-SUM('Emprunt 2020'!E108:E119)</f>
        <v>-26491.479999999996</v>
      </c>
      <c r="P51" s="463">
        <f>-SUM('Emprunt 2020'!E120:E131)</f>
        <v>-7081.04</v>
      </c>
      <c r="Q51" s="463"/>
      <c r="R51" s="463"/>
      <c r="S51" s="463"/>
      <c r="T51" s="463"/>
      <c r="U51" s="463"/>
      <c r="V51" s="463"/>
      <c r="W51" s="463"/>
      <c r="X51" s="463"/>
    </row>
    <row r="52" spans="1:24" outlineLevel="1" x14ac:dyDescent="0.2">
      <c r="A52" s="462" t="s">
        <v>422</v>
      </c>
      <c r="B52" s="463"/>
      <c r="C52" s="463"/>
      <c r="D52" s="463">
        <v>0</v>
      </c>
      <c r="E52" s="463"/>
      <c r="F52" s="463"/>
      <c r="G52" s="463"/>
      <c r="H52" s="463"/>
      <c r="I52" s="463"/>
      <c r="J52" s="463"/>
      <c r="K52" s="463"/>
      <c r="L52" s="463"/>
      <c r="M52" s="463"/>
      <c r="N52" s="463"/>
      <c r="O52" s="463"/>
      <c r="P52" s="463"/>
      <c r="Q52" s="463"/>
      <c r="R52" s="463"/>
      <c r="S52" s="463"/>
      <c r="T52" s="463"/>
      <c r="U52" s="463"/>
      <c r="V52" s="463"/>
      <c r="W52" s="463"/>
      <c r="X52" s="463"/>
    </row>
    <row r="53" spans="1:24" outlineLevel="1" x14ac:dyDescent="0.2">
      <c r="A53" s="462" t="s">
        <v>423</v>
      </c>
      <c r="B53" s="463">
        <v>0</v>
      </c>
      <c r="C53" s="463">
        <v>0</v>
      </c>
      <c r="D53" s="463"/>
      <c r="E53" s="463"/>
      <c r="F53" s="463"/>
      <c r="G53" s="463"/>
      <c r="H53" s="463"/>
      <c r="I53" s="463"/>
      <c r="J53" s="463"/>
      <c r="K53" s="463"/>
      <c r="L53" s="463"/>
      <c r="M53" s="463"/>
      <c r="N53" s="463"/>
      <c r="O53" s="463"/>
      <c r="P53" s="463"/>
      <c r="Q53" s="463"/>
      <c r="R53" s="463"/>
      <c r="S53" s="463"/>
      <c r="T53" s="463"/>
      <c r="U53" s="463"/>
      <c r="V53" s="463"/>
      <c r="W53" s="463"/>
      <c r="X53" s="463"/>
    </row>
    <row r="54" spans="1:24" x14ac:dyDescent="0.2">
      <c r="A54" s="469"/>
      <c r="B54" s="463"/>
      <c r="C54" s="463"/>
      <c r="D54" s="463"/>
      <c r="E54" s="463"/>
      <c r="F54" s="463"/>
      <c r="G54" s="463"/>
      <c r="H54" s="463"/>
      <c r="I54" s="463"/>
      <c r="J54" s="463"/>
      <c r="K54" s="463"/>
      <c r="L54" s="463"/>
      <c r="M54" s="463"/>
      <c r="N54" s="463"/>
      <c r="O54" s="463"/>
      <c r="P54" s="463"/>
      <c r="Q54" s="463"/>
      <c r="R54" s="463"/>
      <c r="S54" s="463"/>
      <c r="T54" s="463"/>
      <c r="U54" s="463"/>
      <c r="V54" s="463"/>
      <c r="W54" s="463"/>
      <c r="X54" s="463"/>
    </row>
    <row r="55" spans="1:24" x14ac:dyDescent="0.2">
      <c r="A55" s="1205" t="s">
        <v>424</v>
      </c>
      <c r="B55" s="461">
        <f t="shared" ref="B55:K55" si="8">SUM(B49:B54)</f>
        <v>0</v>
      </c>
      <c r="C55" s="461">
        <f t="shared" si="8"/>
        <v>-678952.19999999984</v>
      </c>
      <c r="D55" s="461">
        <f t="shared" si="8"/>
        <v>-1214646.1200000001</v>
      </c>
      <c r="E55" s="461">
        <f t="shared" si="8"/>
        <v>-1313074.1800000002</v>
      </c>
      <c r="F55" s="461">
        <f t="shared" si="8"/>
        <v>-1297644.6399999999</v>
      </c>
      <c r="G55" s="461">
        <f t="shared" si="8"/>
        <v>-1244955.48</v>
      </c>
      <c r="H55" s="461">
        <f t="shared" si="8"/>
        <v>-1083648.8400000001</v>
      </c>
      <c r="I55" s="461">
        <f t="shared" si="8"/>
        <v>-906238.05</v>
      </c>
      <c r="J55" s="461">
        <f t="shared" si="8"/>
        <v>-716245.03</v>
      </c>
      <c r="K55" s="461">
        <f t="shared" si="8"/>
        <v>-518511.47000000009</v>
      </c>
      <c r="L55" s="461">
        <f>SUM(L49:L54)</f>
        <v>-312721.91000000003</v>
      </c>
      <c r="M55" s="461">
        <f>SUM(M49:M54)</f>
        <v>-144575.35999999999</v>
      </c>
      <c r="N55" s="461">
        <f t="shared" ref="N55:X55" si="9">SUM(N49:N54)</f>
        <v>-61018.86</v>
      </c>
      <c r="O55" s="461">
        <f t="shared" si="9"/>
        <v>-26491.479999999996</v>
      </c>
      <c r="P55" s="461">
        <f t="shared" si="9"/>
        <v>-7081.04</v>
      </c>
      <c r="Q55" s="461">
        <f t="shared" si="9"/>
        <v>0</v>
      </c>
      <c r="R55" s="461">
        <f t="shared" si="9"/>
        <v>0</v>
      </c>
      <c r="S55" s="461">
        <f t="shared" si="9"/>
        <v>0</v>
      </c>
      <c r="T55" s="461">
        <f t="shared" si="9"/>
        <v>0</v>
      </c>
      <c r="U55" s="461">
        <f t="shared" si="9"/>
        <v>0</v>
      </c>
      <c r="V55" s="461">
        <f t="shared" si="9"/>
        <v>0</v>
      </c>
      <c r="W55" s="461">
        <f t="shared" si="9"/>
        <v>0</v>
      </c>
      <c r="X55" s="461">
        <f t="shared" si="9"/>
        <v>0</v>
      </c>
    </row>
    <row r="56" spans="1:24" x14ac:dyDescent="0.2">
      <c r="A56" s="460"/>
      <c r="B56" s="463"/>
      <c r="C56" s="463"/>
      <c r="D56" s="463"/>
      <c r="E56" s="463"/>
      <c r="F56" s="463"/>
      <c r="G56" s="463"/>
      <c r="H56" s="463"/>
      <c r="I56" s="463"/>
      <c r="J56" s="463"/>
      <c r="K56" s="463"/>
      <c r="L56" s="463"/>
      <c r="M56" s="463"/>
      <c r="N56" s="463"/>
      <c r="O56" s="463"/>
      <c r="P56" s="463"/>
      <c r="Q56" s="463"/>
      <c r="R56" s="463"/>
      <c r="S56" s="463"/>
      <c r="T56" s="463"/>
      <c r="U56" s="463"/>
      <c r="V56" s="463"/>
      <c r="W56" s="463"/>
      <c r="X56" s="463"/>
    </row>
    <row r="57" spans="1:24" x14ac:dyDescent="0.2">
      <c r="A57" s="1205" t="s">
        <v>425</v>
      </c>
      <c r="B57" s="461">
        <f t="shared" ref="B57:X57" si="10">+B55+B47</f>
        <v>-2713084.5299800001</v>
      </c>
      <c r="C57" s="461">
        <f t="shared" si="10"/>
        <v>-2438452.1999799996</v>
      </c>
      <c r="D57" s="461">
        <f t="shared" si="10"/>
        <v>-3153282.5506869387</v>
      </c>
      <c r="E57" s="461">
        <f t="shared" si="10"/>
        <v>-2228647.1415927629</v>
      </c>
      <c r="F57" s="461">
        <f t="shared" si="10"/>
        <v>485880.34106126078</v>
      </c>
      <c r="G57" s="461">
        <f t="shared" si="10"/>
        <v>5083658.595922742</v>
      </c>
      <c r="H57" s="461">
        <f t="shared" si="10"/>
        <v>10000550.801344302</v>
      </c>
      <c r="I57" s="461">
        <f t="shared" si="10"/>
        <v>15536810.175074488</v>
      </c>
      <c r="J57" s="461">
        <f t="shared" si="10"/>
        <v>16369808.599964855</v>
      </c>
      <c r="K57" s="461">
        <f t="shared" si="10"/>
        <v>16785206.517224167</v>
      </c>
      <c r="L57" s="461">
        <f t="shared" si="10"/>
        <v>16689975.157416221</v>
      </c>
      <c r="M57" s="461">
        <f t="shared" si="10"/>
        <v>16715024.972696617</v>
      </c>
      <c r="N57" s="461">
        <f t="shared" si="10"/>
        <v>16487823.900037877</v>
      </c>
      <c r="O57" s="461">
        <f t="shared" si="10"/>
        <v>17128554.379715342</v>
      </c>
      <c r="P57" s="461">
        <f t="shared" si="10"/>
        <v>16756275.224080157</v>
      </c>
      <c r="Q57" s="461">
        <f t="shared" si="10"/>
        <v>16380646.620451918</v>
      </c>
      <c r="R57" s="461">
        <f t="shared" si="10"/>
        <v>16039584.727731172</v>
      </c>
      <c r="S57" s="461">
        <f t="shared" si="10"/>
        <v>15638384.530204929</v>
      </c>
      <c r="T57" s="461">
        <f t="shared" si="10"/>
        <v>15460723.071181593</v>
      </c>
      <c r="U57" s="461">
        <f t="shared" si="10"/>
        <v>15065031.483212911</v>
      </c>
      <c r="V57" s="461">
        <f t="shared" si="10"/>
        <v>14591990.446111778</v>
      </c>
      <c r="W57" s="461">
        <f t="shared" si="10"/>
        <v>14222917.080274396</v>
      </c>
      <c r="X57" s="461">
        <f t="shared" si="10"/>
        <v>13787087.048801763</v>
      </c>
    </row>
    <row r="58" spans="1:24" x14ac:dyDescent="0.2">
      <c r="A58" s="460"/>
      <c r="B58" s="463"/>
      <c r="C58" s="463"/>
      <c r="D58" s="463"/>
      <c r="E58" s="463"/>
      <c r="F58" s="463"/>
      <c r="G58" s="463"/>
      <c r="H58" s="463"/>
      <c r="I58" s="463"/>
      <c r="J58" s="463"/>
      <c r="K58" s="463"/>
      <c r="L58" s="463"/>
      <c r="M58" s="463"/>
      <c r="N58" s="463"/>
      <c r="O58" s="463"/>
      <c r="P58" s="463"/>
      <c r="Q58" s="463"/>
      <c r="R58" s="463"/>
      <c r="S58" s="463"/>
      <c r="T58" s="463"/>
      <c r="U58" s="463"/>
      <c r="V58" s="463"/>
      <c r="W58" s="463"/>
      <c r="X58" s="463"/>
    </row>
    <row r="59" spans="1:24" outlineLevel="1" x14ac:dyDescent="0.2">
      <c r="A59" s="462" t="s">
        <v>1459</v>
      </c>
      <c r="B59" s="463"/>
      <c r="C59" s="463"/>
      <c r="D59" s="463">
        <v>0</v>
      </c>
      <c r="E59" s="461">
        <f>Subventions!$C$27*1000/10</f>
        <v>253700</v>
      </c>
      <c r="F59" s="461">
        <f>Subventions!$C$27*1000/10</f>
        <v>253700</v>
      </c>
      <c r="G59" s="461">
        <f>Subventions!$C$27*1000/10</f>
        <v>253700</v>
      </c>
      <c r="H59" s="461">
        <f>Subventions!$C$27*1000/10</f>
        <v>253700</v>
      </c>
      <c r="I59" s="461">
        <f>Subventions!$C$27*1000/10</f>
        <v>253700</v>
      </c>
      <c r="J59" s="461">
        <f>Subventions!$C$27*1000/10</f>
        <v>253700</v>
      </c>
      <c r="K59" s="461">
        <f>Subventions!$C$27*1000/10</f>
        <v>253700</v>
      </c>
      <c r="L59" s="461">
        <f>Subventions!$C$27*1000/10</f>
        <v>253700</v>
      </c>
      <c r="M59" s="461">
        <f>Subventions!$C$27*1000/10</f>
        <v>253700</v>
      </c>
      <c r="N59" s="461">
        <f>Subventions!$C$27*1000/10</f>
        <v>253700</v>
      </c>
      <c r="O59" s="461"/>
      <c r="P59" s="461"/>
      <c r="Q59" s="463"/>
      <c r="R59" s="463"/>
      <c r="S59" s="463"/>
      <c r="T59" s="463"/>
      <c r="U59" s="463"/>
      <c r="V59" s="463"/>
      <c r="W59" s="463"/>
      <c r="X59" s="463"/>
    </row>
    <row r="60" spans="1:24" x14ac:dyDescent="0.2">
      <c r="A60" s="462"/>
      <c r="B60" s="463"/>
      <c r="C60" s="463"/>
      <c r="D60" s="463"/>
      <c r="E60" s="463"/>
      <c r="F60" s="463"/>
      <c r="G60" s="463"/>
      <c r="H60" s="463"/>
      <c r="I60" s="463"/>
      <c r="J60" s="463"/>
      <c r="K60" s="463"/>
      <c r="L60" s="463"/>
      <c r="M60" s="463"/>
      <c r="N60" s="463"/>
      <c r="O60" s="463"/>
      <c r="P60" s="463"/>
      <c r="Q60" s="463"/>
      <c r="R60" s="463"/>
      <c r="S60" s="463"/>
      <c r="T60" s="463"/>
      <c r="U60" s="463"/>
      <c r="V60" s="463"/>
      <c r="W60" s="463"/>
      <c r="X60" s="463"/>
    </row>
    <row r="61" spans="1:24" ht="12" customHeight="1" x14ac:dyDescent="0.2">
      <c r="A61" s="460" t="s">
        <v>426</v>
      </c>
      <c r="B61" s="461">
        <f>B57+B59</f>
        <v>-2713084.5299800001</v>
      </c>
      <c r="C61" s="461">
        <f t="shared" ref="C61:X61" si="11">C57+C59</f>
        <v>-2438452.1999799996</v>
      </c>
      <c r="D61" s="461">
        <f t="shared" si="11"/>
        <v>-3153282.5506869387</v>
      </c>
      <c r="E61" s="461">
        <f t="shared" si="11"/>
        <v>-1974947.1415927629</v>
      </c>
      <c r="F61" s="461">
        <f t="shared" si="11"/>
        <v>739580.34106126078</v>
      </c>
      <c r="G61" s="461">
        <f t="shared" si="11"/>
        <v>5337358.595922742</v>
      </c>
      <c r="H61" s="461">
        <f t="shared" si="11"/>
        <v>10254250.801344302</v>
      </c>
      <c r="I61" s="461">
        <f t="shared" si="11"/>
        <v>15790510.175074488</v>
      </c>
      <c r="J61" s="461">
        <f t="shared" si="11"/>
        <v>16623508.599964855</v>
      </c>
      <c r="K61" s="461">
        <f t="shared" si="11"/>
        <v>17038906.517224167</v>
      </c>
      <c r="L61" s="461">
        <f t="shared" si="11"/>
        <v>16943675.157416221</v>
      </c>
      <c r="M61" s="461">
        <f t="shared" si="11"/>
        <v>16968724.972696617</v>
      </c>
      <c r="N61" s="461">
        <f t="shared" si="11"/>
        <v>16741523.900037877</v>
      </c>
      <c r="O61" s="461">
        <f t="shared" si="11"/>
        <v>17128554.379715342</v>
      </c>
      <c r="P61" s="461">
        <f t="shared" si="11"/>
        <v>16756275.224080157</v>
      </c>
      <c r="Q61" s="461">
        <f t="shared" si="11"/>
        <v>16380646.620451918</v>
      </c>
      <c r="R61" s="461">
        <f t="shared" si="11"/>
        <v>16039584.727731172</v>
      </c>
      <c r="S61" s="461">
        <f t="shared" si="11"/>
        <v>15638384.530204929</v>
      </c>
      <c r="T61" s="461">
        <f t="shared" si="11"/>
        <v>15460723.071181593</v>
      </c>
      <c r="U61" s="461">
        <f t="shared" si="11"/>
        <v>15065031.483212911</v>
      </c>
      <c r="V61" s="461">
        <f t="shared" si="11"/>
        <v>14591990.446111778</v>
      </c>
      <c r="W61" s="461">
        <f t="shared" si="11"/>
        <v>14222917.080274396</v>
      </c>
      <c r="X61" s="461">
        <f t="shared" si="11"/>
        <v>13787087.048801763</v>
      </c>
    </row>
    <row r="62" spans="1:24" outlineLevel="1" x14ac:dyDescent="0.2">
      <c r="A62" s="462" t="s">
        <v>1521</v>
      </c>
      <c r="B62" s="463">
        <f>IF(B57&gt;0,-0.34*B57,0)</f>
        <v>0</v>
      </c>
      <c r="C62" s="463">
        <f>IF(C57&gt;0,IF(B62&lt;0,-0.34*C57,IF(SUM($B57:C57)&gt;0,-0.34*SUM($B57:C57),0)),0)</f>
        <v>0</v>
      </c>
      <c r="D62" s="463">
        <f>IF(D57&gt;0,IF(C62&lt;0,-0.34*D57,IF(SUM($B57:D57)&gt;0,-0.34*SUM($B57:D57),0)),0)</f>
        <v>0</v>
      </c>
      <c r="E62" s="463">
        <f>IF(E57&gt;0,IF(D62&lt;0,-0.34*E57,IF(SUM($B57:E57)&gt;0,-0.34*SUM($B57:E57),0)),0)</f>
        <v>0</v>
      </c>
      <c r="F62" s="463">
        <f>IF(F57&gt;0,IF(E62&lt;0,-0.34*F57,IF(SUM($B57:F57)&gt;0,-0.34*SUM($B57:F57),0)),0)</f>
        <v>0</v>
      </c>
      <c r="G62" s="463">
        <f>IF(G57&gt;0,IF(F62&lt;0,-0.34*G57,IF(SUM($B57:G57)&gt;0,-0.34*SUM($B57:G57),0)),0)</f>
        <v>0</v>
      </c>
      <c r="H62" s="463">
        <f>IF(H61&gt;0,IF(G62&lt;0,-0.34*H61,IF(SUM($B61:H61)&gt;0,-0.34*SUM($B61:H61),0)),0)</f>
        <v>-2057483.9274701248</v>
      </c>
      <c r="I62" s="463">
        <f>IF(I61&gt;0,IF(H62&lt;0,-0.34*I61,IF(SUM($B61:I61)&gt;0,-0.34*SUM($B61:I61),0)),0)</f>
        <v>-5368773.4595253263</v>
      </c>
      <c r="J62" s="463">
        <f>IF(J61&gt;0,IF(I62&lt;0,-0.34*J61,IF(SUM($B61:J61)&gt;0,-0.34*SUM($B61:J61),0)),0)</f>
        <v>-5651992.9239880508</v>
      </c>
      <c r="K62" s="463">
        <f>IF(K61&gt;0,IF(J62&lt;0,-0.34*K61,IF(SUM($B61:K61)&gt;0,-0.34*SUM($B61:K61),0)),0)</f>
        <v>-5793228.2158562168</v>
      </c>
      <c r="L62" s="463">
        <f>IF(L61&gt;0,IF(K62&lt;0,-0.34*L61,IF(SUM($B61:L61)&gt;0,-0.34*SUM($B61:L61),0)),0)</f>
        <v>-5760849.5535215158</v>
      </c>
      <c r="M62" s="463">
        <f>IF(M61&gt;0,IF(L62&lt;0,-0.34*M61,IF(SUM($B61:M61)&gt;0,-0.34*SUM($B61:M61),0)),0)</f>
        <v>-5769366.4907168504</v>
      </c>
      <c r="N62" s="463">
        <f>IF(N61&gt;0,IF(M62&lt;0,-0.34*N61,IF(SUM($B61:N61)&gt;0,-0.34*SUM($B61:N61),0)),0)</f>
        <v>-5692118.1260128785</v>
      </c>
      <c r="O62" s="463">
        <f>IF(O61&gt;0,IF(N62&lt;0,-0.34*O61,IF(SUM($B61:O61)&gt;0,-0.34*SUM($B61:O61),0)),0)</f>
        <v>-5823708.4891032167</v>
      </c>
      <c r="P62" s="463">
        <f>IF(P61&gt;0,IF(O62&lt;0,-0.34*P61,IF(SUM($B61:P61)&gt;0,-0.34*SUM($B61:P61),0)),0)</f>
        <v>-5697133.5761872539</v>
      </c>
      <c r="Q62" s="463">
        <f>IF(Q61&gt;0,IF(P62&lt;0,-0.34*Q61,IF(SUM($B61:Q61)&gt;0,-0.34*SUM($B61:Q61),0)),0)</f>
        <v>-5569419.8509536525</v>
      </c>
      <c r="R62" s="463">
        <f>IF(R61&gt;0,IF(Q62&lt;0,-0.34*R61,IF(SUM($B61:R61)&gt;0,-0.34*SUM($B61:R61),0)),0)</f>
        <v>-5453458.8074285993</v>
      </c>
      <c r="S62" s="463">
        <f>IF(S61&gt;0,IF(R62&lt;0,-0.34*S61,IF(SUM($B61:S61)&gt;0,-0.34*SUM($B61:S61),0)),0)</f>
        <v>-5317050.7402696768</v>
      </c>
      <c r="T62" s="463">
        <f>IF(T61&gt;0,IF(S62&lt;0,-0.34*T61,IF(SUM($B61:T61)&gt;0,-0.34*SUM($B61:T61),0)),0)</f>
        <v>-5256645.8442017417</v>
      </c>
      <c r="U62" s="463">
        <f>IF(U61&gt;0,IF(T62&lt;0,-0.34*U61,IF(SUM($B61:U61)&gt;0,-0.34*SUM($B61:U61),0)),0)</f>
        <v>-5122110.7042923896</v>
      </c>
      <c r="V62" s="463">
        <f>IF(V61&gt;0,IF(U62&lt;0,-0.34*V61,IF(SUM($B61:V61)&gt;0,-0.34*SUM($B61:V61),0)),0)</f>
        <v>-4961276.7516780049</v>
      </c>
      <c r="W62" s="463">
        <f>IF(W61&gt;0,IF(V62&lt;0,-0.34*W61,IF(SUM($B61:W61)&gt;0,-0.34*SUM($B61:W61),0)),0)</f>
        <v>-4835791.8072932949</v>
      </c>
      <c r="X62" s="463">
        <f>IF(X61&gt;0,IF(W62&lt;0,-0.34*X61,IF(SUM($B61:X61)&gt;0,-0.34*SUM($B61:X61),0)),0)</f>
        <v>-4687609.5965925995</v>
      </c>
    </row>
    <row r="63" spans="1:24" x14ac:dyDescent="0.2">
      <c r="A63" s="462"/>
      <c r="B63" s="463"/>
      <c r="C63" s="463"/>
      <c r="D63" s="463"/>
      <c r="E63" s="463"/>
      <c r="F63" s="463"/>
      <c r="G63" s="463"/>
      <c r="H63" s="463"/>
      <c r="I63" s="463"/>
      <c r="J63" s="463"/>
      <c r="K63" s="463"/>
      <c r="L63" s="463"/>
      <c r="M63" s="463"/>
      <c r="N63" s="463"/>
      <c r="O63" s="463"/>
      <c r="P63" s="463"/>
      <c r="Q63" s="463"/>
      <c r="R63" s="463"/>
      <c r="S63" s="463"/>
      <c r="T63" s="463"/>
      <c r="U63" s="463"/>
      <c r="V63" s="463"/>
      <c r="W63" s="463"/>
      <c r="X63" s="463"/>
    </row>
    <row r="64" spans="1:24" ht="12" customHeight="1" x14ac:dyDescent="0.2">
      <c r="A64" s="460" t="s">
        <v>427</v>
      </c>
      <c r="B64" s="467">
        <f t="shared" ref="B64:G64" si="12">B57+B59+B62</f>
        <v>-2713084.5299800001</v>
      </c>
      <c r="C64" s="467">
        <f t="shared" si="12"/>
        <v>-2438452.1999799996</v>
      </c>
      <c r="D64" s="467">
        <f t="shared" si="12"/>
        <v>-3153282.5506869387</v>
      </c>
      <c r="E64" s="467">
        <f t="shared" si="12"/>
        <v>-1974947.1415927629</v>
      </c>
      <c r="F64" s="467">
        <f t="shared" si="12"/>
        <v>739580.34106126078</v>
      </c>
      <c r="G64" s="467">
        <f t="shared" si="12"/>
        <v>5337358.595922742</v>
      </c>
      <c r="H64" s="467">
        <f t="shared" ref="H64:P64" si="13">H57+H59+H62</f>
        <v>8196766.8738741763</v>
      </c>
      <c r="I64" s="467">
        <f t="shared" si="13"/>
        <v>10421736.715549162</v>
      </c>
      <c r="J64" s="467">
        <f t="shared" si="13"/>
        <v>10971515.675976805</v>
      </c>
      <c r="K64" s="467">
        <f t="shared" si="13"/>
        <v>11245678.30136795</v>
      </c>
      <c r="L64" s="467">
        <f t="shared" si="13"/>
        <v>11182825.603894705</v>
      </c>
      <c r="M64" s="467">
        <f t="shared" si="13"/>
        <v>11199358.481979767</v>
      </c>
      <c r="N64" s="467">
        <f t="shared" si="13"/>
        <v>11049405.774024999</v>
      </c>
      <c r="O64" s="467">
        <f t="shared" si="13"/>
        <v>11304845.890612125</v>
      </c>
      <c r="P64" s="467">
        <f t="shared" si="13"/>
        <v>11059141.647892904</v>
      </c>
      <c r="Q64" s="467">
        <f t="shared" ref="Q64:X64" si="14">Q57+Q61+Q62</f>
        <v>27191873.389950182</v>
      </c>
      <c r="R64" s="467">
        <f t="shared" si="14"/>
        <v>26625710.648033746</v>
      </c>
      <c r="S64" s="467">
        <f t="shared" si="14"/>
        <v>25959718.320140183</v>
      </c>
      <c r="T64" s="467">
        <f t="shared" si="14"/>
        <v>25664800.298161447</v>
      </c>
      <c r="U64" s="467">
        <f t="shared" si="14"/>
        <v>25007952.262133431</v>
      </c>
      <c r="V64" s="467">
        <f t="shared" si="14"/>
        <v>24222704.140545551</v>
      </c>
      <c r="W64" s="467">
        <f t="shared" si="14"/>
        <v>23610042.353255495</v>
      </c>
      <c r="X64" s="467">
        <f t="shared" si="14"/>
        <v>22886564.501010925</v>
      </c>
    </row>
    <row r="65" spans="1:25" ht="13.5" thickBot="1" x14ac:dyDescent="0.25">
      <c r="A65" s="470"/>
      <c r="B65" s="471"/>
      <c r="C65" s="471"/>
      <c r="D65" s="471"/>
      <c r="E65" s="471"/>
      <c r="F65" s="471"/>
      <c r="G65" s="471"/>
      <c r="H65" s="471"/>
      <c r="I65" s="471"/>
      <c r="J65" s="471"/>
      <c r="K65" s="471"/>
      <c r="L65" s="471"/>
      <c r="M65" s="471"/>
      <c r="N65" s="471"/>
      <c r="O65" s="471"/>
      <c r="P65" s="471"/>
      <c r="Q65" s="471"/>
      <c r="R65" s="471"/>
      <c r="S65" s="471"/>
      <c r="T65" s="471"/>
      <c r="U65" s="471"/>
      <c r="V65" s="471"/>
      <c r="W65" s="471"/>
      <c r="X65" s="471"/>
    </row>
    <row r="66" spans="1:25" ht="3" customHeight="1" x14ac:dyDescent="0.2"/>
    <row r="67" spans="1:25" x14ac:dyDescent="0.2">
      <c r="D67" s="473"/>
      <c r="E67" s="473">
        <f>E43-254</f>
        <v>2716506.3717405708</v>
      </c>
      <c r="F67" s="473"/>
      <c r="G67" s="473"/>
      <c r="H67" s="473"/>
      <c r="I67" s="473"/>
      <c r="J67" s="473"/>
      <c r="K67" s="473"/>
      <c r="L67" s="473"/>
      <c r="M67" s="473"/>
      <c r="N67" s="473"/>
      <c r="O67" s="473"/>
      <c r="P67" s="473"/>
      <c r="Q67" s="473"/>
      <c r="R67" s="473"/>
      <c r="S67" s="473"/>
      <c r="T67" s="473"/>
      <c r="U67" s="473"/>
      <c r="V67" s="473"/>
      <c r="W67" s="473"/>
      <c r="X67" s="473"/>
    </row>
    <row r="68" spans="1:25" x14ac:dyDescent="0.2">
      <c r="B68" s="472">
        <f>B7+B11+B12+B14+B18+B25+B26+B36+B45</f>
        <v>-2713084.5299899997</v>
      </c>
      <c r="C68" s="472">
        <f>C7+C11+C12+C14+C18+C25+C26+C36+C45</f>
        <v>-1759499.9999899999</v>
      </c>
      <c r="D68" s="472">
        <f>D7+D11+D12+D14+D18+D25+D26+D36+D45</f>
        <v>-3589738.8057606164</v>
      </c>
      <c r="E68" s="472">
        <f t="shared" ref="E68:X68" si="15">E7+E11+E12+E14+E18+E25+E26+E36+E45</f>
        <v>-17077958.135626368</v>
      </c>
      <c r="F68" s="472">
        <f t="shared" si="15"/>
        <v>-23461730.483810257</v>
      </c>
      <c r="G68" s="472">
        <f t="shared" si="15"/>
        <v>-32432523.491434604</v>
      </c>
      <c r="H68" s="472">
        <f t="shared" si="15"/>
        <v>-37596512.931173176</v>
      </c>
      <c r="I68" s="472">
        <f t="shared" si="15"/>
        <v>-40519328.166239567</v>
      </c>
      <c r="J68" s="472">
        <f t="shared" si="15"/>
        <v>-40379743.810443394</v>
      </c>
      <c r="K68" s="472">
        <f t="shared" si="15"/>
        <v>-40515787.034790143</v>
      </c>
      <c r="L68" s="472">
        <f t="shared" si="15"/>
        <v>-40883773.738253385</v>
      </c>
      <c r="M68" s="472">
        <f t="shared" si="15"/>
        <v>-41358977.854206383</v>
      </c>
      <c r="N68" s="472">
        <f t="shared" si="15"/>
        <v>-41669735.426865116</v>
      </c>
      <c r="O68" s="472">
        <f t="shared" si="15"/>
        <v>-41063532.327187642</v>
      </c>
      <c r="P68" s="472">
        <f t="shared" si="15"/>
        <v>-41455221.922822841</v>
      </c>
      <c r="Q68" s="472">
        <f t="shared" si="15"/>
        <v>-41837931.56645108</v>
      </c>
      <c r="R68" s="472">
        <f t="shared" si="15"/>
        <v>-42178993.459171817</v>
      </c>
      <c r="S68" s="472">
        <f t="shared" si="15"/>
        <v>-42580193.656698063</v>
      </c>
      <c r="T68" s="472">
        <f t="shared" si="15"/>
        <v>-42757855.115721397</v>
      </c>
      <c r="U68" s="472">
        <f t="shared" si="15"/>
        <v>-43153546.703690082</v>
      </c>
      <c r="V68" s="472">
        <f t="shared" si="15"/>
        <v>-43626587.740791216</v>
      </c>
      <c r="W68" s="472">
        <f t="shared" si="15"/>
        <v>-43995661.106628612</v>
      </c>
      <c r="X68" s="472">
        <f t="shared" si="15"/>
        <v>-44431491.138101228</v>
      </c>
      <c r="Y68" s="472">
        <f>SUM(B68:U68)</f>
        <v>-658985669.16032588</v>
      </c>
    </row>
    <row r="70" spans="1:25" x14ac:dyDescent="0.2">
      <c r="D70" s="472" t="s">
        <v>428</v>
      </c>
    </row>
    <row r="72" spans="1:25" x14ac:dyDescent="0.2">
      <c r="Y72" s="751" t="e">
        <f>#REF!+#REF!</f>
        <v>#REF!</v>
      </c>
    </row>
  </sheetData>
  <phoneticPr fontId="32" type="noConversion"/>
  <printOptions horizontalCentered="1" verticalCentered="1"/>
  <pageMargins left="0" right="0" top="0" bottom="0.19685039370078741" header="0.15748031496062992" footer="0.15748031496062992"/>
  <pageSetup paperSize="9" scale="71" orientation="landscape" r:id="rId1"/>
  <headerFooter alignWithMargins="0">
    <oddHeader>&amp;R&amp;"Times New Roman,Normal"&amp;D</oddHeader>
    <oddFooter>&amp;L&amp;F - &amp;D&amp;RPage &amp;P/&amp;N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0000"/>
  </sheetPr>
  <dimension ref="A1:R373"/>
  <sheetViews>
    <sheetView showGridLines="0" workbookViewId="0">
      <pane ySplit="10" topLeftCell="A11" activePane="bottomLeft" state="frozen"/>
      <selection activeCell="J137" sqref="J137"/>
      <selection pane="bottomLeft" activeCell="D4" sqref="D4"/>
    </sheetView>
  </sheetViews>
  <sheetFormatPr baseColWidth="10" defaultRowHeight="12.75" x14ac:dyDescent="0.2"/>
  <cols>
    <col min="1" max="1" width="3.7109375" style="624" customWidth="1"/>
    <col min="2" max="2" width="11.42578125" style="660"/>
    <col min="3" max="3" width="11.42578125" style="624"/>
    <col min="4" max="4" width="16.5703125" style="624" customWidth="1"/>
    <col min="5" max="5" width="11.7109375" style="624" bestFit="1" customWidth="1"/>
    <col min="6" max="6" width="12.140625" style="624" bestFit="1" customWidth="1"/>
    <col min="7" max="7" width="11.42578125" style="624"/>
    <col min="8" max="8" width="14.140625" style="624" customWidth="1"/>
    <col min="9" max="9" width="3.7109375" style="624" customWidth="1"/>
    <col min="10" max="10" width="11.7109375" style="624" bestFit="1" customWidth="1"/>
    <col min="11" max="12" width="11.42578125" style="624"/>
    <col min="13" max="13" width="3.7109375" style="624" customWidth="1"/>
    <col min="14" max="14" width="21.28515625" style="624" hidden="1" customWidth="1"/>
    <col min="15" max="15" width="11.42578125" style="624" hidden="1" customWidth="1"/>
    <col min="16" max="16" width="6.140625" style="624" hidden="1" customWidth="1"/>
    <col min="17" max="17" width="11.42578125" style="624" hidden="1" customWidth="1"/>
    <col min="18" max="18" width="17.42578125" style="624" hidden="1" customWidth="1"/>
    <col min="19" max="16384" width="11.42578125" style="624"/>
  </cols>
  <sheetData>
    <row r="1" spans="1:18" x14ac:dyDescent="0.2">
      <c r="A1" s="621"/>
      <c r="B1" s="1264" t="s">
        <v>125</v>
      </c>
      <c r="C1" s="1264"/>
      <c r="D1" s="1264"/>
      <c r="E1" s="1264"/>
      <c r="F1" s="1264"/>
      <c r="G1" s="1264"/>
      <c r="H1" s="622" t="s">
        <v>126</v>
      </c>
      <c r="I1" s="623"/>
      <c r="J1" s="1265" t="s">
        <v>127</v>
      </c>
      <c r="K1" s="1265"/>
      <c r="L1" s="1265"/>
      <c r="M1" s="621"/>
    </row>
    <row r="2" spans="1:18" x14ac:dyDescent="0.2">
      <c r="B2" s="1263" t="s">
        <v>128</v>
      </c>
      <c r="C2" s="1263"/>
      <c r="D2" s="1263"/>
      <c r="E2" s="636">
        <v>2017</v>
      </c>
      <c r="F2" s="1263" t="s">
        <v>129</v>
      </c>
      <c r="G2" s="1263"/>
      <c r="H2" s="1263"/>
      <c r="J2" s="1263" t="s">
        <v>130</v>
      </c>
      <c r="K2" s="1263"/>
      <c r="L2" s="1263"/>
      <c r="P2" s="1263" t="s">
        <v>156</v>
      </c>
      <c r="Q2" s="1263"/>
      <c r="R2" s="1263"/>
    </row>
    <row r="3" spans="1:18" x14ac:dyDescent="0.2">
      <c r="B3" s="1259" t="s">
        <v>131</v>
      </c>
      <c r="C3" s="1259"/>
      <c r="D3" s="625">
        <f>Flux!E42</f>
        <v>13392346.941649646</v>
      </c>
      <c r="F3" s="1260" t="str">
        <f>"Montant "&amp;R5&amp;" :"</f>
        <v>Montant mensualité :</v>
      </c>
      <c r="G3" s="1261"/>
      <c r="H3" s="626">
        <f>IF(L7=0,ROUND(D3/L5,R6),ROUND(D3*L7/(1-(1+L7)^-L5),R6))</f>
        <v>163243</v>
      </c>
      <c r="J3" s="1256" t="s">
        <v>132</v>
      </c>
      <c r="K3" s="1256"/>
      <c r="L3" s="627">
        <f>ROUND(D5*P5,0)</f>
        <v>120</v>
      </c>
      <c r="N3" s="654"/>
      <c r="O3" s="655"/>
      <c r="P3" s="656" t="s">
        <v>157</v>
      </c>
      <c r="Q3" s="656" t="s">
        <v>158</v>
      </c>
      <c r="R3" s="656" t="s">
        <v>1073</v>
      </c>
    </row>
    <row r="4" spans="1:18" x14ac:dyDescent="0.2">
      <c r="B4" s="1259" t="s">
        <v>133</v>
      </c>
      <c r="C4" s="1259"/>
      <c r="D4" s="628">
        <v>0.04</v>
      </c>
      <c r="F4" s="1257" t="s">
        <v>134</v>
      </c>
      <c r="G4" s="1258"/>
      <c r="H4" s="629">
        <f>ROUND(D3*D7/P5,R6)</f>
        <v>0</v>
      </c>
      <c r="J4" s="1262" t="s">
        <v>135</v>
      </c>
      <c r="K4" s="1262"/>
      <c r="L4" s="627">
        <v>24</v>
      </c>
      <c r="N4" s="627" t="s">
        <v>159</v>
      </c>
      <c r="O4" s="627"/>
      <c r="P4" s="657" t="s">
        <v>160</v>
      </c>
      <c r="Q4" s="627" t="s">
        <v>161</v>
      </c>
      <c r="R4" s="658" t="str">
        <f>IF(LEFT(P4,1)="A","Calcul actuariel","Calcul proportionnel")</f>
        <v>Calcul proportionnel</v>
      </c>
    </row>
    <row r="5" spans="1:18" x14ac:dyDescent="0.2">
      <c r="B5" s="1259" t="s">
        <v>136</v>
      </c>
      <c r="C5" s="1259"/>
      <c r="D5" s="630">
        <v>10</v>
      </c>
      <c r="F5" s="1260" t="s">
        <v>137</v>
      </c>
      <c r="G5" s="1261"/>
      <c r="H5" s="626">
        <f>H6+H7</f>
        <v>6700738.620000001</v>
      </c>
      <c r="J5" s="1262" t="s">
        <v>138</v>
      </c>
      <c r="K5" s="1262"/>
      <c r="L5" s="627">
        <f>L3-L4</f>
        <v>96</v>
      </c>
      <c r="N5" s="627" t="s">
        <v>162</v>
      </c>
      <c r="O5" s="627"/>
      <c r="P5" s="657">
        <v>12</v>
      </c>
      <c r="Q5" s="627" t="s">
        <v>163</v>
      </c>
      <c r="R5" s="658" t="str">
        <f>IF(P5=12,"mensualité",IF(P5=1,"annuité",IF(P5=4,"trimestrialité",IF(P5=2,"semestrialité","ERREUR"))))</f>
        <v>mensualité</v>
      </c>
    </row>
    <row r="6" spans="1:18" x14ac:dyDescent="0.2">
      <c r="B6" s="1253" t="s">
        <v>139</v>
      </c>
      <c r="C6" s="1253"/>
      <c r="D6" s="631"/>
      <c r="F6" s="1254" t="s">
        <v>140</v>
      </c>
      <c r="G6" s="1255"/>
      <c r="H6" s="629">
        <f>E373</f>
        <v>6700738.620000001</v>
      </c>
      <c r="J6" s="1256" t="s">
        <v>141</v>
      </c>
      <c r="K6" s="1256"/>
      <c r="L6" s="627">
        <f>L3*12/P5</f>
        <v>120</v>
      </c>
      <c r="N6" s="627" t="s">
        <v>164</v>
      </c>
      <c r="O6" s="627"/>
      <c r="P6" s="657">
        <v>2</v>
      </c>
      <c r="Q6" s="627" t="s">
        <v>165</v>
      </c>
      <c r="R6" s="658">
        <f>IF(ISNUMBER(P6),P6,2)</f>
        <v>2</v>
      </c>
    </row>
    <row r="7" spans="1:18" x14ac:dyDescent="0.2">
      <c r="B7" s="1253" t="s">
        <v>142</v>
      </c>
      <c r="C7" s="1253"/>
      <c r="D7" s="632"/>
      <c r="F7" s="1254" t="s">
        <v>143</v>
      </c>
      <c r="G7" s="1255"/>
      <c r="H7" s="629">
        <f>G373</f>
        <v>0</v>
      </c>
      <c r="J7" s="1256" t="s">
        <v>144</v>
      </c>
      <c r="K7" s="1256"/>
      <c r="L7" s="633">
        <f>IF(D4=0,0,IF(LEFT(P4,1)="A",((D4+1)^(1/P5))-1,D4/P5))</f>
        <v>3.3333333333333335E-3</v>
      </c>
      <c r="N7" s="659"/>
    </row>
    <row r="8" spans="1:18" x14ac:dyDescent="0.2">
      <c r="B8" s="1253" t="s">
        <v>145</v>
      </c>
      <c r="C8" s="1253"/>
      <c r="D8" s="634">
        <f ca="1">NOW()</f>
        <v>42185.546445370368</v>
      </c>
      <c r="F8" s="1257" t="s">
        <v>146</v>
      </c>
      <c r="G8" s="1258"/>
      <c r="H8" s="629">
        <f>F373</f>
        <v>13392346.939999999</v>
      </c>
      <c r="J8" s="1256" t="s">
        <v>147</v>
      </c>
      <c r="K8" s="1256"/>
      <c r="L8" s="635" t="str">
        <f>IF(ABS(H8-D11)&gt;0.01,"KO","Ok")</f>
        <v>Ok</v>
      </c>
    </row>
    <row r="9" spans="1:18" x14ac:dyDescent="0.2">
      <c r="B9" s="1251" t="s">
        <v>148</v>
      </c>
      <c r="C9" s="1251"/>
      <c r="D9" s="1251"/>
      <c r="E9" s="1251"/>
      <c r="F9" s="1251"/>
      <c r="G9" s="1251"/>
      <c r="H9" s="1251"/>
    </row>
    <row r="10" spans="1:18" x14ac:dyDescent="0.2">
      <c r="B10" s="636" t="s">
        <v>149</v>
      </c>
      <c r="C10" s="637" t="s">
        <v>150</v>
      </c>
      <c r="D10" s="637" t="s">
        <v>151</v>
      </c>
      <c r="E10" s="638" t="s">
        <v>152</v>
      </c>
      <c r="F10" s="638" t="s">
        <v>153</v>
      </c>
      <c r="G10" s="638" t="s">
        <v>154</v>
      </c>
      <c r="H10" s="638" t="s">
        <v>155</v>
      </c>
      <c r="J10" s="638"/>
      <c r="K10" s="638"/>
      <c r="L10" s="638"/>
    </row>
    <row r="11" spans="1:18" s="639" customFormat="1" x14ac:dyDescent="0.2">
      <c r="B11" s="640">
        <v>0</v>
      </c>
      <c r="C11" s="641">
        <f ca="1">D8</f>
        <v>42185.546445370368</v>
      </c>
      <c r="D11" s="642">
        <f>ROUND(D3,R6)</f>
        <v>13392346.939999999</v>
      </c>
      <c r="E11" s="642"/>
      <c r="F11" s="642"/>
      <c r="G11" s="642"/>
      <c r="H11" s="642"/>
    </row>
    <row r="12" spans="1:18" s="639" customFormat="1" x14ac:dyDescent="0.2">
      <c r="B12" s="640">
        <f t="shared" ref="B12:B75" si="0">IF(B11&lt;$L$3,B11+1,"-")</f>
        <v>1</v>
      </c>
      <c r="C12" s="641">
        <f t="shared" ref="C12:C75" ca="1" si="1">IF(ISNUMBER(B12),MIN(DATE(YEAR($C$11),MONTH($C$11)+B12*12/$P$5,DAY($C$11)),DATE(YEAR($C$11),MONTH($C$11)+1+B12*12/$P$5,1)-1),"")</f>
        <v>42215</v>
      </c>
      <c r="D12" s="642">
        <f t="shared" ref="D12:D43" si="2">IF(ISNUMBER(B12),D11-F11,"")</f>
        <v>13392346.939999999</v>
      </c>
      <c r="E12" s="642">
        <f t="shared" ref="E12:E75" si="3">IF(ISNUMBER(B12),ROUND(D12*$L$7,$R$6),"")</f>
        <v>44641.16</v>
      </c>
      <c r="F12" s="642">
        <f t="shared" ref="F12:F75" si="4">IF(ISNUMBER(B12),IF(B12=$L$3,D12,IF(B12&gt;$L$4,$H$3-E12,0)),"")</f>
        <v>0</v>
      </c>
      <c r="G12" s="642">
        <f t="shared" ref="G12:G75" si="5">IF(ISNUMBER(B12),$H$4,"")</f>
        <v>0</v>
      </c>
      <c r="H12" s="642">
        <f t="shared" ref="H12:H75" si="6">IF(ISNUMBER(B12),E12+F12+G12,"")</f>
        <v>44641.16</v>
      </c>
      <c r="J12" s="663"/>
      <c r="K12" s="643"/>
      <c r="L12" s="643"/>
      <c r="M12" s="644"/>
    </row>
    <row r="13" spans="1:18" s="639" customFormat="1" x14ac:dyDescent="0.2">
      <c r="B13" s="640">
        <f t="shared" si="0"/>
        <v>2</v>
      </c>
      <c r="C13" s="641">
        <f t="shared" ca="1" si="1"/>
        <v>42246</v>
      </c>
      <c r="D13" s="642">
        <f t="shared" si="2"/>
        <v>13392346.939999999</v>
      </c>
      <c r="E13" s="642">
        <f t="shared" si="3"/>
        <v>44641.16</v>
      </c>
      <c r="F13" s="642">
        <f t="shared" si="4"/>
        <v>0</v>
      </c>
      <c r="G13" s="642">
        <f t="shared" si="5"/>
        <v>0</v>
      </c>
      <c r="H13" s="642">
        <f t="shared" si="6"/>
        <v>44641.16</v>
      </c>
      <c r="J13" s="643"/>
      <c r="K13" s="643"/>
      <c r="L13" s="643"/>
      <c r="M13" s="644"/>
    </row>
    <row r="14" spans="1:18" s="639" customFormat="1" x14ac:dyDescent="0.2">
      <c r="B14" s="640">
        <f t="shared" si="0"/>
        <v>3</v>
      </c>
      <c r="C14" s="641">
        <f t="shared" ca="1" si="1"/>
        <v>42277</v>
      </c>
      <c r="D14" s="642">
        <f t="shared" si="2"/>
        <v>13392346.939999999</v>
      </c>
      <c r="E14" s="642">
        <f t="shared" si="3"/>
        <v>44641.16</v>
      </c>
      <c r="F14" s="642">
        <f t="shared" si="4"/>
        <v>0</v>
      </c>
      <c r="G14" s="642">
        <f t="shared" si="5"/>
        <v>0</v>
      </c>
      <c r="H14" s="642">
        <f t="shared" si="6"/>
        <v>44641.16</v>
      </c>
      <c r="J14" s="643"/>
      <c r="K14" s="643"/>
      <c r="L14" s="643"/>
      <c r="M14" s="644"/>
    </row>
    <row r="15" spans="1:18" s="639" customFormat="1" x14ac:dyDescent="0.2">
      <c r="B15" s="640">
        <f t="shared" si="0"/>
        <v>4</v>
      </c>
      <c r="C15" s="641">
        <f t="shared" ca="1" si="1"/>
        <v>42307</v>
      </c>
      <c r="D15" s="642">
        <f t="shared" si="2"/>
        <v>13392346.939999999</v>
      </c>
      <c r="E15" s="642">
        <f t="shared" si="3"/>
        <v>44641.16</v>
      </c>
      <c r="F15" s="642">
        <f t="shared" si="4"/>
        <v>0</v>
      </c>
      <c r="G15" s="642">
        <f t="shared" si="5"/>
        <v>0</v>
      </c>
      <c r="H15" s="642">
        <f t="shared" si="6"/>
        <v>44641.16</v>
      </c>
      <c r="J15" s="643"/>
      <c r="K15" s="643"/>
      <c r="L15" s="643"/>
      <c r="M15" s="644"/>
    </row>
    <row r="16" spans="1:18" s="639" customFormat="1" x14ac:dyDescent="0.2">
      <c r="B16" s="640">
        <f t="shared" si="0"/>
        <v>5</v>
      </c>
      <c r="C16" s="641">
        <f t="shared" ca="1" si="1"/>
        <v>42338</v>
      </c>
      <c r="D16" s="642">
        <f t="shared" si="2"/>
        <v>13392346.939999999</v>
      </c>
      <c r="E16" s="642">
        <f t="shared" si="3"/>
        <v>44641.16</v>
      </c>
      <c r="F16" s="642">
        <f t="shared" si="4"/>
        <v>0</v>
      </c>
      <c r="G16" s="642">
        <f t="shared" si="5"/>
        <v>0</v>
      </c>
      <c r="H16" s="642">
        <f t="shared" si="6"/>
        <v>44641.16</v>
      </c>
      <c r="J16" s="644"/>
      <c r="K16" s="644"/>
      <c r="L16" s="644"/>
      <c r="M16" s="644"/>
    </row>
    <row r="17" spans="2:13" s="639" customFormat="1" x14ac:dyDescent="0.2">
      <c r="B17" s="640">
        <f t="shared" si="0"/>
        <v>6</v>
      </c>
      <c r="C17" s="641">
        <f t="shared" ca="1" si="1"/>
        <v>42368</v>
      </c>
      <c r="D17" s="642">
        <f t="shared" si="2"/>
        <v>13392346.939999999</v>
      </c>
      <c r="E17" s="642">
        <f t="shared" si="3"/>
        <v>44641.16</v>
      </c>
      <c r="F17" s="642">
        <f t="shared" si="4"/>
        <v>0</v>
      </c>
      <c r="G17" s="642">
        <f t="shared" si="5"/>
        <v>0</v>
      </c>
      <c r="H17" s="642">
        <f t="shared" si="6"/>
        <v>44641.16</v>
      </c>
      <c r="J17" s="645"/>
      <c r="K17" s="644"/>
      <c r="L17" s="644"/>
      <c r="M17" s="644"/>
    </row>
    <row r="18" spans="2:13" s="639" customFormat="1" x14ac:dyDescent="0.2">
      <c r="B18" s="640">
        <f t="shared" si="0"/>
        <v>7</v>
      </c>
      <c r="C18" s="641">
        <f t="shared" ca="1" si="1"/>
        <v>42399</v>
      </c>
      <c r="D18" s="642">
        <f t="shared" si="2"/>
        <v>13392346.939999999</v>
      </c>
      <c r="E18" s="642">
        <f t="shared" si="3"/>
        <v>44641.16</v>
      </c>
      <c r="F18" s="642">
        <f t="shared" si="4"/>
        <v>0</v>
      </c>
      <c r="G18" s="642">
        <f t="shared" si="5"/>
        <v>0</v>
      </c>
      <c r="H18" s="642">
        <f t="shared" si="6"/>
        <v>44641.16</v>
      </c>
      <c r="J18" s="644"/>
      <c r="K18" s="644"/>
      <c r="L18" s="644"/>
      <c r="M18" s="644"/>
    </row>
    <row r="19" spans="2:13" s="639" customFormat="1" x14ac:dyDescent="0.2">
      <c r="B19" s="640">
        <f t="shared" si="0"/>
        <v>8</v>
      </c>
      <c r="C19" s="641">
        <f t="shared" ca="1" si="1"/>
        <v>42429</v>
      </c>
      <c r="D19" s="642">
        <f t="shared" si="2"/>
        <v>13392346.939999999</v>
      </c>
      <c r="E19" s="642">
        <f t="shared" si="3"/>
        <v>44641.16</v>
      </c>
      <c r="F19" s="642">
        <f t="shared" si="4"/>
        <v>0</v>
      </c>
      <c r="G19" s="642">
        <f t="shared" si="5"/>
        <v>0</v>
      </c>
      <c r="H19" s="642">
        <f t="shared" si="6"/>
        <v>44641.16</v>
      </c>
      <c r="J19" s="644"/>
      <c r="K19" s="644"/>
      <c r="L19" s="644"/>
      <c r="M19" s="644"/>
    </row>
    <row r="20" spans="2:13" s="639" customFormat="1" x14ac:dyDescent="0.2">
      <c r="B20" s="640">
        <f t="shared" si="0"/>
        <v>9</v>
      </c>
      <c r="C20" s="641">
        <f t="shared" ca="1" si="1"/>
        <v>42459</v>
      </c>
      <c r="D20" s="642">
        <f t="shared" si="2"/>
        <v>13392346.939999999</v>
      </c>
      <c r="E20" s="642">
        <f t="shared" si="3"/>
        <v>44641.16</v>
      </c>
      <c r="F20" s="642">
        <f t="shared" si="4"/>
        <v>0</v>
      </c>
      <c r="G20" s="642">
        <f t="shared" si="5"/>
        <v>0</v>
      </c>
      <c r="H20" s="642">
        <f t="shared" si="6"/>
        <v>44641.16</v>
      </c>
      <c r="J20" s="642"/>
      <c r="K20" s="642"/>
      <c r="L20" s="642"/>
    </row>
    <row r="21" spans="2:13" s="639" customFormat="1" x14ac:dyDescent="0.2">
      <c r="B21" s="640">
        <f t="shared" si="0"/>
        <v>10</v>
      </c>
      <c r="C21" s="641">
        <f t="shared" ca="1" si="1"/>
        <v>42490</v>
      </c>
      <c r="D21" s="642">
        <f t="shared" si="2"/>
        <v>13392346.939999999</v>
      </c>
      <c r="E21" s="642">
        <f t="shared" si="3"/>
        <v>44641.16</v>
      </c>
      <c r="F21" s="642">
        <f t="shared" si="4"/>
        <v>0</v>
      </c>
      <c r="G21" s="642">
        <f t="shared" si="5"/>
        <v>0</v>
      </c>
      <c r="H21" s="642">
        <f t="shared" si="6"/>
        <v>44641.16</v>
      </c>
      <c r="J21" s="642"/>
      <c r="K21" s="642"/>
      <c r="L21" s="642"/>
    </row>
    <row r="22" spans="2:13" s="639" customFormat="1" x14ac:dyDescent="0.2">
      <c r="B22" s="640">
        <f t="shared" si="0"/>
        <v>11</v>
      </c>
      <c r="C22" s="641">
        <f t="shared" ca="1" si="1"/>
        <v>42520</v>
      </c>
      <c r="D22" s="642">
        <f t="shared" si="2"/>
        <v>13392346.939999999</v>
      </c>
      <c r="E22" s="642">
        <f t="shared" si="3"/>
        <v>44641.16</v>
      </c>
      <c r="F22" s="642">
        <f t="shared" si="4"/>
        <v>0</v>
      </c>
      <c r="G22" s="642">
        <f t="shared" si="5"/>
        <v>0</v>
      </c>
      <c r="H22" s="642">
        <f t="shared" si="6"/>
        <v>44641.16</v>
      </c>
      <c r="J22" s="642"/>
      <c r="K22" s="642"/>
      <c r="L22" s="642"/>
    </row>
    <row r="23" spans="2:13" s="639" customFormat="1" x14ac:dyDescent="0.2">
      <c r="B23" s="640">
        <f t="shared" si="0"/>
        <v>12</v>
      </c>
      <c r="C23" s="641">
        <f t="shared" ca="1" si="1"/>
        <v>42551</v>
      </c>
      <c r="D23" s="642">
        <f t="shared" si="2"/>
        <v>13392346.939999999</v>
      </c>
      <c r="E23" s="642">
        <f t="shared" si="3"/>
        <v>44641.16</v>
      </c>
      <c r="F23" s="642">
        <f t="shared" si="4"/>
        <v>0</v>
      </c>
      <c r="G23" s="642">
        <f t="shared" si="5"/>
        <v>0</v>
      </c>
      <c r="H23" s="642">
        <f t="shared" si="6"/>
        <v>44641.16</v>
      </c>
      <c r="J23" s="642">
        <f>D11-D23</f>
        <v>0</v>
      </c>
      <c r="K23" s="642"/>
      <c r="L23" s="642"/>
    </row>
    <row r="24" spans="2:13" s="646" customFormat="1" x14ac:dyDescent="0.2">
      <c r="B24" s="647">
        <f t="shared" si="0"/>
        <v>13</v>
      </c>
      <c r="C24" s="648">
        <f t="shared" ca="1" si="1"/>
        <v>42581</v>
      </c>
      <c r="D24" s="649">
        <f t="shared" si="2"/>
        <v>13392346.939999999</v>
      </c>
      <c r="E24" s="649">
        <f t="shared" si="3"/>
        <v>44641.16</v>
      </c>
      <c r="F24" s="649">
        <f t="shared" si="4"/>
        <v>0</v>
      </c>
      <c r="G24" s="649">
        <f t="shared" si="5"/>
        <v>0</v>
      </c>
      <c r="H24" s="649">
        <f t="shared" si="6"/>
        <v>44641.16</v>
      </c>
      <c r="J24" s="649"/>
      <c r="K24" s="649"/>
      <c r="L24" s="649"/>
    </row>
    <row r="25" spans="2:13" s="646" customFormat="1" x14ac:dyDescent="0.2">
      <c r="B25" s="647">
        <f t="shared" si="0"/>
        <v>14</v>
      </c>
      <c r="C25" s="648">
        <f t="shared" ca="1" si="1"/>
        <v>42612</v>
      </c>
      <c r="D25" s="649">
        <f t="shared" si="2"/>
        <v>13392346.939999999</v>
      </c>
      <c r="E25" s="649">
        <f t="shared" si="3"/>
        <v>44641.16</v>
      </c>
      <c r="F25" s="649">
        <f t="shared" si="4"/>
        <v>0</v>
      </c>
      <c r="G25" s="649">
        <f t="shared" si="5"/>
        <v>0</v>
      </c>
      <c r="H25" s="649">
        <f t="shared" si="6"/>
        <v>44641.16</v>
      </c>
      <c r="J25" s="649"/>
      <c r="K25" s="649"/>
      <c r="L25" s="649"/>
    </row>
    <row r="26" spans="2:13" s="646" customFormat="1" x14ac:dyDescent="0.2">
      <c r="B26" s="647">
        <f t="shared" si="0"/>
        <v>15</v>
      </c>
      <c r="C26" s="648">
        <f t="shared" ca="1" si="1"/>
        <v>42643</v>
      </c>
      <c r="D26" s="649">
        <f t="shared" si="2"/>
        <v>13392346.939999999</v>
      </c>
      <c r="E26" s="649">
        <f t="shared" si="3"/>
        <v>44641.16</v>
      </c>
      <c r="F26" s="649">
        <f t="shared" si="4"/>
        <v>0</v>
      </c>
      <c r="G26" s="649">
        <f t="shared" si="5"/>
        <v>0</v>
      </c>
      <c r="H26" s="649">
        <f t="shared" si="6"/>
        <v>44641.16</v>
      </c>
      <c r="J26" s="649"/>
      <c r="K26" s="649"/>
      <c r="L26" s="649"/>
    </row>
    <row r="27" spans="2:13" s="646" customFormat="1" x14ac:dyDescent="0.2">
      <c r="B27" s="647">
        <f t="shared" si="0"/>
        <v>16</v>
      </c>
      <c r="C27" s="648">
        <f t="shared" ca="1" si="1"/>
        <v>42673</v>
      </c>
      <c r="D27" s="649">
        <f t="shared" si="2"/>
        <v>13392346.939999999</v>
      </c>
      <c r="E27" s="649">
        <f t="shared" si="3"/>
        <v>44641.16</v>
      </c>
      <c r="F27" s="649">
        <f t="shared" si="4"/>
        <v>0</v>
      </c>
      <c r="G27" s="649">
        <f t="shared" si="5"/>
        <v>0</v>
      </c>
      <c r="H27" s="649">
        <f t="shared" si="6"/>
        <v>44641.16</v>
      </c>
      <c r="J27" s="649"/>
      <c r="K27" s="649"/>
      <c r="L27" s="649"/>
    </row>
    <row r="28" spans="2:13" s="646" customFormat="1" x14ac:dyDescent="0.2">
      <c r="B28" s="647">
        <f t="shared" si="0"/>
        <v>17</v>
      </c>
      <c r="C28" s="648">
        <f t="shared" ca="1" si="1"/>
        <v>42704</v>
      </c>
      <c r="D28" s="649">
        <f t="shared" si="2"/>
        <v>13392346.939999999</v>
      </c>
      <c r="E28" s="649">
        <f t="shared" si="3"/>
        <v>44641.16</v>
      </c>
      <c r="F28" s="649">
        <f t="shared" si="4"/>
        <v>0</v>
      </c>
      <c r="G28" s="649">
        <f t="shared" si="5"/>
        <v>0</v>
      </c>
      <c r="H28" s="649">
        <f t="shared" si="6"/>
        <v>44641.16</v>
      </c>
      <c r="J28" s="649"/>
      <c r="K28" s="649"/>
      <c r="L28" s="649"/>
    </row>
    <row r="29" spans="2:13" s="646" customFormat="1" x14ac:dyDescent="0.2">
      <c r="B29" s="647">
        <f t="shared" si="0"/>
        <v>18</v>
      </c>
      <c r="C29" s="648">
        <f t="shared" ca="1" si="1"/>
        <v>42734</v>
      </c>
      <c r="D29" s="649">
        <f t="shared" si="2"/>
        <v>13392346.939999999</v>
      </c>
      <c r="E29" s="649">
        <f t="shared" si="3"/>
        <v>44641.16</v>
      </c>
      <c r="F29" s="649">
        <f t="shared" si="4"/>
        <v>0</v>
      </c>
      <c r="G29" s="649">
        <f t="shared" si="5"/>
        <v>0</v>
      </c>
      <c r="H29" s="649">
        <f t="shared" si="6"/>
        <v>44641.16</v>
      </c>
      <c r="J29" s="649"/>
      <c r="K29" s="649"/>
      <c r="L29" s="649"/>
    </row>
    <row r="30" spans="2:13" s="646" customFormat="1" x14ac:dyDescent="0.2">
      <c r="B30" s="647">
        <f t="shared" si="0"/>
        <v>19</v>
      </c>
      <c r="C30" s="648">
        <f t="shared" ca="1" si="1"/>
        <v>42765</v>
      </c>
      <c r="D30" s="649">
        <f t="shared" si="2"/>
        <v>13392346.939999999</v>
      </c>
      <c r="E30" s="649">
        <f t="shared" si="3"/>
        <v>44641.16</v>
      </c>
      <c r="F30" s="649">
        <f t="shared" si="4"/>
        <v>0</v>
      </c>
      <c r="G30" s="649">
        <f t="shared" si="5"/>
        <v>0</v>
      </c>
      <c r="H30" s="649">
        <f t="shared" si="6"/>
        <v>44641.16</v>
      </c>
      <c r="J30" s="649"/>
      <c r="K30" s="649"/>
      <c r="L30" s="649"/>
    </row>
    <row r="31" spans="2:13" s="646" customFormat="1" x14ac:dyDescent="0.2">
      <c r="B31" s="647">
        <f t="shared" si="0"/>
        <v>20</v>
      </c>
      <c r="C31" s="648">
        <f t="shared" ca="1" si="1"/>
        <v>42794</v>
      </c>
      <c r="D31" s="649">
        <f t="shared" si="2"/>
        <v>13392346.939999999</v>
      </c>
      <c r="E31" s="649">
        <f t="shared" si="3"/>
        <v>44641.16</v>
      </c>
      <c r="F31" s="649">
        <f t="shared" si="4"/>
        <v>0</v>
      </c>
      <c r="G31" s="649">
        <f t="shared" si="5"/>
        <v>0</v>
      </c>
      <c r="H31" s="649">
        <f t="shared" si="6"/>
        <v>44641.16</v>
      </c>
      <c r="J31" s="649"/>
      <c r="K31" s="649"/>
      <c r="L31" s="649"/>
    </row>
    <row r="32" spans="2:13" s="646" customFormat="1" x14ac:dyDescent="0.2">
      <c r="B32" s="647">
        <f t="shared" si="0"/>
        <v>21</v>
      </c>
      <c r="C32" s="648">
        <f t="shared" ca="1" si="1"/>
        <v>42824</v>
      </c>
      <c r="D32" s="649">
        <f t="shared" si="2"/>
        <v>13392346.939999999</v>
      </c>
      <c r="E32" s="649">
        <f t="shared" si="3"/>
        <v>44641.16</v>
      </c>
      <c r="F32" s="649">
        <f t="shared" si="4"/>
        <v>0</v>
      </c>
      <c r="G32" s="649">
        <f t="shared" si="5"/>
        <v>0</v>
      </c>
      <c r="H32" s="649">
        <f t="shared" si="6"/>
        <v>44641.16</v>
      </c>
      <c r="J32" s="649"/>
      <c r="K32" s="649"/>
      <c r="L32" s="649"/>
    </row>
    <row r="33" spans="1:12" s="646" customFormat="1" x14ac:dyDescent="0.2">
      <c r="B33" s="647">
        <f t="shared" si="0"/>
        <v>22</v>
      </c>
      <c r="C33" s="648">
        <f t="shared" ca="1" si="1"/>
        <v>42855</v>
      </c>
      <c r="D33" s="649">
        <f t="shared" si="2"/>
        <v>13392346.939999999</v>
      </c>
      <c r="E33" s="649">
        <f t="shared" si="3"/>
        <v>44641.16</v>
      </c>
      <c r="F33" s="649">
        <f t="shared" si="4"/>
        <v>0</v>
      </c>
      <c r="G33" s="649">
        <f t="shared" si="5"/>
        <v>0</v>
      </c>
      <c r="H33" s="649">
        <f t="shared" si="6"/>
        <v>44641.16</v>
      </c>
      <c r="J33" s="649"/>
      <c r="K33" s="649"/>
      <c r="L33" s="649"/>
    </row>
    <row r="34" spans="1:12" s="646" customFormat="1" x14ac:dyDescent="0.2">
      <c r="B34" s="647">
        <f t="shared" si="0"/>
        <v>23</v>
      </c>
      <c r="C34" s="648">
        <f t="shared" ca="1" si="1"/>
        <v>42885</v>
      </c>
      <c r="D34" s="649">
        <f t="shared" si="2"/>
        <v>13392346.939999999</v>
      </c>
      <c r="E34" s="649">
        <f t="shared" si="3"/>
        <v>44641.16</v>
      </c>
      <c r="F34" s="649">
        <f t="shared" si="4"/>
        <v>0</v>
      </c>
      <c r="G34" s="649">
        <f t="shared" si="5"/>
        <v>0</v>
      </c>
      <c r="H34" s="649">
        <f t="shared" si="6"/>
        <v>44641.16</v>
      </c>
      <c r="J34" s="649"/>
      <c r="K34" s="649"/>
      <c r="L34" s="649"/>
    </row>
    <row r="35" spans="1:12" s="646" customFormat="1" x14ac:dyDescent="0.2">
      <c r="B35" s="647">
        <f t="shared" si="0"/>
        <v>24</v>
      </c>
      <c r="C35" s="648">
        <f t="shared" ca="1" si="1"/>
        <v>42916</v>
      </c>
      <c r="D35" s="649">
        <f t="shared" si="2"/>
        <v>13392346.939999999</v>
      </c>
      <c r="E35" s="649">
        <f t="shared" si="3"/>
        <v>44641.16</v>
      </c>
      <c r="F35" s="649">
        <f t="shared" si="4"/>
        <v>0</v>
      </c>
      <c r="G35" s="649">
        <f t="shared" si="5"/>
        <v>0</v>
      </c>
      <c r="H35" s="649">
        <f t="shared" si="6"/>
        <v>44641.16</v>
      </c>
      <c r="J35" s="642">
        <f>D23-D35</f>
        <v>0</v>
      </c>
      <c r="K35" s="649"/>
      <c r="L35" s="649"/>
    </row>
    <row r="36" spans="1:12" x14ac:dyDescent="0.2">
      <c r="A36" s="639"/>
      <c r="B36" s="640">
        <f t="shared" si="0"/>
        <v>25</v>
      </c>
      <c r="C36" s="641">
        <f t="shared" ca="1" si="1"/>
        <v>42946</v>
      </c>
      <c r="D36" s="642">
        <f t="shared" si="2"/>
        <v>13392346.939999999</v>
      </c>
      <c r="E36" s="642">
        <f t="shared" si="3"/>
        <v>44641.16</v>
      </c>
      <c r="F36" s="642">
        <f t="shared" si="4"/>
        <v>118601.84</v>
      </c>
      <c r="G36" s="642">
        <f t="shared" si="5"/>
        <v>0</v>
      </c>
      <c r="H36" s="642">
        <f t="shared" si="6"/>
        <v>163243</v>
      </c>
      <c r="J36" s="650"/>
      <c r="K36" s="650"/>
      <c r="L36" s="650"/>
    </row>
    <row r="37" spans="1:12" x14ac:dyDescent="0.2">
      <c r="A37" s="639"/>
      <c r="B37" s="640">
        <f t="shared" si="0"/>
        <v>26</v>
      </c>
      <c r="C37" s="641">
        <f t="shared" ca="1" si="1"/>
        <v>42977</v>
      </c>
      <c r="D37" s="642">
        <f t="shared" si="2"/>
        <v>13273745.1</v>
      </c>
      <c r="E37" s="642">
        <f t="shared" si="3"/>
        <v>44245.82</v>
      </c>
      <c r="F37" s="642">
        <f t="shared" si="4"/>
        <v>118997.18</v>
      </c>
      <c r="G37" s="642">
        <f t="shared" si="5"/>
        <v>0</v>
      </c>
      <c r="H37" s="642">
        <f t="shared" si="6"/>
        <v>163243</v>
      </c>
      <c r="J37" s="650"/>
      <c r="K37" s="650"/>
      <c r="L37" s="650"/>
    </row>
    <row r="38" spans="1:12" x14ac:dyDescent="0.2">
      <c r="A38" s="639"/>
      <c r="B38" s="640">
        <f t="shared" si="0"/>
        <v>27</v>
      </c>
      <c r="C38" s="641">
        <f t="shared" ca="1" si="1"/>
        <v>43008</v>
      </c>
      <c r="D38" s="642">
        <f t="shared" si="2"/>
        <v>13154747.92</v>
      </c>
      <c r="E38" s="642">
        <f t="shared" si="3"/>
        <v>43849.16</v>
      </c>
      <c r="F38" s="642">
        <f t="shared" si="4"/>
        <v>119393.84</v>
      </c>
      <c r="G38" s="642">
        <f t="shared" si="5"/>
        <v>0</v>
      </c>
      <c r="H38" s="642">
        <f t="shared" si="6"/>
        <v>163243</v>
      </c>
      <c r="J38" s="650"/>
      <c r="K38" s="650"/>
      <c r="L38" s="650"/>
    </row>
    <row r="39" spans="1:12" x14ac:dyDescent="0.2">
      <c r="A39" s="639"/>
      <c r="B39" s="640">
        <f t="shared" si="0"/>
        <v>28</v>
      </c>
      <c r="C39" s="641">
        <f t="shared" ca="1" si="1"/>
        <v>43038</v>
      </c>
      <c r="D39" s="642">
        <f t="shared" si="2"/>
        <v>13035354.08</v>
      </c>
      <c r="E39" s="642">
        <f t="shared" si="3"/>
        <v>43451.18</v>
      </c>
      <c r="F39" s="642">
        <f t="shared" si="4"/>
        <v>119791.82</v>
      </c>
      <c r="G39" s="642">
        <f t="shared" si="5"/>
        <v>0</v>
      </c>
      <c r="H39" s="642">
        <f t="shared" si="6"/>
        <v>163243</v>
      </c>
      <c r="J39" s="650"/>
      <c r="K39" s="650"/>
      <c r="L39" s="650"/>
    </row>
    <row r="40" spans="1:12" x14ac:dyDescent="0.2">
      <c r="A40" s="639"/>
      <c r="B40" s="640">
        <f t="shared" si="0"/>
        <v>29</v>
      </c>
      <c r="C40" s="641">
        <f t="shared" ca="1" si="1"/>
        <v>43069</v>
      </c>
      <c r="D40" s="642">
        <f t="shared" si="2"/>
        <v>12915562.26</v>
      </c>
      <c r="E40" s="642">
        <f t="shared" si="3"/>
        <v>43051.87</v>
      </c>
      <c r="F40" s="642">
        <f t="shared" si="4"/>
        <v>120191.13</v>
      </c>
      <c r="G40" s="642">
        <f t="shared" si="5"/>
        <v>0</v>
      </c>
      <c r="H40" s="642">
        <f t="shared" si="6"/>
        <v>163243</v>
      </c>
      <c r="J40" s="650"/>
      <c r="K40" s="650"/>
      <c r="L40" s="650"/>
    </row>
    <row r="41" spans="1:12" x14ac:dyDescent="0.2">
      <c r="A41" s="639"/>
      <c r="B41" s="640">
        <f t="shared" si="0"/>
        <v>30</v>
      </c>
      <c r="C41" s="641">
        <f t="shared" ca="1" si="1"/>
        <v>43099</v>
      </c>
      <c r="D41" s="642">
        <f t="shared" si="2"/>
        <v>12795371.129999999</v>
      </c>
      <c r="E41" s="642">
        <f t="shared" si="3"/>
        <v>42651.24</v>
      </c>
      <c r="F41" s="642">
        <f t="shared" si="4"/>
        <v>120591.76000000001</v>
      </c>
      <c r="G41" s="642">
        <f t="shared" si="5"/>
        <v>0</v>
      </c>
      <c r="H41" s="642">
        <f t="shared" si="6"/>
        <v>163243</v>
      </c>
      <c r="J41" s="650"/>
      <c r="K41" s="650"/>
      <c r="L41" s="650"/>
    </row>
    <row r="42" spans="1:12" x14ac:dyDescent="0.2">
      <c r="A42" s="639"/>
      <c r="B42" s="640">
        <f t="shared" si="0"/>
        <v>31</v>
      </c>
      <c r="C42" s="641">
        <f t="shared" ca="1" si="1"/>
        <v>43130</v>
      </c>
      <c r="D42" s="642">
        <f t="shared" si="2"/>
        <v>12674779.369999999</v>
      </c>
      <c r="E42" s="642">
        <f t="shared" si="3"/>
        <v>42249.26</v>
      </c>
      <c r="F42" s="642">
        <f t="shared" si="4"/>
        <v>120993.73999999999</v>
      </c>
      <c r="G42" s="642">
        <f t="shared" si="5"/>
        <v>0</v>
      </c>
      <c r="H42" s="642">
        <f t="shared" si="6"/>
        <v>163243</v>
      </c>
      <c r="J42" s="650"/>
      <c r="K42" s="650"/>
      <c r="L42" s="650"/>
    </row>
    <row r="43" spans="1:12" x14ac:dyDescent="0.2">
      <c r="A43" s="639"/>
      <c r="B43" s="640">
        <f t="shared" si="0"/>
        <v>32</v>
      </c>
      <c r="C43" s="641">
        <f t="shared" ca="1" si="1"/>
        <v>43159</v>
      </c>
      <c r="D43" s="642">
        <f t="shared" si="2"/>
        <v>12553785.629999999</v>
      </c>
      <c r="E43" s="642">
        <f t="shared" si="3"/>
        <v>41845.949999999997</v>
      </c>
      <c r="F43" s="642">
        <f t="shared" si="4"/>
        <v>121397.05</v>
      </c>
      <c r="G43" s="642">
        <f t="shared" si="5"/>
        <v>0</v>
      </c>
      <c r="H43" s="642">
        <f t="shared" si="6"/>
        <v>163243</v>
      </c>
      <c r="J43" s="650"/>
      <c r="K43" s="650"/>
      <c r="L43" s="650"/>
    </row>
    <row r="44" spans="1:12" x14ac:dyDescent="0.2">
      <c r="A44" s="639"/>
      <c r="B44" s="640">
        <f t="shared" si="0"/>
        <v>33</v>
      </c>
      <c r="C44" s="641">
        <f t="shared" ca="1" si="1"/>
        <v>43189</v>
      </c>
      <c r="D44" s="642">
        <f t="shared" ref="D44:D75" si="7">IF(ISNUMBER(B44),D43-F43,"")</f>
        <v>12432388.579999998</v>
      </c>
      <c r="E44" s="642">
        <f t="shared" si="3"/>
        <v>41441.300000000003</v>
      </c>
      <c r="F44" s="642">
        <f t="shared" si="4"/>
        <v>121801.7</v>
      </c>
      <c r="G44" s="642">
        <f t="shared" si="5"/>
        <v>0</v>
      </c>
      <c r="H44" s="642">
        <f t="shared" si="6"/>
        <v>163243</v>
      </c>
      <c r="J44" s="650"/>
      <c r="K44" s="650"/>
      <c r="L44" s="650"/>
    </row>
    <row r="45" spans="1:12" x14ac:dyDescent="0.2">
      <c r="A45" s="639"/>
      <c r="B45" s="640">
        <f t="shared" si="0"/>
        <v>34</v>
      </c>
      <c r="C45" s="641">
        <f t="shared" ca="1" si="1"/>
        <v>43220</v>
      </c>
      <c r="D45" s="642">
        <f t="shared" si="7"/>
        <v>12310586.879999999</v>
      </c>
      <c r="E45" s="642">
        <f t="shared" si="3"/>
        <v>41035.29</v>
      </c>
      <c r="F45" s="642">
        <f t="shared" si="4"/>
        <v>122207.70999999999</v>
      </c>
      <c r="G45" s="642">
        <f t="shared" si="5"/>
        <v>0</v>
      </c>
      <c r="H45" s="642">
        <f t="shared" si="6"/>
        <v>163243</v>
      </c>
      <c r="J45" s="650"/>
      <c r="K45" s="650"/>
      <c r="L45" s="650"/>
    </row>
    <row r="46" spans="1:12" x14ac:dyDescent="0.2">
      <c r="A46" s="639"/>
      <c r="B46" s="640">
        <f t="shared" si="0"/>
        <v>35</v>
      </c>
      <c r="C46" s="641">
        <f t="shared" ca="1" si="1"/>
        <v>43250</v>
      </c>
      <c r="D46" s="642">
        <f t="shared" si="7"/>
        <v>12188379.169999998</v>
      </c>
      <c r="E46" s="642">
        <f t="shared" si="3"/>
        <v>40627.93</v>
      </c>
      <c r="F46" s="642">
        <f t="shared" si="4"/>
        <v>122615.07</v>
      </c>
      <c r="G46" s="642">
        <f t="shared" si="5"/>
        <v>0</v>
      </c>
      <c r="H46" s="642">
        <f t="shared" si="6"/>
        <v>163243</v>
      </c>
      <c r="J46" s="650"/>
      <c r="K46" s="650"/>
      <c r="L46" s="650"/>
    </row>
    <row r="47" spans="1:12" x14ac:dyDescent="0.2">
      <c r="A47" s="639"/>
      <c r="B47" s="640">
        <f t="shared" si="0"/>
        <v>36</v>
      </c>
      <c r="C47" s="641">
        <f t="shared" ca="1" si="1"/>
        <v>43281</v>
      </c>
      <c r="D47" s="642">
        <f t="shared" si="7"/>
        <v>12065764.099999998</v>
      </c>
      <c r="E47" s="642">
        <f t="shared" si="3"/>
        <v>40219.21</v>
      </c>
      <c r="F47" s="642">
        <f t="shared" si="4"/>
        <v>123023.79000000001</v>
      </c>
      <c r="G47" s="642">
        <f t="shared" si="5"/>
        <v>0</v>
      </c>
      <c r="H47" s="642">
        <f t="shared" si="6"/>
        <v>163243</v>
      </c>
      <c r="J47" s="642">
        <f>D35-D47</f>
        <v>1326582.8400000017</v>
      </c>
      <c r="K47" s="650"/>
      <c r="L47" s="650"/>
    </row>
    <row r="48" spans="1:12" x14ac:dyDescent="0.2">
      <c r="B48" s="647">
        <f t="shared" si="0"/>
        <v>37</v>
      </c>
      <c r="C48" s="648">
        <f t="shared" ca="1" si="1"/>
        <v>43311</v>
      </c>
      <c r="D48" s="649">
        <f t="shared" si="7"/>
        <v>11942740.309999999</v>
      </c>
      <c r="E48" s="649">
        <f t="shared" si="3"/>
        <v>39809.129999999997</v>
      </c>
      <c r="F48" s="649">
        <f t="shared" si="4"/>
        <v>123433.87</v>
      </c>
      <c r="G48" s="649">
        <f t="shared" si="5"/>
        <v>0</v>
      </c>
      <c r="H48" s="649">
        <f t="shared" si="6"/>
        <v>163243</v>
      </c>
      <c r="J48" s="650"/>
      <c r="K48" s="650"/>
      <c r="L48" s="650"/>
    </row>
    <row r="49" spans="2:12" x14ac:dyDescent="0.2">
      <c r="B49" s="647">
        <f t="shared" si="0"/>
        <v>38</v>
      </c>
      <c r="C49" s="648">
        <f t="shared" ca="1" si="1"/>
        <v>43342</v>
      </c>
      <c r="D49" s="649">
        <f t="shared" si="7"/>
        <v>11819306.439999999</v>
      </c>
      <c r="E49" s="649">
        <f t="shared" si="3"/>
        <v>39397.69</v>
      </c>
      <c r="F49" s="649">
        <f t="shared" si="4"/>
        <v>123845.31</v>
      </c>
      <c r="G49" s="649">
        <f t="shared" si="5"/>
        <v>0</v>
      </c>
      <c r="H49" s="649">
        <f t="shared" si="6"/>
        <v>163243</v>
      </c>
      <c r="J49" s="650"/>
      <c r="K49" s="650"/>
      <c r="L49" s="650"/>
    </row>
    <row r="50" spans="2:12" x14ac:dyDescent="0.2">
      <c r="B50" s="647">
        <f t="shared" si="0"/>
        <v>39</v>
      </c>
      <c r="C50" s="648">
        <f t="shared" ca="1" si="1"/>
        <v>43373</v>
      </c>
      <c r="D50" s="649">
        <f t="shared" si="7"/>
        <v>11695461.129999999</v>
      </c>
      <c r="E50" s="649">
        <f t="shared" si="3"/>
        <v>38984.870000000003</v>
      </c>
      <c r="F50" s="649">
        <f t="shared" si="4"/>
        <v>124258.13</v>
      </c>
      <c r="G50" s="649">
        <f t="shared" si="5"/>
        <v>0</v>
      </c>
      <c r="H50" s="649">
        <f t="shared" si="6"/>
        <v>163243</v>
      </c>
      <c r="J50" s="650"/>
      <c r="K50" s="650"/>
      <c r="L50" s="650"/>
    </row>
    <row r="51" spans="2:12" x14ac:dyDescent="0.2">
      <c r="B51" s="647">
        <f t="shared" si="0"/>
        <v>40</v>
      </c>
      <c r="C51" s="648">
        <f t="shared" ca="1" si="1"/>
        <v>43403</v>
      </c>
      <c r="D51" s="649">
        <f t="shared" si="7"/>
        <v>11571202.999999998</v>
      </c>
      <c r="E51" s="649">
        <f t="shared" si="3"/>
        <v>38570.68</v>
      </c>
      <c r="F51" s="649">
        <f t="shared" si="4"/>
        <v>124672.32000000001</v>
      </c>
      <c r="G51" s="649">
        <f t="shared" si="5"/>
        <v>0</v>
      </c>
      <c r="H51" s="649">
        <f t="shared" si="6"/>
        <v>163243</v>
      </c>
      <c r="J51" s="650"/>
      <c r="K51" s="650"/>
      <c r="L51" s="650"/>
    </row>
    <row r="52" spans="2:12" x14ac:dyDescent="0.2">
      <c r="B52" s="647">
        <f t="shared" si="0"/>
        <v>41</v>
      </c>
      <c r="C52" s="648">
        <f t="shared" ca="1" si="1"/>
        <v>43434</v>
      </c>
      <c r="D52" s="649">
        <f t="shared" si="7"/>
        <v>11446530.679999998</v>
      </c>
      <c r="E52" s="649">
        <f t="shared" si="3"/>
        <v>38155.1</v>
      </c>
      <c r="F52" s="649">
        <f t="shared" si="4"/>
        <v>125087.9</v>
      </c>
      <c r="G52" s="649">
        <f t="shared" si="5"/>
        <v>0</v>
      </c>
      <c r="H52" s="649">
        <f t="shared" si="6"/>
        <v>163243</v>
      </c>
      <c r="J52" s="650"/>
      <c r="K52" s="650"/>
      <c r="L52" s="650"/>
    </row>
    <row r="53" spans="2:12" x14ac:dyDescent="0.2">
      <c r="B53" s="647">
        <f t="shared" si="0"/>
        <v>42</v>
      </c>
      <c r="C53" s="648">
        <f t="shared" ca="1" si="1"/>
        <v>43464</v>
      </c>
      <c r="D53" s="649">
        <f t="shared" si="7"/>
        <v>11321442.779999997</v>
      </c>
      <c r="E53" s="649">
        <f t="shared" si="3"/>
        <v>37738.14</v>
      </c>
      <c r="F53" s="649">
        <f t="shared" si="4"/>
        <v>125504.86</v>
      </c>
      <c r="G53" s="649">
        <f t="shared" si="5"/>
        <v>0</v>
      </c>
      <c r="H53" s="649">
        <f t="shared" si="6"/>
        <v>163243</v>
      </c>
      <c r="J53" s="650"/>
      <c r="K53" s="650"/>
      <c r="L53" s="650"/>
    </row>
    <row r="54" spans="2:12" x14ac:dyDescent="0.2">
      <c r="B54" s="647">
        <f t="shared" si="0"/>
        <v>43</v>
      </c>
      <c r="C54" s="648">
        <f t="shared" ca="1" si="1"/>
        <v>43495</v>
      </c>
      <c r="D54" s="649">
        <f t="shared" si="7"/>
        <v>11195937.919999998</v>
      </c>
      <c r="E54" s="649">
        <f t="shared" si="3"/>
        <v>37319.79</v>
      </c>
      <c r="F54" s="649">
        <f t="shared" si="4"/>
        <v>125923.20999999999</v>
      </c>
      <c r="G54" s="649">
        <f t="shared" si="5"/>
        <v>0</v>
      </c>
      <c r="H54" s="649">
        <f t="shared" si="6"/>
        <v>163243</v>
      </c>
      <c r="J54" s="650"/>
      <c r="K54" s="650"/>
      <c r="L54" s="650"/>
    </row>
    <row r="55" spans="2:12" x14ac:dyDescent="0.2">
      <c r="B55" s="647">
        <f t="shared" si="0"/>
        <v>44</v>
      </c>
      <c r="C55" s="648">
        <f t="shared" ca="1" si="1"/>
        <v>43524</v>
      </c>
      <c r="D55" s="649">
        <f t="shared" si="7"/>
        <v>11070014.709999997</v>
      </c>
      <c r="E55" s="649">
        <f t="shared" si="3"/>
        <v>36900.050000000003</v>
      </c>
      <c r="F55" s="649">
        <f t="shared" si="4"/>
        <v>126342.95</v>
      </c>
      <c r="G55" s="649">
        <f t="shared" si="5"/>
        <v>0</v>
      </c>
      <c r="H55" s="649">
        <f t="shared" si="6"/>
        <v>163243</v>
      </c>
      <c r="J55" s="650"/>
      <c r="K55" s="650"/>
      <c r="L55" s="650"/>
    </row>
    <row r="56" spans="2:12" x14ac:dyDescent="0.2">
      <c r="B56" s="647">
        <f t="shared" si="0"/>
        <v>45</v>
      </c>
      <c r="C56" s="648">
        <f t="shared" ca="1" si="1"/>
        <v>43554</v>
      </c>
      <c r="D56" s="649">
        <f t="shared" si="7"/>
        <v>10943671.759999998</v>
      </c>
      <c r="E56" s="649">
        <f t="shared" si="3"/>
        <v>36478.910000000003</v>
      </c>
      <c r="F56" s="649">
        <f t="shared" si="4"/>
        <v>126764.09</v>
      </c>
      <c r="G56" s="649">
        <f t="shared" si="5"/>
        <v>0</v>
      </c>
      <c r="H56" s="649">
        <f t="shared" si="6"/>
        <v>163243</v>
      </c>
      <c r="J56" s="650"/>
      <c r="K56" s="650"/>
      <c r="L56" s="650"/>
    </row>
    <row r="57" spans="2:12" x14ac:dyDescent="0.2">
      <c r="B57" s="647">
        <f t="shared" si="0"/>
        <v>46</v>
      </c>
      <c r="C57" s="648">
        <f t="shared" ca="1" si="1"/>
        <v>43585</v>
      </c>
      <c r="D57" s="649">
        <f t="shared" si="7"/>
        <v>10816907.669999998</v>
      </c>
      <c r="E57" s="649">
        <f t="shared" si="3"/>
        <v>36056.36</v>
      </c>
      <c r="F57" s="649">
        <f t="shared" si="4"/>
        <v>127186.64</v>
      </c>
      <c r="G57" s="649">
        <f t="shared" si="5"/>
        <v>0</v>
      </c>
      <c r="H57" s="649">
        <f t="shared" si="6"/>
        <v>163243</v>
      </c>
      <c r="J57" s="650"/>
      <c r="K57" s="650"/>
      <c r="L57" s="650"/>
    </row>
    <row r="58" spans="2:12" x14ac:dyDescent="0.2">
      <c r="B58" s="647">
        <f t="shared" si="0"/>
        <v>47</v>
      </c>
      <c r="C58" s="648">
        <f t="shared" ca="1" si="1"/>
        <v>43615</v>
      </c>
      <c r="D58" s="649">
        <f t="shared" si="7"/>
        <v>10689721.029999997</v>
      </c>
      <c r="E58" s="649">
        <f t="shared" si="3"/>
        <v>35632.400000000001</v>
      </c>
      <c r="F58" s="649">
        <f t="shared" si="4"/>
        <v>127610.6</v>
      </c>
      <c r="G58" s="649">
        <f t="shared" si="5"/>
        <v>0</v>
      </c>
      <c r="H58" s="649">
        <f t="shared" si="6"/>
        <v>163243</v>
      </c>
      <c r="J58" s="650"/>
      <c r="K58" s="650"/>
      <c r="L58" s="650"/>
    </row>
    <row r="59" spans="2:12" x14ac:dyDescent="0.2">
      <c r="B59" s="647">
        <f t="shared" si="0"/>
        <v>48</v>
      </c>
      <c r="C59" s="648">
        <f t="shared" ca="1" si="1"/>
        <v>43646</v>
      </c>
      <c r="D59" s="649">
        <f t="shared" si="7"/>
        <v>10562110.429999998</v>
      </c>
      <c r="E59" s="649">
        <f t="shared" si="3"/>
        <v>35207.03</v>
      </c>
      <c r="F59" s="649">
        <f t="shared" si="4"/>
        <v>128035.97</v>
      </c>
      <c r="G59" s="649">
        <f t="shared" si="5"/>
        <v>0</v>
      </c>
      <c r="H59" s="649">
        <f t="shared" si="6"/>
        <v>163243</v>
      </c>
      <c r="J59" s="642">
        <f>D47-D59</f>
        <v>1503653.67</v>
      </c>
      <c r="K59" s="650"/>
      <c r="L59" s="650"/>
    </row>
    <row r="60" spans="2:12" x14ac:dyDescent="0.2">
      <c r="B60" s="640">
        <f t="shared" si="0"/>
        <v>49</v>
      </c>
      <c r="C60" s="641">
        <f t="shared" ca="1" si="1"/>
        <v>43676</v>
      </c>
      <c r="D60" s="642">
        <f t="shared" si="7"/>
        <v>10434074.459999997</v>
      </c>
      <c r="E60" s="642">
        <f t="shared" si="3"/>
        <v>34780.25</v>
      </c>
      <c r="F60" s="642">
        <f t="shared" si="4"/>
        <v>128462.75</v>
      </c>
      <c r="G60" s="642">
        <f t="shared" si="5"/>
        <v>0</v>
      </c>
      <c r="H60" s="642">
        <f t="shared" si="6"/>
        <v>163243</v>
      </c>
      <c r="J60" s="650"/>
      <c r="K60" s="650"/>
      <c r="L60" s="650"/>
    </row>
    <row r="61" spans="2:12" x14ac:dyDescent="0.2">
      <c r="B61" s="640">
        <f t="shared" si="0"/>
        <v>50</v>
      </c>
      <c r="C61" s="641">
        <f t="shared" ca="1" si="1"/>
        <v>43707</v>
      </c>
      <c r="D61" s="642">
        <f t="shared" si="7"/>
        <v>10305611.709999997</v>
      </c>
      <c r="E61" s="642">
        <f t="shared" si="3"/>
        <v>34352.04</v>
      </c>
      <c r="F61" s="642">
        <f t="shared" si="4"/>
        <v>128890.95999999999</v>
      </c>
      <c r="G61" s="642">
        <f t="shared" si="5"/>
        <v>0</v>
      </c>
      <c r="H61" s="642">
        <f t="shared" si="6"/>
        <v>163243</v>
      </c>
      <c r="J61" s="650"/>
      <c r="K61" s="650"/>
      <c r="L61" s="650"/>
    </row>
    <row r="62" spans="2:12" x14ac:dyDescent="0.2">
      <c r="B62" s="640">
        <f t="shared" si="0"/>
        <v>51</v>
      </c>
      <c r="C62" s="641">
        <f t="shared" ca="1" si="1"/>
        <v>43738</v>
      </c>
      <c r="D62" s="642">
        <f t="shared" si="7"/>
        <v>10176720.749999996</v>
      </c>
      <c r="E62" s="642">
        <f t="shared" si="3"/>
        <v>33922.400000000001</v>
      </c>
      <c r="F62" s="642">
        <f t="shared" si="4"/>
        <v>129320.6</v>
      </c>
      <c r="G62" s="642">
        <f t="shared" si="5"/>
        <v>0</v>
      </c>
      <c r="H62" s="642">
        <f t="shared" si="6"/>
        <v>163243</v>
      </c>
      <c r="J62" s="650"/>
      <c r="K62" s="650"/>
      <c r="L62" s="650"/>
    </row>
    <row r="63" spans="2:12" x14ac:dyDescent="0.2">
      <c r="B63" s="640">
        <f t="shared" si="0"/>
        <v>52</v>
      </c>
      <c r="C63" s="641">
        <f t="shared" ca="1" si="1"/>
        <v>43768</v>
      </c>
      <c r="D63" s="642">
        <f t="shared" si="7"/>
        <v>10047400.149999997</v>
      </c>
      <c r="E63" s="642">
        <f t="shared" si="3"/>
        <v>33491.33</v>
      </c>
      <c r="F63" s="642">
        <f t="shared" si="4"/>
        <v>129751.67</v>
      </c>
      <c r="G63" s="642">
        <f t="shared" si="5"/>
        <v>0</v>
      </c>
      <c r="H63" s="642">
        <f t="shared" si="6"/>
        <v>163243</v>
      </c>
      <c r="J63" s="650"/>
      <c r="K63" s="650"/>
      <c r="L63" s="650"/>
    </row>
    <row r="64" spans="2:12" x14ac:dyDescent="0.2">
      <c r="B64" s="640">
        <f t="shared" si="0"/>
        <v>53</v>
      </c>
      <c r="C64" s="641">
        <f t="shared" ca="1" si="1"/>
        <v>43799</v>
      </c>
      <c r="D64" s="642">
        <f t="shared" si="7"/>
        <v>9917648.4799999967</v>
      </c>
      <c r="E64" s="642">
        <f t="shared" si="3"/>
        <v>33058.83</v>
      </c>
      <c r="F64" s="642">
        <f t="shared" si="4"/>
        <v>130184.17</v>
      </c>
      <c r="G64" s="642">
        <f t="shared" si="5"/>
        <v>0</v>
      </c>
      <c r="H64" s="642">
        <f t="shared" si="6"/>
        <v>163243</v>
      </c>
      <c r="J64" s="650"/>
      <c r="K64" s="650"/>
      <c r="L64" s="650"/>
    </row>
    <row r="65" spans="2:12" x14ac:dyDescent="0.2">
      <c r="B65" s="640">
        <f t="shared" si="0"/>
        <v>54</v>
      </c>
      <c r="C65" s="641">
        <f t="shared" ca="1" si="1"/>
        <v>43829</v>
      </c>
      <c r="D65" s="642">
        <f t="shared" si="7"/>
        <v>9787464.3099999968</v>
      </c>
      <c r="E65" s="642">
        <f t="shared" si="3"/>
        <v>32624.880000000001</v>
      </c>
      <c r="F65" s="642">
        <f t="shared" si="4"/>
        <v>130618.12</v>
      </c>
      <c r="G65" s="642">
        <f t="shared" si="5"/>
        <v>0</v>
      </c>
      <c r="H65" s="642">
        <f t="shared" si="6"/>
        <v>163243</v>
      </c>
      <c r="J65" s="650"/>
      <c r="K65" s="650"/>
      <c r="L65" s="650"/>
    </row>
    <row r="66" spans="2:12" x14ac:dyDescent="0.2">
      <c r="B66" s="640">
        <f t="shared" si="0"/>
        <v>55</v>
      </c>
      <c r="C66" s="641">
        <f t="shared" ca="1" si="1"/>
        <v>43860</v>
      </c>
      <c r="D66" s="642">
        <f t="shared" si="7"/>
        <v>9656846.1899999976</v>
      </c>
      <c r="E66" s="642">
        <f t="shared" si="3"/>
        <v>32189.49</v>
      </c>
      <c r="F66" s="642">
        <f t="shared" si="4"/>
        <v>131053.51</v>
      </c>
      <c r="G66" s="642">
        <f t="shared" si="5"/>
        <v>0</v>
      </c>
      <c r="H66" s="642">
        <f t="shared" si="6"/>
        <v>163243</v>
      </c>
      <c r="J66" s="650"/>
      <c r="K66" s="650"/>
      <c r="L66" s="650"/>
    </row>
    <row r="67" spans="2:12" x14ac:dyDescent="0.2">
      <c r="B67" s="640">
        <f t="shared" si="0"/>
        <v>56</v>
      </c>
      <c r="C67" s="641">
        <f t="shared" ca="1" si="1"/>
        <v>43890</v>
      </c>
      <c r="D67" s="642">
        <f t="shared" si="7"/>
        <v>9525792.6799999978</v>
      </c>
      <c r="E67" s="642">
        <f t="shared" si="3"/>
        <v>31752.639999999999</v>
      </c>
      <c r="F67" s="642">
        <f t="shared" si="4"/>
        <v>131490.35999999999</v>
      </c>
      <c r="G67" s="642">
        <f t="shared" si="5"/>
        <v>0</v>
      </c>
      <c r="H67" s="642">
        <f t="shared" si="6"/>
        <v>163243</v>
      </c>
      <c r="J67" s="650"/>
      <c r="K67" s="650"/>
      <c r="L67" s="650"/>
    </row>
    <row r="68" spans="2:12" x14ac:dyDescent="0.2">
      <c r="B68" s="640">
        <f t="shared" si="0"/>
        <v>57</v>
      </c>
      <c r="C68" s="641">
        <f t="shared" ca="1" si="1"/>
        <v>43920</v>
      </c>
      <c r="D68" s="642">
        <f t="shared" si="7"/>
        <v>9394302.3199999984</v>
      </c>
      <c r="E68" s="642">
        <f t="shared" si="3"/>
        <v>31314.34</v>
      </c>
      <c r="F68" s="642">
        <f t="shared" si="4"/>
        <v>131928.66</v>
      </c>
      <c r="G68" s="642">
        <f t="shared" si="5"/>
        <v>0</v>
      </c>
      <c r="H68" s="642">
        <f t="shared" si="6"/>
        <v>163243</v>
      </c>
      <c r="J68" s="650"/>
      <c r="K68" s="650"/>
      <c r="L68" s="650"/>
    </row>
    <row r="69" spans="2:12" x14ac:dyDescent="0.2">
      <c r="B69" s="640">
        <f t="shared" si="0"/>
        <v>58</v>
      </c>
      <c r="C69" s="641">
        <f t="shared" ca="1" si="1"/>
        <v>43951</v>
      </c>
      <c r="D69" s="642">
        <f t="shared" si="7"/>
        <v>9262373.6599999983</v>
      </c>
      <c r="E69" s="642">
        <f t="shared" si="3"/>
        <v>30874.58</v>
      </c>
      <c r="F69" s="642">
        <f t="shared" si="4"/>
        <v>132368.41999999998</v>
      </c>
      <c r="G69" s="642">
        <f t="shared" si="5"/>
        <v>0</v>
      </c>
      <c r="H69" s="642">
        <f t="shared" si="6"/>
        <v>163243</v>
      </c>
      <c r="J69" s="650"/>
      <c r="K69" s="650"/>
      <c r="L69" s="650"/>
    </row>
    <row r="70" spans="2:12" x14ac:dyDescent="0.2">
      <c r="B70" s="640">
        <f t="shared" si="0"/>
        <v>59</v>
      </c>
      <c r="C70" s="641">
        <f t="shared" ca="1" si="1"/>
        <v>43981</v>
      </c>
      <c r="D70" s="642">
        <f t="shared" si="7"/>
        <v>9130005.2399999984</v>
      </c>
      <c r="E70" s="642">
        <f t="shared" si="3"/>
        <v>30433.35</v>
      </c>
      <c r="F70" s="642">
        <f t="shared" si="4"/>
        <v>132809.65</v>
      </c>
      <c r="G70" s="642">
        <f t="shared" si="5"/>
        <v>0</v>
      </c>
      <c r="H70" s="642">
        <f t="shared" si="6"/>
        <v>163243</v>
      </c>
      <c r="J70" s="650"/>
      <c r="K70" s="650"/>
      <c r="L70" s="650"/>
    </row>
    <row r="71" spans="2:12" x14ac:dyDescent="0.2">
      <c r="B71" s="640">
        <f t="shared" si="0"/>
        <v>60</v>
      </c>
      <c r="C71" s="641">
        <f t="shared" ca="1" si="1"/>
        <v>44012</v>
      </c>
      <c r="D71" s="642">
        <f t="shared" si="7"/>
        <v>8997195.589999998</v>
      </c>
      <c r="E71" s="642">
        <f t="shared" si="3"/>
        <v>29990.65</v>
      </c>
      <c r="F71" s="642">
        <f t="shared" si="4"/>
        <v>133252.35</v>
      </c>
      <c r="G71" s="642">
        <f t="shared" si="5"/>
        <v>0</v>
      </c>
      <c r="H71" s="642">
        <f t="shared" si="6"/>
        <v>163243</v>
      </c>
      <c r="J71" s="642">
        <f>D59-D71</f>
        <v>1564914.8399999999</v>
      </c>
      <c r="K71" s="650"/>
      <c r="L71" s="650"/>
    </row>
    <row r="72" spans="2:12" x14ac:dyDescent="0.2">
      <c r="B72" s="647">
        <f t="shared" si="0"/>
        <v>61</v>
      </c>
      <c r="C72" s="648">
        <f t="shared" ca="1" si="1"/>
        <v>44042</v>
      </c>
      <c r="D72" s="649">
        <f t="shared" si="7"/>
        <v>8863943.2399999984</v>
      </c>
      <c r="E72" s="649">
        <f t="shared" si="3"/>
        <v>29546.48</v>
      </c>
      <c r="F72" s="649">
        <f t="shared" si="4"/>
        <v>133696.51999999999</v>
      </c>
      <c r="G72" s="649">
        <f t="shared" si="5"/>
        <v>0</v>
      </c>
      <c r="H72" s="649">
        <f t="shared" si="6"/>
        <v>163243</v>
      </c>
      <c r="J72" s="650"/>
      <c r="K72" s="650"/>
      <c r="L72" s="650"/>
    </row>
    <row r="73" spans="2:12" x14ac:dyDescent="0.2">
      <c r="B73" s="647">
        <f t="shared" si="0"/>
        <v>62</v>
      </c>
      <c r="C73" s="648">
        <f t="shared" ca="1" si="1"/>
        <v>44073</v>
      </c>
      <c r="D73" s="649">
        <f t="shared" si="7"/>
        <v>8730246.7199999988</v>
      </c>
      <c r="E73" s="649">
        <f t="shared" si="3"/>
        <v>29100.82</v>
      </c>
      <c r="F73" s="649">
        <f t="shared" si="4"/>
        <v>134142.18</v>
      </c>
      <c r="G73" s="649">
        <f t="shared" si="5"/>
        <v>0</v>
      </c>
      <c r="H73" s="649">
        <f t="shared" si="6"/>
        <v>163243</v>
      </c>
      <c r="J73" s="650"/>
      <c r="K73" s="650"/>
      <c r="L73" s="650"/>
    </row>
    <row r="74" spans="2:12" x14ac:dyDescent="0.2">
      <c r="B74" s="647">
        <f t="shared" si="0"/>
        <v>63</v>
      </c>
      <c r="C74" s="648">
        <f t="shared" ca="1" si="1"/>
        <v>44104</v>
      </c>
      <c r="D74" s="649">
        <f t="shared" si="7"/>
        <v>8596104.5399999991</v>
      </c>
      <c r="E74" s="649">
        <f t="shared" si="3"/>
        <v>28653.68</v>
      </c>
      <c r="F74" s="649">
        <f t="shared" si="4"/>
        <v>134589.32</v>
      </c>
      <c r="G74" s="649">
        <f t="shared" si="5"/>
        <v>0</v>
      </c>
      <c r="H74" s="649">
        <f t="shared" si="6"/>
        <v>163243</v>
      </c>
      <c r="J74" s="650"/>
      <c r="K74" s="650"/>
      <c r="L74" s="650"/>
    </row>
    <row r="75" spans="2:12" x14ac:dyDescent="0.2">
      <c r="B75" s="647">
        <f t="shared" si="0"/>
        <v>64</v>
      </c>
      <c r="C75" s="648">
        <f t="shared" ca="1" si="1"/>
        <v>44134</v>
      </c>
      <c r="D75" s="649">
        <f t="shared" si="7"/>
        <v>8461515.2199999988</v>
      </c>
      <c r="E75" s="649">
        <f t="shared" si="3"/>
        <v>28205.05</v>
      </c>
      <c r="F75" s="649">
        <f t="shared" si="4"/>
        <v>135037.95000000001</v>
      </c>
      <c r="G75" s="649">
        <f t="shared" si="5"/>
        <v>0</v>
      </c>
      <c r="H75" s="649">
        <f t="shared" si="6"/>
        <v>163243</v>
      </c>
      <c r="J75" s="650"/>
      <c r="K75" s="650"/>
      <c r="L75" s="650"/>
    </row>
    <row r="76" spans="2:12" x14ac:dyDescent="0.2">
      <c r="B76" s="647">
        <f t="shared" ref="B76:B139" si="8">IF(B75&lt;$L$3,B75+1,"-")</f>
        <v>65</v>
      </c>
      <c r="C76" s="648">
        <f t="shared" ref="C76:C139" ca="1" si="9">IF(ISNUMBER(B76),MIN(DATE(YEAR($C$11),MONTH($C$11)+B76*12/$P$5,DAY($C$11)),DATE(YEAR($C$11),MONTH($C$11)+1+B76*12/$P$5,1)-1),"")</f>
        <v>44165</v>
      </c>
      <c r="D76" s="649">
        <f t="shared" ref="D76:D107" si="10">IF(ISNUMBER(B76),D75-F75,"")</f>
        <v>8326477.2699999986</v>
      </c>
      <c r="E76" s="649">
        <f t="shared" ref="E76:E139" si="11">IF(ISNUMBER(B76),ROUND(D76*$L$7,$R$6),"")</f>
        <v>27754.92</v>
      </c>
      <c r="F76" s="649">
        <f t="shared" ref="F76:F139" si="12">IF(ISNUMBER(B76),IF(B76=$L$3,D76,IF(B76&gt;$L$4,$H$3-E76,0)),"")</f>
        <v>135488.08000000002</v>
      </c>
      <c r="G76" s="649">
        <f t="shared" ref="G76:G139" si="13">IF(ISNUMBER(B76),$H$4,"")</f>
        <v>0</v>
      </c>
      <c r="H76" s="649">
        <f t="shared" ref="H76:H139" si="14">IF(ISNUMBER(B76),E76+F76+G76,"")</f>
        <v>163243</v>
      </c>
      <c r="J76" s="650"/>
      <c r="K76" s="650"/>
      <c r="L76" s="650"/>
    </row>
    <row r="77" spans="2:12" x14ac:dyDescent="0.2">
      <c r="B77" s="647">
        <f t="shared" si="8"/>
        <v>66</v>
      </c>
      <c r="C77" s="648">
        <f t="shared" ca="1" si="9"/>
        <v>44195</v>
      </c>
      <c r="D77" s="649">
        <f t="shared" si="10"/>
        <v>8190989.1899999985</v>
      </c>
      <c r="E77" s="649">
        <f t="shared" si="11"/>
        <v>27303.3</v>
      </c>
      <c r="F77" s="649">
        <f t="shared" si="12"/>
        <v>135939.70000000001</v>
      </c>
      <c r="G77" s="649">
        <f t="shared" si="13"/>
        <v>0</v>
      </c>
      <c r="H77" s="649">
        <f t="shared" si="14"/>
        <v>163243</v>
      </c>
      <c r="J77" s="650"/>
      <c r="K77" s="650"/>
      <c r="L77" s="650"/>
    </row>
    <row r="78" spans="2:12" x14ac:dyDescent="0.2">
      <c r="B78" s="647">
        <f t="shared" si="8"/>
        <v>67</v>
      </c>
      <c r="C78" s="648">
        <f t="shared" ca="1" si="9"/>
        <v>44226</v>
      </c>
      <c r="D78" s="649">
        <f t="shared" si="10"/>
        <v>8055049.4899999984</v>
      </c>
      <c r="E78" s="649">
        <f t="shared" si="11"/>
        <v>26850.16</v>
      </c>
      <c r="F78" s="649">
        <f t="shared" si="12"/>
        <v>136392.84</v>
      </c>
      <c r="G78" s="649">
        <f t="shared" si="13"/>
        <v>0</v>
      </c>
      <c r="H78" s="649">
        <f t="shared" si="14"/>
        <v>163243</v>
      </c>
      <c r="J78" s="650"/>
      <c r="K78" s="650"/>
      <c r="L78" s="650"/>
    </row>
    <row r="79" spans="2:12" x14ac:dyDescent="0.2">
      <c r="B79" s="647">
        <f t="shared" si="8"/>
        <v>68</v>
      </c>
      <c r="C79" s="648">
        <f t="shared" ca="1" si="9"/>
        <v>44255</v>
      </c>
      <c r="D79" s="649">
        <f t="shared" si="10"/>
        <v>7918656.6499999985</v>
      </c>
      <c r="E79" s="649">
        <f t="shared" si="11"/>
        <v>26395.52</v>
      </c>
      <c r="F79" s="649">
        <f t="shared" si="12"/>
        <v>136847.48000000001</v>
      </c>
      <c r="G79" s="649">
        <f t="shared" si="13"/>
        <v>0</v>
      </c>
      <c r="H79" s="649">
        <f t="shared" si="14"/>
        <v>163243</v>
      </c>
      <c r="J79" s="650"/>
      <c r="K79" s="650"/>
      <c r="L79" s="650"/>
    </row>
    <row r="80" spans="2:12" x14ac:dyDescent="0.2">
      <c r="B80" s="647">
        <f t="shared" si="8"/>
        <v>69</v>
      </c>
      <c r="C80" s="648">
        <f t="shared" ca="1" si="9"/>
        <v>44285</v>
      </c>
      <c r="D80" s="649">
        <f t="shared" si="10"/>
        <v>7781809.1699999981</v>
      </c>
      <c r="E80" s="649">
        <f t="shared" si="11"/>
        <v>25939.360000000001</v>
      </c>
      <c r="F80" s="649">
        <f t="shared" si="12"/>
        <v>137303.64000000001</v>
      </c>
      <c r="G80" s="649">
        <f t="shared" si="13"/>
        <v>0</v>
      </c>
      <c r="H80" s="649">
        <f t="shared" si="14"/>
        <v>163243</v>
      </c>
      <c r="J80" s="650"/>
      <c r="K80" s="650"/>
      <c r="L80" s="650"/>
    </row>
    <row r="81" spans="2:12" x14ac:dyDescent="0.2">
      <c r="B81" s="647">
        <f t="shared" si="8"/>
        <v>70</v>
      </c>
      <c r="C81" s="648">
        <f t="shared" ca="1" si="9"/>
        <v>44316</v>
      </c>
      <c r="D81" s="649">
        <f t="shared" si="10"/>
        <v>7644505.5299999984</v>
      </c>
      <c r="E81" s="649">
        <f t="shared" si="11"/>
        <v>25481.69</v>
      </c>
      <c r="F81" s="649">
        <f t="shared" si="12"/>
        <v>137761.31</v>
      </c>
      <c r="G81" s="649">
        <f t="shared" si="13"/>
        <v>0</v>
      </c>
      <c r="H81" s="649">
        <f t="shared" si="14"/>
        <v>163243</v>
      </c>
      <c r="J81" s="650"/>
      <c r="K81" s="650"/>
      <c r="L81" s="650"/>
    </row>
    <row r="82" spans="2:12" x14ac:dyDescent="0.2">
      <c r="B82" s="647">
        <f t="shared" si="8"/>
        <v>71</v>
      </c>
      <c r="C82" s="648">
        <f t="shared" ca="1" si="9"/>
        <v>44346</v>
      </c>
      <c r="D82" s="649">
        <f t="shared" si="10"/>
        <v>7506744.2199999988</v>
      </c>
      <c r="E82" s="649">
        <f t="shared" si="11"/>
        <v>25022.48</v>
      </c>
      <c r="F82" s="649">
        <f t="shared" si="12"/>
        <v>138220.51999999999</v>
      </c>
      <c r="G82" s="649">
        <f t="shared" si="13"/>
        <v>0</v>
      </c>
      <c r="H82" s="649">
        <f t="shared" si="14"/>
        <v>163243</v>
      </c>
      <c r="J82" s="650"/>
      <c r="K82" s="650"/>
      <c r="L82" s="650"/>
    </row>
    <row r="83" spans="2:12" x14ac:dyDescent="0.2">
      <c r="B83" s="647">
        <f t="shared" si="8"/>
        <v>72</v>
      </c>
      <c r="C83" s="648">
        <f t="shared" ca="1" si="9"/>
        <v>44377</v>
      </c>
      <c r="D83" s="649">
        <f t="shared" si="10"/>
        <v>7368523.6999999993</v>
      </c>
      <c r="E83" s="649">
        <f t="shared" si="11"/>
        <v>24561.75</v>
      </c>
      <c r="F83" s="649">
        <f t="shared" si="12"/>
        <v>138681.25</v>
      </c>
      <c r="G83" s="649">
        <f t="shared" si="13"/>
        <v>0</v>
      </c>
      <c r="H83" s="649">
        <f t="shared" si="14"/>
        <v>163243</v>
      </c>
      <c r="J83" s="642">
        <f>D71-D83</f>
        <v>1628671.8899999987</v>
      </c>
      <c r="K83" s="650"/>
      <c r="L83" s="650"/>
    </row>
    <row r="84" spans="2:12" x14ac:dyDescent="0.2">
      <c r="B84" s="651">
        <f t="shared" si="8"/>
        <v>73</v>
      </c>
      <c r="C84" s="652">
        <f t="shared" ca="1" si="9"/>
        <v>44407</v>
      </c>
      <c r="D84" s="653">
        <f t="shared" si="10"/>
        <v>7229842.4499999993</v>
      </c>
      <c r="E84" s="653">
        <f t="shared" si="11"/>
        <v>24099.47</v>
      </c>
      <c r="F84" s="653">
        <f t="shared" si="12"/>
        <v>139143.53</v>
      </c>
      <c r="G84" s="653">
        <f t="shared" si="13"/>
        <v>0</v>
      </c>
      <c r="H84" s="653">
        <f t="shared" si="14"/>
        <v>163243</v>
      </c>
      <c r="J84" s="650"/>
      <c r="K84" s="650"/>
      <c r="L84" s="650"/>
    </row>
    <row r="85" spans="2:12" x14ac:dyDescent="0.2">
      <c r="B85" s="651">
        <f t="shared" si="8"/>
        <v>74</v>
      </c>
      <c r="C85" s="652">
        <f t="shared" ca="1" si="9"/>
        <v>44438</v>
      </c>
      <c r="D85" s="653">
        <f t="shared" si="10"/>
        <v>7090698.919999999</v>
      </c>
      <c r="E85" s="653">
        <f t="shared" si="11"/>
        <v>23635.66</v>
      </c>
      <c r="F85" s="653">
        <f t="shared" si="12"/>
        <v>139607.34</v>
      </c>
      <c r="G85" s="653">
        <f t="shared" si="13"/>
        <v>0</v>
      </c>
      <c r="H85" s="653">
        <f t="shared" si="14"/>
        <v>163243</v>
      </c>
      <c r="J85" s="650"/>
      <c r="K85" s="650"/>
      <c r="L85" s="650"/>
    </row>
    <row r="86" spans="2:12" x14ac:dyDescent="0.2">
      <c r="B86" s="651">
        <f t="shared" si="8"/>
        <v>75</v>
      </c>
      <c r="C86" s="652">
        <f t="shared" ca="1" si="9"/>
        <v>44469</v>
      </c>
      <c r="D86" s="653">
        <f t="shared" si="10"/>
        <v>6951091.5799999991</v>
      </c>
      <c r="E86" s="653">
        <f t="shared" si="11"/>
        <v>23170.31</v>
      </c>
      <c r="F86" s="653">
        <f t="shared" si="12"/>
        <v>140072.69</v>
      </c>
      <c r="G86" s="653">
        <f t="shared" si="13"/>
        <v>0</v>
      </c>
      <c r="H86" s="653">
        <f t="shared" si="14"/>
        <v>163243</v>
      </c>
      <c r="J86" s="650"/>
      <c r="K86" s="650"/>
      <c r="L86" s="650"/>
    </row>
    <row r="87" spans="2:12" x14ac:dyDescent="0.2">
      <c r="B87" s="651">
        <f t="shared" si="8"/>
        <v>76</v>
      </c>
      <c r="C87" s="652">
        <f t="shared" ca="1" si="9"/>
        <v>44499</v>
      </c>
      <c r="D87" s="653">
        <f t="shared" si="10"/>
        <v>6811018.8899999987</v>
      </c>
      <c r="E87" s="653">
        <f t="shared" si="11"/>
        <v>22703.4</v>
      </c>
      <c r="F87" s="653">
        <f t="shared" si="12"/>
        <v>140539.6</v>
      </c>
      <c r="G87" s="653">
        <f t="shared" si="13"/>
        <v>0</v>
      </c>
      <c r="H87" s="653">
        <f t="shared" si="14"/>
        <v>163243</v>
      </c>
      <c r="J87" s="650"/>
      <c r="K87" s="650"/>
      <c r="L87" s="650"/>
    </row>
    <row r="88" spans="2:12" x14ac:dyDescent="0.2">
      <c r="B88" s="651">
        <f t="shared" si="8"/>
        <v>77</v>
      </c>
      <c r="C88" s="652">
        <f t="shared" ca="1" si="9"/>
        <v>44530</v>
      </c>
      <c r="D88" s="653">
        <f t="shared" si="10"/>
        <v>6670479.2899999991</v>
      </c>
      <c r="E88" s="653">
        <f t="shared" si="11"/>
        <v>22234.93</v>
      </c>
      <c r="F88" s="653">
        <f t="shared" si="12"/>
        <v>141008.07</v>
      </c>
      <c r="G88" s="653">
        <f t="shared" si="13"/>
        <v>0</v>
      </c>
      <c r="H88" s="653">
        <f t="shared" si="14"/>
        <v>163243</v>
      </c>
      <c r="J88" s="650"/>
      <c r="K88" s="650"/>
      <c r="L88" s="650"/>
    </row>
    <row r="89" spans="2:12" x14ac:dyDescent="0.2">
      <c r="B89" s="651">
        <f t="shared" si="8"/>
        <v>78</v>
      </c>
      <c r="C89" s="652">
        <f t="shared" ca="1" si="9"/>
        <v>44560</v>
      </c>
      <c r="D89" s="653">
        <f t="shared" si="10"/>
        <v>6529471.2199999988</v>
      </c>
      <c r="E89" s="653">
        <f t="shared" si="11"/>
        <v>21764.9</v>
      </c>
      <c r="F89" s="653">
        <f t="shared" si="12"/>
        <v>141478.1</v>
      </c>
      <c r="G89" s="653">
        <f t="shared" si="13"/>
        <v>0</v>
      </c>
      <c r="H89" s="653">
        <f t="shared" si="14"/>
        <v>163243</v>
      </c>
      <c r="J89" s="650"/>
      <c r="K89" s="650"/>
      <c r="L89" s="650"/>
    </row>
    <row r="90" spans="2:12" x14ac:dyDescent="0.2">
      <c r="B90" s="651">
        <f t="shared" si="8"/>
        <v>79</v>
      </c>
      <c r="C90" s="652">
        <f t="shared" ca="1" si="9"/>
        <v>44591</v>
      </c>
      <c r="D90" s="653">
        <f t="shared" si="10"/>
        <v>6387993.1199999992</v>
      </c>
      <c r="E90" s="653">
        <f t="shared" si="11"/>
        <v>21293.31</v>
      </c>
      <c r="F90" s="653">
        <f t="shared" si="12"/>
        <v>141949.69</v>
      </c>
      <c r="G90" s="653">
        <f t="shared" si="13"/>
        <v>0</v>
      </c>
      <c r="H90" s="653">
        <f t="shared" si="14"/>
        <v>163243</v>
      </c>
      <c r="J90" s="650"/>
      <c r="K90" s="650"/>
      <c r="L90" s="650"/>
    </row>
    <row r="91" spans="2:12" x14ac:dyDescent="0.2">
      <c r="B91" s="651">
        <f t="shared" si="8"/>
        <v>80</v>
      </c>
      <c r="C91" s="652">
        <f t="shared" ca="1" si="9"/>
        <v>44620</v>
      </c>
      <c r="D91" s="653">
        <f t="shared" si="10"/>
        <v>6246043.4299999988</v>
      </c>
      <c r="E91" s="653">
        <f t="shared" si="11"/>
        <v>20820.14</v>
      </c>
      <c r="F91" s="653">
        <f t="shared" si="12"/>
        <v>142422.85999999999</v>
      </c>
      <c r="G91" s="653">
        <f t="shared" si="13"/>
        <v>0</v>
      </c>
      <c r="H91" s="653">
        <f t="shared" si="14"/>
        <v>163243</v>
      </c>
      <c r="J91" s="650"/>
      <c r="K91" s="650"/>
      <c r="L91" s="650"/>
    </row>
    <row r="92" spans="2:12" x14ac:dyDescent="0.2">
      <c r="B92" s="651">
        <f t="shared" si="8"/>
        <v>81</v>
      </c>
      <c r="C92" s="652">
        <f t="shared" ca="1" si="9"/>
        <v>44650</v>
      </c>
      <c r="D92" s="653">
        <f t="shared" si="10"/>
        <v>6103620.5699999984</v>
      </c>
      <c r="E92" s="653">
        <f t="shared" si="11"/>
        <v>20345.400000000001</v>
      </c>
      <c r="F92" s="653">
        <f t="shared" si="12"/>
        <v>142897.60000000001</v>
      </c>
      <c r="G92" s="653">
        <f t="shared" si="13"/>
        <v>0</v>
      </c>
      <c r="H92" s="653">
        <f t="shared" si="14"/>
        <v>163243</v>
      </c>
      <c r="J92" s="650"/>
      <c r="K92" s="650"/>
      <c r="L92" s="650"/>
    </row>
    <row r="93" spans="2:12" x14ac:dyDescent="0.2">
      <c r="B93" s="651">
        <f t="shared" si="8"/>
        <v>82</v>
      </c>
      <c r="C93" s="652">
        <f t="shared" ca="1" si="9"/>
        <v>44681</v>
      </c>
      <c r="D93" s="653">
        <f t="shared" si="10"/>
        <v>5960722.9699999988</v>
      </c>
      <c r="E93" s="653">
        <f t="shared" si="11"/>
        <v>19869.080000000002</v>
      </c>
      <c r="F93" s="653">
        <f t="shared" si="12"/>
        <v>143373.91999999998</v>
      </c>
      <c r="G93" s="653">
        <f t="shared" si="13"/>
        <v>0</v>
      </c>
      <c r="H93" s="653">
        <f t="shared" si="14"/>
        <v>163243</v>
      </c>
      <c r="J93" s="650"/>
      <c r="K93" s="650"/>
      <c r="L93" s="650"/>
    </row>
    <row r="94" spans="2:12" x14ac:dyDescent="0.2">
      <c r="B94" s="651">
        <f t="shared" si="8"/>
        <v>83</v>
      </c>
      <c r="C94" s="652">
        <f t="shared" ca="1" si="9"/>
        <v>44711</v>
      </c>
      <c r="D94" s="653">
        <f t="shared" si="10"/>
        <v>5817349.0499999989</v>
      </c>
      <c r="E94" s="653">
        <f t="shared" si="11"/>
        <v>19391.16</v>
      </c>
      <c r="F94" s="653">
        <f t="shared" si="12"/>
        <v>143851.84</v>
      </c>
      <c r="G94" s="653">
        <f t="shared" si="13"/>
        <v>0</v>
      </c>
      <c r="H94" s="653">
        <f t="shared" si="14"/>
        <v>163243</v>
      </c>
      <c r="J94" s="650"/>
      <c r="K94" s="650"/>
      <c r="L94" s="650"/>
    </row>
    <row r="95" spans="2:12" x14ac:dyDescent="0.2">
      <c r="B95" s="651">
        <f t="shared" si="8"/>
        <v>84</v>
      </c>
      <c r="C95" s="652">
        <f t="shared" ca="1" si="9"/>
        <v>44742</v>
      </c>
      <c r="D95" s="653">
        <f t="shared" si="10"/>
        <v>5673497.209999999</v>
      </c>
      <c r="E95" s="653">
        <f t="shared" si="11"/>
        <v>18911.66</v>
      </c>
      <c r="F95" s="653">
        <f t="shared" si="12"/>
        <v>144331.34</v>
      </c>
      <c r="G95" s="653">
        <f t="shared" si="13"/>
        <v>0</v>
      </c>
      <c r="H95" s="653">
        <f t="shared" si="14"/>
        <v>163243</v>
      </c>
      <c r="J95" s="642">
        <f>D83-D95</f>
        <v>1695026.4900000002</v>
      </c>
      <c r="K95" s="650"/>
      <c r="L95" s="650"/>
    </row>
    <row r="96" spans="2:12" x14ac:dyDescent="0.2">
      <c r="B96" s="647">
        <f t="shared" si="8"/>
        <v>85</v>
      </c>
      <c r="C96" s="648">
        <f t="shared" ca="1" si="9"/>
        <v>44772</v>
      </c>
      <c r="D96" s="649">
        <f t="shared" si="10"/>
        <v>5529165.8699999992</v>
      </c>
      <c r="E96" s="649">
        <f t="shared" si="11"/>
        <v>18430.55</v>
      </c>
      <c r="F96" s="649">
        <f t="shared" si="12"/>
        <v>144812.45000000001</v>
      </c>
      <c r="G96" s="649">
        <f t="shared" si="13"/>
        <v>0</v>
      </c>
      <c r="H96" s="649">
        <f t="shared" si="14"/>
        <v>163243</v>
      </c>
      <c r="J96" s="650"/>
      <c r="K96" s="650"/>
      <c r="L96" s="650"/>
    </row>
    <row r="97" spans="2:12" x14ac:dyDescent="0.2">
      <c r="B97" s="647">
        <f t="shared" si="8"/>
        <v>86</v>
      </c>
      <c r="C97" s="648">
        <f t="shared" ca="1" si="9"/>
        <v>44803</v>
      </c>
      <c r="D97" s="649">
        <f t="shared" si="10"/>
        <v>5384353.419999999</v>
      </c>
      <c r="E97" s="649">
        <f t="shared" si="11"/>
        <v>17947.84</v>
      </c>
      <c r="F97" s="649">
        <f t="shared" si="12"/>
        <v>145295.16</v>
      </c>
      <c r="G97" s="649">
        <f t="shared" si="13"/>
        <v>0</v>
      </c>
      <c r="H97" s="649">
        <f t="shared" si="14"/>
        <v>163243</v>
      </c>
      <c r="J97" s="650"/>
      <c r="K97" s="650"/>
      <c r="L97" s="650"/>
    </row>
    <row r="98" spans="2:12" x14ac:dyDescent="0.2">
      <c r="B98" s="647">
        <f t="shared" si="8"/>
        <v>87</v>
      </c>
      <c r="C98" s="648">
        <f t="shared" ca="1" si="9"/>
        <v>44834</v>
      </c>
      <c r="D98" s="649">
        <f t="shared" si="10"/>
        <v>5239058.2599999988</v>
      </c>
      <c r="E98" s="649">
        <f t="shared" si="11"/>
        <v>17463.53</v>
      </c>
      <c r="F98" s="649">
        <f t="shared" si="12"/>
        <v>145779.47</v>
      </c>
      <c r="G98" s="649">
        <f t="shared" si="13"/>
        <v>0</v>
      </c>
      <c r="H98" s="649">
        <f t="shared" si="14"/>
        <v>163243</v>
      </c>
      <c r="J98" s="650"/>
      <c r="K98" s="650"/>
      <c r="L98" s="650"/>
    </row>
    <row r="99" spans="2:12" x14ac:dyDescent="0.2">
      <c r="B99" s="647">
        <f t="shared" si="8"/>
        <v>88</v>
      </c>
      <c r="C99" s="648">
        <f t="shared" ca="1" si="9"/>
        <v>44864</v>
      </c>
      <c r="D99" s="649">
        <f t="shared" si="10"/>
        <v>5093278.7899999991</v>
      </c>
      <c r="E99" s="649">
        <f t="shared" si="11"/>
        <v>16977.599999999999</v>
      </c>
      <c r="F99" s="649">
        <f t="shared" si="12"/>
        <v>146265.4</v>
      </c>
      <c r="G99" s="649">
        <f t="shared" si="13"/>
        <v>0</v>
      </c>
      <c r="H99" s="649">
        <f t="shared" si="14"/>
        <v>163243</v>
      </c>
      <c r="J99" s="650"/>
      <c r="K99" s="650"/>
      <c r="L99" s="650"/>
    </row>
    <row r="100" spans="2:12" x14ac:dyDescent="0.2">
      <c r="B100" s="647">
        <f t="shared" si="8"/>
        <v>89</v>
      </c>
      <c r="C100" s="648">
        <f t="shared" ca="1" si="9"/>
        <v>44895</v>
      </c>
      <c r="D100" s="649">
        <f t="shared" si="10"/>
        <v>4947013.3899999987</v>
      </c>
      <c r="E100" s="649">
        <f t="shared" si="11"/>
        <v>16490.04</v>
      </c>
      <c r="F100" s="649">
        <f t="shared" si="12"/>
        <v>146752.95999999999</v>
      </c>
      <c r="G100" s="649">
        <f t="shared" si="13"/>
        <v>0</v>
      </c>
      <c r="H100" s="649">
        <f t="shared" si="14"/>
        <v>163243</v>
      </c>
      <c r="J100" s="650"/>
      <c r="K100" s="650"/>
      <c r="L100" s="650"/>
    </row>
    <row r="101" spans="2:12" x14ac:dyDescent="0.2">
      <c r="B101" s="647">
        <f t="shared" si="8"/>
        <v>90</v>
      </c>
      <c r="C101" s="648">
        <f t="shared" ca="1" si="9"/>
        <v>44925</v>
      </c>
      <c r="D101" s="649">
        <f t="shared" si="10"/>
        <v>4800260.4299999988</v>
      </c>
      <c r="E101" s="649">
        <f t="shared" si="11"/>
        <v>16000.87</v>
      </c>
      <c r="F101" s="649">
        <f t="shared" si="12"/>
        <v>147242.13</v>
      </c>
      <c r="G101" s="649">
        <f t="shared" si="13"/>
        <v>0</v>
      </c>
      <c r="H101" s="649">
        <f t="shared" si="14"/>
        <v>163243</v>
      </c>
      <c r="J101" s="650"/>
      <c r="K101" s="650"/>
      <c r="L101" s="650"/>
    </row>
    <row r="102" spans="2:12" x14ac:dyDescent="0.2">
      <c r="B102" s="647">
        <f t="shared" si="8"/>
        <v>91</v>
      </c>
      <c r="C102" s="648">
        <f t="shared" ca="1" si="9"/>
        <v>44956</v>
      </c>
      <c r="D102" s="649">
        <f t="shared" si="10"/>
        <v>4653018.2999999989</v>
      </c>
      <c r="E102" s="649">
        <f t="shared" si="11"/>
        <v>15510.06</v>
      </c>
      <c r="F102" s="649">
        <f t="shared" si="12"/>
        <v>147732.94</v>
      </c>
      <c r="G102" s="649">
        <f t="shared" si="13"/>
        <v>0</v>
      </c>
      <c r="H102" s="649">
        <f t="shared" si="14"/>
        <v>163243</v>
      </c>
      <c r="J102" s="650"/>
      <c r="K102" s="650"/>
      <c r="L102" s="650"/>
    </row>
    <row r="103" spans="2:12" x14ac:dyDescent="0.2">
      <c r="B103" s="647">
        <f t="shared" si="8"/>
        <v>92</v>
      </c>
      <c r="C103" s="648">
        <f t="shared" ca="1" si="9"/>
        <v>44985</v>
      </c>
      <c r="D103" s="649">
        <f t="shared" si="10"/>
        <v>4505285.3599999985</v>
      </c>
      <c r="E103" s="649">
        <f t="shared" si="11"/>
        <v>15017.62</v>
      </c>
      <c r="F103" s="649">
        <f t="shared" si="12"/>
        <v>148225.38</v>
      </c>
      <c r="G103" s="649">
        <f t="shared" si="13"/>
        <v>0</v>
      </c>
      <c r="H103" s="649">
        <f t="shared" si="14"/>
        <v>163243</v>
      </c>
      <c r="J103" s="650"/>
      <c r="K103" s="650"/>
      <c r="L103" s="650"/>
    </row>
    <row r="104" spans="2:12" x14ac:dyDescent="0.2">
      <c r="B104" s="647">
        <f t="shared" si="8"/>
        <v>93</v>
      </c>
      <c r="C104" s="648">
        <f t="shared" ca="1" si="9"/>
        <v>45015</v>
      </c>
      <c r="D104" s="649">
        <f t="shared" si="10"/>
        <v>4357059.9799999986</v>
      </c>
      <c r="E104" s="649">
        <f t="shared" si="11"/>
        <v>14523.53</v>
      </c>
      <c r="F104" s="649">
        <f t="shared" si="12"/>
        <v>148719.47</v>
      </c>
      <c r="G104" s="649">
        <f t="shared" si="13"/>
        <v>0</v>
      </c>
      <c r="H104" s="649">
        <f t="shared" si="14"/>
        <v>163243</v>
      </c>
      <c r="J104" s="650"/>
      <c r="K104" s="650"/>
      <c r="L104" s="650"/>
    </row>
    <row r="105" spans="2:12" x14ac:dyDescent="0.2">
      <c r="B105" s="647">
        <f t="shared" si="8"/>
        <v>94</v>
      </c>
      <c r="C105" s="648">
        <f t="shared" ca="1" si="9"/>
        <v>45046</v>
      </c>
      <c r="D105" s="649">
        <f t="shared" si="10"/>
        <v>4208340.5099999988</v>
      </c>
      <c r="E105" s="649">
        <f t="shared" si="11"/>
        <v>14027.8</v>
      </c>
      <c r="F105" s="649">
        <f t="shared" si="12"/>
        <v>149215.20000000001</v>
      </c>
      <c r="G105" s="649">
        <f t="shared" si="13"/>
        <v>0</v>
      </c>
      <c r="H105" s="649">
        <f t="shared" si="14"/>
        <v>163243</v>
      </c>
      <c r="J105" s="650"/>
      <c r="K105" s="650"/>
      <c r="L105" s="650"/>
    </row>
    <row r="106" spans="2:12" x14ac:dyDescent="0.2">
      <c r="B106" s="647">
        <f t="shared" si="8"/>
        <v>95</v>
      </c>
      <c r="C106" s="648">
        <f t="shared" ca="1" si="9"/>
        <v>45076</v>
      </c>
      <c r="D106" s="649">
        <f t="shared" si="10"/>
        <v>4059125.3099999987</v>
      </c>
      <c r="E106" s="649">
        <f t="shared" si="11"/>
        <v>13530.42</v>
      </c>
      <c r="F106" s="649">
        <f t="shared" si="12"/>
        <v>149712.57999999999</v>
      </c>
      <c r="G106" s="649">
        <f t="shared" si="13"/>
        <v>0</v>
      </c>
      <c r="H106" s="649">
        <f t="shared" si="14"/>
        <v>163243</v>
      </c>
      <c r="J106" s="650"/>
      <c r="K106" s="650"/>
      <c r="L106" s="650"/>
    </row>
    <row r="107" spans="2:12" x14ac:dyDescent="0.2">
      <c r="B107" s="647">
        <f t="shared" si="8"/>
        <v>96</v>
      </c>
      <c r="C107" s="648">
        <f t="shared" ca="1" si="9"/>
        <v>45107</v>
      </c>
      <c r="D107" s="649">
        <f t="shared" si="10"/>
        <v>3909412.7299999986</v>
      </c>
      <c r="E107" s="649">
        <f t="shared" si="11"/>
        <v>13031.38</v>
      </c>
      <c r="F107" s="649">
        <f t="shared" si="12"/>
        <v>150211.62</v>
      </c>
      <c r="G107" s="649">
        <f t="shared" si="13"/>
        <v>0</v>
      </c>
      <c r="H107" s="649">
        <f t="shared" si="14"/>
        <v>163243</v>
      </c>
      <c r="J107" s="642">
        <f>D95-D107</f>
        <v>1764084.4800000004</v>
      </c>
      <c r="K107" s="650"/>
      <c r="L107" s="650"/>
    </row>
    <row r="108" spans="2:12" x14ac:dyDescent="0.2">
      <c r="B108" s="651">
        <f t="shared" si="8"/>
        <v>97</v>
      </c>
      <c r="C108" s="652">
        <f t="shared" ca="1" si="9"/>
        <v>45137</v>
      </c>
      <c r="D108" s="653">
        <f t="shared" ref="D108:D131" si="15">IF(ISNUMBER(B108),D107-F107,"")</f>
        <v>3759201.1099999985</v>
      </c>
      <c r="E108" s="653">
        <f t="shared" si="11"/>
        <v>12530.67</v>
      </c>
      <c r="F108" s="653">
        <f t="shared" si="12"/>
        <v>150712.32999999999</v>
      </c>
      <c r="G108" s="653">
        <f t="shared" si="13"/>
        <v>0</v>
      </c>
      <c r="H108" s="653">
        <f t="shared" si="14"/>
        <v>163243</v>
      </c>
      <c r="J108" s="650"/>
      <c r="K108" s="650"/>
      <c r="L108" s="650"/>
    </row>
    <row r="109" spans="2:12" x14ac:dyDescent="0.2">
      <c r="B109" s="651">
        <f t="shared" si="8"/>
        <v>98</v>
      </c>
      <c r="C109" s="652">
        <f t="shared" ca="1" si="9"/>
        <v>45168</v>
      </c>
      <c r="D109" s="653">
        <f t="shared" si="15"/>
        <v>3608488.7799999984</v>
      </c>
      <c r="E109" s="653">
        <f t="shared" si="11"/>
        <v>12028.3</v>
      </c>
      <c r="F109" s="653">
        <f t="shared" si="12"/>
        <v>151214.70000000001</v>
      </c>
      <c r="G109" s="653">
        <f t="shared" si="13"/>
        <v>0</v>
      </c>
      <c r="H109" s="653">
        <f t="shared" si="14"/>
        <v>163243</v>
      </c>
      <c r="J109" s="650"/>
      <c r="K109" s="650"/>
      <c r="L109" s="650"/>
    </row>
    <row r="110" spans="2:12" x14ac:dyDescent="0.2">
      <c r="B110" s="651">
        <f t="shared" si="8"/>
        <v>99</v>
      </c>
      <c r="C110" s="652">
        <f t="shared" ca="1" si="9"/>
        <v>45199</v>
      </c>
      <c r="D110" s="653">
        <f t="shared" si="15"/>
        <v>3457274.0799999982</v>
      </c>
      <c r="E110" s="653">
        <f t="shared" si="11"/>
        <v>11524.25</v>
      </c>
      <c r="F110" s="653">
        <f t="shared" si="12"/>
        <v>151718.75</v>
      </c>
      <c r="G110" s="653">
        <f t="shared" si="13"/>
        <v>0</v>
      </c>
      <c r="H110" s="653">
        <f t="shared" si="14"/>
        <v>163243</v>
      </c>
      <c r="J110" s="650"/>
      <c r="K110" s="650"/>
      <c r="L110" s="650"/>
    </row>
    <row r="111" spans="2:12" x14ac:dyDescent="0.2">
      <c r="B111" s="651">
        <f t="shared" si="8"/>
        <v>100</v>
      </c>
      <c r="C111" s="652">
        <f t="shared" ca="1" si="9"/>
        <v>45229</v>
      </c>
      <c r="D111" s="653">
        <f t="shared" si="15"/>
        <v>3305555.3299999982</v>
      </c>
      <c r="E111" s="653">
        <f t="shared" si="11"/>
        <v>11018.52</v>
      </c>
      <c r="F111" s="653">
        <f t="shared" si="12"/>
        <v>152224.48000000001</v>
      </c>
      <c r="G111" s="653">
        <f t="shared" si="13"/>
        <v>0</v>
      </c>
      <c r="H111" s="653">
        <f t="shared" si="14"/>
        <v>163243</v>
      </c>
      <c r="J111" s="650"/>
      <c r="K111" s="650"/>
      <c r="L111" s="650"/>
    </row>
    <row r="112" spans="2:12" x14ac:dyDescent="0.2">
      <c r="B112" s="651">
        <f t="shared" si="8"/>
        <v>101</v>
      </c>
      <c r="C112" s="652">
        <f t="shared" ca="1" si="9"/>
        <v>45260</v>
      </c>
      <c r="D112" s="653">
        <f t="shared" si="15"/>
        <v>3153330.8499999982</v>
      </c>
      <c r="E112" s="653">
        <f t="shared" si="11"/>
        <v>10511.1</v>
      </c>
      <c r="F112" s="653">
        <f t="shared" si="12"/>
        <v>152731.9</v>
      </c>
      <c r="G112" s="653">
        <f t="shared" si="13"/>
        <v>0</v>
      </c>
      <c r="H112" s="653">
        <f t="shared" si="14"/>
        <v>163243</v>
      </c>
      <c r="J112" s="650"/>
      <c r="K112" s="650"/>
      <c r="L112" s="650"/>
    </row>
    <row r="113" spans="2:12" x14ac:dyDescent="0.2">
      <c r="B113" s="651">
        <f t="shared" si="8"/>
        <v>102</v>
      </c>
      <c r="C113" s="652">
        <f t="shared" ca="1" si="9"/>
        <v>45290</v>
      </c>
      <c r="D113" s="653">
        <f t="shared" si="15"/>
        <v>3000598.9499999983</v>
      </c>
      <c r="E113" s="653">
        <f t="shared" si="11"/>
        <v>10002</v>
      </c>
      <c r="F113" s="653">
        <f t="shared" si="12"/>
        <v>153241</v>
      </c>
      <c r="G113" s="653">
        <f t="shared" si="13"/>
        <v>0</v>
      </c>
      <c r="H113" s="653">
        <f t="shared" si="14"/>
        <v>163243</v>
      </c>
      <c r="J113" s="650"/>
      <c r="K113" s="650"/>
      <c r="L113" s="650"/>
    </row>
    <row r="114" spans="2:12" x14ac:dyDescent="0.2">
      <c r="B114" s="651">
        <f t="shared" si="8"/>
        <v>103</v>
      </c>
      <c r="C114" s="652">
        <f t="shared" ca="1" si="9"/>
        <v>45321</v>
      </c>
      <c r="D114" s="653">
        <f t="shared" si="15"/>
        <v>2847357.9499999983</v>
      </c>
      <c r="E114" s="653">
        <f t="shared" si="11"/>
        <v>9491.19</v>
      </c>
      <c r="F114" s="653">
        <f t="shared" si="12"/>
        <v>153751.81</v>
      </c>
      <c r="G114" s="653">
        <f t="shared" si="13"/>
        <v>0</v>
      </c>
      <c r="H114" s="653">
        <f t="shared" si="14"/>
        <v>163243</v>
      </c>
      <c r="J114" s="650"/>
      <c r="K114" s="650"/>
      <c r="L114" s="650"/>
    </row>
    <row r="115" spans="2:12" x14ac:dyDescent="0.2">
      <c r="B115" s="651">
        <f t="shared" si="8"/>
        <v>104</v>
      </c>
      <c r="C115" s="652">
        <f t="shared" ca="1" si="9"/>
        <v>45351</v>
      </c>
      <c r="D115" s="653">
        <f t="shared" si="15"/>
        <v>2693606.1399999983</v>
      </c>
      <c r="E115" s="653">
        <f t="shared" si="11"/>
        <v>8978.69</v>
      </c>
      <c r="F115" s="653">
        <f t="shared" si="12"/>
        <v>154264.31</v>
      </c>
      <c r="G115" s="653">
        <f t="shared" si="13"/>
        <v>0</v>
      </c>
      <c r="H115" s="653">
        <f t="shared" si="14"/>
        <v>163243</v>
      </c>
      <c r="J115" s="650"/>
      <c r="K115" s="650"/>
      <c r="L115" s="650"/>
    </row>
    <row r="116" spans="2:12" x14ac:dyDescent="0.2">
      <c r="B116" s="651">
        <f t="shared" si="8"/>
        <v>105</v>
      </c>
      <c r="C116" s="652">
        <f t="shared" ca="1" si="9"/>
        <v>45381</v>
      </c>
      <c r="D116" s="653">
        <f t="shared" si="15"/>
        <v>2539341.8299999982</v>
      </c>
      <c r="E116" s="653">
        <f t="shared" si="11"/>
        <v>8464.4699999999993</v>
      </c>
      <c r="F116" s="653">
        <f t="shared" si="12"/>
        <v>154778.53</v>
      </c>
      <c r="G116" s="653">
        <f t="shared" si="13"/>
        <v>0</v>
      </c>
      <c r="H116" s="653">
        <f t="shared" si="14"/>
        <v>163243</v>
      </c>
      <c r="J116" s="650"/>
      <c r="K116" s="650"/>
      <c r="L116" s="650"/>
    </row>
    <row r="117" spans="2:12" x14ac:dyDescent="0.2">
      <c r="B117" s="651">
        <f t="shared" si="8"/>
        <v>106</v>
      </c>
      <c r="C117" s="652">
        <f t="shared" ca="1" si="9"/>
        <v>45412</v>
      </c>
      <c r="D117" s="653">
        <f t="shared" si="15"/>
        <v>2384563.2999999984</v>
      </c>
      <c r="E117" s="653">
        <f t="shared" si="11"/>
        <v>7948.54</v>
      </c>
      <c r="F117" s="653">
        <f t="shared" si="12"/>
        <v>155294.46</v>
      </c>
      <c r="G117" s="653">
        <f t="shared" si="13"/>
        <v>0</v>
      </c>
      <c r="H117" s="653">
        <f t="shared" si="14"/>
        <v>163243</v>
      </c>
      <c r="J117" s="650"/>
      <c r="K117" s="650"/>
      <c r="L117" s="650"/>
    </row>
    <row r="118" spans="2:12" x14ac:dyDescent="0.2">
      <c r="B118" s="651">
        <f t="shared" si="8"/>
        <v>107</v>
      </c>
      <c r="C118" s="652">
        <f t="shared" ca="1" si="9"/>
        <v>45442</v>
      </c>
      <c r="D118" s="653">
        <f t="shared" si="15"/>
        <v>2229268.8399999985</v>
      </c>
      <c r="E118" s="653">
        <f t="shared" si="11"/>
        <v>7430.9</v>
      </c>
      <c r="F118" s="653">
        <f t="shared" si="12"/>
        <v>155812.1</v>
      </c>
      <c r="G118" s="653">
        <f t="shared" si="13"/>
        <v>0</v>
      </c>
      <c r="H118" s="653">
        <f t="shared" si="14"/>
        <v>163243</v>
      </c>
      <c r="J118" s="650"/>
      <c r="K118" s="650"/>
      <c r="L118" s="650"/>
    </row>
    <row r="119" spans="2:12" x14ac:dyDescent="0.2">
      <c r="B119" s="651">
        <f t="shared" si="8"/>
        <v>108</v>
      </c>
      <c r="C119" s="652">
        <f t="shared" ca="1" si="9"/>
        <v>45473</v>
      </c>
      <c r="D119" s="653">
        <f t="shared" si="15"/>
        <v>2073456.7399999984</v>
      </c>
      <c r="E119" s="653">
        <f t="shared" si="11"/>
        <v>6911.52</v>
      </c>
      <c r="F119" s="653">
        <f t="shared" si="12"/>
        <v>156331.48000000001</v>
      </c>
      <c r="G119" s="653">
        <f t="shared" si="13"/>
        <v>0</v>
      </c>
      <c r="H119" s="653">
        <f t="shared" si="14"/>
        <v>163243</v>
      </c>
      <c r="J119" s="642">
        <f>D107-D119</f>
        <v>1835955.9900000002</v>
      </c>
      <c r="K119" s="650"/>
      <c r="L119" s="650"/>
    </row>
    <row r="120" spans="2:12" x14ac:dyDescent="0.2">
      <c r="B120" s="647">
        <f t="shared" si="8"/>
        <v>109</v>
      </c>
      <c r="C120" s="648">
        <f t="shared" ca="1" si="9"/>
        <v>45503</v>
      </c>
      <c r="D120" s="649">
        <f t="shared" si="15"/>
        <v>1917125.2599999984</v>
      </c>
      <c r="E120" s="649">
        <f t="shared" si="11"/>
        <v>6390.42</v>
      </c>
      <c r="F120" s="649">
        <f t="shared" si="12"/>
        <v>156852.57999999999</v>
      </c>
      <c r="G120" s="649">
        <f t="shared" si="13"/>
        <v>0</v>
      </c>
      <c r="H120" s="649">
        <f t="shared" si="14"/>
        <v>163243</v>
      </c>
      <c r="J120" s="650"/>
      <c r="K120" s="650"/>
      <c r="L120" s="650"/>
    </row>
    <row r="121" spans="2:12" x14ac:dyDescent="0.2">
      <c r="B121" s="647">
        <f t="shared" si="8"/>
        <v>110</v>
      </c>
      <c r="C121" s="648">
        <f t="shared" ca="1" si="9"/>
        <v>45534</v>
      </c>
      <c r="D121" s="649">
        <f t="shared" si="15"/>
        <v>1760272.6799999983</v>
      </c>
      <c r="E121" s="649">
        <f t="shared" si="11"/>
        <v>5867.58</v>
      </c>
      <c r="F121" s="649">
        <f t="shared" si="12"/>
        <v>157375.42000000001</v>
      </c>
      <c r="G121" s="649">
        <f t="shared" si="13"/>
        <v>0</v>
      </c>
      <c r="H121" s="649">
        <f t="shared" si="14"/>
        <v>163243</v>
      </c>
      <c r="J121" s="650"/>
      <c r="K121" s="650"/>
      <c r="L121" s="650"/>
    </row>
    <row r="122" spans="2:12" x14ac:dyDescent="0.2">
      <c r="B122" s="647">
        <f t="shared" si="8"/>
        <v>111</v>
      </c>
      <c r="C122" s="648">
        <f t="shared" ca="1" si="9"/>
        <v>45565</v>
      </c>
      <c r="D122" s="649">
        <f t="shared" si="15"/>
        <v>1602897.2599999984</v>
      </c>
      <c r="E122" s="649">
        <f t="shared" si="11"/>
        <v>5342.99</v>
      </c>
      <c r="F122" s="649">
        <f t="shared" si="12"/>
        <v>157900.01</v>
      </c>
      <c r="G122" s="649">
        <f t="shared" si="13"/>
        <v>0</v>
      </c>
      <c r="H122" s="649">
        <f t="shared" si="14"/>
        <v>163243</v>
      </c>
      <c r="J122" s="650"/>
      <c r="K122" s="650"/>
      <c r="L122" s="650"/>
    </row>
    <row r="123" spans="2:12" x14ac:dyDescent="0.2">
      <c r="B123" s="647">
        <f t="shared" si="8"/>
        <v>112</v>
      </c>
      <c r="C123" s="648">
        <f t="shared" ca="1" si="9"/>
        <v>45595</v>
      </c>
      <c r="D123" s="649">
        <f t="shared" si="15"/>
        <v>1444997.2499999984</v>
      </c>
      <c r="E123" s="649">
        <f t="shared" si="11"/>
        <v>4816.66</v>
      </c>
      <c r="F123" s="649">
        <f t="shared" si="12"/>
        <v>158426.34</v>
      </c>
      <c r="G123" s="649">
        <f t="shared" si="13"/>
        <v>0</v>
      </c>
      <c r="H123" s="649">
        <f t="shared" si="14"/>
        <v>163243</v>
      </c>
      <c r="J123" s="650"/>
      <c r="K123" s="650"/>
      <c r="L123" s="650"/>
    </row>
    <row r="124" spans="2:12" x14ac:dyDescent="0.2">
      <c r="B124" s="647">
        <f t="shared" si="8"/>
        <v>113</v>
      </c>
      <c r="C124" s="648">
        <f t="shared" ca="1" si="9"/>
        <v>45626</v>
      </c>
      <c r="D124" s="649">
        <f t="shared" si="15"/>
        <v>1286570.9099999983</v>
      </c>
      <c r="E124" s="649">
        <f t="shared" si="11"/>
        <v>4288.57</v>
      </c>
      <c r="F124" s="649">
        <f t="shared" si="12"/>
        <v>158954.43</v>
      </c>
      <c r="G124" s="649">
        <f t="shared" si="13"/>
        <v>0</v>
      </c>
      <c r="H124" s="649">
        <f t="shared" si="14"/>
        <v>163243</v>
      </c>
      <c r="J124" s="650"/>
      <c r="K124" s="650"/>
      <c r="L124" s="650"/>
    </row>
    <row r="125" spans="2:12" x14ac:dyDescent="0.2">
      <c r="B125" s="647">
        <f t="shared" si="8"/>
        <v>114</v>
      </c>
      <c r="C125" s="648">
        <f t="shared" ca="1" si="9"/>
        <v>45656</v>
      </c>
      <c r="D125" s="649">
        <f t="shared" si="15"/>
        <v>1127616.4799999984</v>
      </c>
      <c r="E125" s="649">
        <f t="shared" si="11"/>
        <v>3758.72</v>
      </c>
      <c r="F125" s="649">
        <f t="shared" si="12"/>
        <v>159484.28</v>
      </c>
      <c r="G125" s="649">
        <f t="shared" si="13"/>
        <v>0</v>
      </c>
      <c r="H125" s="649">
        <f t="shared" si="14"/>
        <v>163243</v>
      </c>
      <c r="J125" s="650"/>
      <c r="K125" s="650"/>
      <c r="L125" s="650"/>
    </row>
    <row r="126" spans="2:12" x14ac:dyDescent="0.2">
      <c r="B126" s="647">
        <f t="shared" si="8"/>
        <v>115</v>
      </c>
      <c r="C126" s="648">
        <f t="shared" ca="1" si="9"/>
        <v>45687</v>
      </c>
      <c r="D126" s="649">
        <f t="shared" si="15"/>
        <v>968132.19999999832</v>
      </c>
      <c r="E126" s="649">
        <f t="shared" si="11"/>
        <v>3227.11</v>
      </c>
      <c r="F126" s="649">
        <f t="shared" si="12"/>
        <v>160015.89000000001</v>
      </c>
      <c r="G126" s="649">
        <f t="shared" si="13"/>
        <v>0</v>
      </c>
      <c r="H126" s="649">
        <f t="shared" si="14"/>
        <v>163243</v>
      </c>
      <c r="J126" s="650"/>
      <c r="K126" s="650"/>
      <c r="L126" s="650"/>
    </row>
    <row r="127" spans="2:12" x14ac:dyDescent="0.2">
      <c r="B127" s="647">
        <f t="shared" si="8"/>
        <v>116</v>
      </c>
      <c r="C127" s="648">
        <f t="shared" ca="1" si="9"/>
        <v>45716</v>
      </c>
      <c r="D127" s="649">
        <f t="shared" si="15"/>
        <v>808116.30999999831</v>
      </c>
      <c r="E127" s="649">
        <f t="shared" si="11"/>
        <v>2693.72</v>
      </c>
      <c r="F127" s="649">
        <f t="shared" si="12"/>
        <v>160549.28</v>
      </c>
      <c r="G127" s="649">
        <f t="shared" si="13"/>
        <v>0</v>
      </c>
      <c r="H127" s="649">
        <f t="shared" si="14"/>
        <v>163243</v>
      </c>
      <c r="J127" s="650"/>
      <c r="K127" s="650"/>
      <c r="L127" s="650"/>
    </row>
    <row r="128" spans="2:12" x14ac:dyDescent="0.2">
      <c r="B128" s="647">
        <f t="shared" si="8"/>
        <v>117</v>
      </c>
      <c r="C128" s="648">
        <f t="shared" ca="1" si="9"/>
        <v>45746</v>
      </c>
      <c r="D128" s="649">
        <f t="shared" si="15"/>
        <v>647567.02999999828</v>
      </c>
      <c r="E128" s="649">
        <f t="shared" si="11"/>
        <v>2158.56</v>
      </c>
      <c r="F128" s="649">
        <f t="shared" si="12"/>
        <v>161084.44</v>
      </c>
      <c r="G128" s="649">
        <f t="shared" si="13"/>
        <v>0</v>
      </c>
      <c r="H128" s="649">
        <f t="shared" si="14"/>
        <v>163243</v>
      </c>
      <c r="J128" s="650"/>
      <c r="K128" s="650"/>
      <c r="L128" s="650"/>
    </row>
    <row r="129" spans="2:12" x14ac:dyDescent="0.2">
      <c r="B129" s="647">
        <f t="shared" si="8"/>
        <v>118</v>
      </c>
      <c r="C129" s="648">
        <f t="shared" ca="1" si="9"/>
        <v>45777</v>
      </c>
      <c r="D129" s="649">
        <f t="shared" si="15"/>
        <v>486482.58999999828</v>
      </c>
      <c r="E129" s="649">
        <f t="shared" si="11"/>
        <v>1621.61</v>
      </c>
      <c r="F129" s="649">
        <f t="shared" si="12"/>
        <v>161621.39000000001</v>
      </c>
      <c r="G129" s="649">
        <f t="shared" si="13"/>
        <v>0</v>
      </c>
      <c r="H129" s="649">
        <f t="shared" si="14"/>
        <v>163243</v>
      </c>
      <c r="J129" s="650"/>
      <c r="K129" s="650"/>
      <c r="L129" s="650"/>
    </row>
    <row r="130" spans="2:12" x14ac:dyDescent="0.2">
      <c r="B130" s="647">
        <f t="shared" si="8"/>
        <v>119</v>
      </c>
      <c r="C130" s="648">
        <f t="shared" ca="1" si="9"/>
        <v>45807</v>
      </c>
      <c r="D130" s="649">
        <f t="shared" si="15"/>
        <v>324861.19999999827</v>
      </c>
      <c r="E130" s="649">
        <f t="shared" si="11"/>
        <v>1082.8699999999999</v>
      </c>
      <c r="F130" s="649">
        <f t="shared" si="12"/>
        <v>162160.13</v>
      </c>
      <c r="G130" s="649">
        <f t="shared" si="13"/>
        <v>0</v>
      </c>
      <c r="H130" s="649">
        <f t="shared" si="14"/>
        <v>163243</v>
      </c>
      <c r="J130" s="650"/>
      <c r="K130" s="650"/>
      <c r="L130" s="650"/>
    </row>
    <row r="131" spans="2:12" x14ac:dyDescent="0.2">
      <c r="B131" s="647">
        <f t="shared" si="8"/>
        <v>120</v>
      </c>
      <c r="C131" s="648">
        <f t="shared" ca="1" si="9"/>
        <v>45838</v>
      </c>
      <c r="D131" s="649">
        <f t="shared" si="15"/>
        <v>162701.06999999826</v>
      </c>
      <c r="E131" s="649">
        <f t="shared" si="11"/>
        <v>542.34</v>
      </c>
      <c r="F131" s="649">
        <f t="shared" si="12"/>
        <v>162701.06999999826</v>
      </c>
      <c r="G131" s="649">
        <f t="shared" si="13"/>
        <v>0</v>
      </c>
      <c r="H131" s="649">
        <f t="shared" si="14"/>
        <v>163243.40999999826</v>
      </c>
      <c r="J131" s="642">
        <f>D119</f>
        <v>2073456.7399999984</v>
      </c>
      <c r="K131" s="650"/>
      <c r="L131" s="650"/>
    </row>
    <row r="132" spans="2:12" x14ac:dyDescent="0.2">
      <c r="B132" s="660" t="str">
        <f t="shared" si="8"/>
        <v>-</v>
      </c>
      <c r="C132" s="661" t="str">
        <f t="shared" si="9"/>
        <v/>
      </c>
      <c r="D132" s="650"/>
      <c r="E132" s="650" t="str">
        <f t="shared" si="11"/>
        <v/>
      </c>
      <c r="F132" s="650" t="str">
        <f t="shared" si="12"/>
        <v/>
      </c>
      <c r="G132" s="650" t="str">
        <f t="shared" si="13"/>
        <v/>
      </c>
      <c r="H132" s="650" t="str">
        <f t="shared" si="14"/>
        <v/>
      </c>
      <c r="J132" s="650"/>
      <c r="K132" s="650"/>
      <c r="L132" s="650"/>
    </row>
    <row r="133" spans="2:12" x14ac:dyDescent="0.2">
      <c r="B133" s="660" t="str">
        <f t="shared" si="8"/>
        <v>-</v>
      </c>
      <c r="C133" s="661" t="str">
        <f t="shared" si="9"/>
        <v/>
      </c>
      <c r="D133" s="650"/>
      <c r="E133" s="650">
        <f>SUM(E11:E131)</f>
        <v>3350369.3100000005</v>
      </c>
      <c r="F133" s="650" t="str">
        <f t="shared" si="12"/>
        <v/>
      </c>
      <c r="G133" s="650" t="str">
        <f t="shared" si="13"/>
        <v/>
      </c>
      <c r="H133" s="650" t="str">
        <f t="shared" si="14"/>
        <v/>
      </c>
      <c r="J133" s="650"/>
      <c r="K133" s="650"/>
      <c r="L133" s="650"/>
    </row>
    <row r="134" spans="2:12" x14ac:dyDescent="0.2">
      <c r="B134" s="660" t="str">
        <f t="shared" si="8"/>
        <v>-</v>
      </c>
      <c r="C134" s="661" t="str">
        <f t="shared" si="9"/>
        <v/>
      </c>
      <c r="D134" s="650" t="str">
        <f t="shared" ref="D134:D197" si="16">IF(ISNUMBER(B134),D133-F133,"")</f>
        <v/>
      </c>
      <c r="E134" s="650" t="str">
        <f t="shared" si="11"/>
        <v/>
      </c>
      <c r="F134" s="650" t="str">
        <f t="shared" si="12"/>
        <v/>
      </c>
      <c r="G134" s="650" t="str">
        <f t="shared" si="13"/>
        <v/>
      </c>
      <c r="H134" s="650" t="str">
        <f t="shared" si="14"/>
        <v/>
      </c>
      <c r="J134" s="650"/>
      <c r="K134" s="650"/>
      <c r="L134" s="650"/>
    </row>
    <row r="135" spans="2:12" x14ac:dyDescent="0.2">
      <c r="B135" s="660" t="str">
        <f t="shared" si="8"/>
        <v>-</v>
      </c>
      <c r="C135" s="661" t="str">
        <f t="shared" si="9"/>
        <v/>
      </c>
      <c r="D135" s="650" t="str">
        <f t="shared" si="16"/>
        <v/>
      </c>
      <c r="E135" s="650" t="str">
        <f t="shared" si="11"/>
        <v/>
      </c>
      <c r="F135" s="650" t="str">
        <f t="shared" si="12"/>
        <v/>
      </c>
      <c r="G135" s="650" t="str">
        <f t="shared" si="13"/>
        <v/>
      </c>
      <c r="H135" s="650" t="str">
        <f t="shared" si="14"/>
        <v/>
      </c>
      <c r="J135" s="650"/>
      <c r="K135" s="650"/>
      <c r="L135" s="650"/>
    </row>
    <row r="136" spans="2:12" x14ac:dyDescent="0.2">
      <c r="B136" s="660" t="str">
        <f t="shared" si="8"/>
        <v>-</v>
      </c>
      <c r="C136" s="661" t="str">
        <f t="shared" si="9"/>
        <v/>
      </c>
      <c r="D136" s="650" t="str">
        <f t="shared" si="16"/>
        <v/>
      </c>
      <c r="E136" s="650" t="str">
        <f t="shared" si="11"/>
        <v/>
      </c>
      <c r="F136" s="650" t="str">
        <f t="shared" si="12"/>
        <v/>
      </c>
      <c r="G136" s="650" t="str">
        <f t="shared" si="13"/>
        <v/>
      </c>
      <c r="H136" s="650" t="str">
        <f t="shared" si="14"/>
        <v/>
      </c>
      <c r="J136" s="650"/>
      <c r="K136" s="650"/>
      <c r="L136" s="650"/>
    </row>
    <row r="137" spans="2:12" x14ac:dyDescent="0.2">
      <c r="B137" s="660" t="str">
        <f t="shared" si="8"/>
        <v>-</v>
      </c>
      <c r="C137" s="661" t="str">
        <f t="shared" si="9"/>
        <v/>
      </c>
      <c r="D137" s="650" t="str">
        <f t="shared" si="16"/>
        <v/>
      </c>
      <c r="E137" s="650" t="str">
        <f t="shared" si="11"/>
        <v/>
      </c>
      <c r="F137" s="650" t="str">
        <f t="shared" si="12"/>
        <v/>
      </c>
      <c r="G137" s="650" t="str">
        <f t="shared" si="13"/>
        <v/>
      </c>
      <c r="H137" s="650" t="str">
        <f t="shared" si="14"/>
        <v/>
      </c>
      <c r="J137" s="650"/>
      <c r="K137" s="650"/>
      <c r="L137" s="650"/>
    </row>
    <row r="138" spans="2:12" x14ac:dyDescent="0.2">
      <c r="B138" s="660" t="str">
        <f t="shared" si="8"/>
        <v>-</v>
      </c>
      <c r="C138" s="661" t="str">
        <f t="shared" si="9"/>
        <v/>
      </c>
      <c r="D138" s="650" t="str">
        <f t="shared" si="16"/>
        <v/>
      </c>
      <c r="E138" s="650" t="str">
        <f t="shared" si="11"/>
        <v/>
      </c>
      <c r="F138" s="650" t="str">
        <f t="shared" si="12"/>
        <v/>
      </c>
      <c r="G138" s="650" t="str">
        <f t="shared" si="13"/>
        <v/>
      </c>
      <c r="H138" s="650" t="str">
        <f t="shared" si="14"/>
        <v/>
      </c>
      <c r="J138" s="650"/>
      <c r="K138" s="650"/>
      <c r="L138" s="650"/>
    </row>
    <row r="139" spans="2:12" x14ac:dyDescent="0.2">
      <c r="B139" s="660" t="str">
        <f t="shared" si="8"/>
        <v>-</v>
      </c>
      <c r="C139" s="661" t="str">
        <f t="shared" si="9"/>
        <v/>
      </c>
      <c r="D139" s="650" t="str">
        <f t="shared" si="16"/>
        <v/>
      </c>
      <c r="E139" s="650" t="str">
        <f t="shared" si="11"/>
        <v/>
      </c>
      <c r="F139" s="650" t="str">
        <f t="shared" si="12"/>
        <v/>
      </c>
      <c r="G139" s="650" t="str">
        <f t="shared" si="13"/>
        <v/>
      </c>
      <c r="H139" s="650" t="str">
        <f t="shared" si="14"/>
        <v/>
      </c>
      <c r="J139" s="650"/>
      <c r="K139" s="650"/>
      <c r="L139" s="650"/>
    </row>
    <row r="140" spans="2:12" x14ac:dyDescent="0.2">
      <c r="B140" s="660" t="str">
        <f t="shared" ref="B140:B203" si="17">IF(B139&lt;$L$3,B139+1,"-")</f>
        <v>-</v>
      </c>
      <c r="C140" s="661" t="str">
        <f t="shared" ref="C140:C203" si="18">IF(ISNUMBER(B140),MIN(DATE(YEAR($C$11),MONTH($C$11)+B140*12/$P$5,DAY($C$11)),DATE(YEAR($C$11),MONTH($C$11)+1+B140*12/$P$5,1)-1),"")</f>
        <v/>
      </c>
      <c r="D140" s="650" t="str">
        <f t="shared" si="16"/>
        <v/>
      </c>
      <c r="E140" s="650" t="str">
        <f t="shared" ref="E140:E203" si="19">IF(ISNUMBER(B140),ROUND(D140*$L$7,$R$6),"")</f>
        <v/>
      </c>
      <c r="F140" s="650" t="str">
        <f t="shared" ref="F140:F203" si="20">IF(ISNUMBER(B140),IF(B140=$L$3,D140,IF(B140&gt;$L$4,$H$3-E140,0)),"")</f>
        <v/>
      </c>
      <c r="G140" s="650" t="str">
        <f t="shared" ref="G140:G203" si="21">IF(ISNUMBER(B140),$H$4,"")</f>
        <v/>
      </c>
      <c r="H140" s="650" t="str">
        <f t="shared" ref="H140:H203" si="22">IF(ISNUMBER(B140),E140+F140+G140,"")</f>
        <v/>
      </c>
      <c r="J140" s="650"/>
      <c r="K140" s="650"/>
      <c r="L140" s="650"/>
    </row>
    <row r="141" spans="2:12" x14ac:dyDescent="0.2">
      <c r="B141" s="660" t="str">
        <f t="shared" si="17"/>
        <v>-</v>
      </c>
      <c r="C141" s="661" t="str">
        <f t="shared" si="18"/>
        <v/>
      </c>
      <c r="D141" s="650" t="str">
        <f t="shared" si="16"/>
        <v/>
      </c>
      <c r="E141" s="650" t="str">
        <f t="shared" si="19"/>
        <v/>
      </c>
      <c r="F141" s="650" t="str">
        <f t="shared" si="20"/>
        <v/>
      </c>
      <c r="G141" s="650" t="str">
        <f t="shared" si="21"/>
        <v/>
      </c>
      <c r="H141" s="650" t="str">
        <f t="shared" si="22"/>
        <v/>
      </c>
      <c r="J141" s="650"/>
      <c r="K141" s="650"/>
      <c r="L141" s="650"/>
    </row>
    <row r="142" spans="2:12" x14ac:dyDescent="0.2">
      <c r="B142" s="660" t="str">
        <f t="shared" si="17"/>
        <v>-</v>
      </c>
      <c r="C142" s="661" t="str">
        <f t="shared" si="18"/>
        <v/>
      </c>
      <c r="D142" s="650" t="str">
        <f t="shared" si="16"/>
        <v/>
      </c>
      <c r="E142" s="650" t="str">
        <f t="shared" si="19"/>
        <v/>
      </c>
      <c r="F142" s="650" t="str">
        <f t="shared" si="20"/>
        <v/>
      </c>
      <c r="G142" s="650" t="str">
        <f t="shared" si="21"/>
        <v/>
      </c>
      <c r="H142" s="650" t="str">
        <f t="shared" si="22"/>
        <v/>
      </c>
      <c r="J142" s="650"/>
      <c r="K142" s="650"/>
      <c r="L142" s="650"/>
    </row>
    <row r="143" spans="2:12" x14ac:dyDescent="0.2">
      <c r="B143" s="660" t="str">
        <f t="shared" si="17"/>
        <v>-</v>
      </c>
      <c r="C143" s="661" t="str">
        <f t="shared" si="18"/>
        <v/>
      </c>
      <c r="D143" s="650" t="str">
        <f t="shared" si="16"/>
        <v/>
      </c>
      <c r="E143" s="650" t="str">
        <f t="shared" si="19"/>
        <v/>
      </c>
      <c r="F143" s="650" t="str">
        <f t="shared" si="20"/>
        <v/>
      </c>
      <c r="G143" s="650" t="str">
        <f t="shared" si="21"/>
        <v/>
      </c>
      <c r="H143" s="650" t="str">
        <f t="shared" si="22"/>
        <v/>
      </c>
      <c r="J143" s="650"/>
      <c r="K143" s="650"/>
      <c r="L143" s="650"/>
    </row>
    <row r="144" spans="2:12" x14ac:dyDescent="0.2">
      <c r="B144" s="660" t="str">
        <f t="shared" si="17"/>
        <v>-</v>
      </c>
      <c r="C144" s="661" t="str">
        <f t="shared" si="18"/>
        <v/>
      </c>
      <c r="D144" s="650" t="str">
        <f t="shared" si="16"/>
        <v/>
      </c>
      <c r="E144" s="650" t="str">
        <f t="shared" si="19"/>
        <v/>
      </c>
      <c r="F144" s="650" t="str">
        <f t="shared" si="20"/>
        <v/>
      </c>
      <c r="G144" s="650" t="str">
        <f t="shared" si="21"/>
        <v/>
      </c>
      <c r="H144" s="650" t="str">
        <f t="shared" si="22"/>
        <v/>
      </c>
      <c r="J144" s="650"/>
      <c r="K144" s="650"/>
      <c r="L144" s="650"/>
    </row>
    <row r="145" spans="2:12" x14ac:dyDescent="0.2">
      <c r="B145" s="660" t="str">
        <f t="shared" si="17"/>
        <v>-</v>
      </c>
      <c r="C145" s="661" t="str">
        <f t="shared" si="18"/>
        <v/>
      </c>
      <c r="D145" s="650" t="str">
        <f t="shared" si="16"/>
        <v/>
      </c>
      <c r="E145" s="650" t="str">
        <f t="shared" si="19"/>
        <v/>
      </c>
      <c r="F145" s="650" t="str">
        <f t="shared" si="20"/>
        <v/>
      </c>
      <c r="G145" s="650" t="str">
        <f t="shared" si="21"/>
        <v/>
      </c>
      <c r="H145" s="650" t="str">
        <f t="shared" si="22"/>
        <v/>
      </c>
      <c r="J145" s="650"/>
      <c r="K145" s="650"/>
      <c r="L145" s="650"/>
    </row>
    <row r="146" spans="2:12" x14ac:dyDescent="0.2">
      <c r="B146" s="660" t="str">
        <f t="shared" si="17"/>
        <v>-</v>
      </c>
      <c r="C146" s="661" t="str">
        <f t="shared" si="18"/>
        <v/>
      </c>
      <c r="D146" s="650" t="str">
        <f t="shared" si="16"/>
        <v/>
      </c>
      <c r="E146" s="650" t="str">
        <f t="shared" si="19"/>
        <v/>
      </c>
      <c r="F146" s="650" t="str">
        <f t="shared" si="20"/>
        <v/>
      </c>
      <c r="G146" s="650" t="str">
        <f t="shared" si="21"/>
        <v/>
      </c>
      <c r="H146" s="650" t="str">
        <f t="shared" si="22"/>
        <v/>
      </c>
      <c r="J146" s="650"/>
      <c r="K146" s="650"/>
      <c r="L146" s="650"/>
    </row>
    <row r="147" spans="2:12" x14ac:dyDescent="0.2">
      <c r="B147" s="660" t="str">
        <f t="shared" si="17"/>
        <v>-</v>
      </c>
      <c r="C147" s="661" t="str">
        <f t="shared" si="18"/>
        <v/>
      </c>
      <c r="D147" s="650" t="str">
        <f t="shared" si="16"/>
        <v/>
      </c>
      <c r="E147" s="650" t="str">
        <f t="shared" si="19"/>
        <v/>
      </c>
      <c r="F147" s="650" t="str">
        <f t="shared" si="20"/>
        <v/>
      </c>
      <c r="G147" s="650" t="str">
        <f t="shared" si="21"/>
        <v/>
      </c>
      <c r="H147" s="650" t="str">
        <f t="shared" si="22"/>
        <v/>
      </c>
      <c r="J147" s="650"/>
      <c r="K147" s="650"/>
      <c r="L147" s="650"/>
    </row>
    <row r="148" spans="2:12" x14ac:dyDescent="0.2">
      <c r="B148" s="660" t="str">
        <f t="shared" si="17"/>
        <v>-</v>
      </c>
      <c r="C148" s="661" t="str">
        <f t="shared" si="18"/>
        <v/>
      </c>
      <c r="D148" s="650" t="str">
        <f t="shared" si="16"/>
        <v/>
      </c>
      <c r="E148" s="650" t="str">
        <f t="shared" si="19"/>
        <v/>
      </c>
      <c r="F148" s="650" t="str">
        <f t="shared" si="20"/>
        <v/>
      </c>
      <c r="G148" s="650" t="str">
        <f t="shared" si="21"/>
        <v/>
      </c>
      <c r="H148" s="650" t="str">
        <f t="shared" si="22"/>
        <v/>
      </c>
      <c r="J148" s="650"/>
      <c r="K148" s="650"/>
      <c r="L148" s="650"/>
    </row>
    <row r="149" spans="2:12" x14ac:dyDescent="0.2">
      <c r="B149" s="660" t="str">
        <f t="shared" si="17"/>
        <v>-</v>
      </c>
      <c r="C149" s="661" t="str">
        <f t="shared" si="18"/>
        <v/>
      </c>
      <c r="D149" s="650" t="str">
        <f t="shared" si="16"/>
        <v/>
      </c>
      <c r="E149" s="650" t="str">
        <f t="shared" si="19"/>
        <v/>
      </c>
      <c r="F149" s="650" t="str">
        <f t="shared" si="20"/>
        <v/>
      </c>
      <c r="G149" s="650" t="str">
        <f t="shared" si="21"/>
        <v/>
      </c>
      <c r="H149" s="650" t="str">
        <f t="shared" si="22"/>
        <v/>
      </c>
      <c r="J149" s="650"/>
      <c r="K149" s="650"/>
      <c r="L149" s="650"/>
    </row>
    <row r="150" spans="2:12" x14ac:dyDescent="0.2">
      <c r="B150" s="660" t="str">
        <f t="shared" si="17"/>
        <v>-</v>
      </c>
      <c r="C150" s="661" t="str">
        <f t="shared" si="18"/>
        <v/>
      </c>
      <c r="D150" s="650" t="str">
        <f t="shared" si="16"/>
        <v/>
      </c>
      <c r="E150" s="650" t="str">
        <f t="shared" si="19"/>
        <v/>
      </c>
      <c r="F150" s="650" t="str">
        <f t="shared" si="20"/>
        <v/>
      </c>
      <c r="G150" s="650" t="str">
        <f t="shared" si="21"/>
        <v/>
      </c>
      <c r="H150" s="650" t="str">
        <f t="shared" si="22"/>
        <v/>
      </c>
      <c r="J150" s="650"/>
      <c r="K150" s="650"/>
      <c r="L150" s="650"/>
    </row>
    <row r="151" spans="2:12" x14ac:dyDescent="0.2">
      <c r="B151" s="660" t="str">
        <f t="shared" si="17"/>
        <v>-</v>
      </c>
      <c r="C151" s="661" t="str">
        <f t="shared" si="18"/>
        <v/>
      </c>
      <c r="D151" s="650" t="str">
        <f t="shared" si="16"/>
        <v/>
      </c>
      <c r="E151" s="650" t="str">
        <f t="shared" si="19"/>
        <v/>
      </c>
      <c r="F151" s="650" t="str">
        <f t="shared" si="20"/>
        <v/>
      </c>
      <c r="G151" s="650" t="str">
        <f t="shared" si="21"/>
        <v/>
      </c>
      <c r="H151" s="650" t="str">
        <f t="shared" si="22"/>
        <v/>
      </c>
      <c r="J151" s="650"/>
      <c r="K151" s="650"/>
      <c r="L151" s="650"/>
    </row>
    <row r="152" spans="2:12" x14ac:dyDescent="0.2">
      <c r="B152" s="660" t="str">
        <f t="shared" si="17"/>
        <v>-</v>
      </c>
      <c r="C152" s="661" t="str">
        <f t="shared" si="18"/>
        <v/>
      </c>
      <c r="D152" s="650" t="str">
        <f t="shared" si="16"/>
        <v/>
      </c>
      <c r="E152" s="650" t="str">
        <f t="shared" si="19"/>
        <v/>
      </c>
      <c r="F152" s="650" t="str">
        <f t="shared" si="20"/>
        <v/>
      </c>
      <c r="G152" s="650" t="str">
        <f t="shared" si="21"/>
        <v/>
      </c>
      <c r="H152" s="650" t="str">
        <f t="shared" si="22"/>
        <v/>
      </c>
      <c r="J152" s="650"/>
      <c r="K152" s="650"/>
      <c r="L152" s="650"/>
    </row>
    <row r="153" spans="2:12" x14ac:dyDescent="0.2">
      <c r="B153" s="660" t="str">
        <f t="shared" si="17"/>
        <v>-</v>
      </c>
      <c r="C153" s="661" t="str">
        <f t="shared" si="18"/>
        <v/>
      </c>
      <c r="D153" s="650" t="str">
        <f t="shared" si="16"/>
        <v/>
      </c>
      <c r="E153" s="650" t="str">
        <f t="shared" si="19"/>
        <v/>
      </c>
      <c r="F153" s="650" t="str">
        <f t="shared" si="20"/>
        <v/>
      </c>
      <c r="G153" s="650" t="str">
        <f t="shared" si="21"/>
        <v/>
      </c>
      <c r="H153" s="650" t="str">
        <f t="shared" si="22"/>
        <v/>
      </c>
      <c r="J153" s="650"/>
      <c r="K153" s="650"/>
      <c r="L153" s="650"/>
    </row>
    <row r="154" spans="2:12" x14ac:dyDescent="0.2">
      <c r="B154" s="660" t="str">
        <f t="shared" si="17"/>
        <v>-</v>
      </c>
      <c r="C154" s="661" t="str">
        <f t="shared" si="18"/>
        <v/>
      </c>
      <c r="D154" s="650" t="str">
        <f t="shared" si="16"/>
        <v/>
      </c>
      <c r="E154" s="650" t="str">
        <f t="shared" si="19"/>
        <v/>
      </c>
      <c r="F154" s="650" t="str">
        <f t="shared" si="20"/>
        <v/>
      </c>
      <c r="G154" s="650" t="str">
        <f t="shared" si="21"/>
        <v/>
      </c>
      <c r="H154" s="650" t="str">
        <f t="shared" si="22"/>
        <v/>
      </c>
      <c r="J154" s="650"/>
      <c r="K154" s="650"/>
      <c r="L154" s="650"/>
    </row>
    <row r="155" spans="2:12" x14ac:dyDescent="0.2">
      <c r="B155" s="660" t="str">
        <f t="shared" si="17"/>
        <v>-</v>
      </c>
      <c r="C155" s="661" t="str">
        <f t="shared" si="18"/>
        <v/>
      </c>
      <c r="D155" s="650" t="str">
        <f t="shared" si="16"/>
        <v/>
      </c>
      <c r="E155" s="650" t="str">
        <f t="shared" si="19"/>
        <v/>
      </c>
      <c r="F155" s="650" t="str">
        <f t="shared" si="20"/>
        <v/>
      </c>
      <c r="G155" s="650" t="str">
        <f t="shared" si="21"/>
        <v/>
      </c>
      <c r="H155" s="650" t="str">
        <f t="shared" si="22"/>
        <v/>
      </c>
      <c r="J155" s="650"/>
      <c r="K155" s="650"/>
      <c r="L155" s="650"/>
    </row>
    <row r="156" spans="2:12" x14ac:dyDescent="0.2">
      <c r="B156" s="660" t="str">
        <f t="shared" si="17"/>
        <v>-</v>
      </c>
      <c r="C156" s="661" t="str">
        <f t="shared" si="18"/>
        <v/>
      </c>
      <c r="D156" s="650" t="str">
        <f t="shared" si="16"/>
        <v/>
      </c>
      <c r="E156" s="650" t="str">
        <f t="shared" si="19"/>
        <v/>
      </c>
      <c r="F156" s="650" t="str">
        <f t="shared" si="20"/>
        <v/>
      </c>
      <c r="G156" s="650" t="str">
        <f t="shared" si="21"/>
        <v/>
      </c>
      <c r="H156" s="650" t="str">
        <f t="shared" si="22"/>
        <v/>
      </c>
      <c r="J156" s="650"/>
      <c r="K156" s="650"/>
      <c r="L156" s="650"/>
    </row>
    <row r="157" spans="2:12" x14ac:dyDescent="0.2">
      <c r="B157" s="660" t="str">
        <f t="shared" si="17"/>
        <v>-</v>
      </c>
      <c r="C157" s="661" t="str">
        <f t="shared" si="18"/>
        <v/>
      </c>
      <c r="D157" s="650" t="str">
        <f t="shared" si="16"/>
        <v/>
      </c>
      <c r="E157" s="650" t="str">
        <f t="shared" si="19"/>
        <v/>
      </c>
      <c r="F157" s="650" t="str">
        <f t="shared" si="20"/>
        <v/>
      </c>
      <c r="G157" s="650" t="str">
        <f t="shared" si="21"/>
        <v/>
      </c>
      <c r="H157" s="650" t="str">
        <f t="shared" si="22"/>
        <v/>
      </c>
      <c r="J157" s="650"/>
      <c r="K157" s="650"/>
      <c r="L157" s="650"/>
    </row>
    <row r="158" spans="2:12" x14ac:dyDescent="0.2">
      <c r="B158" s="660" t="str">
        <f t="shared" si="17"/>
        <v>-</v>
      </c>
      <c r="C158" s="661" t="str">
        <f t="shared" si="18"/>
        <v/>
      </c>
      <c r="D158" s="650" t="str">
        <f t="shared" si="16"/>
        <v/>
      </c>
      <c r="E158" s="650" t="str">
        <f t="shared" si="19"/>
        <v/>
      </c>
      <c r="F158" s="650" t="str">
        <f t="shared" si="20"/>
        <v/>
      </c>
      <c r="G158" s="650" t="str">
        <f t="shared" si="21"/>
        <v/>
      </c>
      <c r="H158" s="650" t="str">
        <f t="shared" si="22"/>
        <v/>
      </c>
      <c r="J158" s="650"/>
      <c r="K158" s="650"/>
      <c r="L158" s="650"/>
    </row>
    <row r="159" spans="2:12" x14ac:dyDescent="0.2">
      <c r="B159" s="660" t="str">
        <f t="shared" si="17"/>
        <v>-</v>
      </c>
      <c r="C159" s="661" t="str">
        <f t="shared" si="18"/>
        <v/>
      </c>
      <c r="D159" s="650" t="str">
        <f t="shared" si="16"/>
        <v/>
      </c>
      <c r="E159" s="650" t="str">
        <f t="shared" si="19"/>
        <v/>
      </c>
      <c r="F159" s="650" t="str">
        <f t="shared" si="20"/>
        <v/>
      </c>
      <c r="G159" s="650" t="str">
        <f t="shared" si="21"/>
        <v/>
      </c>
      <c r="H159" s="650" t="str">
        <f t="shared" si="22"/>
        <v/>
      </c>
      <c r="J159" s="650"/>
      <c r="K159" s="650"/>
      <c r="L159" s="650"/>
    </row>
    <row r="160" spans="2:12" x14ac:dyDescent="0.2">
      <c r="B160" s="660" t="str">
        <f t="shared" si="17"/>
        <v>-</v>
      </c>
      <c r="C160" s="661" t="str">
        <f t="shared" si="18"/>
        <v/>
      </c>
      <c r="D160" s="650" t="str">
        <f t="shared" si="16"/>
        <v/>
      </c>
      <c r="E160" s="650" t="str">
        <f t="shared" si="19"/>
        <v/>
      </c>
      <c r="F160" s="650" t="str">
        <f t="shared" si="20"/>
        <v/>
      </c>
      <c r="G160" s="650" t="str">
        <f t="shared" si="21"/>
        <v/>
      </c>
      <c r="H160" s="650" t="str">
        <f t="shared" si="22"/>
        <v/>
      </c>
      <c r="J160" s="650"/>
      <c r="K160" s="650"/>
      <c r="L160" s="650"/>
    </row>
    <row r="161" spans="2:12" x14ac:dyDescent="0.2">
      <c r="B161" s="660" t="str">
        <f t="shared" si="17"/>
        <v>-</v>
      </c>
      <c r="C161" s="661" t="str">
        <f t="shared" si="18"/>
        <v/>
      </c>
      <c r="D161" s="650" t="str">
        <f t="shared" si="16"/>
        <v/>
      </c>
      <c r="E161" s="650" t="str">
        <f t="shared" si="19"/>
        <v/>
      </c>
      <c r="F161" s="650" t="str">
        <f t="shared" si="20"/>
        <v/>
      </c>
      <c r="G161" s="650" t="str">
        <f t="shared" si="21"/>
        <v/>
      </c>
      <c r="H161" s="650" t="str">
        <f t="shared" si="22"/>
        <v/>
      </c>
      <c r="J161" s="650"/>
      <c r="K161" s="650"/>
      <c r="L161" s="650"/>
    </row>
    <row r="162" spans="2:12" x14ac:dyDescent="0.2">
      <c r="B162" s="660" t="str">
        <f t="shared" si="17"/>
        <v>-</v>
      </c>
      <c r="C162" s="661" t="str">
        <f t="shared" si="18"/>
        <v/>
      </c>
      <c r="D162" s="650" t="str">
        <f t="shared" si="16"/>
        <v/>
      </c>
      <c r="E162" s="650" t="str">
        <f t="shared" si="19"/>
        <v/>
      </c>
      <c r="F162" s="650" t="str">
        <f t="shared" si="20"/>
        <v/>
      </c>
      <c r="G162" s="650" t="str">
        <f t="shared" si="21"/>
        <v/>
      </c>
      <c r="H162" s="650" t="str">
        <f t="shared" si="22"/>
        <v/>
      </c>
      <c r="J162" s="650"/>
      <c r="K162" s="650"/>
      <c r="L162" s="650"/>
    </row>
    <row r="163" spans="2:12" x14ac:dyDescent="0.2">
      <c r="B163" s="660" t="str">
        <f t="shared" si="17"/>
        <v>-</v>
      </c>
      <c r="C163" s="661" t="str">
        <f t="shared" si="18"/>
        <v/>
      </c>
      <c r="D163" s="650" t="str">
        <f t="shared" si="16"/>
        <v/>
      </c>
      <c r="E163" s="650" t="str">
        <f t="shared" si="19"/>
        <v/>
      </c>
      <c r="F163" s="650" t="str">
        <f t="shared" si="20"/>
        <v/>
      </c>
      <c r="G163" s="650" t="str">
        <f t="shared" si="21"/>
        <v/>
      </c>
      <c r="H163" s="650" t="str">
        <f t="shared" si="22"/>
        <v/>
      </c>
      <c r="J163" s="650"/>
      <c r="K163" s="650"/>
      <c r="L163" s="650"/>
    </row>
    <row r="164" spans="2:12" x14ac:dyDescent="0.2">
      <c r="B164" s="660" t="str">
        <f t="shared" si="17"/>
        <v>-</v>
      </c>
      <c r="C164" s="661" t="str">
        <f t="shared" si="18"/>
        <v/>
      </c>
      <c r="D164" s="650" t="str">
        <f t="shared" si="16"/>
        <v/>
      </c>
      <c r="E164" s="650" t="str">
        <f t="shared" si="19"/>
        <v/>
      </c>
      <c r="F164" s="650" t="str">
        <f t="shared" si="20"/>
        <v/>
      </c>
      <c r="G164" s="650" t="str">
        <f t="shared" si="21"/>
        <v/>
      </c>
      <c r="H164" s="650" t="str">
        <f t="shared" si="22"/>
        <v/>
      </c>
      <c r="J164" s="650"/>
      <c r="K164" s="650"/>
      <c r="L164" s="650"/>
    </row>
    <row r="165" spans="2:12" x14ac:dyDescent="0.2">
      <c r="B165" s="660" t="str">
        <f t="shared" si="17"/>
        <v>-</v>
      </c>
      <c r="C165" s="661" t="str">
        <f t="shared" si="18"/>
        <v/>
      </c>
      <c r="D165" s="650" t="str">
        <f t="shared" si="16"/>
        <v/>
      </c>
      <c r="E165" s="650" t="str">
        <f t="shared" si="19"/>
        <v/>
      </c>
      <c r="F165" s="650" t="str">
        <f t="shared" si="20"/>
        <v/>
      </c>
      <c r="G165" s="650" t="str">
        <f t="shared" si="21"/>
        <v/>
      </c>
      <c r="H165" s="650" t="str">
        <f t="shared" si="22"/>
        <v/>
      </c>
      <c r="J165" s="650"/>
      <c r="K165" s="650"/>
      <c r="L165" s="650"/>
    </row>
    <row r="166" spans="2:12" x14ac:dyDescent="0.2">
      <c r="B166" s="660" t="str">
        <f t="shared" si="17"/>
        <v>-</v>
      </c>
      <c r="C166" s="661" t="str">
        <f t="shared" si="18"/>
        <v/>
      </c>
      <c r="D166" s="650" t="str">
        <f t="shared" si="16"/>
        <v/>
      </c>
      <c r="E166" s="650" t="str">
        <f t="shared" si="19"/>
        <v/>
      </c>
      <c r="F166" s="650" t="str">
        <f t="shared" si="20"/>
        <v/>
      </c>
      <c r="G166" s="650" t="str">
        <f t="shared" si="21"/>
        <v/>
      </c>
      <c r="H166" s="650" t="str">
        <f t="shared" si="22"/>
        <v/>
      </c>
      <c r="J166" s="650"/>
      <c r="K166" s="650"/>
      <c r="L166" s="650"/>
    </row>
    <row r="167" spans="2:12" x14ac:dyDescent="0.2">
      <c r="B167" s="660" t="str">
        <f t="shared" si="17"/>
        <v>-</v>
      </c>
      <c r="C167" s="661" t="str">
        <f t="shared" si="18"/>
        <v/>
      </c>
      <c r="D167" s="650" t="str">
        <f t="shared" si="16"/>
        <v/>
      </c>
      <c r="E167" s="650" t="str">
        <f t="shared" si="19"/>
        <v/>
      </c>
      <c r="F167" s="650" t="str">
        <f t="shared" si="20"/>
        <v/>
      </c>
      <c r="G167" s="650" t="str">
        <f t="shared" si="21"/>
        <v/>
      </c>
      <c r="H167" s="650" t="str">
        <f t="shared" si="22"/>
        <v/>
      </c>
      <c r="J167" s="650"/>
      <c r="K167" s="650"/>
      <c r="L167" s="650"/>
    </row>
    <row r="168" spans="2:12" x14ac:dyDescent="0.2">
      <c r="B168" s="660" t="str">
        <f t="shared" si="17"/>
        <v>-</v>
      </c>
      <c r="C168" s="661" t="str">
        <f t="shared" si="18"/>
        <v/>
      </c>
      <c r="D168" s="650" t="str">
        <f t="shared" si="16"/>
        <v/>
      </c>
      <c r="E168" s="650" t="str">
        <f t="shared" si="19"/>
        <v/>
      </c>
      <c r="F168" s="650" t="str">
        <f t="shared" si="20"/>
        <v/>
      </c>
      <c r="G168" s="650" t="str">
        <f t="shared" si="21"/>
        <v/>
      </c>
      <c r="H168" s="650" t="str">
        <f t="shared" si="22"/>
        <v/>
      </c>
      <c r="J168" s="650"/>
      <c r="K168" s="650"/>
      <c r="L168" s="650"/>
    </row>
    <row r="169" spans="2:12" x14ac:dyDescent="0.2">
      <c r="B169" s="660" t="str">
        <f t="shared" si="17"/>
        <v>-</v>
      </c>
      <c r="C169" s="661" t="str">
        <f t="shared" si="18"/>
        <v/>
      </c>
      <c r="D169" s="650" t="str">
        <f t="shared" si="16"/>
        <v/>
      </c>
      <c r="E169" s="650" t="str">
        <f t="shared" si="19"/>
        <v/>
      </c>
      <c r="F169" s="650" t="str">
        <f t="shared" si="20"/>
        <v/>
      </c>
      <c r="G169" s="650" t="str">
        <f t="shared" si="21"/>
        <v/>
      </c>
      <c r="H169" s="650" t="str">
        <f t="shared" si="22"/>
        <v/>
      </c>
      <c r="J169" s="650"/>
      <c r="K169" s="650"/>
      <c r="L169" s="650"/>
    </row>
    <row r="170" spans="2:12" x14ac:dyDescent="0.2">
      <c r="B170" s="660" t="str">
        <f t="shared" si="17"/>
        <v>-</v>
      </c>
      <c r="C170" s="661" t="str">
        <f t="shared" si="18"/>
        <v/>
      </c>
      <c r="D170" s="650" t="str">
        <f t="shared" si="16"/>
        <v/>
      </c>
      <c r="E170" s="650" t="str">
        <f t="shared" si="19"/>
        <v/>
      </c>
      <c r="F170" s="650" t="str">
        <f t="shared" si="20"/>
        <v/>
      </c>
      <c r="G170" s="650" t="str">
        <f t="shared" si="21"/>
        <v/>
      </c>
      <c r="H170" s="650" t="str">
        <f t="shared" si="22"/>
        <v/>
      </c>
      <c r="J170" s="650"/>
      <c r="K170" s="650"/>
      <c r="L170" s="650"/>
    </row>
    <row r="171" spans="2:12" x14ac:dyDescent="0.2">
      <c r="B171" s="660" t="str">
        <f t="shared" si="17"/>
        <v>-</v>
      </c>
      <c r="C171" s="661" t="str">
        <f t="shared" si="18"/>
        <v/>
      </c>
      <c r="D171" s="650" t="str">
        <f t="shared" si="16"/>
        <v/>
      </c>
      <c r="E171" s="650" t="str">
        <f t="shared" si="19"/>
        <v/>
      </c>
      <c r="F171" s="650" t="str">
        <f t="shared" si="20"/>
        <v/>
      </c>
      <c r="G171" s="650" t="str">
        <f t="shared" si="21"/>
        <v/>
      </c>
      <c r="H171" s="650" t="str">
        <f t="shared" si="22"/>
        <v/>
      </c>
      <c r="J171" s="650"/>
      <c r="K171" s="650"/>
      <c r="L171" s="650"/>
    </row>
    <row r="172" spans="2:12" x14ac:dyDescent="0.2">
      <c r="B172" s="660" t="str">
        <f t="shared" si="17"/>
        <v>-</v>
      </c>
      <c r="C172" s="661" t="str">
        <f t="shared" si="18"/>
        <v/>
      </c>
      <c r="D172" s="650" t="str">
        <f t="shared" si="16"/>
        <v/>
      </c>
      <c r="E172" s="650" t="str">
        <f t="shared" si="19"/>
        <v/>
      </c>
      <c r="F172" s="650" t="str">
        <f t="shared" si="20"/>
        <v/>
      </c>
      <c r="G172" s="650" t="str">
        <f t="shared" si="21"/>
        <v/>
      </c>
      <c r="H172" s="650" t="str">
        <f t="shared" si="22"/>
        <v/>
      </c>
      <c r="J172" s="650"/>
      <c r="K172" s="650"/>
      <c r="L172" s="650"/>
    </row>
    <row r="173" spans="2:12" x14ac:dyDescent="0.2">
      <c r="B173" s="660" t="str">
        <f t="shared" si="17"/>
        <v>-</v>
      </c>
      <c r="C173" s="661" t="str">
        <f t="shared" si="18"/>
        <v/>
      </c>
      <c r="D173" s="650" t="str">
        <f t="shared" si="16"/>
        <v/>
      </c>
      <c r="E173" s="650" t="str">
        <f t="shared" si="19"/>
        <v/>
      </c>
      <c r="F173" s="650" t="str">
        <f t="shared" si="20"/>
        <v/>
      </c>
      <c r="G173" s="650" t="str">
        <f t="shared" si="21"/>
        <v/>
      </c>
      <c r="H173" s="650" t="str">
        <f t="shared" si="22"/>
        <v/>
      </c>
      <c r="J173" s="650"/>
      <c r="K173" s="650"/>
      <c r="L173" s="650"/>
    </row>
    <row r="174" spans="2:12" x14ac:dyDescent="0.2">
      <c r="B174" s="660" t="str">
        <f t="shared" si="17"/>
        <v>-</v>
      </c>
      <c r="C174" s="661" t="str">
        <f t="shared" si="18"/>
        <v/>
      </c>
      <c r="D174" s="650" t="str">
        <f t="shared" si="16"/>
        <v/>
      </c>
      <c r="E174" s="650" t="str">
        <f t="shared" si="19"/>
        <v/>
      </c>
      <c r="F174" s="650" t="str">
        <f t="shared" si="20"/>
        <v/>
      </c>
      <c r="G174" s="650" t="str">
        <f t="shared" si="21"/>
        <v/>
      </c>
      <c r="H174" s="650" t="str">
        <f t="shared" si="22"/>
        <v/>
      </c>
      <c r="J174" s="650"/>
      <c r="K174" s="650"/>
      <c r="L174" s="650"/>
    </row>
    <row r="175" spans="2:12" x14ac:dyDescent="0.2">
      <c r="B175" s="660" t="str">
        <f t="shared" si="17"/>
        <v>-</v>
      </c>
      <c r="C175" s="661" t="str">
        <f t="shared" si="18"/>
        <v/>
      </c>
      <c r="D175" s="650" t="str">
        <f t="shared" si="16"/>
        <v/>
      </c>
      <c r="E175" s="650" t="str">
        <f t="shared" si="19"/>
        <v/>
      </c>
      <c r="F175" s="650" t="str">
        <f t="shared" si="20"/>
        <v/>
      </c>
      <c r="G175" s="650" t="str">
        <f t="shared" si="21"/>
        <v/>
      </c>
      <c r="H175" s="650" t="str">
        <f t="shared" si="22"/>
        <v/>
      </c>
      <c r="J175" s="650"/>
      <c r="K175" s="650"/>
      <c r="L175" s="650"/>
    </row>
    <row r="176" spans="2:12" x14ac:dyDescent="0.2">
      <c r="B176" s="660" t="str">
        <f t="shared" si="17"/>
        <v>-</v>
      </c>
      <c r="C176" s="661" t="str">
        <f t="shared" si="18"/>
        <v/>
      </c>
      <c r="D176" s="650" t="str">
        <f t="shared" si="16"/>
        <v/>
      </c>
      <c r="E176" s="650" t="str">
        <f t="shared" si="19"/>
        <v/>
      </c>
      <c r="F176" s="650" t="str">
        <f t="shared" si="20"/>
        <v/>
      </c>
      <c r="G176" s="650" t="str">
        <f t="shared" si="21"/>
        <v/>
      </c>
      <c r="H176" s="650" t="str">
        <f t="shared" si="22"/>
        <v/>
      </c>
      <c r="J176" s="650"/>
      <c r="K176" s="650"/>
      <c r="L176" s="650"/>
    </row>
    <row r="177" spans="2:12" x14ac:dyDescent="0.2">
      <c r="B177" s="660" t="str">
        <f t="shared" si="17"/>
        <v>-</v>
      </c>
      <c r="C177" s="661" t="str">
        <f t="shared" si="18"/>
        <v/>
      </c>
      <c r="D177" s="650" t="str">
        <f t="shared" si="16"/>
        <v/>
      </c>
      <c r="E177" s="650" t="str">
        <f t="shared" si="19"/>
        <v/>
      </c>
      <c r="F177" s="650" t="str">
        <f t="shared" si="20"/>
        <v/>
      </c>
      <c r="G177" s="650" t="str">
        <f t="shared" si="21"/>
        <v/>
      </c>
      <c r="H177" s="650" t="str">
        <f t="shared" si="22"/>
        <v/>
      </c>
      <c r="J177" s="650"/>
      <c r="K177" s="650"/>
      <c r="L177" s="650"/>
    </row>
    <row r="178" spans="2:12" x14ac:dyDescent="0.2">
      <c r="B178" s="660" t="str">
        <f t="shared" si="17"/>
        <v>-</v>
      </c>
      <c r="C178" s="661" t="str">
        <f t="shared" si="18"/>
        <v/>
      </c>
      <c r="D178" s="650" t="str">
        <f t="shared" si="16"/>
        <v/>
      </c>
      <c r="E178" s="650" t="str">
        <f t="shared" si="19"/>
        <v/>
      </c>
      <c r="F178" s="650" t="str">
        <f t="shared" si="20"/>
        <v/>
      </c>
      <c r="G178" s="650" t="str">
        <f t="shared" si="21"/>
        <v/>
      </c>
      <c r="H178" s="650" t="str">
        <f t="shared" si="22"/>
        <v/>
      </c>
      <c r="J178" s="650"/>
      <c r="K178" s="650"/>
      <c r="L178" s="650"/>
    </row>
    <row r="179" spans="2:12" x14ac:dyDescent="0.2">
      <c r="B179" s="660" t="str">
        <f t="shared" si="17"/>
        <v>-</v>
      </c>
      <c r="C179" s="661" t="str">
        <f t="shared" si="18"/>
        <v/>
      </c>
      <c r="D179" s="650" t="str">
        <f t="shared" si="16"/>
        <v/>
      </c>
      <c r="E179" s="650" t="str">
        <f t="shared" si="19"/>
        <v/>
      </c>
      <c r="F179" s="650" t="str">
        <f t="shared" si="20"/>
        <v/>
      </c>
      <c r="G179" s="650" t="str">
        <f t="shared" si="21"/>
        <v/>
      </c>
      <c r="H179" s="650" t="str">
        <f t="shared" si="22"/>
        <v/>
      </c>
      <c r="J179" s="650"/>
      <c r="K179" s="650"/>
      <c r="L179" s="650"/>
    </row>
    <row r="180" spans="2:12" x14ac:dyDescent="0.2">
      <c r="B180" s="660" t="str">
        <f t="shared" si="17"/>
        <v>-</v>
      </c>
      <c r="C180" s="661" t="str">
        <f t="shared" si="18"/>
        <v/>
      </c>
      <c r="D180" s="650" t="str">
        <f t="shared" si="16"/>
        <v/>
      </c>
      <c r="E180" s="650" t="str">
        <f t="shared" si="19"/>
        <v/>
      </c>
      <c r="F180" s="650" t="str">
        <f t="shared" si="20"/>
        <v/>
      </c>
      <c r="G180" s="650" t="str">
        <f t="shared" si="21"/>
        <v/>
      </c>
      <c r="H180" s="650" t="str">
        <f t="shared" si="22"/>
        <v/>
      </c>
      <c r="J180" s="650"/>
      <c r="K180" s="650"/>
      <c r="L180" s="650"/>
    </row>
    <row r="181" spans="2:12" x14ac:dyDescent="0.2">
      <c r="B181" s="660" t="str">
        <f t="shared" si="17"/>
        <v>-</v>
      </c>
      <c r="C181" s="661" t="str">
        <f t="shared" si="18"/>
        <v/>
      </c>
      <c r="D181" s="650" t="str">
        <f t="shared" si="16"/>
        <v/>
      </c>
      <c r="E181" s="650" t="str">
        <f t="shared" si="19"/>
        <v/>
      </c>
      <c r="F181" s="650" t="str">
        <f t="shared" si="20"/>
        <v/>
      </c>
      <c r="G181" s="650" t="str">
        <f t="shared" si="21"/>
        <v/>
      </c>
      <c r="H181" s="650" t="str">
        <f t="shared" si="22"/>
        <v/>
      </c>
      <c r="J181" s="650"/>
      <c r="K181" s="650"/>
      <c r="L181" s="650"/>
    </row>
    <row r="182" spans="2:12" x14ac:dyDescent="0.2">
      <c r="B182" s="660" t="str">
        <f t="shared" si="17"/>
        <v>-</v>
      </c>
      <c r="C182" s="661" t="str">
        <f t="shared" si="18"/>
        <v/>
      </c>
      <c r="D182" s="650" t="str">
        <f t="shared" si="16"/>
        <v/>
      </c>
      <c r="E182" s="650" t="str">
        <f t="shared" si="19"/>
        <v/>
      </c>
      <c r="F182" s="650" t="str">
        <f t="shared" si="20"/>
        <v/>
      </c>
      <c r="G182" s="650" t="str">
        <f t="shared" si="21"/>
        <v/>
      </c>
      <c r="H182" s="650" t="str">
        <f t="shared" si="22"/>
        <v/>
      </c>
      <c r="J182" s="650"/>
      <c r="K182" s="650"/>
      <c r="L182" s="650"/>
    </row>
    <row r="183" spans="2:12" x14ac:dyDescent="0.2">
      <c r="B183" s="660" t="str">
        <f t="shared" si="17"/>
        <v>-</v>
      </c>
      <c r="C183" s="661" t="str">
        <f t="shared" si="18"/>
        <v/>
      </c>
      <c r="D183" s="650" t="str">
        <f t="shared" si="16"/>
        <v/>
      </c>
      <c r="E183" s="650" t="str">
        <f t="shared" si="19"/>
        <v/>
      </c>
      <c r="F183" s="650" t="str">
        <f t="shared" si="20"/>
        <v/>
      </c>
      <c r="G183" s="650" t="str">
        <f t="shared" si="21"/>
        <v/>
      </c>
      <c r="H183" s="650" t="str">
        <f t="shared" si="22"/>
        <v/>
      </c>
      <c r="J183" s="650"/>
      <c r="K183" s="650"/>
      <c r="L183" s="650"/>
    </row>
    <row r="184" spans="2:12" x14ac:dyDescent="0.2">
      <c r="B184" s="660" t="str">
        <f t="shared" si="17"/>
        <v>-</v>
      </c>
      <c r="C184" s="661" t="str">
        <f t="shared" si="18"/>
        <v/>
      </c>
      <c r="D184" s="650" t="str">
        <f t="shared" si="16"/>
        <v/>
      </c>
      <c r="E184" s="650" t="str">
        <f t="shared" si="19"/>
        <v/>
      </c>
      <c r="F184" s="650" t="str">
        <f t="shared" si="20"/>
        <v/>
      </c>
      <c r="G184" s="650" t="str">
        <f t="shared" si="21"/>
        <v/>
      </c>
      <c r="H184" s="650" t="str">
        <f t="shared" si="22"/>
        <v/>
      </c>
      <c r="J184" s="650"/>
      <c r="K184" s="650"/>
      <c r="L184" s="650"/>
    </row>
    <row r="185" spans="2:12" x14ac:dyDescent="0.2">
      <c r="B185" s="660" t="str">
        <f t="shared" si="17"/>
        <v>-</v>
      </c>
      <c r="C185" s="661" t="str">
        <f t="shared" si="18"/>
        <v/>
      </c>
      <c r="D185" s="650" t="str">
        <f t="shared" si="16"/>
        <v/>
      </c>
      <c r="E185" s="650" t="str">
        <f t="shared" si="19"/>
        <v/>
      </c>
      <c r="F185" s="650" t="str">
        <f t="shared" si="20"/>
        <v/>
      </c>
      <c r="G185" s="650" t="str">
        <f t="shared" si="21"/>
        <v/>
      </c>
      <c r="H185" s="650" t="str">
        <f t="shared" si="22"/>
        <v/>
      </c>
      <c r="J185" s="650"/>
      <c r="K185" s="650"/>
      <c r="L185" s="650"/>
    </row>
    <row r="186" spans="2:12" x14ac:dyDescent="0.2">
      <c r="B186" s="660" t="str">
        <f t="shared" si="17"/>
        <v>-</v>
      </c>
      <c r="C186" s="661" t="str">
        <f t="shared" si="18"/>
        <v/>
      </c>
      <c r="D186" s="650" t="str">
        <f t="shared" si="16"/>
        <v/>
      </c>
      <c r="E186" s="650" t="str">
        <f t="shared" si="19"/>
        <v/>
      </c>
      <c r="F186" s="650" t="str">
        <f t="shared" si="20"/>
        <v/>
      </c>
      <c r="G186" s="650" t="str">
        <f t="shared" si="21"/>
        <v/>
      </c>
      <c r="H186" s="650" t="str">
        <f t="shared" si="22"/>
        <v/>
      </c>
      <c r="J186" s="650"/>
      <c r="K186" s="650"/>
      <c r="L186" s="650"/>
    </row>
    <row r="187" spans="2:12" x14ac:dyDescent="0.2">
      <c r="B187" s="660" t="str">
        <f t="shared" si="17"/>
        <v>-</v>
      </c>
      <c r="C187" s="661" t="str">
        <f t="shared" si="18"/>
        <v/>
      </c>
      <c r="D187" s="650" t="str">
        <f t="shared" si="16"/>
        <v/>
      </c>
      <c r="E187" s="650" t="str">
        <f t="shared" si="19"/>
        <v/>
      </c>
      <c r="F187" s="650" t="str">
        <f t="shared" si="20"/>
        <v/>
      </c>
      <c r="G187" s="650" t="str">
        <f t="shared" si="21"/>
        <v/>
      </c>
      <c r="H187" s="650" t="str">
        <f t="shared" si="22"/>
        <v/>
      </c>
      <c r="J187" s="650"/>
      <c r="K187" s="650"/>
      <c r="L187" s="650"/>
    </row>
    <row r="188" spans="2:12" x14ac:dyDescent="0.2">
      <c r="B188" s="660" t="str">
        <f t="shared" si="17"/>
        <v>-</v>
      </c>
      <c r="C188" s="661" t="str">
        <f t="shared" si="18"/>
        <v/>
      </c>
      <c r="D188" s="650" t="str">
        <f t="shared" si="16"/>
        <v/>
      </c>
      <c r="E188" s="650" t="str">
        <f t="shared" si="19"/>
        <v/>
      </c>
      <c r="F188" s="650" t="str">
        <f t="shared" si="20"/>
        <v/>
      </c>
      <c r="G188" s="650" t="str">
        <f t="shared" si="21"/>
        <v/>
      </c>
      <c r="H188" s="650" t="str">
        <f t="shared" si="22"/>
        <v/>
      </c>
      <c r="J188" s="650"/>
      <c r="K188" s="650"/>
      <c r="L188" s="650"/>
    </row>
    <row r="189" spans="2:12" x14ac:dyDescent="0.2">
      <c r="B189" s="660" t="str">
        <f t="shared" si="17"/>
        <v>-</v>
      </c>
      <c r="C189" s="661" t="str">
        <f t="shared" si="18"/>
        <v/>
      </c>
      <c r="D189" s="650" t="str">
        <f t="shared" si="16"/>
        <v/>
      </c>
      <c r="E189" s="650" t="str">
        <f t="shared" si="19"/>
        <v/>
      </c>
      <c r="F189" s="650" t="str">
        <f t="shared" si="20"/>
        <v/>
      </c>
      <c r="G189" s="650" t="str">
        <f t="shared" si="21"/>
        <v/>
      </c>
      <c r="H189" s="650" t="str">
        <f t="shared" si="22"/>
        <v/>
      </c>
      <c r="J189" s="650"/>
      <c r="K189" s="650"/>
      <c r="L189" s="650"/>
    </row>
    <row r="190" spans="2:12" x14ac:dyDescent="0.2">
      <c r="B190" s="660" t="str">
        <f t="shared" si="17"/>
        <v>-</v>
      </c>
      <c r="C190" s="661" t="str">
        <f t="shared" si="18"/>
        <v/>
      </c>
      <c r="D190" s="650" t="str">
        <f t="shared" si="16"/>
        <v/>
      </c>
      <c r="E190" s="650" t="str">
        <f t="shared" si="19"/>
        <v/>
      </c>
      <c r="F190" s="650" t="str">
        <f t="shared" si="20"/>
        <v/>
      </c>
      <c r="G190" s="650" t="str">
        <f t="shared" si="21"/>
        <v/>
      </c>
      <c r="H190" s="650" t="str">
        <f t="shared" si="22"/>
        <v/>
      </c>
      <c r="J190" s="650"/>
      <c r="K190" s="650"/>
      <c r="L190" s="650"/>
    </row>
    <row r="191" spans="2:12" x14ac:dyDescent="0.2">
      <c r="B191" s="660" t="str">
        <f t="shared" si="17"/>
        <v>-</v>
      </c>
      <c r="C191" s="661" t="str">
        <f t="shared" si="18"/>
        <v/>
      </c>
      <c r="D191" s="650" t="str">
        <f t="shared" si="16"/>
        <v/>
      </c>
      <c r="E191" s="650" t="str">
        <f t="shared" si="19"/>
        <v/>
      </c>
      <c r="F191" s="650" t="str">
        <f t="shared" si="20"/>
        <v/>
      </c>
      <c r="G191" s="650" t="str">
        <f t="shared" si="21"/>
        <v/>
      </c>
      <c r="H191" s="650" t="str">
        <f t="shared" si="22"/>
        <v/>
      </c>
      <c r="J191" s="650"/>
      <c r="K191" s="650"/>
      <c r="L191" s="650"/>
    </row>
    <row r="192" spans="2:12" x14ac:dyDescent="0.2">
      <c r="B192" s="660" t="str">
        <f t="shared" si="17"/>
        <v>-</v>
      </c>
      <c r="C192" s="661" t="str">
        <f t="shared" si="18"/>
        <v/>
      </c>
      <c r="D192" s="650" t="str">
        <f t="shared" si="16"/>
        <v/>
      </c>
      <c r="E192" s="650" t="str">
        <f t="shared" si="19"/>
        <v/>
      </c>
      <c r="F192" s="650" t="str">
        <f t="shared" si="20"/>
        <v/>
      </c>
      <c r="G192" s="650" t="str">
        <f t="shared" si="21"/>
        <v/>
      </c>
      <c r="H192" s="650" t="str">
        <f t="shared" si="22"/>
        <v/>
      </c>
      <c r="J192" s="650"/>
      <c r="K192" s="650"/>
      <c r="L192" s="650"/>
    </row>
    <row r="193" spans="2:12" x14ac:dyDescent="0.2">
      <c r="B193" s="660" t="str">
        <f t="shared" si="17"/>
        <v>-</v>
      </c>
      <c r="C193" s="661" t="str">
        <f t="shared" si="18"/>
        <v/>
      </c>
      <c r="D193" s="650" t="str">
        <f t="shared" si="16"/>
        <v/>
      </c>
      <c r="E193" s="650" t="str">
        <f t="shared" si="19"/>
        <v/>
      </c>
      <c r="F193" s="650" t="str">
        <f t="shared" si="20"/>
        <v/>
      </c>
      <c r="G193" s="650" t="str">
        <f t="shared" si="21"/>
        <v/>
      </c>
      <c r="H193" s="650" t="str">
        <f t="shared" si="22"/>
        <v/>
      </c>
      <c r="J193" s="650"/>
      <c r="K193" s="650"/>
      <c r="L193" s="650"/>
    </row>
    <row r="194" spans="2:12" x14ac:dyDescent="0.2">
      <c r="B194" s="660" t="str">
        <f t="shared" si="17"/>
        <v>-</v>
      </c>
      <c r="C194" s="661" t="str">
        <f t="shared" si="18"/>
        <v/>
      </c>
      <c r="D194" s="650" t="str">
        <f t="shared" si="16"/>
        <v/>
      </c>
      <c r="E194" s="650" t="str">
        <f t="shared" si="19"/>
        <v/>
      </c>
      <c r="F194" s="650" t="str">
        <f t="shared" si="20"/>
        <v/>
      </c>
      <c r="G194" s="650" t="str">
        <f t="shared" si="21"/>
        <v/>
      </c>
      <c r="H194" s="650" t="str">
        <f t="shared" si="22"/>
        <v/>
      </c>
      <c r="J194" s="650"/>
      <c r="K194" s="650"/>
      <c r="L194" s="650"/>
    </row>
    <row r="195" spans="2:12" x14ac:dyDescent="0.2">
      <c r="B195" s="660" t="str">
        <f t="shared" si="17"/>
        <v>-</v>
      </c>
      <c r="C195" s="661" t="str">
        <f t="shared" si="18"/>
        <v/>
      </c>
      <c r="D195" s="650" t="str">
        <f t="shared" si="16"/>
        <v/>
      </c>
      <c r="E195" s="650" t="str">
        <f t="shared" si="19"/>
        <v/>
      </c>
      <c r="F195" s="650" t="str">
        <f t="shared" si="20"/>
        <v/>
      </c>
      <c r="G195" s="650" t="str">
        <f t="shared" si="21"/>
        <v/>
      </c>
      <c r="H195" s="650" t="str">
        <f t="shared" si="22"/>
        <v/>
      </c>
      <c r="J195" s="650"/>
      <c r="K195" s="650"/>
      <c r="L195" s="650"/>
    </row>
    <row r="196" spans="2:12" x14ac:dyDescent="0.2">
      <c r="B196" s="660" t="str">
        <f t="shared" si="17"/>
        <v>-</v>
      </c>
      <c r="C196" s="661" t="str">
        <f t="shared" si="18"/>
        <v/>
      </c>
      <c r="D196" s="650" t="str">
        <f t="shared" si="16"/>
        <v/>
      </c>
      <c r="E196" s="650" t="str">
        <f t="shared" si="19"/>
        <v/>
      </c>
      <c r="F196" s="650" t="str">
        <f t="shared" si="20"/>
        <v/>
      </c>
      <c r="G196" s="650" t="str">
        <f t="shared" si="21"/>
        <v/>
      </c>
      <c r="H196" s="650" t="str">
        <f t="shared" si="22"/>
        <v/>
      </c>
      <c r="J196" s="650"/>
      <c r="K196" s="650"/>
      <c r="L196" s="650"/>
    </row>
    <row r="197" spans="2:12" x14ac:dyDescent="0.2">
      <c r="B197" s="660" t="str">
        <f t="shared" si="17"/>
        <v>-</v>
      </c>
      <c r="C197" s="661" t="str">
        <f t="shared" si="18"/>
        <v/>
      </c>
      <c r="D197" s="650" t="str">
        <f t="shared" si="16"/>
        <v/>
      </c>
      <c r="E197" s="650" t="str">
        <f t="shared" si="19"/>
        <v/>
      </c>
      <c r="F197" s="650" t="str">
        <f t="shared" si="20"/>
        <v/>
      </c>
      <c r="G197" s="650" t="str">
        <f t="shared" si="21"/>
        <v/>
      </c>
      <c r="H197" s="650" t="str">
        <f t="shared" si="22"/>
        <v/>
      </c>
      <c r="J197" s="650"/>
      <c r="K197" s="650"/>
      <c r="L197" s="650"/>
    </row>
    <row r="198" spans="2:12" x14ac:dyDescent="0.2">
      <c r="B198" s="660" t="str">
        <f t="shared" si="17"/>
        <v>-</v>
      </c>
      <c r="C198" s="661" t="str">
        <f t="shared" si="18"/>
        <v/>
      </c>
      <c r="D198" s="650" t="str">
        <f t="shared" ref="D198:D261" si="23">IF(ISNUMBER(B198),D197-F197,"")</f>
        <v/>
      </c>
      <c r="E198" s="650" t="str">
        <f t="shared" si="19"/>
        <v/>
      </c>
      <c r="F198" s="650" t="str">
        <f t="shared" si="20"/>
        <v/>
      </c>
      <c r="G198" s="650" t="str">
        <f t="shared" si="21"/>
        <v/>
      </c>
      <c r="H198" s="650" t="str">
        <f t="shared" si="22"/>
        <v/>
      </c>
      <c r="J198" s="650"/>
      <c r="K198" s="650"/>
      <c r="L198" s="650"/>
    </row>
    <row r="199" spans="2:12" x14ac:dyDescent="0.2">
      <c r="B199" s="660" t="str">
        <f t="shared" si="17"/>
        <v>-</v>
      </c>
      <c r="C199" s="661" t="str">
        <f t="shared" si="18"/>
        <v/>
      </c>
      <c r="D199" s="650" t="str">
        <f t="shared" si="23"/>
        <v/>
      </c>
      <c r="E199" s="650" t="str">
        <f t="shared" si="19"/>
        <v/>
      </c>
      <c r="F199" s="650" t="str">
        <f t="shared" si="20"/>
        <v/>
      </c>
      <c r="G199" s="650" t="str">
        <f t="shared" si="21"/>
        <v/>
      </c>
      <c r="H199" s="650" t="str">
        <f t="shared" si="22"/>
        <v/>
      </c>
      <c r="J199" s="650"/>
      <c r="K199" s="650"/>
      <c r="L199" s="650"/>
    </row>
    <row r="200" spans="2:12" x14ac:dyDescent="0.2">
      <c r="B200" s="660" t="str">
        <f t="shared" si="17"/>
        <v>-</v>
      </c>
      <c r="C200" s="661" t="str">
        <f t="shared" si="18"/>
        <v/>
      </c>
      <c r="D200" s="650" t="str">
        <f t="shared" si="23"/>
        <v/>
      </c>
      <c r="E200" s="650" t="str">
        <f t="shared" si="19"/>
        <v/>
      </c>
      <c r="F200" s="650" t="str">
        <f t="shared" si="20"/>
        <v/>
      </c>
      <c r="G200" s="650" t="str">
        <f t="shared" si="21"/>
        <v/>
      </c>
      <c r="H200" s="650" t="str">
        <f t="shared" si="22"/>
        <v/>
      </c>
      <c r="J200" s="650"/>
      <c r="K200" s="650"/>
      <c r="L200" s="650"/>
    </row>
    <row r="201" spans="2:12" x14ac:dyDescent="0.2">
      <c r="B201" s="660" t="str">
        <f t="shared" si="17"/>
        <v>-</v>
      </c>
      <c r="C201" s="661" t="str">
        <f t="shared" si="18"/>
        <v/>
      </c>
      <c r="D201" s="650" t="str">
        <f t="shared" si="23"/>
        <v/>
      </c>
      <c r="E201" s="650" t="str">
        <f t="shared" si="19"/>
        <v/>
      </c>
      <c r="F201" s="650" t="str">
        <f t="shared" si="20"/>
        <v/>
      </c>
      <c r="G201" s="650" t="str">
        <f t="shared" si="21"/>
        <v/>
      </c>
      <c r="H201" s="650" t="str">
        <f t="shared" si="22"/>
        <v/>
      </c>
      <c r="J201" s="650"/>
      <c r="K201" s="650"/>
      <c r="L201" s="650"/>
    </row>
    <row r="202" spans="2:12" x14ac:dyDescent="0.2">
      <c r="B202" s="660" t="str">
        <f t="shared" si="17"/>
        <v>-</v>
      </c>
      <c r="C202" s="661" t="str">
        <f t="shared" si="18"/>
        <v/>
      </c>
      <c r="D202" s="650" t="str">
        <f t="shared" si="23"/>
        <v/>
      </c>
      <c r="E202" s="650" t="str">
        <f t="shared" si="19"/>
        <v/>
      </c>
      <c r="F202" s="650" t="str">
        <f t="shared" si="20"/>
        <v/>
      </c>
      <c r="G202" s="650" t="str">
        <f t="shared" si="21"/>
        <v/>
      </c>
      <c r="H202" s="650" t="str">
        <f t="shared" si="22"/>
        <v/>
      </c>
      <c r="J202" s="650"/>
      <c r="K202" s="650"/>
      <c r="L202" s="650"/>
    </row>
    <row r="203" spans="2:12" x14ac:dyDescent="0.2">
      <c r="B203" s="660" t="str">
        <f t="shared" si="17"/>
        <v>-</v>
      </c>
      <c r="C203" s="661" t="str">
        <f t="shared" si="18"/>
        <v/>
      </c>
      <c r="D203" s="650" t="str">
        <f t="shared" si="23"/>
        <v/>
      </c>
      <c r="E203" s="650" t="str">
        <f t="shared" si="19"/>
        <v/>
      </c>
      <c r="F203" s="650" t="str">
        <f t="shared" si="20"/>
        <v/>
      </c>
      <c r="G203" s="650" t="str">
        <f t="shared" si="21"/>
        <v/>
      </c>
      <c r="H203" s="650" t="str">
        <f t="shared" si="22"/>
        <v/>
      </c>
      <c r="J203" s="650"/>
      <c r="K203" s="650"/>
      <c r="L203" s="650"/>
    </row>
    <row r="204" spans="2:12" x14ac:dyDescent="0.2">
      <c r="B204" s="660" t="str">
        <f t="shared" ref="B204:B267" si="24">IF(B203&lt;$L$3,B203+1,"-")</f>
        <v>-</v>
      </c>
      <c r="C204" s="661" t="str">
        <f t="shared" ref="C204:C267" si="25">IF(ISNUMBER(B204),MIN(DATE(YEAR($C$11),MONTH($C$11)+B204*12/$P$5,DAY($C$11)),DATE(YEAR($C$11),MONTH($C$11)+1+B204*12/$P$5,1)-1),"")</f>
        <v/>
      </c>
      <c r="D204" s="650" t="str">
        <f t="shared" si="23"/>
        <v/>
      </c>
      <c r="E204" s="650" t="str">
        <f t="shared" ref="E204:E267" si="26">IF(ISNUMBER(B204),ROUND(D204*$L$7,$R$6),"")</f>
        <v/>
      </c>
      <c r="F204" s="650" t="str">
        <f t="shared" ref="F204:F267" si="27">IF(ISNUMBER(B204),IF(B204=$L$3,D204,IF(B204&gt;$L$4,$H$3-E204,0)),"")</f>
        <v/>
      </c>
      <c r="G204" s="650" t="str">
        <f t="shared" ref="G204:G267" si="28">IF(ISNUMBER(B204),$H$4,"")</f>
        <v/>
      </c>
      <c r="H204" s="650" t="str">
        <f t="shared" ref="H204:H267" si="29">IF(ISNUMBER(B204),E204+F204+G204,"")</f>
        <v/>
      </c>
      <c r="J204" s="650"/>
      <c r="K204" s="650"/>
      <c r="L204" s="650"/>
    </row>
    <row r="205" spans="2:12" x14ac:dyDescent="0.2">
      <c r="B205" s="660" t="str">
        <f t="shared" si="24"/>
        <v>-</v>
      </c>
      <c r="C205" s="661" t="str">
        <f t="shared" si="25"/>
        <v/>
      </c>
      <c r="D205" s="650" t="str">
        <f t="shared" si="23"/>
        <v/>
      </c>
      <c r="E205" s="650" t="str">
        <f t="shared" si="26"/>
        <v/>
      </c>
      <c r="F205" s="650" t="str">
        <f t="shared" si="27"/>
        <v/>
      </c>
      <c r="G205" s="650" t="str">
        <f t="shared" si="28"/>
        <v/>
      </c>
      <c r="H205" s="650" t="str">
        <f t="shared" si="29"/>
        <v/>
      </c>
      <c r="J205" s="650"/>
      <c r="K205" s="650"/>
      <c r="L205" s="650"/>
    </row>
    <row r="206" spans="2:12" x14ac:dyDescent="0.2">
      <c r="B206" s="660" t="str">
        <f t="shared" si="24"/>
        <v>-</v>
      </c>
      <c r="C206" s="661" t="str">
        <f t="shared" si="25"/>
        <v/>
      </c>
      <c r="D206" s="650" t="str">
        <f t="shared" si="23"/>
        <v/>
      </c>
      <c r="E206" s="650" t="str">
        <f t="shared" si="26"/>
        <v/>
      </c>
      <c r="F206" s="650" t="str">
        <f t="shared" si="27"/>
        <v/>
      </c>
      <c r="G206" s="650" t="str">
        <f t="shared" si="28"/>
        <v/>
      </c>
      <c r="H206" s="650" t="str">
        <f t="shared" si="29"/>
        <v/>
      </c>
      <c r="J206" s="650"/>
      <c r="K206" s="650"/>
      <c r="L206" s="650"/>
    </row>
    <row r="207" spans="2:12" x14ac:dyDescent="0.2">
      <c r="B207" s="660" t="str">
        <f t="shared" si="24"/>
        <v>-</v>
      </c>
      <c r="C207" s="661" t="str">
        <f t="shared" si="25"/>
        <v/>
      </c>
      <c r="D207" s="650" t="str">
        <f t="shared" si="23"/>
        <v/>
      </c>
      <c r="E207" s="650" t="str">
        <f t="shared" si="26"/>
        <v/>
      </c>
      <c r="F207" s="650" t="str">
        <f t="shared" si="27"/>
        <v/>
      </c>
      <c r="G207" s="650" t="str">
        <f t="shared" si="28"/>
        <v/>
      </c>
      <c r="H207" s="650" t="str">
        <f t="shared" si="29"/>
        <v/>
      </c>
      <c r="J207" s="650"/>
      <c r="K207" s="650"/>
      <c r="L207" s="650"/>
    </row>
    <row r="208" spans="2:12" x14ac:dyDescent="0.2">
      <c r="B208" s="660" t="str">
        <f t="shared" si="24"/>
        <v>-</v>
      </c>
      <c r="C208" s="661" t="str">
        <f t="shared" si="25"/>
        <v/>
      </c>
      <c r="D208" s="650" t="str">
        <f t="shared" si="23"/>
        <v/>
      </c>
      <c r="E208" s="650" t="str">
        <f t="shared" si="26"/>
        <v/>
      </c>
      <c r="F208" s="650" t="str">
        <f t="shared" si="27"/>
        <v/>
      </c>
      <c r="G208" s="650" t="str">
        <f t="shared" si="28"/>
        <v/>
      </c>
      <c r="H208" s="650" t="str">
        <f t="shared" si="29"/>
        <v/>
      </c>
      <c r="J208" s="650"/>
      <c r="K208" s="650"/>
      <c r="L208" s="650"/>
    </row>
    <row r="209" spans="2:12" x14ac:dyDescent="0.2">
      <c r="B209" s="660" t="str">
        <f t="shared" si="24"/>
        <v>-</v>
      </c>
      <c r="C209" s="661" t="str">
        <f t="shared" si="25"/>
        <v/>
      </c>
      <c r="D209" s="650" t="str">
        <f t="shared" si="23"/>
        <v/>
      </c>
      <c r="E209" s="650" t="str">
        <f t="shared" si="26"/>
        <v/>
      </c>
      <c r="F209" s="650" t="str">
        <f t="shared" si="27"/>
        <v/>
      </c>
      <c r="G209" s="650" t="str">
        <f t="shared" si="28"/>
        <v/>
      </c>
      <c r="H209" s="650" t="str">
        <f t="shared" si="29"/>
        <v/>
      </c>
      <c r="J209" s="650"/>
      <c r="K209" s="650"/>
      <c r="L209" s="650"/>
    </row>
    <row r="210" spans="2:12" x14ac:dyDescent="0.2">
      <c r="B210" s="660" t="str">
        <f t="shared" si="24"/>
        <v>-</v>
      </c>
      <c r="C210" s="661" t="str">
        <f t="shared" si="25"/>
        <v/>
      </c>
      <c r="D210" s="650" t="str">
        <f t="shared" si="23"/>
        <v/>
      </c>
      <c r="E210" s="650" t="str">
        <f t="shared" si="26"/>
        <v/>
      </c>
      <c r="F210" s="650" t="str">
        <f t="shared" si="27"/>
        <v/>
      </c>
      <c r="G210" s="650" t="str">
        <f t="shared" si="28"/>
        <v/>
      </c>
      <c r="H210" s="650" t="str">
        <f t="shared" si="29"/>
        <v/>
      </c>
      <c r="J210" s="650"/>
      <c r="K210" s="650"/>
      <c r="L210" s="650"/>
    </row>
    <row r="211" spans="2:12" x14ac:dyDescent="0.2">
      <c r="B211" s="660" t="str">
        <f t="shared" si="24"/>
        <v>-</v>
      </c>
      <c r="C211" s="661" t="str">
        <f t="shared" si="25"/>
        <v/>
      </c>
      <c r="D211" s="650" t="str">
        <f t="shared" si="23"/>
        <v/>
      </c>
      <c r="E211" s="650" t="str">
        <f t="shared" si="26"/>
        <v/>
      </c>
      <c r="F211" s="650" t="str">
        <f t="shared" si="27"/>
        <v/>
      </c>
      <c r="G211" s="650" t="str">
        <f t="shared" si="28"/>
        <v/>
      </c>
      <c r="H211" s="650" t="str">
        <f t="shared" si="29"/>
        <v/>
      </c>
      <c r="J211" s="650"/>
      <c r="K211" s="650"/>
      <c r="L211" s="650"/>
    </row>
    <row r="212" spans="2:12" x14ac:dyDescent="0.2">
      <c r="B212" s="660" t="str">
        <f t="shared" si="24"/>
        <v>-</v>
      </c>
      <c r="C212" s="661" t="str">
        <f t="shared" si="25"/>
        <v/>
      </c>
      <c r="D212" s="650" t="str">
        <f t="shared" si="23"/>
        <v/>
      </c>
      <c r="E212" s="650" t="str">
        <f t="shared" si="26"/>
        <v/>
      </c>
      <c r="F212" s="650" t="str">
        <f t="shared" si="27"/>
        <v/>
      </c>
      <c r="G212" s="650" t="str">
        <f t="shared" si="28"/>
        <v/>
      </c>
      <c r="H212" s="650" t="str">
        <f t="shared" si="29"/>
        <v/>
      </c>
      <c r="J212" s="650"/>
      <c r="K212" s="650"/>
      <c r="L212" s="650"/>
    </row>
    <row r="213" spans="2:12" x14ac:dyDescent="0.2">
      <c r="B213" s="660" t="str">
        <f t="shared" si="24"/>
        <v>-</v>
      </c>
      <c r="C213" s="661" t="str">
        <f t="shared" si="25"/>
        <v/>
      </c>
      <c r="D213" s="650" t="str">
        <f t="shared" si="23"/>
        <v/>
      </c>
      <c r="E213" s="650" t="str">
        <f t="shared" si="26"/>
        <v/>
      </c>
      <c r="F213" s="650" t="str">
        <f t="shared" si="27"/>
        <v/>
      </c>
      <c r="G213" s="650" t="str">
        <f t="shared" si="28"/>
        <v/>
      </c>
      <c r="H213" s="650" t="str">
        <f t="shared" si="29"/>
        <v/>
      </c>
      <c r="J213" s="650"/>
      <c r="K213" s="650"/>
      <c r="L213" s="650"/>
    </row>
    <row r="214" spans="2:12" x14ac:dyDescent="0.2">
      <c r="B214" s="660" t="str">
        <f t="shared" si="24"/>
        <v>-</v>
      </c>
      <c r="C214" s="661" t="str">
        <f t="shared" si="25"/>
        <v/>
      </c>
      <c r="D214" s="650" t="str">
        <f t="shared" si="23"/>
        <v/>
      </c>
      <c r="E214" s="650" t="str">
        <f t="shared" si="26"/>
        <v/>
      </c>
      <c r="F214" s="650" t="str">
        <f t="shared" si="27"/>
        <v/>
      </c>
      <c r="G214" s="650" t="str">
        <f t="shared" si="28"/>
        <v/>
      </c>
      <c r="H214" s="650" t="str">
        <f t="shared" si="29"/>
        <v/>
      </c>
      <c r="J214" s="650"/>
      <c r="K214" s="650"/>
      <c r="L214" s="650"/>
    </row>
    <row r="215" spans="2:12" x14ac:dyDescent="0.2">
      <c r="B215" s="660" t="str">
        <f t="shared" si="24"/>
        <v>-</v>
      </c>
      <c r="C215" s="661" t="str">
        <f t="shared" si="25"/>
        <v/>
      </c>
      <c r="D215" s="650" t="str">
        <f t="shared" si="23"/>
        <v/>
      </c>
      <c r="E215" s="650" t="str">
        <f t="shared" si="26"/>
        <v/>
      </c>
      <c r="F215" s="650" t="str">
        <f t="shared" si="27"/>
        <v/>
      </c>
      <c r="G215" s="650" t="str">
        <f t="shared" si="28"/>
        <v/>
      </c>
      <c r="H215" s="650" t="str">
        <f t="shared" si="29"/>
        <v/>
      </c>
      <c r="J215" s="650"/>
      <c r="K215" s="650"/>
      <c r="L215" s="650"/>
    </row>
    <row r="216" spans="2:12" x14ac:dyDescent="0.2">
      <c r="B216" s="660" t="str">
        <f t="shared" si="24"/>
        <v>-</v>
      </c>
      <c r="C216" s="661" t="str">
        <f t="shared" si="25"/>
        <v/>
      </c>
      <c r="D216" s="650" t="str">
        <f t="shared" si="23"/>
        <v/>
      </c>
      <c r="E216" s="650" t="str">
        <f t="shared" si="26"/>
        <v/>
      </c>
      <c r="F216" s="650" t="str">
        <f t="shared" si="27"/>
        <v/>
      </c>
      <c r="G216" s="650" t="str">
        <f t="shared" si="28"/>
        <v/>
      </c>
      <c r="H216" s="650" t="str">
        <f t="shared" si="29"/>
        <v/>
      </c>
      <c r="J216" s="650"/>
      <c r="K216" s="650"/>
      <c r="L216" s="650"/>
    </row>
    <row r="217" spans="2:12" x14ac:dyDescent="0.2">
      <c r="B217" s="660" t="str">
        <f t="shared" si="24"/>
        <v>-</v>
      </c>
      <c r="C217" s="661" t="str">
        <f t="shared" si="25"/>
        <v/>
      </c>
      <c r="D217" s="650" t="str">
        <f t="shared" si="23"/>
        <v/>
      </c>
      <c r="E217" s="650" t="str">
        <f t="shared" si="26"/>
        <v/>
      </c>
      <c r="F217" s="650" t="str">
        <f t="shared" si="27"/>
        <v/>
      </c>
      <c r="G217" s="650" t="str">
        <f t="shared" si="28"/>
        <v/>
      </c>
      <c r="H217" s="650" t="str">
        <f t="shared" si="29"/>
        <v/>
      </c>
      <c r="J217" s="650"/>
      <c r="K217" s="650"/>
      <c r="L217" s="650"/>
    </row>
    <row r="218" spans="2:12" x14ac:dyDescent="0.2">
      <c r="B218" s="660" t="str">
        <f t="shared" si="24"/>
        <v>-</v>
      </c>
      <c r="C218" s="661" t="str">
        <f t="shared" si="25"/>
        <v/>
      </c>
      <c r="D218" s="650" t="str">
        <f t="shared" si="23"/>
        <v/>
      </c>
      <c r="E218" s="650" t="str">
        <f t="shared" si="26"/>
        <v/>
      </c>
      <c r="F218" s="650" t="str">
        <f t="shared" si="27"/>
        <v/>
      </c>
      <c r="G218" s="650" t="str">
        <f t="shared" si="28"/>
        <v/>
      </c>
      <c r="H218" s="650" t="str">
        <f t="shared" si="29"/>
        <v/>
      </c>
      <c r="J218" s="650"/>
      <c r="K218" s="650"/>
      <c r="L218" s="650"/>
    </row>
    <row r="219" spans="2:12" x14ac:dyDescent="0.2">
      <c r="B219" s="660" t="str">
        <f t="shared" si="24"/>
        <v>-</v>
      </c>
      <c r="C219" s="661" t="str">
        <f t="shared" si="25"/>
        <v/>
      </c>
      <c r="D219" s="650" t="str">
        <f t="shared" si="23"/>
        <v/>
      </c>
      <c r="E219" s="650" t="str">
        <f t="shared" si="26"/>
        <v/>
      </c>
      <c r="F219" s="650" t="str">
        <f t="shared" si="27"/>
        <v/>
      </c>
      <c r="G219" s="650" t="str">
        <f t="shared" si="28"/>
        <v/>
      </c>
      <c r="H219" s="650" t="str">
        <f t="shared" si="29"/>
        <v/>
      </c>
      <c r="J219" s="650"/>
      <c r="K219" s="650"/>
      <c r="L219" s="650"/>
    </row>
    <row r="220" spans="2:12" x14ac:dyDescent="0.2">
      <c r="B220" s="660" t="str">
        <f t="shared" si="24"/>
        <v>-</v>
      </c>
      <c r="C220" s="661" t="str">
        <f t="shared" si="25"/>
        <v/>
      </c>
      <c r="D220" s="650" t="str">
        <f t="shared" si="23"/>
        <v/>
      </c>
      <c r="E220" s="650" t="str">
        <f t="shared" si="26"/>
        <v/>
      </c>
      <c r="F220" s="650" t="str">
        <f t="shared" si="27"/>
        <v/>
      </c>
      <c r="G220" s="650" t="str">
        <f t="shared" si="28"/>
        <v/>
      </c>
      <c r="H220" s="650" t="str">
        <f t="shared" si="29"/>
        <v/>
      </c>
      <c r="J220" s="650"/>
      <c r="K220" s="650"/>
      <c r="L220" s="650"/>
    </row>
    <row r="221" spans="2:12" x14ac:dyDescent="0.2">
      <c r="B221" s="660" t="str">
        <f t="shared" si="24"/>
        <v>-</v>
      </c>
      <c r="C221" s="661" t="str">
        <f t="shared" si="25"/>
        <v/>
      </c>
      <c r="D221" s="650" t="str">
        <f t="shared" si="23"/>
        <v/>
      </c>
      <c r="E221" s="650" t="str">
        <f t="shared" si="26"/>
        <v/>
      </c>
      <c r="F221" s="650" t="str">
        <f t="shared" si="27"/>
        <v/>
      </c>
      <c r="G221" s="650" t="str">
        <f t="shared" si="28"/>
        <v/>
      </c>
      <c r="H221" s="650" t="str">
        <f t="shared" si="29"/>
        <v/>
      </c>
      <c r="J221" s="650"/>
      <c r="K221" s="650"/>
      <c r="L221" s="650"/>
    </row>
    <row r="222" spans="2:12" x14ac:dyDescent="0.2">
      <c r="B222" s="660" t="str">
        <f t="shared" si="24"/>
        <v>-</v>
      </c>
      <c r="C222" s="661" t="str">
        <f t="shared" si="25"/>
        <v/>
      </c>
      <c r="D222" s="650" t="str">
        <f t="shared" si="23"/>
        <v/>
      </c>
      <c r="E222" s="650" t="str">
        <f t="shared" si="26"/>
        <v/>
      </c>
      <c r="F222" s="650" t="str">
        <f t="shared" si="27"/>
        <v/>
      </c>
      <c r="G222" s="650" t="str">
        <f t="shared" si="28"/>
        <v/>
      </c>
      <c r="H222" s="650" t="str">
        <f t="shared" si="29"/>
        <v/>
      </c>
      <c r="J222" s="650"/>
      <c r="K222" s="650"/>
      <c r="L222" s="650"/>
    </row>
    <row r="223" spans="2:12" x14ac:dyDescent="0.2">
      <c r="B223" s="660" t="str">
        <f t="shared" si="24"/>
        <v>-</v>
      </c>
      <c r="C223" s="661" t="str">
        <f t="shared" si="25"/>
        <v/>
      </c>
      <c r="D223" s="650" t="str">
        <f t="shared" si="23"/>
        <v/>
      </c>
      <c r="E223" s="650" t="str">
        <f t="shared" si="26"/>
        <v/>
      </c>
      <c r="F223" s="650" t="str">
        <f t="shared" si="27"/>
        <v/>
      </c>
      <c r="G223" s="650" t="str">
        <f t="shared" si="28"/>
        <v/>
      </c>
      <c r="H223" s="650" t="str">
        <f t="shared" si="29"/>
        <v/>
      </c>
      <c r="J223" s="650"/>
      <c r="K223" s="650"/>
      <c r="L223" s="650"/>
    </row>
    <row r="224" spans="2:12" x14ac:dyDescent="0.2">
      <c r="B224" s="660" t="str">
        <f t="shared" si="24"/>
        <v>-</v>
      </c>
      <c r="C224" s="661" t="str">
        <f t="shared" si="25"/>
        <v/>
      </c>
      <c r="D224" s="650" t="str">
        <f t="shared" si="23"/>
        <v/>
      </c>
      <c r="E224" s="650" t="str">
        <f t="shared" si="26"/>
        <v/>
      </c>
      <c r="F224" s="650" t="str">
        <f t="shared" si="27"/>
        <v/>
      </c>
      <c r="G224" s="650" t="str">
        <f t="shared" si="28"/>
        <v/>
      </c>
      <c r="H224" s="650" t="str">
        <f t="shared" si="29"/>
        <v/>
      </c>
      <c r="J224" s="650"/>
      <c r="K224" s="650"/>
      <c r="L224" s="650"/>
    </row>
    <row r="225" spans="2:12" x14ac:dyDescent="0.2">
      <c r="B225" s="660" t="str">
        <f t="shared" si="24"/>
        <v>-</v>
      </c>
      <c r="C225" s="661" t="str">
        <f t="shared" si="25"/>
        <v/>
      </c>
      <c r="D225" s="650" t="str">
        <f t="shared" si="23"/>
        <v/>
      </c>
      <c r="E225" s="650" t="str">
        <f t="shared" si="26"/>
        <v/>
      </c>
      <c r="F225" s="650" t="str">
        <f t="shared" si="27"/>
        <v/>
      </c>
      <c r="G225" s="650" t="str">
        <f t="shared" si="28"/>
        <v/>
      </c>
      <c r="H225" s="650" t="str">
        <f t="shared" si="29"/>
        <v/>
      </c>
      <c r="J225" s="650"/>
      <c r="K225" s="650"/>
      <c r="L225" s="650"/>
    </row>
    <row r="226" spans="2:12" x14ac:dyDescent="0.2">
      <c r="B226" s="660" t="str">
        <f t="shared" si="24"/>
        <v>-</v>
      </c>
      <c r="C226" s="661" t="str">
        <f t="shared" si="25"/>
        <v/>
      </c>
      <c r="D226" s="650" t="str">
        <f t="shared" si="23"/>
        <v/>
      </c>
      <c r="E226" s="650" t="str">
        <f t="shared" si="26"/>
        <v/>
      </c>
      <c r="F226" s="650" t="str">
        <f t="shared" si="27"/>
        <v/>
      </c>
      <c r="G226" s="650" t="str">
        <f t="shared" si="28"/>
        <v/>
      </c>
      <c r="H226" s="650" t="str">
        <f t="shared" si="29"/>
        <v/>
      </c>
      <c r="J226" s="650"/>
      <c r="K226" s="650"/>
      <c r="L226" s="650"/>
    </row>
    <row r="227" spans="2:12" x14ac:dyDescent="0.2">
      <c r="B227" s="660" t="str">
        <f t="shared" si="24"/>
        <v>-</v>
      </c>
      <c r="C227" s="661" t="str">
        <f t="shared" si="25"/>
        <v/>
      </c>
      <c r="D227" s="650" t="str">
        <f t="shared" si="23"/>
        <v/>
      </c>
      <c r="E227" s="650" t="str">
        <f t="shared" si="26"/>
        <v/>
      </c>
      <c r="F227" s="650" t="str">
        <f t="shared" si="27"/>
        <v/>
      </c>
      <c r="G227" s="650" t="str">
        <f t="shared" si="28"/>
        <v/>
      </c>
      <c r="H227" s="650" t="str">
        <f t="shared" si="29"/>
        <v/>
      </c>
      <c r="J227" s="650"/>
      <c r="K227" s="650"/>
      <c r="L227" s="650"/>
    </row>
    <row r="228" spans="2:12" x14ac:dyDescent="0.2">
      <c r="B228" s="660" t="str">
        <f t="shared" si="24"/>
        <v>-</v>
      </c>
      <c r="C228" s="661" t="str">
        <f t="shared" si="25"/>
        <v/>
      </c>
      <c r="D228" s="650" t="str">
        <f t="shared" si="23"/>
        <v/>
      </c>
      <c r="E228" s="650" t="str">
        <f t="shared" si="26"/>
        <v/>
      </c>
      <c r="F228" s="650" t="str">
        <f t="shared" si="27"/>
        <v/>
      </c>
      <c r="G228" s="650" t="str">
        <f t="shared" si="28"/>
        <v/>
      </c>
      <c r="H228" s="650" t="str">
        <f t="shared" si="29"/>
        <v/>
      </c>
      <c r="J228" s="650"/>
      <c r="K228" s="650"/>
      <c r="L228" s="650"/>
    </row>
    <row r="229" spans="2:12" x14ac:dyDescent="0.2">
      <c r="B229" s="660" t="str">
        <f t="shared" si="24"/>
        <v>-</v>
      </c>
      <c r="C229" s="661" t="str">
        <f t="shared" si="25"/>
        <v/>
      </c>
      <c r="D229" s="650" t="str">
        <f t="shared" si="23"/>
        <v/>
      </c>
      <c r="E229" s="650" t="str">
        <f t="shared" si="26"/>
        <v/>
      </c>
      <c r="F229" s="650" t="str">
        <f t="shared" si="27"/>
        <v/>
      </c>
      <c r="G229" s="650" t="str">
        <f t="shared" si="28"/>
        <v/>
      </c>
      <c r="H229" s="650" t="str">
        <f t="shared" si="29"/>
        <v/>
      </c>
      <c r="J229" s="650"/>
      <c r="K229" s="650"/>
      <c r="L229" s="650"/>
    </row>
    <row r="230" spans="2:12" x14ac:dyDescent="0.2">
      <c r="B230" s="660" t="str">
        <f t="shared" si="24"/>
        <v>-</v>
      </c>
      <c r="C230" s="661" t="str">
        <f t="shared" si="25"/>
        <v/>
      </c>
      <c r="D230" s="650" t="str">
        <f t="shared" si="23"/>
        <v/>
      </c>
      <c r="E230" s="650" t="str">
        <f t="shared" si="26"/>
        <v/>
      </c>
      <c r="F230" s="650" t="str">
        <f t="shared" si="27"/>
        <v/>
      </c>
      <c r="G230" s="650" t="str">
        <f t="shared" si="28"/>
        <v/>
      </c>
      <c r="H230" s="650" t="str">
        <f t="shared" si="29"/>
        <v/>
      </c>
      <c r="J230" s="650"/>
      <c r="K230" s="650"/>
      <c r="L230" s="650"/>
    </row>
    <row r="231" spans="2:12" x14ac:dyDescent="0.2">
      <c r="B231" s="660" t="str">
        <f t="shared" si="24"/>
        <v>-</v>
      </c>
      <c r="C231" s="661" t="str">
        <f t="shared" si="25"/>
        <v/>
      </c>
      <c r="D231" s="650" t="str">
        <f t="shared" si="23"/>
        <v/>
      </c>
      <c r="E231" s="650" t="str">
        <f t="shared" si="26"/>
        <v/>
      </c>
      <c r="F231" s="650" t="str">
        <f t="shared" si="27"/>
        <v/>
      </c>
      <c r="G231" s="650" t="str">
        <f t="shared" si="28"/>
        <v/>
      </c>
      <c r="H231" s="650" t="str">
        <f t="shared" si="29"/>
        <v/>
      </c>
      <c r="J231" s="650"/>
      <c r="K231" s="650"/>
      <c r="L231" s="650"/>
    </row>
    <row r="232" spans="2:12" x14ac:dyDescent="0.2">
      <c r="B232" s="660" t="str">
        <f t="shared" si="24"/>
        <v>-</v>
      </c>
      <c r="C232" s="661" t="str">
        <f t="shared" si="25"/>
        <v/>
      </c>
      <c r="D232" s="650" t="str">
        <f t="shared" si="23"/>
        <v/>
      </c>
      <c r="E232" s="650" t="str">
        <f t="shared" si="26"/>
        <v/>
      </c>
      <c r="F232" s="650" t="str">
        <f t="shared" si="27"/>
        <v/>
      </c>
      <c r="G232" s="650" t="str">
        <f t="shared" si="28"/>
        <v/>
      </c>
      <c r="H232" s="650" t="str">
        <f t="shared" si="29"/>
        <v/>
      </c>
      <c r="J232" s="650"/>
      <c r="K232" s="650"/>
      <c r="L232" s="650"/>
    </row>
    <row r="233" spans="2:12" x14ac:dyDescent="0.2">
      <c r="B233" s="660" t="str">
        <f t="shared" si="24"/>
        <v>-</v>
      </c>
      <c r="C233" s="661" t="str">
        <f t="shared" si="25"/>
        <v/>
      </c>
      <c r="D233" s="650" t="str">
        <f t="shared" si="23"/>
        <v/>
      </c>
      <c r="E233" s="650" t="str">
        <f t="shared" si="26"/>
        <v/>
      </c>
      <c r="F233" s="650" t="str">
        <f t="shared" si="27"/>
        <v/>
      </c>
      <c r="G233" s="650" t="str">
        <f t="shared" si="28"/>
        <v/>
      </c>
      <c r="H233" s="650" t="str">
        <f t="shared" si="29"/>
        <v/>
      </c>
      <c r="J233" s="650"/>
      <c r="K233" s="650"/>
      <c r="L233" s="650"/>
    </row>
    <row r="234" spans="2:12" x14ac:dyDescent="0.2">
      <c r="B234" s="660" t="str">
        <f t="shared" si="24"/>
        <v>-</v>
      </c>
      <c r="C234" s="661" t="str">
        <f t="shared" si="25"/>
        <v/>
      </c>
      <c r="D234" s="650" t="str">
        <f t="shared" si="23"/>
        <v/>
      </c>
      <c r="E234" s="650" t="str">
        <f t="shared" si="26"/>
        <v/>
      </c>
      <c r="F234" s="650" t="str">
        <f t="shared" si="27"/>
        <v/>
      </c>
      <c r="G234" s="650" t="str">
        <f t="shared" si="28"/>
        <v/>
      </c>
      <c r="H234" s="650" t="str">
        <f t="shared" si="29"/>
        <v/>
      </c>
      <c r="J234" s="650"/>
      <c r="K234" s="650"/>
      <c r="L234" s="650"/>
    </row>
    <row r="235" spans="2:12" x14ac:dyDescent="0.2">
      <c r="B235" s="660" t="str">
        <f t="shared" si="24"/>
        <v>-</v>
      </c>
      <c r="C235" s="661" t="str">
        <f t="shared" si="25"/>
        <v/>
      </c>
      <c r="D235" s="650" t="str">
        <f t="shared" si="23"/>
        <v/>
      </c>
      <c r="E235" s="650" t="str">
        <f t="shared" si="26"/>
        <v/>
      </c>
      <c r="F235" s="650" t="str">
        <f t="shared" si="27"/>
        <v/>
      </c>
      <c r="G235" s="650" t="str">
        <f t="shared" si="28"/>
        <v/>
      </c>
      <c r="H235" s="650" t="str">
        <f t="shared" si="29"/>
        <v/>
      </c>
      <c r="J235" s="650"/>
      <c r="K235" s="650"/>
      <c r="L235" s="650"/>
    </row>
    <row r="236" spans="2:12" x14ac:dyDescent="0.2">
      <c r="B236" s="660" t="str">
        <f t="shared" si="24"/>
        <v>-</v>
      </c>
      <c r="C236" s="661" t="str">
        <f t="shared" si="25"/>
        <v/>
      </c>
      <c r="D236" s="650" t="str">
        <f t="shared" si="23"/>
        <v/>
      </c>
      <c r="E236" s="650" t="str">
        <f t="shared" si="26"/>
        <v/>
      </c>
      <c r="F236" s="650" t="str">
        <f t="shared" si="27"/>
        <v/>
      </c>
      <c r="G236" s="650" t="str">
        <f t="shared" si="28"/>
        <v/>
      </c>
      <c r="H236" s="650" t="str">
        <f t="shared" si="29"/>
        <v/>
      </c>
      <c r="J236" s="650"/>
      <c r="K236" s="650"/>
      <c r="L236" s="650"/>
    </row>
    <row r="237" spans="2:12" x14ac:dyDescent="0.2">
      <c r="B237" s="660" t="str">
        <f t="shared" si="24"/>
        <v>-</v>
      </c>
      <c r="C237" s="661" t="str">
        <f t="shared" si="25"/>
        <v/>
      </c>
      <c r="D237" s="650" t="str">
        <f t="shared" si="23"/>
        <v/>
      </c>
      <c r="E237" s="650" t="str">
        <f t="shared" si="26"/>
        <v/>
      </c>
      <c r="F237" s="650" t="str">
        <f t="shared" si="27"/>
        <v/>
      </c>
      <c r="G237" s="650" t="str">
        <f t="shared" si="28"/>
        <v/>
      </c>
      <c r="H237" s="650" t="str">
        <f t="shared" si="29"/>
        <v/>
      </c>
      <c r="J237" s="650"/>
      <c r="K237" s="650"/>
      <c r="L237" s="650"/>
    </row>
    <row r="238" spans="2:12" x14ac:dyDescent="0.2">
      <c r="B238" s="660" t="str">
        <f t="shared" si="24"/>
        <v>-</v>
      </c>
      <c r="C238" s="661" t="str">
        <f t="shared" si="25"/>
        <v/>
      </c>
      <c r="D238" s="650" t="str">
        <f t="shared" si="23"/>
        <v/>
      </c>
      <c r="E238" s="650" t="str">
        <f t="shared" si="26"/>
        <v/>
      </c>
      <c r="F238" s="650" t="str">
        <f t="shared" si="27"/>
        <v/>
      </c>
      <c r="G238" s="650" t="str">
        <f t="shared" si="28"/>
        <v/>
      </c>
      <c r="H238" s="650" t="str">
        <f t="shared" si="29"/>
        <v/>
      </c>
      <c r="J238" s="650"/>
      <c r="K238" s="650"/>
      <c r="L238" s="650"/>
    </row>
    <row r="239" spans="2:12" x14ac:dyDescent="0.2">
      <c r="B239" s="660" t="str">
        <f t="shared" si="24"/>
        <v>-</v>
      </c>
      <c r="C239" s="661" t="str">
        <f t="shared" si="25"/>
        <v/>
      </c>
      <c r="D239" s="650" t="str">
        <f t="shared" si="23"/>
        <v/>
      </c>
      <c r="E239" s="650" t="str">
        <f t="shared" si="26"/>
        <v/>
      </c>
      <c r="F239" s="650" t="str">
        <f t="shared" si="27"/>
        <v/>
      </c>
      <c r="G239" s="650" t="str">
        <f t="shared" si="28"/>
        <v/>
      </c>
      <c r="H239" s="650" t="str">
        <f t="shared" si="29"/>
        <v/>
      </c>
      <c r="J239" s="650"/>
      <c r="K239" s="650"/>
      <c r="L239" s="650"/>
    </row>
    <row r="240" spans="2:12" x14ac:dyDescent="0.2">
      <c r="B240" s="660" t="str">
        <f t="shared" si="24"/>
        <v>-</v>
      </c>
      <c r="C240" s="661" t="str">
        <f t="shared" si="25"/>
        <v/>
      </c>
      <c r="D240" s="650" t="str">
        <f t="shared" si="23"/>
        <v/>
      </c>
      <c r="E240" s="650" t="str">
        <f t="shared" si="26"/>
        <v/>
      </c>
      <c r="F240" s="650" t="str">
        <f t="shared" si="27"/>
        <v/>
      </c>
      <c r="G240" s="650" t="str">
        <f t="shared" si="28"/>
        <v/>
      </c>
      <c r="H240" s="650" t="str">
        <f t="shared" si="29"/>
        <v/>
      </c>
      <c r="J240" s="650"/>
      <c r="K240" s="650"/>
      <c r="L240" s="650"/>
    </row>
    <row r="241" spans="2:12" x14ac:dyDescent="0.2">
      <c r="B241" s="660" t="str">
        <f t="shared" si="24"/>
        <v>-</v>
      </c>
      <c r="C241" s="661" t="str">
        <f t="shared" si="25"/>
        <v/>
      </c>
      <c r="D241" s="650" t="str">
        <f t="shared" si="23"/>
        <v/>
      </c>
      <c r="E241" s="650" t="str">
        <f t="shared" si="26"/>
        <v/>
      </c>
      <c r="F241" s="650" t="str">
        <f t="shared" si="27"/>
        <v/>
      </c>
      <c r="G241" s="650" t="str">
        <f t="shared" si="28"/>
        <v/>
      </c>
      <c r="H241" s="650" t="str">
        <f t="shared" si="29"/>
        <v/>
      </c>
      <c r="J241" s="650"/>
      <c r="K241" s="650"/>
      <c r="L241" s="650"/>
    </row>
    <row r="242" spans="2:12" x14ac:dyDescent="0.2">
      <c r="B242" s="660" t="str">
        <f t="shared" si="24"/>
        <v>-</v>
      </c>
      <c r="C242" s="661" t="str">
        <f t="shared" si="25"/>
        <v/>
      </c>
      <c r="D242" s="650" t="str">
        <f t="shared" si="23"/>
        <v/>
      </c>
      <c r="E242" s="650" t="str">
        <f t="shared" si="26"/>
        <v/>
      </c>
      <c r="F242" s="650" t="str">
        <f t="shared" si="27"/>
        <v/>
      </c>
      <c r="G242" s="650" t="str">
        <f t="shared" si="28"/>
        <v/>
      </c>
      <c r="H242" s="650" t="str">
        <f t="shared" si="29"/>
        <v/>
      </c>
      <c r="J242" s="650"/>
      <c r="K242" s="650"/>
      <c r="L242" s="650"/>
    </row>
    <row r="243" spans="2:12" x14ac:dyDescent="0.2">
      <c r="B243" s="660" t="str">
        <f t="shared" si="24"/>
        <v>-</v>
      </c>
      <c r="C243" s="661" t="str">
        <f t="shared" si="25"/>
        <v/>
      </c>
      <c r="D243" s="650" t="str">
        <f t="shared" si="23"/>
        <v/>
      </c>
      <c r="E243" s="650" t="str">
        <f t="shared" si="26"/>
        <v/>
      </c>
      <c r="F243" s="650" t="str">
        <f t="shared" si="27"/>
        <v/>
      </c>
      <c r="G243" s="650" t="str">
        <f t="shared" si="28"/>
        <v/>
      </c>
      <c r="H243" s="650" t="str">
        <f t="shared" si="29"/>
        <v/>
      </c>
      <c r="J243" s="650"/>
      <c r="K243" s="650"/>
      <c r="L243" s="650"/>
    </row>
    <row r="244" spans="2:12" x14ac:dyDescent="0.2">
      <c r="B244" s="660" t="str">
        <f t="shared" si="24"/>
        <v>-</v>
      </c>
      <c r="C244" s="661" t="str">
        <f t="shared" si="25"/>
        <v/>
      </c>
      <c r="D244" s="650" t="str">
        <f t="shared" si="23"/>
        <v/>
      </c>
      <c r="E244" s="650" t="str">
        <f t="shared" si="26"/>
        <v/>
      </c>
      <c r="F244" s="650" t="str">
        <f t="shared" si="27"/>
        <v/>
      </c>
      <c r="G244" s="650" t="str">
        <f t="shared" si="28"/>
        <v/>
      </c>
      <c r="H244" s="650" t="str">
        <f t="shared" si="29"/>
        <v/>
      </c>
      <c r="J244" s="650"/>
      <c r="K244" s="650"/>
      <c r="L244" s="650"/>
    </row>
    <row r="245" spans="2:12" x14ac:dyDescent="0.2">
      <c r="B245" s="660" t="str">
        <f t="shared" si="24"/>
        <v>-</v>
      </c>
      <c r="C245" s="661" t="str">
        <f t="shared" si="25"/>
        <v/>
      </c>
      <c r="D245" s="650" t="str">
        <f t="shared" si="23"/>
        <v/>
      </c>
      <c r="E245" s="650" t="str">
        <f t="shared" si="26"/>
        <v/>
      </c>
      <c r="F245" s="650" t="str">
        <f t="shared" si="27"/>
        <v/>
      </c>
      <c r="G245" s="650" t="str">
        <f t="shared" si="28"/>
        <v/>
      </c>
      <c r="H245" s="650" t="str">
        <f t="shared" si="29"/>
        <v/>
      </c>
      <c r="J245" s="650"/>
      <c r="K245" s="650"/>
      <c r="L245" s="650"/>
    </row>
    <row r="246" spans="2:12" x14ac:dyDescent="0.2">
      <c r="B246" s="660" t="str">
        <f t="shared" si="24"/>
        <v>-</v>
      </c>
      <c r="C246" s="661" t="str">
        <f t="shared" si="25"/>
        <v/>
      </c>
      <c r="D246" s="650" t="str">
        <f t="shared" si="23"/>
        <v/>
      </c>
      <c r="E246" s="650" t="str">
        <f t="shared" si="26"/>
        <v/>
      </c>
      <c r="F246" s="650" t="str">
        <f t="shared" si="27"/>
        <v/>
      </c>
      <c r="G246" s="650" t="str">
        <f t="shared" si="28"/>
        <v/>
      </c>
      <c r="H246" s="650" t="str">
        <f t="shared" si="29"/>
        <v/>
      </c>
      <c r="J246" s="650"/>
      <c r="K246" s="650"/>
      <c r="L246" s="650"/>
    </row>
    <row r="247" spans="2:12" x14ac:dyDescent="0.2">
      <c r="B247" s="660" t="str">
        <f t="shared" si="24"/>
        <v>-</v>
      </c>
      <c r="C247" s="661" t="str">
        <f t="shared" si="25"/>
        <v/>
      </c>
      <c r="D247" s="650" t="str">
        <f t="shared" si="23"/>
        <v/>
      </c>
      <c r="E247" s="650" t="str">
        <f t="shared" si="26"/>
        <v/>
      </c>
      <c r="F247" s="650" t="str">
        <f t="shared" si="27"/>
        <v/>
      </c>
      <c r="G247" s="650" t="str">
        <f t="shared" si="28"/>
        <v/>
      </c>
      <c r="H247" s="650" t="str">
        <f t="shared" si="29"/>
        <v/>
      </c>
      <c r="J247" s="650"/>
      <c r="K247" s="650"/>
      <c r="L247" s="650"/>
    </row>
    <row r="248" spans="2:12" x14ac:dyDescent="0.2">
      <c r="B248" s="660" t="str">
        <f t="shared" si="24"/>
        <v>-</v>
      </c>
      <c r="C248" s="661" t="str">
        <f t="shared" si="25"/>
        <v/>
      </c>
      <c r="D248" s="650" t="str">
        <f t="shared" si="23"/>
        <v/>
      </c>
      <c r="E248" s="650" t="str">
        <f t="shared" si="26"/>
        <v/>
      </c>
      <c r="F248" s="650" t="str">
        <f t="shared" si="27"/>
        <v/>
      </c>
      <c r="G248" s="650" t="str">
        <f t="shared" si="28"/>
        <v/>
      </c>
      <c r="H248" s="650" t="str">
        <f t="shared" si="29"/>
        <v/>
      </c>
      <c r="J248" s="650"/>
      <c r="K248" s="650"/>
      <c r="L248" s="650"/>
    </row>
    <row r="249" spans="2:12" x14ac:dyDescent="0.2">
      <c r="B249" s="660" t="str">
        <f t="shared" si="24"/>
        <v>-</v>
      </c>
      <c r="C249" s="661" t="str">
        <f t="shared" si="25"/>
        <v/>
      </c>
      <c r="D249" s="650" t="str">
        <f t="shared" si="23"/>
        <v/>
      </c>
      <c r="E249" s="650" t="str">
        <f t="shared" si="26"/>
        <v/>
      </c>
      <c r="F249" s="650" t="str">
        <f t="shared" si="27"/>
        <v/>
      </c>
      <c r="G249" s="650" t="str">
        <f t="shared" si="28"/>
        <v/>
      </c>
      <c r="H249" s="650" t="str">
        <f t="shared" si="29"/>
        <v/>
      </c>
      <c r="J249" s="650"/>
      <c r="K249" s="650"/>
      <c r="L249" s="650"/>
    </row>
    <row r="250" spans="2:12" x14ac:dyDescent="0.2">
      <c r="B250" s="660" t="str">
        <f t="shared" si="24"/>
        <v>-</v>
      </c>
      <c r="C250" s="661" t="str">
        <f t="shared" si="25"/>
        <v/>
      </c>
      <c r="D250" s="650" t="str">
        <f t="shared" si="23"/>
        <v/>
      </c>
      <c r="E250" s="650" t="str">
        <f t="shared" si="26"/>
        <v/>
      </c>
      <c r="F250" s="650" t="str">
        <f t="shared" si="27"/>
        <v/>
      </c>
      <c r="G250" s="650" t="str">
        <f t="shared" si="28"/>
        <v/>
      </c>
      <c r="H250" s="650" t="str">
        <f t="shared" si="29"/>
        <v/>
      </c>
      <c r="J250" s="650"/>
      <c r="K250" s="650"/>
      <c r="L250" s="650"/>
    </row>
    <row r="251" spans="2:12" x14ac:dyDescent="0.2">
      <c r="B251" s="660" t="str">
        <f t="shared" si="24"/>
        <v>-</v>
      </c>
      <c r="C251" s="661" t="str">
        <f t="shared" si="25"/>
        <v/>
      </c>
      <c r="D251" s="650" t="str">
        <f t="shared" si="23"/>
        <v/>
      </c>
      <c r="E251" s="650" t="str">
        <f t="shared" si="26"/>
        <v/>
      </c>
      <c r="F251" s="650" t="str">
        <f t="shared" si="27"/>
        <v/>
      </c>
      <c r="G251" s="650" t="str">
        <f t="shared" si="28"/>
        <v/>
      </c>
      <c r="H251" s="650" t="str">
        <f t="shared" si="29"/>
        <v/>
      </c>
      <c r="J251" s="650"/>
      <c r="K251" s="650"/>
      <c r="L251" s="650"/>
    </row>
    <row r="252" spans="2:12" x14ac:dyDescent="0.2">
      <c r="B252" s="660" t="str">
        <f t="shared" si="24"/>
        <v>-</v>
      </c>
      <c r="C252" s="661" t="str">
        <f t="shared" si="25"/>
        <v/>
      </c>
      <c r="D252" s="650" t="str">
        <f t="shared" si="23"/>
        <v/>
      </c>
      <c r="E252" s="650" t="str">
        <f t="shared" si="26"/>
        <v/>
      </c>
      <c r="F252" s="650" t="str">
        <f t="shared" si="27"/>
        <v/>
      </c>
      <c r="G252" s="650" t="str">
        <f t="shared" si="28"/>
        <v/>
      </c>
      <c r="H252" s="650" t="str">
        <f t="shared" si="29"/>
        <v/>
      </c>
      <c r="J252" s="650"/>
      <c r="K252" s="650"/>
      <c r="L252" s="650"/>
    </row>
    <row r="253" spans="2:12" x14ac:dyDescent="0.2">
      <c r="B253" s="660" t="str">
        <f t="shared" si="24"/>
        <v>-</v>
      </c>
      <c r="C253" s="661" t="str">
        <f t="shared" si="25"/>
        <v/>
      </c>
      <c r="D253" s="650" t="str">
        <f t="shared" si="23"/>
        <v/>
      </c>
      <c r="E253" s="650" t="str">
        <f t="shared" si="26"/>
        <v/>
      </c>
      <c r="F253" s="650" t="str">
        <f t="shared" si="27"/>
        <v/>
      </c>
      <c r="G253" s="650" t="str">
        <f t="shared" si="28"/>
        <v/>
      </c>
      <c r="H253" s="650" t="str">
        <f t="shared" si="29"/>
        <v/>
      </c>
      <c r="J253" s="650"/>
      <c r="K253" s="650"/>
      <c r="L253" s="650"/>
    </row>
    <row r="254" spans="2:12" x14ac:dyDescent="0.2">
      <c r="B254" s="660" t="str">
        <f t="shared" si="24"/>
        <v>-</v>
      </c>
      <c r="C254" s="661" t="str">
        <f t="shared" si="25"/>
        <v/>
      </c>
      <c r="D254" s="650" t="str">
        <f t="shared" si="23"/>
        <v/>
      </c>
      <c r="E254" s="650" t="str">
        <f t="shared" si="26"/>
        <v/>
      </c>
      <c r="F254" s="650" t="str">
        <f t="shared" si="27"/>
        <v/>
      </c>
      <c r="G254" s="650" t="str">
        <f t="shared" si="28"/>
        <v/>
      </c>
      <c r="H254" s="650" t="str">
        <f t="shared" si="29"/>
        <v/>
      </c>
      <c r="J254" s="650"/>
      <c r="K254" s="650"/>
      <c r="L254" s="650"/>
    </row>
    <row r="255" spans="2:12" x14ac:dyDescent="0.2">
      <c r="B255" s="660" t="str">
        <f t="shared" si="24"/>
        <v>-</v>
      </c>
      <c r="C255" s="661" t="str">
        <f t="shared" si="25"/>
        <v/>
      </c>
      <c r="D255" s="650" t="str">
        <f t="shared" si="23"/>
        <v/>
      </c>
      <c r="E255" s="650" t="str">
        <f t="shared" si="26"/>
        <v/>
      </c>
      <c r="F255" s="650" t="str">
        <f t="shared" si="27"/>
        <v/>
      </c>
      <c r="G255" s="650" t="str">
        <f t="shared" si="28"/>
        <v/>
      </c>
      <c r="H255" s="650" t="str">
        <f t="shared" si="29"/>
        <v/>
      </c>
      <c r="J255" s="650"/>
      <c r="K255" s="650"/>
      <c r="L255" s="650"/>
    </row>
    <row r="256" spans="2:12" x14ac:dyDescent="0.2">
      <c r="B256" s="660" t="str">
        <f t="shared" si="24"/>
        <v>-</v>
      </c>
      <c r="C256" s="661" t="str">
        <f t="shared" si="25"/>
        <v/>
      </c>
      <c r="D256" s="650" t="str">
        <f t="shared" si="23"/>
        <v/>
      </c>
      <c r="E256" s="650" t="str">
        <f t="shared" si="26"/>
        <v/>
      </c>
      <c r="F256" s="650" t="str">
        <f t="shared" si="27"/>
        <v/>
      </c>
      <c r="G256" s="650" t="str">
        <f t="shared" si="28"/>
        <v/>
      </c>
      <c r="H256" s="650" t="str">
        <f t="shared" si="29"/>
        <v/>
      </c>
      <c r="J256" s="650"/>
      <c r="K256" s="650"/>
      <c r="L256" s="650"/>
    </row>
    <row r="257" spans="2:12" x14ac:dyDescent="0.2">
      <c r="B257" s="660" t="str">
        <f t="shared" si="24"/>
        <v>-</v>
      </c>
      <c r="C257" s="661" t="str">
        <f t="shared" si="25"/>
        <v/>
      </c>
      <c r="D257" s="650" t="str">
        <f t="shared" si="23"/>
        <v/>
      </c>
      <c r="E257" s="650" t="str">
        <f t="shared" si="26"/>
        <v/>
      </c>
      <c r="F257" s="650" t="str">
        <f t="shared" si="27"/>
        <v/>
      </c>
      <c r="G257" s="650" t="str">
        <f t="shared" si="28"/>
        <v/>
      </c>
      <c r="H257" s="650" t="str">
        <f t="shared" si="29"/>
        <v/>
      </c>
      <c r="J257" s="650"/>
      <c r="K257" s="650"/>
      <c r="L257" s="650"/>
    </row>
    <row r="258" spans="2:12" x14ac:dyDescent="0.2">
      <c r="B258" s="660" t="str">
        <f t="shared" si="24"/>
        <v>-</v>
      </c>
      <c r="C258" s="661" t="str">
        <f t="shared" si="25"/>
        <v/>
      </c>
      <c r="D258" s="650" t="str">
        <f t="shared" si="23"/>
        <v/>
      </c>
      <c r="E258" s="650" t="str">
        <f t="shared" si="26"/>
        <v/>
      </c>
      <c r="F258" s="650" t="str">
        <f t="shared" si="27"/>
        <v/>
      </c>
      <c r="G258" s="650" t="str">
        <f t="shared" si="28"/>
        <v/>
      </c>
      <c r="H258" s="650" t="str">
        <f t="shared" si="29"/>
        <v/>
      </c>
      <c r="J258" s="650"/>
      <c r="K258" s="650"/>
      <c r="L258" s="650"/>
    </row>
    <row r="259" spans="2:12" x14ac:dyDescent="0.2">
      <c r="B259" s="660" t="str">
        <f t="shared" si="24"/>
        <v>-</v>
      </c>
      <c r="C259" s="661" t="str">
        <f t="shared" si="25"/>
        <v/>
      </c>
      <c r="D259" s="650" t="str">
        <f t="shared" si="23"/>
        <v/>
      </c>
      <c r="E259" s="650" t="str">
        <f t="shared" si="26"/>
        <v/>
      </c>
      <c r="F259" s="650" t="str">
        <f t="shared" si="27"/>
        <v/>
      </c>
      <c r="G259" s="650" t="str">
        <f t="shared" si="28"/>
        <v/>
      </c>
      <c r="H259" s="650" t="str">
        <f t="shared" si="29"/>
        <v/>
      </c>
      <c r="J259" s="650"/>
      <c r="K259" s="650"/>
      <c r="L259" s="650"/>
    </row>
    <row r="260" spans="2:12" x14ac:dyDescent="0.2">
      <c r="B260" s="660" t="str">
        <f t="shared" si="24"/>
        <v>-</v>
      </c>
      <c r="C260" s="661" t="str">
        <f t="shared" si="25"/>
        <v/>
      </c>
      <c r="D260" s="650" t="str">
        <f t="shared" si="23"/>
        <v/>
      </c>
      <c r="E260" s="650" t="str">
        <f t="shared" si="26"/>
        <v/>
      </c>
      <c r="F260" s="650" t="str">
        <f t="shared" si="27"/>
        <v/>
      </c>
      <c r="G260" s="650" t="str">
        <f t="shared" si="28"/>
        <v/>
      </c>
      <c r="H260" s="650" t="str">
        <f t="shared" si="29"/>
        <v/>
      </c>
      <c r="J260" s="650"/>
      <c r="K260" s="650"/>
      <c r="L260" s="650"/>
    </row>
    <row r="261" spans="2:12" x14ac:dyDescent="0.2">
      <c r="B261" s="660" t="str">
        <f t="shared" si="24"/>
        <v>-</v>
      </c>
      <c r="C261" s="661" t="str">
        <f t="shared" si="25"/>
        <v/>
      </c>
      <c r="D261" s="650" t="str">
        <f t="shared" si="23"/>
        <v/>
      </c>
      <c r="E261" s="650" t="str">
        <f t="shared" si="26"/>
        <v/>
      </c>
      <c r="F261" s="650" t="str">
        <f t="shared" si="27"/>
        <v/>
      </c>
      <c r="G261" s="650" t="str">
        <f t="shared" si="28"/>
        <v/>
      </c>
      <c r="H261" s="650" t="str">
        <f t="shared" si="29"/>
        <v/>
      </c>
      <c r="J261" s="650"/>
      <c r="K261" s="650"/>
      <c r="L261" s="650"/>
    </row>
    <row r="262" spans="2:12" x14ac:dyDescent="0.2">
      <c r="B262" s="660" t="str">
        <f t="shared" si="24"/>
        <v>-</v>
      </c>
      <c r="C262" s="661" t="str">
        <f t="shared" si="25"/>
        <v/>
      </c>
      <c r="D262" s="650" t="str">
        <f t="shared" ref="D262:D325" si="30">IF(ISNUMBER(B262),D261-F261,"")</f>
        <v/>
      </c>
      <c r="E262" s="650" t="str">
        <f t="shared" si="26"/>
        <v/>
      </c>
      <c r="F262" s="650" t="str">
        <f t="shared" si="27"/>
        <v/>
      </c>
      <c r="G262" s="650" t="str">
        <f t="shared" si="28"/>
        <v/>
      </c>
      <c r="H262" s="650" t="str">
        <f t="shared" si="29"/>
        <v/>
      </c>
      <c r="J262" s="650"/>
      <c r="K262" s="650"/>
      <c r="L262" s="650"/>
    </row>
    <row r="263" spans="2:12" x14ac:dyDescent="0.2">
      <c r="B263" s="660" t="str">
        <f t="shared" si="24"/>
        <v>-</v>
      </c>
      <c r="C263" s="661" t="str">
        <f t="shared" si="25"/>
        <v/>
      </c>
      <c r="D263" s="650" t="str">
        <f t="shared" si="30"/>
        <v/>
      </c>
      <c r="E263" s="650" t="str">
        <f t="shared" si="26"/>
        <v/>
      </c>
      <c r="F263" s="650" t="str">
        <f t="shared" si="27"/>
        <v/>
      </c>
      <c r="G263" s="650" t="str">
        <f t="shared" si="28"/>
        <v/>
      </c>
      <c r="H263" s="650" t="str">
        <f t="shared" si="29"/>
        <v/>
      </c>
      <c r="J263" s="650"/>
      <c r="K263" s="650"/>
      <c r="L263" s="650"/>
    </row>
    <row r="264" spans="2:12" x14ac:dyDescent="0.2">
      <c r="B264" s="660" t="str">
        <f t="shared" si="24"/>
        <v>-</v>
      </c>
      <c r="C264" s="661" t="str">
        <f t="shared" si="25"/>
        <v/>
      </c>
      <c r="D264" s="650" t="str">
        <f t="shared" si="30"/>
        <v/>
      </c>
      <c r="E264" s="650" t="str">
        <f t="shared" si="26"/>
        <v/>
      </c>
      <c r="F264" s="650" t="str">
        <f t="shared" si="27"/>
        <v/>
      </c>
      <c r="G264" s="650" t="str">
        <f t="shared" si="28"/>
        <v/>
      </c>
      <c r="H264" s="650" t="str">
        <f t="shared" si="29"/>
        <v/>
      </c>
      <c r="J264" s="650"/>
      <c r="K264" s="650"/>
      <c r="L264" s="650"/>
    </row>
    <row r="265" spans="2:12" x14ac:dyDescent="0.2">
      <c r="B265" s="660" t="str">
        <f t="shared" si="24"/>
        <v>-</v>
      </c>
      <c r="C265" s="661" t="str">
        <f t="shared" si="25"/>
        <v/>
      </c>
      <c r="D265" s="650" t="str">
        <f t="shared" si="30"/>
        <v/>
      </c>
      <c r="E265" s="650" t="str">
        <f t="shared" si="26"/>
        <v/>
      </c>
      <c r="F265" s="650" t="str">
        <f t="shared" si="27"/>
        <v/>
      </c>
      <c r="G265" s="650" t="str">
        <f t="shared" si="28"/>
        <v/>
      </c>
      <c r="H265" s="650" t="str">
        <f t="shared" si="29"/>
        <v/>
      </c>
      <c r="J265" s="650"/>
      <c r="K265" s="650"/>
      <c r="L265" s="650"/>
    </row>
    <row r="266" spans="2:12" x14ac:dyDescent="0.2">
      <c r="B266" s="660" t="str">
        <f t="shared" si="24"/>
        <v>-</v>
      </c>
      <c r="C266" s="661" t="str">
        <f t="shared" si="25"/>
        <v/>
      </c>
      <c r="D266" s="650" t="str">
        <f t="shared" si="30"/>
        <v/>
      </c>
      <c r="E266" s="650" t="str">
        <f t="shared" si="26"/>
        <v/>
      </c>
      <c r="F266" s="650" t="str">
        <f t="shared" si="27"/>
        <v/>
      </c>
      <c r="G266" s="650" t="str">
        <f t="shared" si="28"/>
        <v/>
      </c>
      <c r="H266" s="650" t="str">
        <f t="shared" si="29"/>
        <v/>
      </c>
      <c r="J266" s="650"/>
      <c r="K266" s="650"/>
      <c r="L266" s="650"/>
    </row>
    <row r="267" spans="2:12" x14ac:dyDescent="0.2">
      <c r="B267" s="660" t="str">
        <f t="shared" si="24"/>
        <v>-</v>
      </c>
      <c r="C267" s="661" t="str">
        <f t="shared" si="25"/>
        <v/>
      </c>
      <c r="D267" s="650" t="str">
        <f t="shared" si="30"/>
        <v/>
      </c>
      <c r="E267" s="650" t="str">
        <f t="shared" si="26"/>
        <v/>
      </c>
      <c r="F267" s="650" t="str">
        <f t="shared" si="27"/>
        <v/>
      </c>
      <c r="G267" s="650" t="str">
        <f t="shared" si="28"/>
        <v/>
      </c>
      <c r="H267" s="650" t="str">
        <f t="shared" si="29"/>
        <v/>
      </c>
      <c r="J267" s="650"/>
      <c r="K267" s="650"/>
      <c r="L267" s="650"/>
    </row>
    <row r="268" spans="2:12" x14ac:dyDescent="0.2">
      <c r="B268" s="660" t="str">
        <f t="shared" ref="B268:B331" si="31">IF(B267&lt;$L$3,B267+1,"-")</f>
        <v>-</v>
      </c>
      <c r="C268" s="661" t="str">
        <f t="shared" ref="C268:C331" si="32">IF(ISNUMBER(B268),MIN(DATE(YEAR($C$11),MONTH($C$11)+B268*12/$P$5,DAY($C$11)),DATE(YEAR($C$11),MONTH($C$11)+1+B268*12/$P$5,1)-1),"")</f>
        <v/>
      </c>
      <c r="D268" s="650" t="str">
        <f t="shared" si="30"/>
        <v/>
      </c>
      <c r="E268" s="650" t="str">
        <f t="shared" ref="E268:E331" si="33">IF(ISNUMBER(B268),ROUND(D268*$L$7,$R$6),"")</f>
        <v/>
      </c>
      <c r="F268" s="650" t="str">
        <f t="shared" ref="F268:F331" si="34">IF(ISNUMBER(B268),IF(B268=$L$3,D268,IF(B268&gt;$L$4,$H$3-E268,0)),"")</f>
        <v/>
      </c>
      <c r="G268" s="650" t="str">
        <f t="shared" ref="G268:G331" si="35">IF(ISNUMBER(B268),$H$4,"")</f>
        <v/>
      </c>
      <c r="H268" s="650" t="str">
        <f t="shared" ref="H268:H331" si="36">IF(ISNUMBER(B268),E268+F268+G268,"")</f>
        <v/>
      </c>
      <c r="J268" s="650"/>
      <c r="K268" s="650"/>
      <c r="L268" s="650"/>
    </row>
    <row r="269" spans="2:12" x14ac:dyDescent="0.2">
      <c r="B269" s="660" t="str">
        <f t="shared" si="31"/>
        <v>-</v>
      </c>
      <c r="C269" s="661" t="str">
        <f t="shared" si="32"/>
        <v/>
      </c>
      <c r="D269" s="650" t="str">
        <f t="shared" si="30"/>
        <v/>
      </c>
      <c r="E269" s="650" t="str">
        <f t="shared" si="33"/>
        <v/>
      </c>
      <c r="F269" s="650" t="str">
        <f t="shared" si="34"/>
        <v/>
      </c>
      <c r="G269" s="650" t="str">
        <f t="shared" si="35"/>
        <v/>
      </c>
      <c r="H269" s="650" t="str">
        <f t="shared" si="36"/>
        <v/>
      </c>
      <c r="J269" s="650"/>
      <c r="K269" s="650"/>
      <c r="L269" s="650"/>
    </row>
    <row r="270" spans="2:12" x14ac:dyDescent="0.2">
      <c r="B270" s="660" t="str">
        <f t="shared" si="31"/>
        <v>-</v>
      </c>
      <c r="C270" s="661" t="str">
        <f t="shared" si="32"/>
        <v/>
      </c>
      <c r="D270" s="650" t="str">
        <f t="shared" si="30"/>
        <v/>
      </c>
      <c r="E270" s="650" t="str">
        <f t="shared" si="33"/>
        <v/>
      </c>
      <c r="F270" s="650" t="str">
        <f t="shared" si="34"/>
        <v/>
      </c>
      <c r="G270" s="650" t="str">
        <f t="shared" si="35"/>
        <v/>
      </c>
      <c r="H270" s="650" t="str">
        <f t="shared" si="36"/>
        <v/>
      </c>
      <c r="J270" s="650"/>
      <c r="K270" s="650"/>
      <c r="L270" s="650"/>
    </row>
    <row r="271" spans="2:12" x14ac:dyDescent="0.2">
      <c r="B271" s="660" t="str">
        <f t="shared" si="31"/>
        <v>-</v>
      </c>
      <c r="C271" s="661" t="str">
        <f t="shared" si="32"/>
        <v/>
      </c>
      <c r="D271" s="650" t="str">
        <f t="shared" si="30"/>
        <v/>
      </c>
      <c r="E271" s="650" t="str">
        <f t="shared" si="33"/>
        <v/>
      </c>
      <c r="F271" s="650" t="str">
        <f t="shared" si="34"/>
        <v/>
      </c>
      <c r="G271" s="650" t="str">
        <f t="shared" si="35"/>
        <v/>
      </c>
      <c r="H271" s="650" t="str">
        <f t="shared" si="36"/>
        <v/>
      </c>
      <c r="J271" s="650"/>
      <c r="K271" s="650"/>
      <c r="L271" s="650"/>
    </row>
    <row r="272" spans="2:12" x14ac:dyDescent="0.2">
      <c r="B272" s="660" t="str">
        <f t="shared" si="31"/>
        <v>-</v>
      </c>
      <c r="C272" s="661" t="str">
        <f t="shared" si="32"/>
        <v/>
      </c>
      <c r="D272" s="650" t="str">
        <f t="shared" si="30"/>
        <v/>
      </c>
      <c r="E272" s="650" t="str">
        <f t="shared" si="33"/>
        <v/>
      </c>
      <c r="F272" s="650" t="str">
        <f t="shared" si="34"/>
        <v/>
      </c>
      <c r="G272" s="650" t="str">
        <f t="shared" si="35"/>
        <v/>
      </c>
      <c r="H272" s="650" t="str">
        <f t="shared" si="36"/>
        <v/>
      </c>
      <c r="J272" s="650"/>
      <c r="K272" s="650"/>
      <c r="L272" s="650"/>
    </row>
    <row r="273" spans="2:12" x14ac:dyDescent="0.2">
      <c r="B273" s="660" t="str">
        <f t="shared" si="31"/>
        <v>-</v>
      </c>
      <c r="C273" s="661" t="str">
        <f t="shared" si="32"/>
        <v/>
      </c>
      <c r="D273" s="650" t="str">
        <f t="shared" si="30"/>
        <v/>
      </c>
      <c r="E273" s="650" t="str">
        <f t="shared" si="33"/>
        <v/>
      </c>
      <c r="F273" s="650" t="str">
        <f t="shared" si="34"/>
        <v/>
      </c>
      <c r="G273" s="650" t="str">
        <f t="shared" si="35"/>
        <v/>
      </c>
      <c r="H273" s="650" t="str">
        <f t="shared" si="36"/>
        <v/>
      </c>
      <c r="J273" s="650"/>
      <c r="K273" s="650"/>
      <c r="L273" s="650"/>
    </row>
    <row r="274" spans="2:12" x14ac:dyDescent="0.2">
      <c r="B274" s="660" t="str">
        <f t="shared" si="31"/>
        <v>-</v>
      </c>
      <c r="C274" s="661" t="str">
        <f t="shared" si="32"/>
        <v/>
      </c>
      <c r="D274" s="650" t="str">
        <f t="shared" si="30"/>
        <v/>
      </c>
      <c r="E274" s="650" t="str">
        <f t="shared" si="33"/>
        <v/>
      </c>
      <c r="F274" s="650" t="str">
        <f t="shared" si="34"/>
        <v/>
      </c>
      <c r="G274" s="650" t="str">
        <f t="shared" si="35"/>
        <v/>
      </c>
      <c r="H274" s="650" t="str">
        <f t="shared" si="36"/>
        <v/>
      </c>
      <c r="J274" s="650"/>
      <c r="K274" s="650"/>
      <c r="L274" s="650"/>
    </row>
    <row r="275" spans="2:12" x14ac:dyDescent="0.2">
      <c r="B275" s="660" t="str">
        <f t="shared" si="31"/>
        <v>-</v>
      </c>
      <c r="C275" s="661" t="str">
        <f t="shared" si="32"/>
        <v/>
      </c>
      <c r="D275" s="650" t="str">
        <f t="shared" si="30"/>
        <v/>
      </c>
      <c r="E275" s="650" t="str">
        <f t="shared" si="33"/>
        <v/>
      </c>
      <c r="F275" s="650" t="str">
        <f t="shared" si="34"/>
        <v/>
      </c>
      <c r="G275" s="650" t="str">
        <f t="shared" si="35"/>
        <v/>
      </c>
      <c r="H275" s="650" t="str">
        <f t="shared" si="36"/>
        <v/>
      </c>
      <c r="J275" s="650"/>
      <c r="K275" s="650"/>
      <c r="L275" s="650"/>
    </row>
    <row r="276" spans="2:12" x14ac:dyDescent="0.2">
      <c r="B276" s="660" t="str">
        <f t="shared" si="31"/>
        <v>-</v>
      </c>
      <c r="C276" s="661" t="str">
        <f t="shared" si="32"/>
        <v/>
      </c>
      <c r="D276" s="650" t="str">
        <f t="shared" si="30"/>
        <v/>
      </c>
      <c r="E276" s="650" t="str">
        <f t="shared" si="33"/>
        <v/>
      </c>
      <c r="F276" s="650" t="str">
        <f t="shared" si="34"/>
        <v/>
      </c>
      <c r="G276" s="650" t="str">
        <f t="shared" si="35"/>
        <v/>
      </c>
      <c r="H276" s="650" t="str">
        <f t="shared" si="36"/>
        <v/>
      </c>
      <c r="J276" s="650"/>
      <c r="K276" s="650"/>
      <c r="L276" s="650"/>
    </row>
    <row r="277" spans="2:12" x14ac:dyDescent="0.2">
      <c r="B277" s="660" t="str">
        <f t="shared" si="31"/>
        <v>-</v>
      </c>
      <c r="C277" s="661" t="str">
        <f t="shared" si="32"/>
        <v/>
      </c>
      <c r="D277" s="650" t="str">
        <f t="shared" si="30"/>
        <v/>
      </c>
      <c r="E277" s="650" t="str">
        <f t="shared" si="33"/>
        <v/>
      </c>
      <c r="F277" s="650" t="str">
        <f t="shared" si="34"/>
        <v/>
      </c>
      <c r="G277" s="650" t="str">
        <f t="shared" si="35"/>
        <v/>
      </c>
      <c r="H277" s="650" t="str">
        <f t="shared" si="36"/>
        <v/>
      </c>
      <c r="J277" s="650"/>
      <c r="K277" s="650"/>
      <c r="L277" s="650"/>
    </row>
    <row r="278" spans="2:12" x14ac:dyDescent="0.2">
      <c r="B278" s="660" t="str">
        <f t="shared" si="31"/>
        <v>-</v>
      </c>
      <c r="C278" s="661" t="str">
        <f t="shared" si="32"/>
        <v/>
      </c>
      <c r="D278" s="650" t="str">
        <f t="shared" si="30"/>
        <v/>
      </c>
      <c r="E278" s="650" t="str">
        <f t="shared" si="33"/>
        <v/>
      </c>
      <c r="F278" s="650" t="str">
        <f t="shared" si="34"/>
        <v/>
      </c>
      <c r="G278" s="650" t="str">
        <f t="shared" si="35"/>
        <v/>
      </c>
      <c r="H278" s="650" t="str">
        <f t="shared" si="36"/>
        <v/>
      </c>
      <c r="J278" s="650"/>
      <c r="K278" s="650"/>
      <c r="L278" s="650"/>
    </row>
    <row r="279" spans="2:12" x14ac:dyDescent="0.2">
      <c r="B279" s="660" t="str">
        <f t="shared" si="31"/>
        <v>-</v>
      </c>
      <c r="C279" s="661" t="str">
        <f t="shared" si="32"/>
        <v/>
      </c>
      <c r="D279" s="650" t="str">
        <f t="shared" si="30"/>
        <v/>
      </c>
      <c r="E279" s="650" t="str">
        <f t="shared" si="33"/>
        <v/>
      </c>
      <c r="F279" s="650" t="str">
        <f t="shared" si="34"/>
        <v/>
      </c>
      <c r="G279" s="650" t="str">
        <f t="shared" si="35"/>
        <v/>
      </c>
      <c r="H279" s="650" t="str">
        <f t="shared" si="36"/>
        <v/>
      </c>
      <c r="J279" s="650"/>
      <c r="K279" s="650"/>
      <c r="L279" s="650"/>
    </row>
    <row r="280" spans="2:12" x14ac:dyDescent="0.2">
      <c r="B280" s="660" t="str">
        <f t="shared" si="31"/>
        <v>-</v>
      </c>
      <c r="C280" s="661" t="str">
        <f t="shared" si="32"/>
        <v/>
      </c>
      <c r="D280" s="650" t="str">
        <f t="shared" si="30"/>
        <v/>
      </c>
      <c r="E280" s="650" t="str">
        <f t="shared" si="33"/>
        <v/>
      </c>
      <c r="F280" s="650" t="str">
        <f t="shared" si="34"/>
        <v/>
      </c>
      <c r="G280" s="650" t="str">
        <f t="shared" si="35"/>
        <v/>
      </c>
      <c r="H280" s="650" t="str">
        <f t="shared" si="36"/>
        <v/>
      </c>
      <c r="J280" s="650"/>
      <c r="K280" s="650"/>
      <c r="L280" s="650"/>
    </row>
    <row r="281" spans="2:12" x14ac:dyDescent="0.2">
      <c r="B281" s="660" t="str">
        <f t="shared" si="31"/>
        <v>-</v>
      </c>
      <c r="C281" s="661" t="str">
        <f t="shared" si="32"/>
        <v/>
      </c>
      <c r="D281" s="650" t="str">
        <f t="shared" si="30"/>
        <v/>
      </c>
      <c r="E281" s="650" t="str">
        <f t="shared" si="33"/>
        <v/>
      </c>
      <c r="F281" s="650" t="str">
        <f t="shared" si="34"/>
        <v/>
      </c>
      <c r="G281" s="650" t="str">
        <f t="shared" si="35"/>
        <v/>
      </c>
      <c r="H281" s="650" t="str">
        <f t="shared" si="36"/>
        <v/>
      </c>
      <c r="J281" s="650"/>
      <c r="K281" s="650"/>
      <c r="L281" s="650"/>
    </row>
    <row r="282" spans="2:12" x14ac:dyDescent="0.2">
      <c r="B282" s="660" t="str">
        <f t="shared" si="31"/>
        <v>-</v>
      </c>
      <c r="C282" s="661" t="str">
        <f t="shared" si="32"/>
        <v/>
      </c>
      <c r="D282" s="650" t="str">
        <f t="shared" si="30"/>
        <v/>
      </c>
      <c r="E282" s="650" t="str">
        <f t="shared" si="33"/>
        <v/>
      </c>
      <c r="F282" s="650" t="str">
        <f t="shared" si="34"/>
        <v/>
      </c>
      <c r="G282" s="650" t="str">
        <f t="shared" si="35"/>
        <v/>
      </c>
      <c r="H282" s="650" t="str">
        <f t="shared" si="36"/>
        <v/>
      </c>
      <c r="J282" s="650"/>
      <c r="K282" s="650"/>
      <c r="L282" s="650"/>
    </row>
    <row r="283" spans="2:12" x14ac:dyDescent="0.2">
      <c r="B283" s="660" t="str">
        <f t="shared" si="31"/>
        <v>-</v>
      </c>
      <c r="C283" s="661" t="str">
        <f t="shared" si="32"/>
        <v/>
      </c>
      <c r="D283" s="650" t="str">
        <f t="shared" si="30"/>
        <v/>
      </c>
      <c r="E283" s="650" t="str">
        <f t="shared" si="33"/>
        <v/>
      </c>
      <c r="F283" s="650" t="str">
        <f t="shared" si="34"/>
        <v/>
      </c>
      <c r="G283" s="650" t="str">
        <f t="shared" si="35"/>
        <v/>
      </c>
      <c r="H283" s="650" t="str">
        <f t="shared" si="36"/>
        <v/>
      </c>
      <c r="J283" s="650"/>
      <c r="K283" s="650"/>
      <c r="L283" s="650"/>
    </row>
    <row r="284" spans="2:12" x14ac:dyDescent="0.2">
      <c r="B284" s="660" t="str">
        <f t="shared" si="31"/>
        <v>-</v>
      </c>
      <c r="C284" s="661" t="str">
        <f t="shared" si="32"/>
        <v/>
      </c>
      <c r="D284" s="650" t="str">
        <f t="shared" si="30"/>
        <v/>
      </c>
      <c r="E284" s="650" t="str">
        <f t="shared" si="33"/>
        <v/>
      </c>
      <c r="F284" s="650" t="str">
        <f t="shared" si="34"/>
        <v/>
      </c>
      <c r="G284" s="650" t="str">
        <f t="shared" si="35"/>
        <v/>
      </c>
      <c r="H284" s="650" t="str">
        <f t="shared" si="36"/>
        <v/>
      </c>
      <c r="J284" s="650"/>
      <c r="K284" s="650"/>
      <c r="L284" s="650"/>
    </row>
    <row r="285" spans="2:12" x14ac:dyDescent="0.2">
      <c r="B285" s="660" t="str">
        <f t="shared" si="31"/>
        <v>-</v>
      </c>
      <c r="C285" s="661" t="str">
        <f t="shared" si="32"/>
        <v/>
      </c>
      <c r="D285" s="650" t="str">
        <f t="shared" si="30"/>
        <v/>
      </c>
      <c r="E285" s="650" t="str">
        <f t="shared" si="33"/>
        <v/>
      </c>
      <c r="F285" s="650" t="str">
        <f t="shared" si="34"/>
        <v/>
      </c>
      <c r="G285" s="650" t="str">
        <f t="shared" si="35"/>
        <v/>
      </c>
      <c r="H285" s="650" t="str">
        <f t="shared" si="36"/>
        <v/>
      </c>
      <c r="J285" s="650"/>
      <c r="K285" s="650"/>
      <c r="L285" s="650"/>
    </row>
    <row r="286" spans="2:12" x14ac:dyDescent="0.2">
      <c r="B286" s="660" t="str">
        <f t="shared" si="31"/>
        <v>-</v>
      </c>
      <c r="C286" s="661" t="str">
        <f t="shared" si="32"/>
        <v/>
      </c>
      <c r="D286" s="650" t="str">
        <f t="shared" si="30"/>
        <v/>
      </c>
      <c r="E286" s="650" t="str">
        <f t="shared" si="33"/>
        <v/>
      </c>
      <c r="F286" s="650" t="str">
        <f t="shared" si="34"/>
        <v/>
      </c>
      <c r="G286" s="650" t="str">
        <f t="shared" si="35"/>
        <v/>
      </c>
      <c r="H286" s="650" t="str">
        <f t="shared" si="36"/>
        <v/>
      </c>
      <c r="J286" s="650"/>
      <c r="K286" s="650"/>
      <c r="L286" s="650"/>
    </row>
    <row r="287" spans="2:12" x14ac:dyDescent="0.2">
      <c r="B287" s="660" t="str">
        <f t="shared" si="31"/>
        <v>-</v>
      </c>
      <c r="C287" s="661" t="str">
        <f t="shared" si="32"/>
        <v/>
      </c>
      <c r="D287" s="650" t="str">
        <f t="shared" si="30"/>
        <v/>
      </c>
      <c r="E287" s="650" t="str">
        <f t="shared" si="33"/>
        <v/>
      </c>
      <c r="F287" s="650" t="str">
        <f t="shared" si="34"/>
        <v/>
      </c>
      <c r="G287" s="650" t="str">
        <f t="shared" si="35"/>
        <v/>
      </c>
      <c r="H287" s="650" t="str">
        <f t="shared" si="36"/>
        <v/>
      </c>
      <c r="J287" s="650"/>
      <c r="K287" s="650"/>
      <c r="L287" s="650"/>
    </row>
    <row r="288" spans="2:12" x14ac:dyDescent="0.2">
      <c r="B288" s="660" t="str">
        <f t="shared" si="31"/>
        <v>-</v>
      </c>
      <c r="C288" s="661" t="str">
        <f t="shared" si="32"/>
        <v/>
      </c>
      <c r="D288" s="650" t="str">
        <f t="shared" si="30"/>
        <v/>
      </c>
      <c r="E288" s="650" t="str">
        <f t="shared" si="33"/>
        <v/>
      </c>
      <c r="F288" s="650" t="str">
        <f t="shared" si="34"/>
        <v/>
      </c>
      <c r="G288" s="650" t="str">
        <f t="shared" si="35"/>
        <v/>
      </c>
      <c r="H288" s="650" t="str">
        <f t="shared" si="36"/>
        <v/>
      </c>
      <c r="J288" s="650"/>
      <c r="K288" s="650"/>
      <c r="L288" s="650"/>
    </row>
    <row r="289" spans="2:12" x14ac:dyDescent="0.2">
      <c r="B289" s="660" t="str">
        <f t="shared" si="31"/>
        <v>-</v>
      </c>
      <c r="C289" s="661" t="str">
        <f t="shared" si="32"/>
        <v/>
      </c>
      <c r="D289" s="650" t="str">
        <f t="shared" si="30"/>
        <v/>
      </c>
      <c r="E289" s="650" t="str">
        <f t="shared" si="33"/>
        <v/>
      </c>
      <c r="F289" s="650" t="str">
        <f t="shared" si="34"/>
        <v/>
      </c>
      <c r="G289" s="650" t="str">
        <f t="shared" si="35"/>
        <v/>
      </c>
      <c r="H289" s="650" t="str">
        <f t="shared" si="36"/>
        <v/>
      </c>
      <c r="J289" s="650"/>
      <c r="K289" s="650"/>
      <c r="L289" s="650"/>
    </row>
    <row r="290" spans="2:12" x14ac:dyDescent="0.2">
      <c r="B290" s="660" t="str">
        <f t="shared" si="31"/>
        <v>-</v>
      </c>
      <c r="C290" s="661" t="str">
        <f t="shared" si="32"/>
        <v/>
      </c>
      <c r="D290" s="650" t="str">
        <f t="shared" si="30"/>
        <v/>
      </c>
      <c r="E290" s="650" t="str">
        <f t="shared" si="33"/>
        <v/>
      </c>
      <c r="F290" s="650" t="str">
        <f t="shared" si="34"/>
        <v/>
      </c>
      <c r="G290" s="650" t="str">
        <f t="shared" si="35"/>
        <v/>
      </c>
      <c r="H290" s="650" t="str">
        <f t="shared" si="36"/>
        <v/>
      </c>
      <c r="J290" s="650"/>
      <c r="K290" s="650"/>
      <c r="L290" s="650"/>
    </row>
    <row r="291" spans="2:12" x14ac:dyDescent="0.2">
      <c r="B291" s="660" t="str">
        <f t="shared" si="31"/>
        <v>-</v>
      </c>
      <c r="C291" s="661" t="str">
        <f t="shared" si="32"/>
        <v/>
      </c>
      <c r="D291" s="650" t="str">
        <f t="shared" si="30"/>
        <v/>
      </c>
      <c r="E291" s="650" t="str">
        <f t="shared" si="33"/>
        <v/>
      </c>
      <c r="F291" s="650" t="str">
        <f t="shared" si="34"/>
        <v/>
      </c>
      <c r="G291" s="650" t="str">
        <f t="shared" si="35"/>
        <v/>
      </c>
      <c r="H291" s="650" t="str">
        <f t="shared" si="36"/>
        <v/>
      </c>
      <c r="J291" s="650"/>
      <c r="K291" s="650"/>
      <c r="L291" s="650"/>
    </row>
    <row r="292" spans="2:12" x14ac:dyDescent="0.2">
      <c r="B292" s="660" t="str">
        <f t="shared" si="31"/>
        <v>-</v>
      </c>
      <c r="C292" s="661" t="str">
        <f t="shared" si="32"/>
        <v/>
      </c>
      <c r="D292" s="650" t="str">
        <f t="shared" si="30"/>
        <v/>
      </c>
      <c r="E292" s="650" t="str">
        <f t="shared" si="33"/>
        <v/>
      </c>
      <c r="F292" s="650" t="str">
        <f t="shared" si="34"/>
        <v/>
      </c>
      <c r="G292" s="650" t="str">
        <f t="shared" si="35"/>
        <v/>
      </c>
      <c r="H292" s="650" t="str">
        <f t="shared" si="36"/>
        <v/>
      </c>
      <c r="J292" s="650"/>
      <c r="K292" s="650"/>
      <c r="L292" s="650"/>
    </row>
    <row r="293" spans="2:12" x14ac:dyDescent="0.2">
      <c r="B293" s="660" t="str">
        <f t="shared" si="31"/>
        <v>-</v>
      </c>
      <c r="C293" s="661" t="str">
        <f t="shared" si="32"/>
        <v/>
      </c>
      <c r="D293" s="650" t="str">
        <f t="shared" si="30"/>
        <v/>
      </c>
      <c r="E293" s="650" t="str">
        <f t="shared" si="33"/>
        <v/>
      </c>
      <c r="F293" s="650" t="str">
        <f t="shared" si="34"/>
        <v/>
      </c>
      <c r="G293" s="650" t="str">
        <f t="shared" si="35"/>
        <v/>
      </c>
      <c r="H293" s="650" t="str">
        <f t="shared" si="36"/>
        <v/>
      </c>
      <c r="J293" s="650"/>
      <c r="K293" s="650"/>
      <c r="L293" s="650"/>
    </row>
    <row r="294" spans="2:12" x14ac:dyDescent="0.2">
      <c r="B294" s="660" t="str">
        <f t="shared" si="31"/>
        <v>-</v>
      </c>
      <c r="C294" s="661" t="str">
        <f t="shared" si="32"/>
        <v/>
      </c>
      <c r="D294" s="650" t="str">
        <f t="shared" si="30"/>
        <v/>
      </c>
      <c r="E294" s="650" t="str">
        <f t="shared" si="33"/>
        <v/>
      </c>
      <c r="F294" s="650" t="str">
        <f t="shared" si="34"/>
        <v/>
      </c>
      <c r="G294" s="650" t="str">
        <f t="shared" si="35"/>
        <v/>
      </c>
      <c r="H294" s="650" t="str">
        <f t="shared" si="36"/>
        <v/>
      </c>
      <c r="J294" s="650"/>
      <c r="K294" s="650"/>
      <c r="L294" s="650"/>
    </row>
    <row r="295" spans="2:12" x14ac:dyDescent="0.2">
      <c r="B295" s="660" t="str">
        <f t="shared" si="31"/>
        <v>-</v>
      </c>
      <c r="C295" s="661" t="str">
        <f t="shared" si="32"/>
        <v/>
      </c>
      <c r="D295" s="650" t="str">
        <f t="shared" si="30"/>
        <v/>
      </c>
      <c r="E295" s="650" t="str">
        <f t="shared" si="33"/>
        <v/>
      </c>
      <c r="F295" s="650" t="str">
        <f t="shared" si="34"/>
        <v/>
      </c>
      <c r="G295" s="650" t="str">
        <f t="shared" si="35"/>
        <v/>
      </c>
      <c r="H295" s="650" t="str">
        <f t="shared" si="36"/>
        <v/>
      </c>
      <c r="J295" s="650"/>
      <c r="K295" s="650"/>
      <c r="L295" s="650"/>
    </row>
    <row r="296" spans="2:12" x14ac:dyDescent="0.2">
      <c r="B296" s="660" t="str">
        <f t="shared" si="31"/>
        <v>-</v>
      </c>
      <c r="C296" s="661" t="str">
        <f t="shared" si="32"/>
        <v/>
      </c>
      <c r="D296" s="650" t="str">
        <f t="shared" si="30"/>
        <v/>
      </c>
      <c r="E296" s="650" t="str">
        <f t="shared" si="33"/>
        <v/>
      </c>
      <c r="F296" s="650" t="str">
        <f t="shared" si="34"/>
        <v/>
      </c>
      <c r="G296" s="650" t="str">
        <f t="shared" si="35"/>
        <v/>
      </c>
      <c r="H296" s="650" t="str">
        <f t="shared" si="36"/>
        <v/>
      </c>
      <c r="J296" s="650"/>
      <c r="K296" s="650"/>
      <c r="L296" s="650"/>
    </row>
    <row r="297" spans="2:12" x14ac:dyDescent="0.2">
      <c r="B297" s="660" t="str">
        <f t="shared" si="31"/>
        <v>-</v>
      </c>
      <c r="C297" s="661" t="str">
        <f t="shared" si="32"/>
        <v/>
      </c>
      <c r="D297" s="650" t="str">
        <f t="shared" si="30"/>
        <v/>
      </c>
      <c r="E297" s="650" t="str">
        <f t="shared" si="33"/>
        <v/>
      </c>
      <c r="F297" s="650" t="str">
        <f t="shared" si="34"/>
        <v/>
      </c>
      <c r="G297" s="650" t="str">
        <f t="shared" si="35"/>
        <v/>
      </c>
      <c r="H297" s="650" t="str">
        <f t="shared" si="36"/>
        <v/>
      </c>
      <c r="J297" s="650"/>
      <c r="K297" s="650"/>
      <c r="L297" s="650"/>
    </row>
    <row r="298" spans="2:12" x14ac:dyDescent="0.2">
      <c r="B298" s="660" t="str">
        <f t="shared" si="31"/>
        <v>-</v>
      </c>
      <c r="C298" s="661" t="str">
        <f t="shared" si="32"/>
        <v/>
      </c>
      <c r="D298" s="650" t="str">
        <f t="shared" si="30"/>
        <v/>
      </c>
      <c r="E298" s="650" t="str">
        <f t="shared" si="33"/>
        <v/>
      </c>
      <c r="F298" s="650" t="str">
        <f t="shared" si="34"/>
        <v/>
      </c>
      <c r="G298" s="650" t="str">
        <f t="shared" si="35"/>
        <v/>
      </c>
      <c r="H298" s="650" t="str">
        <f t="shared" si="36"/>
        <v/>
      </c>
      <c r="J298" s="650"/>
      <c r="K298" s="650"/>
      <c r="L298" s="650"/>
    </row>
    <row r="299" spans="2:12" x14ac:dyDescent="0.2">
      <c r="B299" s="660" t="str">
        <f t="shared" si="31"/>
        <v>-</v>
      </c>
      <c r="C299" s="661" t="str">
        <f t="shared" si="32"/>
        <v/>
      </c>
      <c r="D299" s="650" t="str">
        <f t="shared" si="30"/>
        <v/>
      </c>
      <c r="E299" s="650" t="str">
        <f t="shared" si="33"/>
        <v/>
      </c>
      <c r="F299" s="650" t="str">
        <f t="shared" si="34"/>
        <v/>
      </c>
      <c r="G299" s="650" t="str">
        <f t="shared" si="35"/>
        <v/>
      </c>
      <c r="H299" s="650" t="str">
        <f t="shared" si="36"/>
        <v/>
      </c>
      <c r="J299" s="650"/>
      <c r="K299" s="650"/>
      <c r="L299" s="650"/>
    </row>
    <row r="300" spans="2:12" x14ac:dyDescent="0.2">
      <c r="B300" s="660" t="str">
        <f t="shared" si="31"/>
        <v>-</v>
      </c>
      <c r="C300" s="661" t="str">
        <f t="shared" si="32"/>
        <v/>
      </c>
      <c r="D300" s="650" t="str">
        <f t="shared" si="30"/>
        <v/>
      </c>
      <c r="E300" s="650" t="str">
        <f t="shared" si="33"/>
        <v/>
      </c>
      <c r="F300" s="650" t="str">
        <f t="shared" si="34"/>
        <v/>
      </c>
      <c r="G300" s="650" t="str">
        <f t="shared" si="35"/>
        <v/>
      </c>
      <c r="H300" s="650" t="str">
        <f t="shared" si="36"/>
        <v/>
      </c>
      <c r="J300" s="650"/>
      <c r="K300" s="650"/>
      <c r="L300" s="650"/>
    </row>
    <row r="301" spans="2:12" x14ac:dyDescent="0.2">
      <c r="B301" s="660" t="str">
        <f t="shared" si="31"/>
        <v>-</v>
      </c>
      <c r="C301" s="661" t="str">
        <f t="shared" si="32"/>
        <v/>
      </c>
      <c r="D301" s="650" t="str">
        <f t="shared" si="30"/>
        <v/>
      </c>
      <c r="E301" s="650" t="str">
        <f t="shared" si="33"/>
        <v/>
      </c>
      <c r="F301" s="650" t="str">
        <f t="shared" si="34"/>
        <v/>
      </c>
      <c r="G301" s="650" t="str">
        <f t="shared" si="35"/>
        <v/>
      </c>
      <c r="H301" s="650" t="str">
        <f t="shared" si="36"/>
        <v/>
      </c>
      <c r="J301" s="650"/>
      <c r="K301" s="650"/>
      <c r="L301" s="650"/>
    </row>
    <row r="302" spans="2:12" x14ac:dyDescent="0.2">
      <c r="B302" s="660" t="str">
        <f t="shared" si="31"/>
        <v>-</v>
      </c>
      <c r="C302" s="661" t="str">
        <f t="shared" si="32"/>
        <v/>
      </c>
      <c r="D302" s="650" t="str">
        <f t="shared" si="30"/>
        <v/>
      </c>
      <c r="E302" s="650" t="str">
        <f t="shared" si="33"/>
        <v/>
      </c>
      <c r="F302" s="650" t="str">
        <f t="shared" si="34"/>
        <v/>
      </c>
      <c r="G302" s="650" t="str">
        <f t="shared" si="35"/>
        <v/>
      </c>
      <c r="H302" s="650" t="str">
        <f t="shared" si="36"/>
        <v/>
      </c>
      <c r="J302" s="650"/>
      <c r="K302" s="650"/>
      <c r="L302" s="650"/>
    </row>
    <row r="303" spans="2:12" x14ac:dyDescent="0.2">
      <c r="B303" s="660" t="str">
        <f t="shared" si="31"/>
        <v>-</v>
      </c>
      <c r="C303" s="661" t="str">
        <f t="shared" si="32"/>
        <v/>
      </c>
      <c r="D303" s="650" t="str">
        <f t="shared" si="30"/>
        <v/>
      </c>
      <c r="E303" s="650" t="str">
        <f t="shared" si="33"/>
        <v/>
      </c>
      <c r="F303" s="650" t="str">
        <f t="shared" si="34"/>
        <v/>
      </c>
      <c r="G303" s="650" t="str">
        <f t="shared" si="35"/>
        <v/>
      </c>
      <c r="H303" s="650" t="str">
        <f t="shared" si="36"/>
        <v/>
      </c>
      <c r="J303" s="650"/>
      <c r="K303" s="650"/>
      <c r="L303" s="650"/>
    </row>
    <row r="304" spans="2:12" x14ac:dyDescent="0.2">
      <c r="B304" s="660" t="str">
        <f t="shared" si="31"/>
        <v>-</v>
      </c>
      <c r="C304" s="661" t="str">
        <f t="shared" si="32"/>
        <v/>
      </c>
      <c r="D304" s="650" t="str">
        <f t="shared" si="30"/>
        <v/>
      </c>
      <c r="E304" s="650" t="str">
        <f t="shared" si="33"/>
        <v/>
      </c>
      <c r="F304" s="650" t="str">
        <f t="shared" si="34"/>
        <v/>
      </c>
      <c r="G304" s="650" t="str">
        <f t="shared" si="35"/>
        <v/>
      </c>
      <c r="H304" s="650" t="str">
        <f t="shared" si="36"/>
        <v/>
      </c>
      <c r="J304" s="650"/>
      <c r="K304" s="650"/>
      <c r="L304" s="650"/>
    </row>
    <row r="305" spans="2:12" x14ac:dyDescent="0.2">
      <c r="B305" s="660" t="str">
        <f t="shared" si="31"/>
        <v>-</v>
      </c>
      <c r="C305" s="661" t="str">
        <f t="shared" si="32"/>
        <v/>
      </c>
      <c r="D305" s="650" t="str">
        <f t="shared" si="30"/>
        <v/>
      </c>
      <c r="E305" s="650" t="str">
        <f t="shared" si="33"/>
        <v/>
      </c>
      <c r="F305" s="650" t="str">
        <f t="shared" si="34"/>
        <v/>
      </c>
      <c r="G305" s="650" t="str">
        <f t="shared" si="35"/>
        <v/>
      </c>
      <c r="H305" s="650" t="str">
        <f t="shared" si="36"/>
        <v/>
      </c>
      <c r="J305" s="650"/>
      <c r="K305" s="650"/>
      <c r="L305" s="650"/>
    </row>
    <row r="306" spans="2:12" x14ac:dyDescent="0.2">
      <c r="B306" s="660" t="str">
        <f t="shared" si="31"/>
        <v>-</v>
      </c>
      <c r="C306" s="661" t="str">
        <f t="shared" si="32"/>
        <v/>
      </c>
      <c r="D306" s="650" t="str">
        <f t="shared" si="30"/>
        <v/>
      </c>
      <c r="E306" s="650" t="str">
        <f t="shared" si="33"/>
        <v/>
      </c>
      <c r="F306" s="650" t="str">
        <f t="shared" si="34"/>
        <v/>
      </c>
      <c r="G306" s="650" t="str">
        <f t="shared" si="35"/>
        <v/>
      </c>
      <c r="H306" s="650" t="str">
        <f t="shared" si="36"/>
        <v/>
      </c>
      <c r="J306" s="650"/>
      <c r="K306" s="650"/>
      <c r="L306" s="650"/>
    </row>
    <row r="307" spans="2:12" x14ac:dyDescent="0.2">
      <c r="B307" s="660" t="str">
        <f t="shared" si="31"/>
        <v>-</v>
      </c>
      <c r="C307" s="661" t="str">
        <f t="shared" si="32"/>
        <v/>
      </c>
      <c r="D307" s="650" t="str">
        <f t="shared" si="30"/>
        <v/>
      </c>
      <c r="E307" s="650" t="str">
        <f t="shared" si="33"/>
        <v/>
      </c>
      <c r="F307" s="650" t="str">
        <f t="shared" si="34"/>
        <v/>
      </c>
      <c r="G307" s="650" t="str">
        <f t="shared" si="35"/>
        <v/>
      </c>
      <c r="H307" s="650" t="str">
        <f t="shared" si="36"/>
        <v/>
      </c>
      <c r="J307" s="650"/>
      <c r="K307" s="650"/>
      <c r="L307" s="650"/>
    </row>
    <row r="308" spans="2:12" x14ac:dyDescent="0.2">
      <c r="B308" s="660" t="str">
        <f t="shared" si="31"/>
        <v>-</v>
      </c>
      <c r="C308" s="661" t="str">
        <f t="shared" si="32"/>
        <v/>
      </c>
      <c r="D308" s="650" t="str">
        <f t="shared" si="30"/>
        <v/>
      </c>
      <c r="E308" s="650" t="str">
        <f t="shared" si="33"/>
        <v/>
      </c>
      <c r="F308" s="650" t="str">
        <f t="shared" si="34"/>
        <v/>
      </c>
      <c r="G308" s="650" t="str">
        <f t="shared" si="35"/>
        <v/>
      </c>
      <c r="H308" s="650" t="str">
        <f t="shared" si="36"/>
        <v/>
      </c>
      <c r="J308" s="650"/>
      <c r="K308" s="650"/>
      <c r="L308" s="650"/>
    </row>
    <row r="309" spans="2:12" x14ac:dyDescent="0.2">
      <c r="B309" s="660" t="str">
        <f t="shared" si="31"/>
        <v>-</v>
      </c>
      <c r="C309" s="661" t="str">
        <f t="shared" si="32"/>
        <v/>
      </c>
      <c r="D309" s="650" t="str">
        <f t="shared" si="30"/>
        <v/>
      </c>
      <c r="E309" s="650" t="str">
        <f t="shared" si="33"/>
        <v/>
      </c>
      <c r="F309" s="650" t="str">
        <f t="shared" si="34"/>
        <v/>
      </c>
      <c r="G309" s="650" t="str">
        <f t="shared" si="35"/>
        <v/>
      </c>
      <c r="H309" s="650" t="str">
        <f t="shared" si="36"/>
        <v/>
      </c>
      <c r="J309" s="650"/>
      <c r="K309" s="650"/>
      <c r="L309" s="650"/>
    </row>
    <row r="310" spans="2:12" x14ac:dyDescent="0.2">
      <c r="B310" s="660" t="str">
        <f t="shared" si="31"/>
        <v>-</v>
      </c>
      <c r="C310" s="661" t="str">
        <f t="shared" si="32"/>
        <v/>
      </c>
      <c r="D310" s="650" t="str">
        <f t="shared" si="30"/>
        <v/>
      </c>
      <c r="E310" s="650" t="str">
        <f t="shared" si="33"/>
        <v/>
      </c>
      <c r="F310" s="650" t="str">
        <f t="shared" si="34"/>
        <v/>
      </c>
      <c r="G310" s="650" t="str">
        <f t="shared" si="35"/>
        <v/>
      </c>
      <c r="H310" s="650" t="str">
        <f t="shared" si="36"/>
        <v/>
      </c>
      <c r="J310" s="650"/>
      <c r="K310" s="650"/>
      <c r="L310" s="650"/>
    </row>
    <row r="311" spans="2:12" x14ac:dyDescent="0.2">
      <c r="B311" s="660" t="str">
        <f t="shared" si="31"/>
        <v>-</v>
      </c>
      <c r="C311" s="661" t="str">
        <f t="shared" si="32"/>
        <v/>
      </c>
      <c r="D311" s="650" t="str">
        <f t="shared" si="30"/>
        <v/>
      </c>
      <c r="E311" s="650" t="str">
        <f t="shared" si="33"/>
        <v/>
      </c>
      <c r="F311" s="650" t="str">
        <f t="shared" si="34"/>
        <v/>
      </c>
      <c r="G311" s="650" t="str">
        <f t="shared" si="35"/>
        <v/>
      </c>
      <c r="H311" s="650" t="str">
        <f t="shared" si="36"/>
        <v/>
      </c>
      <c r="J311" s="650"/>
      <c r="K311" s="650"/>
      <c r="L311" s="650"/>
    </row>
    <row r="312" spans="2:12" x14ac:dyDescent="0.2">
      <c r="B312" s="660" t="str">
        <f t="shared" si="31"/>
        <v>-</v>
      </c>
      <c r="C312" s="661" t="str">
        <f t="shared" si="32"/>
        <v/>
      </c>
      <c r="D312" s="650" t="str">
        <f t="shared" si="30"/>
        <v/>
      </c>
      <c r="E312" s="650" t="str">
        <f t="shared" si="33"/>
        <v/>
      </c>
      <c r="F312" s="650" t="str">
        <f t="shared" si="34"/>
        <v/>
      </c>
      <c r="G312" s="650" t="str">
        <f t="shared" si="35"/>
        <v/>
      </c>
      <c r="H312" s="650" t="str">
        <f t="shared" si="36"/>
        <v/>
      </c>
      <c r="J312" s="650"/>
      <c r="K312" s="650"/>
      <c r="L312" s="650"/>
    </row>
    <row r="313" spans="2:12" x14ac:dyDescent="0.2">
      <c r="B313" s="660" t="str">
        <f t="shared" si="31"/>
        <v>-</v>
      </c>
      <c r="C313" s="661" t="str">
        <f t="shared" si="32"/>
        <v/>
      </c>
      <c r="D313" s="650" t="str">
        <f t="shared" si="30"/>
        <v/>
      </c>
      <c r="E313" s="650" t="str">
        <f t="shared" si="33"/>
        <v/>
      </c>
      <c r="F313" s="650" t="str">
        <f t="shared" si="34"/>
        <v/>
      </c>
      <c r="G313" s="650" t="str">
        <f t="shared" si="35"/>
        <v/>
      </c>
      <c r="H313" s="650" t="str">
        <f t="shared" si="36"/>
        <v/>
      </c>
      <c r="J313" s="650"/>
      <c r="K313" s="650"/>
      <c r="L313" s="650"/>
    </row>
    <row r="314" spans="2:12" x14ac:dyDescent="0.2">
      <c r="B314" s="660" t="str">
        <f t="shared" si="31"/>
        <v>-</v>
      </c>
      <c r="C314" s="661" t="str">
        <f t="shared" si="32"/>
        <v/>
      </c>
      <c r="D314" s="650" t="str">
        <f t="shared" si="30"/>
        <v/>
      </c>
      <c r="E314" s="650" t="str">
        <f t="shared" si="33"/>
        <v/>
      </c>
      <c r="F314" s="650" t="str">
        <f t="shared" si="34"/>
        <v/>
      </c>
      <c r="G314" s="650" t="str">
        <f t="shared" si="35"/>
        <v/>
      </c>
      <c r="H314" s="650" t="str">
        <f t="shared" si="36"/>
        <v/>
      </c>
      <c r="J314" s="650"/>
      <c r="K314" s="650"/>
      <c r="L314" s="650"/>
    </row>
    <row r="315" spans="2:12" x14ac:dyDescent="0.2">
      <c r="B315" s="660" t="str">
        <f t="shared" si="31"/>
        <v>-</v>
      </c>
      <c r="C315" s="661" t="str">
        <f t="shared" si="32"/>
        <v/>
      </c>
      <c r="D315" s="650" t="str">
        <f t="shared" si="30"/>
        <v/>
      </c>
      <c r="E315" s="650" t="str">
        <f t="shared" si="33"/>
        <v/>
      </c>
      <c r="F315" s="650" t="str">
        <f t="shared" si="34"/>
        <v/>
      </c>
      <c r="G315" s="650" t="str">
        <f t="shared" si="35"/>
        <v/>
      </c>
      <c r="H315" s="650" t="str">
        <f t="shared" si="36"/>
        <v/>
      </c>
      <c r="J315" s="650"/>
      <c r="K315" s="650"/>
      <c r="L315" s="650"/>
    </row>
    <row r="316" spans="2:12" x14ac:dyDescent="0.2">
      <c r="B316" s="660" t="str">
        <f t="shared" si="31"/>
        <v>-</v>
      </c>
      <c r="C316" s="661" t="str">
        <f t="shared" si="32"/>
        <v/>
      </c>
      <c r="D316" s="650" t="str">
        <f t="shared" si="30"/>
        <v/>
      </c>
      <c r="E316" s="650" t="str">
        <f t="shared" si="33"/>
        <v/>
      </c>
      <c r="F316" s="650" t="str">
        <f t="shared" si="34"/>
        <v/>
      </c>
      <c r="G316" s="650" t="str">
        <f t="shared" si="35"/>
        <v/>
      </c>
      <c r="H316" s="650" t="str">
        <f t="shared" si="36"/>
        <v/>
      </c>
      <c r="J316" s="650"/>
      <c r="K316" s="650"/>
      <c r="L316" s="650"/>
    </row>
    <row r="317" spans="2:12" x14ac:dyDescent="0.2">
      <c r="B317" s="660" t="str">
        <f t="shared" si="31"/>
        <v>-</v>
      </c>
      <c r="C317" s="661" t="str">
        <f t="shared" si="32"/>
        <v/>
      </c>
      <c r="D317" s="650" t="str">
        <f t="shared" si="30"/>
        <v/>
      </c>
      <c r="E317" s="650" t="str">
        <f t="shared" si="33"/>
        <v/>
      </c>
      <c r="F317" s="650" t="str">
        <f t="shared" si="34"/>
        <v/>
      </c>
      <c r="G317" s="650" t="str">
        <f t="shared" si="35"/>
        <v/>
      </c>
      <c r="H317" s="650" t="str">
        <f t="shared" si="36"/>
        <v/>
      </c>
      <c r="J317" s="650"/>
      <c r="K317" s="650"/>
      <c r="L317" s="650"/>
    </row>
    <row r="318" spans="2:12" x14ac:dyDescent="0.2">
      <c r="B318" s="660" t="str">
        <f t="shared" si="31"/>
        <v>-</v>
      </c>
      <c r="C318" s="661" t="str">
        <f t="shared" si="32"/>
        <v/>
      </c>
      <c r="D318" s="650" t="str">
        <f t="shared" si="30"/>
        <v/>
      </c>
      <c r="E318" s="650" t="str">
        <f t="shared" si="33"/>
        <v/>
      </c>
      <c r="F318" s="650" t="str">
        <f t="shared" si="34"/>
        <v/>
      </c>
      <c r="G318" s="650" t="str">
        <f t="shared" si="35"/>
        <v/>
      </c>
      <c r="H318" s="650" t="str">
        <f t="shared" si="36"/>
        <v/>
      </c>
      <c r="J318" s="650"/>
      <c r="K318" s="650"/>
      <c r="L318" s="650"/>
    </row>
    <row r="319" spans="2:12" x14ac:dyDescent="0.2">
      <c r="B319" s="660" t="str">
        <f t="shared" si="31"/>
        <v>-</v>
      </c>
      <c r="C319" s="661" t="str">
        <f t="shared" si="32"/>
        <v/>
      </c>
      <c r="D319" s="650" t="str">
        <f t="shared" si="30"/>
        <v/>
      </c>
      <c r="E319" s="650" t="str">
        <f t="shared" si="33"/>
        <v/>
      </c>
      <c r="F319" s="650" t="str">
        <f t="shared" si="34"/>
        <v/>
      </c>
      <c r="G319" s="650" t="str">
        <f t="shared" si="35"/>
        <v/>
      </c>
      <c r="H319" s="650" t="str">
        <f t="shared" si="36"/>
        <v/>
      </c>
      <c r="J319" s="650"/>
      <c r="K319" s="650"/>
      <c r="L319" s="650"/>
    </row>
    <row r="320" spans="2:12" x14ac:dyDescent="0.2">
      <c r="B320" s="660" t="str">
        <f t="shared" si="31"/>
        <v>-</v>
      </c>
      <c r="C320" s="661" t="str">
        <f t="shared" si="32"/>
        <v/>
      </c>
      <c r="D320" s="650" t="str">
        <f t="shared" si="30"/>
        <v/>
      </c>
      <c r="E320" s="650" t="str">
        <f t="shared" si="33"/>
        <v/>
      </c>
      <c r="F320" s="650" t="str">
        <f t="shared" si="34"/>
        <v/>
      </c>
      <c r="G320" s="650" t="str">
        <f t="shared" si="35"/>
        <v/>
      </c>
      <c r="H320" s="650" t="str">
        <f t="shared" si="36"/>
        <v/>
      </c>
      <c r="J320" s="650"/>
      <c r="K320" s="650"/>
      <c r="L320" s="650"/>
    </row>
    <row r="321" spans="2:12" x14ac:dyDescent="0.2">
      <c r="B321" s="660" t="str">
        <f t="shared" si="31"/>
        <v>-</v>
      </c>
      <c r="C321" s="661" t="str">
        <f t="shared" si="32"/>
        <v/>
      </c>
      <c r="D321" s="650" t="str">
        <f t="shared" si="30"/>
        <v/>
      </c>
      <c r="E321" s="650" t="str">
        <f t="shared" si="33"/>
        <v/>
      </c>
      <c r="F321" s="650" t="str">
        <f t="shared" si="34"/>
        <v/>
      </c>
      <c r="G321" s="650" t="str">
        <f t="shared" si="35"/>
        <v/>
      </c>
      <c r="H321" s="650" t="str">
        <f t="shared" si="36"/>
        <v/>
      </c>
      <c r="J321" s="650"/>
      <c r="K321" s="650"/>
      <c r="L321" s="650"/>
    </row>
    <row r="322" spans="2:12" x14ac:dyDescent="0.2">
      <c r="B322" s="660" t="str">
        <f t="shared" si="31"/>
        <v>-</v>
      </c>
      <c r="C322" s="661" t="str">
        <f t="shared" si="32"/>
        <v/>
      </c>
      <c r="D322" s="650" t="str">
        <f t="shared" si="30"/>
        <v/>
      </c>
      <c r="E322" s="650" t="str">
        <f t="shared" si="33"/>
        <v/>
      </c>
      <c r="F322" s="650" t="str">
        <f t="shared" si="34"/>
        <v/>
      </c>
      <c r="G322" s="650" t="str">
        <f t="shared" si="35"/>
        <v/>
      </c>
      <c r="H322" s="650" t="str">
        <f t="shared" si="36"/>
        <v/>
      </c>
      <c r="J322" s="650"/>
      <c r="K322" s="650"/>
      <c r="L322" s="650"/>
    </row>
    <row r="323" spans="2:12" x14ac:dyDescent="0.2">
      <c r="B323" s="660" t="str">
        <f t="shared" si="31"/>
        <v>-</v>
      </c>
      <c r="C323" s="661" t="str">
        <f t="shared" si="32"/>
        <v/>
      </c>
      <c r="D323" s="650" t="str">
        <f t="shared" si="30"/>
        <v/>
      </c>
      <c r="E323" s="650" t="str">
        <f t="shared" si="33"/>
        <v/>
      </c>
      <c r="F323" s="650" t="str">
        <f t="shared" si="34"/>
        <v/>
      </c>
      <c r="G323" s="650" t="str">
        <f t="shared" si="35"/>
        <v/>
      </c>
      <c r="H323" s="650" t="str">
        <f t="shared" si="36"/>
        <v/>
      </c>
      <c r="J323" s="650"/>
      <c r="K323" s="650"/>
      <c r="L323" s="650"/>
    </row>
    <row r="324" spans="2:12" x14ac:dyDescent="0.2">
      <c r="B324" s="660" t="str">
        <f t="shared" si="31"/>
        <v>-</v>
      </c>
      <c r="C324" s="661" t="str">
        <f t="shared" si="32"/>
        <v/>
      </c>
      <c r="D324" s="650" t="str">
        <f t="shared" si="30"/>
        <v/>
      </c>
      <c r="E324" s="650" t="str">
        <f t="shared" si="33"/>
        <v/>
      </c>
      <c r="F324" s="650" t="str">
        <f t="shared" si="34"/>
        <v/>
      </c>
      <c r="G324" s="650" t="str">
        <f t="shared" si="35"/>
        <v/>
      </c>
      <c r="H324" s="650" t="str">
        <f t="shared" si="36"/>
        <v/>
      </c>
      <c r="J324" s="650"/>
      <c r="K324" s="650"/>
      <c r="L324" s="650"/>
    </row>
    <row r="325" spans="2:12" x14ac:dyDescent="0.2">
      <c r="B325" s="660" t="str">
        <f t="shared" si="31"/>
        <v>-</v>
      </c>
      <c r="C325" s="661" t="str">
        <f t="shared" si="32"/>
        <v/>
      </c>
      <c r="D325" s="650" t="str">
        <f t="shared" si="30"/>
        <v/>
      </c>
      <c r="E325" s="650" t="str">
        <f t="shared" si="33"/>
        <v/>
      </c>
      <c r="F325" s="650" t="str">
        <f t="shared" si="34"/>
        <v/>
      </c>
      <c r="G325" s="650" t="str">
        <f t="shared" si="35"/>
        <v/>
      </c>
      <c r="H325" s="650" t="str">
        <f t="shared" si="36"/>
        <v/>
      </c>
      <c r="J325" s="650"/>
      <c r="K325" s="650"/>
      <c r="L325" s="650"/>
    </row>
    <row r="326" spans="2:12" x14ac:dyDescent="0.2">
      <c r="B326" s="660" t="str">
        <f t="shared" si="31"/>
        <v>-</v>
      </c>
      <c r="C326" s="661" t="str">
        <f t="shared" si="32"/>
        <v/>
      </c>
      <c r="D326" s="650" t="str">
        <f t="shared" ref="D326:D371" si="37">IF(ISNUMBER(B326),D325-F325,"")</f>
        <v/>
      </c>
      <c r="E326" s="650" t="str">
        <f t="shared" si="33"/>
        <v/>
      </c>
      <c r="F326" s="650" t="str">
        <f t="shared" si="34"/>
        <v/>
      </c>
      <c r="G326" s="650" t="str">
        <f t="shared" si="35"/>
        <v/>
      </c>
      <c r="H326" s="650" t="str">
        <f t="shared" si="36"/>
        <v/>
      </c>
      <c r="J326" s="650"/>
      <c r="K326" s="650"/>
      <c r="L326" s="650"/>
    </row>
    <row r="327" spans="2:12" x14ac:dyDescent="0.2">
      <c r="B327" s="660" t="str">
        <f t="shared" si="31"/>
        <v>-</v>
      </c>
      <c r="C327" s="661" t="str">
        <f t="shared" si="32"/>
        <v/>
      </c>
      <c r="D327" s="650" t="str">
        <f t="shared" si="37"/>
        <v/>
      </c>
      <c r="E327" s="650" t="str">
        <f t="shared" si="33"/>
        <v/>
      </c>
      <c r="F327" s="650" t="str">
        <f t="shared" si="34"/>
        <v/>
      </c>
      <c r="G327" s="650" t="str">
        <f t="shared" si="35"/>
        <v/>
      </c>
      <c r="H327" s="650" t="str">
        <f t="shared" si="36"/>
        <v/>
      </c>
      <c r="J327" s="650"/>
      <c r="K327" s="650"/>
      <c r="L327" s="650"/>
    </row>
    <row r="328" spans="2:12" x14ac:dyDescent="0.2">
      <c r="B328" s="660" t="str">
        <f t="shared" si="31"/>
        <v>-</v>
      </c>
      <c r="C328" s="661" t="str">
        <f t="shared" si="32"/>
        <v/>
      </c>
      <c r="D328" s="650" t="str">
        <f t="shared" si="37"/>
        <v/>
      </c>
      <c r="E328" s="650" t="str">
        <f t="shared" si="33"/>
        <v/>
      </c>
      <c r="F328" s="650" t="str">
        <f t="shared" si="34"/>
        <v/>
      </c>
      <c r="G328" s="650" t="str">
        <f t="shared" si="35"/>
        <v/>
      </c>
      <c r="H328" s="650" t="str">
        <f t="shared" si="36"/>
        <v/>
      </c>
      <c r="J328" s="650"/>
      <c r="K328" s="650"/>
      <c r="L328" s="650"/>
    </row>
    <row r="329" spans="2:12" x14ac:dyDescent="0.2">
      <c r="B329" s="660" t="str">
        <f t="shared" si="31"/>
        <v>-</v>
      </c>
      <c r="C329" s="661" t="str">
        <f t="shared" si="32"/>
        <v/>
      </c>
      <c r="D329" s="650" t="str">
        <f t="shared" si="37"/>
        <v/>
      </c>
      <c r="E329" s="650" t="str">
        <f t="shared" si="33"/>
        <v/>
      </c>
      <c r="F329" s="650" t="str">
        <f t="shared" si="34"/>
        <v/>
      </c>
      <c r="G329" s="650" t="str">
        <f t="shared" si="35"/>
        <v/>
      </c>
      <c r="H329" s="650" t="str">
        <f t="shared" si="36"/>
        <v/>
      </c>
      <c r="J329" s="650"/>
      <c r="K329" s="650"/>
      <c r="L329" s="650"/>
    </row>
    <row r="330" spans="2:12" x14ac:dyDescent="0.2">
      <c r="B330" s="660" t="str">
        <f t="shared" si="31"/>
        <v>-</v>
      </c>
      <c r="C330" s="661" t="str">
        <f t="shared" si="32"/>
        <v/>
      </c>
      <c r="D330" s="650" t="str">
        <f t="shared" si="37"/>
        <v/>
      </c>
      <c r="E330" s="650" t="str">
        <f t="shared" si="33"/>
        <v/>
      </c>
      <c r="F330" s="650" t="str">
        <f t="shared" si="34"/>
        <v/>
      </c>
      <c r="G330" s="650" t="str">
        <f t="shared" si="35"/>
        <v/>
      </c>
      <c r="H330" s="650" t="str">
        <f t="shared" si="36"/>
        <v/>
      </c>
      <c r="J330" s="650"/>
      <c r="K330" s="650"/>
      <c r="L330" s="650"/>
    </row>
    <row r="331" spans="2:12" x14ac:dyDescent="0.2">
      <c r="B331" s="660" t="str">
        <f t="shared" si="31"/>
        <v>-</v>
      </c>
      <c r="C331" s="661" t="str">
        <f t="shared" si="32"/>
        <v/>
      </c>
      <c r="D331" s="650" t="str">
        <f t="shared" si="37"/>
        <v/>
      </c>
      <c r="E331" s="650" t="str">
        <f t="shared" si="33"/>
        <v/>
      </c>
      <c r="F331" s="650" t="str">
        <f t="shared" si="34"/>
        <v/>
      </c>
      <c r="G331" s="650" t="str">
        <f t="shared" si="35"/>
        <v/>
      </c>
      <c r="H331" s="650" t="str">
        <f t="shared" si="36"/>
        <v/>
      </c>
      <c r="J331" s="650"/>
      <c r="K331" s="650"/>
      <c r="L331" s="650"/>
    </row>
    <row r="332" spans="2:12" x14ac:dyDescent="0.2">
      <c r="B332" s="660" t="str">
        <f t="shared" ref="B332:B371" si="38">IF(B331&lt;$L$3,B331+1,"-")</f>
        <v>-</v>
      </c>
      <c r="C332" s="661" t="str">
        <f t="shared" ref="C332:C371" si="39">IF(ISNUMBER(B332),MIN(DATE(YEAR($C$11),MONTH($C$11)+B332*12/$P$5,DAY($C$11)),DATE(YEAR($C$11),MONTH($C$11)+1+B332*12/$P$5,1)-1),"")</f>
        <v/>
      </c>
      <c r="D332" s="650" t="str">
        <f t="shared" si="37"/>
        <v/>
      </c>
      <c r="E332" s="650" t="str">
        <f t="shared" ref="E332:E371" si="40">IF(ISNUMBER(B332),ROUND(D332*$L$7,$R$6),"")</f>
        <v/>
      </c>
      <c r="F332" s="650" t="str">
        <f t="shared" ref="F332:F371" si="41">IF(ISNUMBER(B332),IF(B332=$L$3,D332,IF(B332&gt;$L$4,$H$3-E332,0)),"")</f>
        <v/>
      </c>
      <c r="G332" s="650" t="str">
        <f t="shared" ref="G332:G371" si="42">IF(ISNUMBER(B332),$H$4,"")</f>
        <v/>
      </c>
      <c r="H332" s="650" t="str">
        <f t="shared" ref="H332:H371" si="43">IF(ISNUMBER(B332),E332+F332+G332,"")</f>
        <v/>
      </c>
      <c r="J332" s="650"/>
      <c r="K332" s="650"/>
      <c r="L332" s="650"/>
    </row>
    <row r="333" spans="2:12" x14ac:dyDescent="0.2">
      <c r="B333" s="660" t="str">
        <f t="shared" si="38"/>
        <v>-</v>
      </c>
      <c r="C333" s="661" t="str">
        <f t="shared" si="39"/>
        <v/>
      </c>
      <c r="D333" s="650" t="str">
        <f t="shared" si="37"/>
        <v/>
      </c>
      <c r="E333" s="650" t="str">
        <f t="shared" si="40"/>
        <v/>
      </c>
      <c r="F333" s="650" t="str">
        <f t="shared" si="41"/>
        <v/>
      </c>
      <c r="G333" s="650" t="str">
        <f t="shared" si="42"/>
        <v/>
      </c>
      <c r="H333" s="650" t="str">
        <f t="shared" si="43"/>
        <v/>
      </c>
      <c r="J333" s="650"/>
      <c r="K333" s="650"/>
      <c r="L333" s="650"/>
    </row>
    <row r="334" spans="2:12" x14ac:dyDescent="0.2">
      <c r="B334" s="660" t="str">
        <f t="shared" si="38"/>
        <v>-</v>
      </c>
      <c r="C334" s="661" t="str">
        <f t="shared" si="39"/>
        <v/>
      </c>
      <c r="D334" s="650" t="str">
        <f t="shared" si="37"/>
        <v/>
      </c>
      <c r="E334" s="650" t="str">
        <f t="shared" si="40"/>
        <v/>
      </c>
      <c r="F334" s="650" t="str">
        <f t="shared" si="41"/>
        <v/>
      </c>
      <c r="G334" s="650" t="str">
        <f t="shared" si="42"/>
        <v/>
      </c>
      <c r="H334" s="650" t="str">
        <f t="shared" si="43"/>
        <v/>
      </c>
      <c r="J334" s="650"/>
      <c r="K334" s="650"/>
      <c r="L334" s="650"/>
    </row>
    <row r="335" spans="2:12" x14ac:dyDescent="0.2">
      <c r="B335" s="660" t="str">
        <f t="shared" si="38"/>
        <v>-</v>
      </c>
      <c r="C335" s="661" t="str">
        <f t="shared" si="39"/>
        <v/>
      </c>
      <c r="D335" s="650" t="str">
        <f t="shared" si="37"/>
        <v/>
      </c>
      <c r="E335" s="650" t="str">
        <f t="shared" si="40"/>
        <v/>
      </c>
      <c r="F335" s="650" t="str">
        <f t="shared" si="41"/>
        <v/>
      </c>
      <c r="G335" s="650" t="str">
        <f t="shared" si="42"/>
        <v/>
      </c>
      <c r="H335" s="650" t="str">
        <f t="shared" si="43"/>
        <v/>
      </c>
      <c r="J335" s="650"/>
      <c r="K335" s="650"/>
      <c r="L335" s="650"/>
    </row>
    <row r="336" spans="2:12" x14ac:dyDescent="0.2">
      <c r="B336" s="660" t="str">
        <f t="shared" si="38"/>
        <v>-</v>
      </c>
      <c r="C336" s="661" t="str">
        <f t="shared" si="39"/>
        <v/>
      </c>
      <c r="D336" s="650" t="str">
        <f t="shared" si="37"/>
        <v/>
      </c>
      <c r="E336" s="650" t="str">
        <f t="shared" si="40"/>
        <v/>
      </c>
      <c r="F336" s="650" t="str">
        <f t="shared" si="41"/>
        <v/>
      </c>
      <c r="G336" s="650" t="str">
        <f t="shared" si="42"/>
        <v/>
      </c>
      <c r="H336" s="650" t="str">
        <f t="shared" si="43"/>
        <v/>
      </c>
      <c r="J336" s="650"/>
      <c r="K336" s="650"/>
      <c r="L336" s="650"/>
    </row>
    <row r="337" spans="2:12" x14ac:dyDescent="0.2">
      <c r="B337" s="660" t="str">
        <f t="shared" si="38"/>
        <v>-</v>
      </c>
      <c r="C337" s="661" t="str">
        <f t="shared" si="39"/>
        <v/>
      </c>
      <c r="D337" s="650" t="str">
        <f t="shared" si="37"/>
        <v/>
      </c>
      <c r="E337" s="650" t="str">
        <f t="shared" si="40"/>
        <v/>
      </c>
      <c r="F337" s="650" t="str">
        <f t="shared" si="41"/>
        <v/>
      </c>
      <c r="G337" s="650" t="str">
        <f t="shared" si="42"/>
        <v/>
      </c>
      <c r="H337" s="650" t="str">
        <f t="shared" si="43"/>
        <v/>
      </c>
      <c r="J337" s="650"/>
      <c r="K337" s="650"/>
      <c r="L337" s="650"/>
    </row>
    <row r="338" spans="2:12" x14ac:dyDescent="0.2">
      <c r="B338" s="660" t="str">
        <f t="shared" si="38"/>
        <v>-</v>
      </c>
      <c r="C338" s="661" t="str">
        <f t="shared" si="39"/>
        <v/>
      </c>
      <c r="D338" s="650" t="str">
        <f t="shared" si="37"/>
        <v/>
      </c>
      <c r="E338" s="650" t="str">
        <f t="shared" si="40"/>
        <v/>
      </c>
      <c r="F338" s="650" t="str">
        <f t="shared" si="41"/>
        <v/>
      </c>
      <c r="G338" s="650" t="str">
        <f t="shared" si="42"/>
        <v/>
      </c>
      <c r="H338" s="650" t="str">
        <f t="shared" si="43"/>
        <v/>
      </c>
      <c r="J338" s="650"/>
      <c r="K338" s="650"/>
      <c r="L338" s="650"/>
    </row>
    <row r="339" spans="2:12" x14ac:dyDescent="0.2">
      <c r="B339" s="660" t="str">
        <f t="shared" si="38"/>
        <v>-</v>
      </c>
      <c r="C339" s="661" t="str">
        <f t="shared" si="39"/>
        <v/>
      </c>
      <c r="D339" s="650" t="str">
        <f t="shared" si="37"/>
        <v/>
      </c>
      <c r="E339" s="650" t="str">
        <f t="shared" si="40"/>
        <v/>
      </c>
      <c r="F339" s="650" t="str">
        <f t="shared" si="41"/>
        <v/>
      </c>
      <c r="G339" s="650" t="str">
        <f t="shared" si="42"/>
        <v/>
      </c>
      <c r="H339" s="650" t="str">
        <f t="shared" si="43"/>
        <v/>
      </c>
      <c r="J339" s="650"/>
      <c r="K339" s="650"/>
      <c r="L339" s="650"/>
    </row>
    <row r="340" spans="2:12" x14ac:dyDescent="0.2">
      <c r="B340" s="660" t="str">
        <f t="shared" si="38"/>
        <v>-</v>
      </c>
      <c r="C340" s="661" t="str">
        <f t="shared" si="39"/>
        <v/>
      </c>
      <c r="D340" s="650" t="str">
        <f t="shared" si="37"/>
        <v/>
      </c>
      <c r="E340" s="650" t="str">
        <f t="shared" si="40"/>
        <v/>
      </c>
      <c r="F340" s="650" t="str">
        <f t="shared" si="41"/>
        <v/>
      </c>
      <c r="G340" s="650" t="str">
        <f t="shared" si="42"/>
        <v/>
      </c>
      <c r="H340" s="650" t="str">
        <f t="shared" si="43"/>
        <v/>
      </c>
      <c r="J340" s="650"/>
      <c r="K340" s="650"/>
      <c r="L340" s="650"/>
    </row>
    <row r="341" spans="2:12" x14ac:dyDescent="0.2">
      <c r="B341" s="660" t="str">
        <f t="shared" si="38"/>
        <v>-</v>
      </c>
      <c r="C341" s="661" t="str">
        <f t="shared" si="39"/>
        <v/>
      </c>
      <c r="D341" s="650" t="str">
        <f t="shared" si="37"/>
        <v/>
      </c>
      <c r="E341" s="650" t="str">
        <f t="shared" si="40"/>
        <v/>
      </c>
      <c r="F341" s="650" t="str">
        <f t="shared" si="41"/>
        <v/>
      </c>
      <c r="G341" s="650" t="str">
        <f t="shared" si="42"/>
        <v/>
      </c>
      <c r="H341" s="650" t="str">
        <f t="shared" si="43"/>
        <v/>
      </c>
      <c r="J341" s="650"/>
      <c r="K341" s="650"/>
      <c r="L341" s="650"/>
    </row>
    <row r="342" spans="2:12" x14ac:dyDescent="0.2">
      <c r="B342" s="660" t="str">
        <f t="shared" si="38"/>
        <v>-</v>
      </c>
      <c r="C342" s="661" t="str">
        <f t="shared" si="39"/>
        <v/>
      </c>
      <c r="D342" s="650" t="str">
        <f t="shared" si="37"/>
        <v/>
      </c>
      <c r="E342" s="650" t="str">
        <f t="shared" si="40"/>
        <v/>
      </c>
      <c r="F342" s="650" t="str">
        <f t="shared" si="41"/>
        <v/>
      </c>
      <c r="G342" s="650" t="str">
        <f t="shared" si="42"/>
        <v/>
      </c>
      <c r="H342" s="650" t="str">
        <f t="shared" si="43"/>
        <v/>
      </c>
      <c r="J342" s="650"/>
      <c r="K342" s="650"/>
      <c r="L342" s="650"/>
    </row>
    <row r="343" spans="2:12" x14ac:dyDescent="0.2">
      <c r="B343" s="660" t="str">
        <f t="shared" si="38"/>
        <v>-</v>
      </c>
      <c r="C343" s="661" t="str">
        <f t="shared" si="39"/>
        <v/>
      </c>
      <c r="D343" s="650" t="str">
        <f t="shared" si="37"/>
        <v/>
      </c>
      <c r="E343" s="650" t="str">
        <f t="shared" si="40"/>
        <v/>
      </c>
      <c r="F343" s="650" t="str">
        <f t="shared" si="41"/>
        <v/>
      </c>
      <c r="G343" s="650" t="str">
        <f t="shared" si="42"/>
        <v/>
      </c>
      <c r="H343" s="650" t="str">
        <f t="shared" si="43"/>
        <v/>
      </c>
      <c r="J343" s="650"/>
      <c r="K343" s="650"/>
      <c r="L343" s="650"/>
    </row>
    <row r="344" spans="2:12" x14ac:dyDescent="0.2">
      <c r="B344" s="660" t="str">
        <f t="shared" si="38"/>
        <v>-</v>
      </c>
      <c r="C344" s="661" t="str">
        <f t="shared" si="39"/>
        <v/>
      </c>
      <c r="D344" s="650" t="str">
        <f t="shared" si="37"/>
        <v/>
      </c>
      <c r="E344" s="650" t="str">
        <f t="shared" si="40"/>
        <v/>
      </c>
      <c r="F344" s="650" t="str">
        <f t="shared" si="41"/>
        <v/>
      </c>
      <c r="G344" s="650" t="str">
        <f t="shared" si="42"/>
        <v/>
      </c>
      <c r="H344" s="650" t="str">
        <f t="shared" si="43"/>
        <v/>
      </c>
      <c r="J344" s="650"/>
      <c r="K344" s="650"/>
      <c r="L344" s="650"/>
    </row>
    <row r="345" spans="2:12" x14ac:dyDescent="0.2">
      <c r="B345" s="660" t="str">
        <f t="shared" si="38"/>
        <v>-</v>
      </c>
      <c r="C345" s="661" t="str">
        <f t="shared" si="39"/>
        <v/>
      </c>
      <c r="D345" s="650" t="str">
        <f t="shared" si="37"/>
        <v/>
      </c>
      <c r="E345" s="650" t="str">
        <f t="shared" si="40"/>
        <v/>
      </c>
      <c r="F345" s="650" t="str">
        <f t="shared" si="41"/>
        <v/>
      </c>
      <c r="G345" s="650" t="str">
        <f t="shared" si="42"/>
        <v/>
      </c>
      <c r="H345" s="650" t="str">
        <f t="shared" si="43"/>
        <v/>
      </c>
      <c r="J345" s="650"/>
      <c r="K345" s="650"/>
      <c r="L345" s="650"/>
    </row>
    <row r="346" spans="2:12" x14ac:dyDescent="0.2">
      <c r="B346" s="660" t="str">
        <f t="shared" si="38"/>
        <v>-</v>
      </c>
      <c r="C346" s="661" t="str">
        <f t="shared" si="39"/>
        <v/>
      </c>
      <c r="D346" s="650" t="str">
        <f t="shared" si="37"/>
        <v/>
      </c>
      <c r="E346" s="650" t="str">
        <f t="shared" si="40"/>
        <v/>
      </c>
      <c r="F346" s="650" t="str">
        <f t="shared" si="41"/>
        <v/>
      </c>
      <c r="G346" s="650" t="str">
        <f t="shared" si="42"/>
        <v/>
      </c>
      <c r="H346" s="650" t="str">
        <f t="shared" si="43"/>
        <v/>
      </c>
      <c r="J346" s="650"/>
      <c r="K346" s="650"/>
      <c r="L346" s="650"/>
    </row>
    <row r="347" spans="2:12" x14ac:dyDescent="0.2">
      <c r="B347" s="660" t="str">
        <f t="shared" si="38"/>
        <v>-</v>
      </c>
      <c r="C347" s="661" t="str">
        <f t="shared" si="39"/>
        <v/>
      </c>
      <c r="D347" s="650" t="str">
        <f t="shared" si="37"/>
        <v/>
      </c>
      <c r="E347" s="650" t="str">
        <f t="shared" si="40"/>
        <v/>
      </c>
      <c r="F347" s="650" t="str">
        <f t="shared" si="41"/>
        <v/>
      </c>
      <c r="G347" s="650" t="str">
        <f t="shared" si="42"/>
        <v/>
      </c>
      <c r="H347" s="650" t="str">
        <f t="shared" si="43"/>
        <v/>
      </c>
      <c r="J347" s="650"/>
      <c r="K347" s="650"/>
      <c r="L347" s="650"/>
    </row>
    <row r="348" spans="2:12" x14ac:dyDescent="0.2">
      <c r="B348" s="660" t="str">
        <f t="shared" si="38"/>
        <v>-</v>
      </c>
      <c r="C348" s="661" t="str">
        <f t="shared" si="39"/>
        <v/>
      </c>
      <c r="D348" s="650" t="str">
        <f t="shared" si="37"/>
        <v/>
      </c>
      <c r="E348" s="650" t="str">
        <f t="shared" si="40"/>
        <v/>
      </c>
      <c r="F348" s="650" t="str">
        <f t="shared" si="41"/>
        <v/>
      </c>
      <c r="G348" s="650" t="str">
        <f t="shared" si="42"/>
        <v/>
      </c>
      <c r="H348" s="650" t="str">
        <f t="shared" si="43"/>
        <v/>
      </c>
      <c r="J348" s="650"/>
      <c r="K348" s="650"/>
      <c r="L348" s="650"/>
    </row>
    <row r="349" spans="2:12" x14ac:dyDescent="0.2">
      <c r="B349" s="660" t="str">
        <f t="shared" si="38"/>
        <v>-</v>
      </c>
      <c r="C349" s="661" t="str">
        <f t="shared" si="39"/>
        <v/>
      </c>
      <c r="D349" s="650" t="str">
        <f t="shared" si="37"/>
        <v/>
      </c>
      <c r="E349" s="650" t="str">
        <f t="shared" si="40"/>
        <v/>
      </c>
      <c r="F349" s="650" t="str">
        <f t="shared" si="41"/>
        <v/>
      </c>
      <c r="G349" s="650" t="str">
        <f t="shared" si="42"/>
        <v/>
      </c>
      <c r="H349" s="650" t="str">
        <f t="shared" si="43"/>
        <v/>
      </c>
      <c r="J349" s="650"/>
      <c r="K349" s="650"/>
      <c r="L349" s="650"/>
    </row>
    <row r="350" spans="2:12" x14ac:dyDescent="0.2">
      <c r="B350" s="660" t="str">
        <f t="shared" si="38"/>
        <v>-</v>
      </c>
      <c r="C350" s="661" t="str">
        <f t="shared" si="39"/>
        <v/>
      </c>
      <c r="D350" s="650" t="str">
        <f t="shared" si="37"/>
        <v/>
      </c>
      <c r="E350" s="650" t="str">
        <f t="shared" si="40"/>
        <v/>
      </c>
      <c r="F350" s="650" t="str">
        <f t="shared" si="41"/>
        <v/>
      </c>
      <c r="G350" s="650" t="str">
        <f t="shared" si="42"/>
        <v/>
      </c>
      <c r="H350" s="650" t="str">
        <f t="shared" si="43"/>
        <v/>
      </c>
      <c r="J350" s="650"/>
      <c r="K350" s="650"/>
      <c r="L350" s="650"/>
    </row>
    <row r="351" spans="2:12" x14ac:dyDescent="0.2">
      <c r="B351" s="660" t="str">
        <f t="shared" si="38"/>
        <v>-</v>
      </c>
      <c r="C351" s="661" t="str">
        <f t="shared" si="39"/>
        <v/>
      </c>
      <c r="D351" s="650" t="str">
        <f t="shared" si="37"/>
        <v/>
      </c>
      <c r="E351" s="650" t="str">
        <f t="shared" si="40"/>
        <v/>
      </c>
      <c r="F351" s="650" t="str">
        <f t="shared" si="41"/>
        <v/>
      </c>
      <c r="G351" s="650" t="str">
        <f t="shared" si="42"/>
        <v/>
      </c>
      <c r="H351" s="650" t="str">
        <f t="shared" si="43"/>
        <v/>
      </c>
      <c r="J351" s="650"/>
      <c r="K351" s="650"/>
      <c r="L351" s="650"/>
    </row>
    <row r="352" spans="2:12" x14ac:dyDescent="0.2">
      <c r="B352" s="660" t="str">
        <f t="shared" si="38"/>
        <v>-</v>
      </c>
      <c r="C352" s="661" t="str">
        <f t="shared" si="39"/>
        <v/>
      </c>
      <c r="D352" s="650" t="str">
        <f t="shared" si="37"/>
        <v/>
      </c>
      <c r="E352" s="650" t="str">
        <f t="shared" si="40"/>
        <v/>
      </c>
      <c r="F352" s="650" t="str">
        <f t="shared" si="41"/>
        <v/>
      </c>
      <c r="G352" s="650" t="str">
        <f t="shared" si="42"/>
        <v/>
      </c>
      <c r="H352" s="650" t="str">
        <f t="shared" si="43"/>
        <v/>
      </c>
      <c r="J352" s="650"/>
      <c r="K352" s="650"/>
      <c r="L352" s="650"/>
    </row>
    <row r="353" spans="2:12" x14ac:dyDescent="0.2">
      <c r="B353" s="660" t="str">
        <f t="shared" si="38"/>
        <v>-</v>
      </c>
      <c r="C353" s="661" t="str">
        <f t="shared" si="39"/>
        <v/>
      </c>
      <c r="D353" s="650" t="str">
        <f t="shared" si="37"/>
        <v/>
      </c>
      <c r="E353" s="650" t="str">
        <f t="shared" si="40"/>
        <v/>
      </c>
      <c r="F353" s="650" t="str">
        <f t="shared" si="41"/>
        <v/>
      </c>
      <c r="G353" s="650" t="str">
        <f t="shared" si="42"/>
        <v/>
      </c>
      <c r="H353" s="650" t="str">
        <f t="shared" si="43"/>
        <v/>
      </c>
      <c r="J353" s="650"/>
      <c r="K353" s="650"/>
      <c r="L353" s="650"/>
    </row>
    <row r="354" spans="2:12" x14ac:dyDescent="0.2">
      <c r="B354" s="660" t="str">
        <f t="shared" si="38"/>
        <v>-</v>
      </c>
      <c r="C354" s="661" t="str">
        <f t="shared" si="39"/>
        <v/>
      </c>
      <c r="D354" s="650" t="str">
        <f t="shared" si="37"/>
        <v/>
      </c>
      <c r="E354" s="650" t="str">
        <f t="shared" si="40"/>
        <v/>
      </c>
      <c r="F354" s="650" t="str">
        <f t="shared" si="41"/>
        <v/>
      </c>
      <c r="G354" s="650" t="str">
        <f t="shared" si="42"/>
        <v/>
      </c>
      <c r="H354" s="650" t="str">
        <f t="shared" si="43"/>
        <v/>
      </c>
      <c r="J354" s="650"/>
      <c r="K354" s="650"/>
      <c r="L354" s="650"/>
    </row>
    <row r="355" spans="2:12" x14ac:dyDescent="0.2">
      <c r="B355" s="660" t="str">
        <f t="shared" si="38"/>
        <v>-</v>
      </c>
      <c r="C355" s="661" t="str">
        <f t="shared" si="39"/>
        <v/>
      </c>
      <c r="D355" s="650" t="str">
        <f t="shared" si="37"/>
        <v/>
      </c>
      <c r="E355" s="650" t="str">
        <f t="shared" si="40"/>
        <v/>
      </c>
      <c r="F355" s="650" t="str">
        <f t="shared" si="41"/>
        <v/>
      </c>
      <c r="G355" s="650" t="str">
        <f t="shared" si="42"/>
        <v/>
      </c>
      <c r="H355" s="650" t="str">
        <f t="shared" si="43"/>
        <v/>
      </c>
      <c r="J355" s="650"/>
      <c r="K355" s="650"/>
      <c r="L355" s="650"/>
    </row>
    <row r="356" spans="2:12" x14ac:dyDescent="0.2">
      <c r="B356" s="660" t="str">
        <f t="shared" si="38"/>
        <v>-</v>
      </c>
      <c r="C356" s="661" t="str">
        <f t="shared" si="39"/>
        <v/>
      </c>
      <c r="D356" s="650" t="str">
        <f t="shared" si="37"/>
        <v/>
      </c>
      <c r="E356" s="650" t="str">
        <f t="shared" si="40"/>
        <v/>
      </c>
      <c r="F356" s="650" t="str">
        <f t="shared" si="41"/>
        <v/>
      </c>
      <c r="G356" s="650" t="str">
        <f t="shared" si="42"/>
        <v/>
      </c>
      <c r="H356" s="650" t="str">
        <f t="shared" si="43"/>
        <v/>
      </c>
      <c r="J356" s="650"/>
      <c r="K356" s="650"/>
      <c r="L356" s="650"/>
    </row>
    <row r="357" spans="2:12" x14ac:dyDescent="0.2">
      <c r="B357" s="660" t="str">
        <f t="shared" si="38"/>
        <v>-</v>
      </c>
      <c r="C357" s="661" t="str">
        <f t="shared" si="39"/>
        <v/>
      </c>
      <c r="D357" s="650" t="str">
        <f t="shared" si="37"/>
        <v/>
      </c>
      <c r="E357" s="650" t="str">
        <f t="shared" si="40"/>
        <v/>
      </c>
      <c r="F357" s="650" t="str">
        <f t="shared" si="41"/>
        <v/>
      </c>
      <c r="G357" s="650" t="str">
        <f t="shared" si="42"/>
        <v/>
      </c>
      <c r="H357" s="650" t="str">
        <f t="shared" si="43"/>
        <v/>
      </c>
      <c r="J357" s="650"/>
      <c r="K357" s="650"/>
      <c r="L357" s="650"/>
    </row>
    <row r="358" spans="2:12" x14ac:dyDescent="0.2">
      <c r="B358" s="660" t="str">
        <f t="shared" si="38"/>
        <v>-</v>
      </c>
      <c r="C358" s="661" t="str">
        <f t="shared" si="39"/>
        <v/>
      </c>
      <c r="D358" s="650" t="str">
        <f t="shared" si="37"/>
        <v/>
      </c>
      <c r="E358" s="650" t="str">
        <f t="shared" si="40"/>
        <v/>
      </c>
      <c r="F358" s="650" t="str">
        <f t="shared" si="41"/>
        <v/>
      </c>
      <c r="G358" s="650" t="str">
        <f t="shared" si="42"/>
        <v/>
      </c>
      <c r="H358" s="650" t="str">
        <f t="shared" si="43"/>
        <v/>
      </c>
      <c r="J358" s="650"/>
      <c r="K358" s="650"/>
      <c r="L358" s="650"/>
    </row>
    <row r="359" spans="2:12" x14ac:dyDescent="0.2">
      <c r="B359" s="660" t="str">
        <f t="shared" si="38"/>
        <v>-</v>
      </c>
      <c r="C359" s="661" t="str">
        <f t="shared" si="39"/>
        <v/>
      </c>
      <c r="D359" s="650" t="str">
        <f t="shared" si="37"/>
        <v/>
      </c>
      <c r="E359" s="650" t="str">
        <f t="shared" si="40"/>
        <v/>
      </c>
      <c r="F359" s="650" t="str">
        <f t="shared" si="41"/>
        <v/>
      </c>
      <c r="G359" s="650" t="str">
        <f t="shared" si="42"/>
        <v/>
      </c>
      <c r="H359" s="650" t="str">
        <f t="shared" si="43"/>
        <v/>
      </c>
      <c r="J359" s="650"/>
      <c r="K359" s="650"/>
      <c r="L359" s="650"/>
    </row>
    <row r="360" spans="2:12" x14ac:dyDescent="0.2">
      <c r="B360" s="660" t="str">
        <f t="shared" si="38"/>
        <v>-</v>
      </c>
      <c r="C360" s="661" t="str">
        <f t="shared" si="39"/>
        <v/>
      </c>
      <c r="D360" s="650" t="str">
        <f t="shared" si="37"/>
        <v/>
      </c>
      <c r="E360" s="650" t="str">
        <f t="shared" si="40"/>
        <v/>
      </c>
      <c r="F360" s="650" t="str">
        <f t="shared" si="41"/>
        <v/>
      </c>
      <c r="G360" s="650" t="str">
        <f t="shared" si="42"/>
        <v/>
      </c>
      <c r="H360" s="650" t="str">
        <f t="shared" si="43"/>
        <v/>
      </c>
      <c r="J360" s="650"/>
      <c r="K360" s="650"/>
      <c r="L360" s="650"/>
    </row>
    <row r="361" spans="2:12" x14ac:dyDescent="0.2">
      <c r="B361" s="660" t="str">
        <f t="shared" si="38"/>
        <v>-</v>
      </c>
      <c r="C361" s="661" t="str">
        <f t="shared" si="39"/>
        <v/>
      </c>
      <c r="D361" s="650" t="str">
        <f t="shared" si="37"/>
        <v/>
      </c>
      <c r="E361" s="650" t="str">
        <f t="shared" si="40"/>
        <v/>
      </c>
      <c r="F361" s="650" t="str">
        <f t="shared" si="41"/>
        <v/>
      </c>
      <c r="G361" s="650" t="str">
        <f t="shared" si="42"/>
        <v/>
      </c>
      <c r="H361" s="650" t="str">
        <f t="shared" si="43"/>
        <v/>
      </c>
      <c r="J361" s="650"/>
      <c r="K361" s="650"/>
      <c r="L361" s="650"/>
    </row>
    <row r="362" spans="2:12" x14ac:dyDescent="0.2">
      <c r="B362" s="660" t="str">
        <f t="shared" si="38"/>
        <v>-</v>
      </c>
      <c r="C362" s="661" t="str">
        <f t="shared" si="39"/>
        <v/>
      </c>
      <c r="D362" s="650" t="str">
        <f t="shared" si="37"/>
        <v/>
      </c>
      <c r="E362" s="650" t="str">
        <f t="shared" si="40"/>
        <v/>
      </c>
      <c r="F362" s="650" t="str">
        <f t="shared" si="41"/>
        <v/>
      </c>
      <c r="G362" s="650" t="str">
        <f t="shared" si="42"/>
        <v/>
      </c>
      <c r="H362" s="650" t="str">
        <f t="shared" si="43"/>
        <v/>
      </c>
      <c r="J362" s="650"/>
      <c r="K362" s="650"/>
      <c r="L362" s="650"/>
    </row>
    <row r="363" spans="2:12" x14ac:dyDescent="0.2">
      <c r="B363" s="660" t="str">
        <f t="shared" si="38"/>
        <v>-</v>
      </c>
      <c r="C363" s="661" t="str">
        <f t="shared" si="39"/>
        <v/>
      </c>
      <c r="D363" s="650" t="str">
        <f t="shared" si="37"/>
        <v/>
      </c>
      <c r="E363" s="650" t="str">
        <f t="shared" si="40"/>
        <v/>
      </c>
      <c r="F363" s="650" t="str">
        <f t="shared" si="41"/>
        <v/>
      </c>
      <c r="G363" s="650" t="str">
        <f t="shared" si="42"/>
        <v/>
      </c>
      <c r="H363" s="650" t="str">
        <f t="shared" si="43"/>
        <v/>
      </c>
      <c r="J363" s="650"/>
      <c r="K363" s="650"/>
      <c r="L363" s="650"/>
    </row>
    <row r="364" spans="2:12" x14ac:dyDescent="0.2">
      <c r="B364" s="660" t="str">
        <f t="shared" si="38"/>
        <v>-</v>
      </c>
      <c r="C364" s="661" t="str">
        <f t="shared" si="39"/>
        <v/>
      </c>
      <c r="D364" s="650" t="str">
        <f t="shared" si="37"/>
        <v/>
      </c>
      <c r="E364" s="650" t="str">
        <f t="shared" si="40"/>
        <v/>
      </c>
      <c r="F364" s="650" t="str">
        <f t="shared" si="41"/>
        <v/>
      </c>
      <c r="G364" s="650" t="str">
        <f t="shared" si="42"/>
        <v/>
      </c>
      <c r="H364" s="650" t="str">
        <f t="shared" si="43"/>
        <v/>
      </c>
      <c r="J364" s="650"/>
      <c r="K364" s="650"/>
      <c r="L364" s="650"/>
    </row>
    <row r="365" spans="2:12" x14ac:dyDescent="0.2">
      <c r="B365" s="660" t="str">
        <f t="shared" si="38"/>
        <v>-</v>
      </c>
      <c r="C365" s="661" t="str">
        <f t="shared" si="39"/>
        <v/>
      </c>
      <c r="D365" s="650" t="str">
        <f t="shared" si="37"/>
        <v/>
      </c>
      <c r="E365" s="650" t="str">
        <f t="shared" si="40"/>
        <v/>
      </c>
      <c r="F365" s="650" t="str">
        <f t="shared" si="41"/>
        <v/>
      </c>
      <c r="G365" s="650" t="str">
        <f t="shared" si="42"/>
        <v/>
      </c>
      <c r="H365" s="650" t="str">
        <f t="shared" si="43"/>
        <v/>
      </c>
      <c r="J365" s="650"/>
      <c r="K365" s="650"/>
      <c r="L365" s="650"/>
    </row>
    <row r="366" spans="2:12" x14ac:dyDescent="0.2">
      <c r="B366" s="660" t="str">
        <f t="shared" si="38"/>
        <v>-</v>
      </c>
      <c r="C366" s="661" t="str">
        <f t="shared" si="39"/>
        <v/>
      </c>
      <c r="D366" s="650" t="str">
        <f t="shared" si="37"/>
        <v/>
      </c>
      <c r="E366" s="650" t="str">
        <f t="shared" si="40"/>
        <v/>
      </c>
      <c r="F366" s="650" t="str">
        <f t="shared" si="41"/>
        <v/>
      </c>
      <c r="G366" s="650" t="str">
        <f t="shared" si="42"/>
        <v/>
      </c>
      <c r="H366" s="650" t="str">
        <f t="shared" si="43"/>
        <v/>
      </c>
      <c r="J366" s="650"/>
      <c r="K366" s="650"/>
      <c r="L366" s="650"/>
    </row>
    <row r="367" spans="2:12" x14ac:dyDescent="0.2">
      <c r="B367" s="660" t="str">
        <f t="shared" si="38"/>
        <v>-</v>
      </c>
      <c r="C367" s="661" t="str">
        <f t="shared" si="39"/>
        <v/>
      </c>
      <c r="D367" s="650" t="str">
        <f t="shared" si="37"/>
        <v/>
      </c>
      <c r="E367" s="650" t="str">
        <f t="shared" si="40"/>
        <v/>
      </c>
      <c r="F367" s="650" t="str">
        <f t="shared" si="41"/>
        <v/>
      </c>
      <c r="G367" s="650" t="str">
        <f t="shared" si="42"/>
        <v/>
      </c>
      <c r="H367" s="650" t="str">
        <f t="shared" si="43"/>
        <v/>
      </c>
      <c r="J367" s="650"/>
      <c r="K367" s="650"/>
      <c r="L367" s="650"/>
    </row>
    <row r="368" spans="2:12" x14ac:dyDescent="0.2">
      <c r="B368" s="660" t="str">
        <f t="shared" si="38"/>
        <v>-</v>
      </c>
      <c r="C368" s="661" t="str">
        <f t="shared" si="39"/>
        <v/>
      </c>
      <c r="D368" s="650" t="str">
        <f t="shared" si="37"/>
        <v/>
      </c>
      <c r="E368" s="650" t="str">
        <f t="shared" si="40"/>
        <v/>
      </c>
      <c r="F368" s="650" t="str">
        <f t="shared" si="41"/>
        <v/>
      </c>
      <c r="G368" s="650" t="str">
        <f t="shared" si="42"/>
        <v/>
      </c>
      <c r="H368" s="650" t="str">
        <f t="shared" si="43"/>
        <v/>
      </c>
      <c r="J368" s="650"/>
      <c r="K368" s="650"/>
      <c r="L368" s="650"/>
    </row>
    <row r="369" spans="2:12" x14ac:dyDescent="0.2">
      <c r="B369" s="660" t="str">
        <f t="shared" si="38"/>
        <v>-</v>
      </c>
      <c r="C369" s="661" t="str">
        <f t="shared" si="39"/>
        <v/>
      </c>
      <c r="D369" s="650" t="str">
        <f t="shared" si="37"/>
        <v/>
      </c>
      <c r="E369" s="650" t="str">
        <f t="shared" si="40"/>
        <v/>
      </c>
      <c r="F369" s="650" t="str">
        <f t="shared" si="41"/>
        <v/>
      </c>
      <c r="G369" s="650" t="str">
        <f t="shared" si="42"/>
        <v/>
      </c>
      <c r="H369" s="650" t="str">
        <f t="shared" si="43"/>
        <v/>
      </c>
      <c r="J369" s="650"/>
      <c r="K369" s="650"/>
      <c r="L369" s="650"/>
    </row>
    <row r="370" spans="2:12" x14ac:dyDescent="0.2">
      <c r="B370" s="660" t="str">
        <f t="shared" si="38"/>
        <v>-</v>
      </c>
      <c r="C370" s="661" t="str">
        <f t="shared" si="39"/>
        <v/>
      </c>
      <c r="D370" s="650" t="str">
        <f t="shared" si="37"/>
        <v/>
      </c>
      <c r="E370" s="650" t="str">
        <f t="shared" si="40"/>
        <v/>
      </c>
      <c r="F370" s="650" t="str">
        <f t="shared" si="41"/>
        <v/>
      </c>
      <c r="G370" s="650" t="str">
        <f t="shared" si="42"/>
        <v/>
      </c>
      <c r="H370" s="650" t="str">
        <f t="shared" si="43"/>
        <v/>
      </c>
      <c r="J370" s="650"/>
      <c r="K370" s="650"/>
      <c r="L370" s="650"/>
    </row>
    <row r="371" spans="2:12" x14ac:dyDescent="0.2">
      <c r="B371" s="660" t="str">
        <f t="shared" si="38"/>
        <v>-</v>
      </c>
      <c r="C371" s="661" t="str">
        <f t="shared" si="39"/>
        <v/>
      </c>
      <c r="D371" s="650" t="str">
        <f t="shared" si="37"/>
        <v/>
      </c>
      <c r="E371" s="650" t="str">
        <f t="shared" si="40"/>
        <v/>
      </c>
      <c r="F371" s="650" t="str">
        <f t="shared" si="41"/>
        <v/>
      </c>
      <c r="G371" s="650" t="str">
        <f t="shared" si="42"/>
        <v/>
      </c>
      <c r="H371" s="650" t="str">
        <f t="shared" si="43"/>
        <v/>
      </c>
      <c r="J371" s="650"/>
      <c r="K371" s="650"/>
      <c r="L371" s="650"/>
    </row>
    <row r="372" spans="2:12" x14ac:dyDescent="0.2">
      <c r="B372" s="1252" t="s">
        <v>166</v>
      </c>
      <c r="C372" s="1252"/>
      <c r="D372" s="1252"/>
      <c r="E372" s="1252"/>
      <c r="F372" s="1252"/>
      <c r="G372" s="1252"/>
      <c r="H372" s="1252"/>
    </row>
    <row r="373" spans="2:12" x14ac:dyDescent="0.2">
      <c r="B373" s="662" t="s">
        <v>167</v>
      </c>
      <c r="E373" s="650">
        <f>SUM(E12:E371)</f>
        <v>6700738.620000001</v>
      </c>
      <c r="F373" s="650">
        <f>SUM(F12:F371)</f>
        <v>13392346.939999999</v>
      </c>
      <c r="G373" s="650">
        <f>SUM(G12:G371)</f>
        <v>0</v>
      </c>
      <c r="H373" s="650">
        <f>SUM(H12:H371)</f>
        <v>16742716.249999998</v>
      </c>
    </row>
  </sheetData>
  <mergeCells count="26">
    <mergeCell ref="B2:D2"/>
    <mergeCell ref="B1:G1"/>
    <mergeCell ref="B9:H9"/>
    <mergeCell ref="J7:K7"/>
    <mergeCell ref="F2:H2"/>
    <mergeCell ref="J2:L2"/>
    <mergeCell ref="J3:K3"/>
    <mergeCell ref="J4:K4"/>
    <mergeCell ref="J5:K5"/>
    <mergeCell ref="J1:L1"/>
    <mergeCell ref="J8:K8"/>
    <mergeCell ref="B372:H372"/>
    <mergeCell ref="B3:C3"/>
    <mergeCell ref="B4:C4"/>
    <mergeCell ref="B5:C5"/>
    <mergeCell ref="B6:C6"/>
    <mergeCell ref="B7:C7"/>
    <mergeCell ref="B8:C8"/>
    <mergeCell ref="F3:G3"/>
    <mergeCell ref="F4:G4"/>
    <mergeCell ref="F5:G5"/>
    <mergeCell ref="P2:R2"/>
    <mergeCell ref="F7:G7"/>
    <mergeCell ref="F8:G8"/>
    <mergeCell ref="J6:K6"/>
    <mergeCell ref="F6:G6"/>
  </mergeCells>
  <phoneticPr fontId="6" type="noConversion"/>
  <conditionalFormatting sqref="L8">
    <cfRule type="cellIs" dxfId="4" priority="1" stopIfTrue="1" operator="equal">
      <formula>"KO"</formula>
    </cfRule>
  </conditionalFormatting>
  <hyperlinks>
    <hyperlink ref="J1" r:id="rId1" display="www.cbanque.com"/>
    <hyperlink ref="J1:L1" r:id="rId2" tooltip="Mode d'emploi JxPret sur cbanque.com - site d'information sur les crédits et les placements" display="Lien mode d'emploi"/>
  </hyperlinks>
  <pageMargins left="0.78740157499999996" right="0.78740157499999996" top="0.984251969" bottom="0.984251969" header="0.4921259845" footer="0.4921259845"/>
  <pageSetup paperSize="9" orientation="portrait" horizontalDpi="0" verticalDpi="0"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0000"/>
  </sheetPr>
  <dimension ref="A1:R373"/>
  <sheetViews>
    <sheetView showGridLines="0" workbookViewId="0">
      <pane ySplit="10" topLeftCell="A11" activePane="bottomLeft" state="frozen"/>
      <selection activeCell="J137" sqref="J137"/>
      <selection pane="bottomLeft" activeCell="D4" sqref="D4"/>
    </sheetView>
  </sheetViews>
  <sheetFormatPr baseColWidth="10" defaultRowHeight="12.75" x14ac:dyDescent="0.2"/>
  <cols>
    <col min="1" max="1" width="3.7109375" style="624" customWidth="1"/>
    <col min="2" max="2" width="11.42578125" style="660"/>
    <col min="3" max="3" width="11.42578125" style="624"/>
    <col min="4" max="4" width="16.5703125" style="624" customWidth="1"/>
    <col min="5" max="5" width="11.7109375" style="624" bestFit="1" customWidth="1"/>
    <col min="6" max="6" width="12.140625" style="624" bestFit="1" customWidth="1"/>
    <col min="7" max="7" width="11.42578125" style="624"/>
    <col min="8" max="8" width="14.140625" style="624" customWidth="1"/>
    <col min="9" max="9" width="3.7109375" style="624" customWidth="1"/>
    <col min="10" max="10" width="11.7109375" style="624" bestFit="1" customWidth="1"/>
    <col min="11" max="12" width="11.42578125" style="624"/>
    <col min="13" max="13" width="3.7109375" style="624" customWidth="1"/>
    <col min="14" max="14" width="21.28515625" style="624" hidden="1" customWidth="1"/>
    <col min="15" max="15" width="11.42578125" style="624" hidden="1" customWidth="1"/>
    <col min="16" max="16" width="6.140625" style="624" hidden="1" customWidth="1"/>
    <col min="17" max="17" width="11.42578125" style="624" hidden="1" customWidth="1"/>
    <col min="18" max="18" width="17.42578125" style="624" hidden="1" customWidth="1"/>
    <col min="19" max="16384" width="11.42578125" style="624"/>
  </cols>
  <sheetData>
    <row r="1" spans="1:18" x14ac:dyDescent="0.2">
      <c r="A1" s="621"/>
      <c r="B1" s="1264" t="s">
        <v>125</v>
      </c>
      <c r="C1" s="1264"/>
      <c r="D1" s="1264"/>
      <c r="E1" s="1264"/>
      <c r="F1" s="1264"/>
      <c r="G1" s="1264"/>
      <c r="H1" s="622" t="s">
        <v>126</v>
      </c>
      <c r="I1" s="623"/>
      <c r="J1" s="1265" t="s">
        <v>127</v>
      </c>
      <c r="K1" s="1265"/>
      <c r="L1" s="1265"/>
      <c r="M1" s="621"/>
    </row>
    <row r="2" spans="1:18" x14ac:dyDescent="0.2">
      <c r="B2" s="1263" t="s">
        <v>128</v>
      </c>
      <c r="C2" s="1263"/>
      <c r="D2" s="1263"/>
      <c r="E2" s="636">
        <v>2018</v>
      </c>
      <c r="F2" s="1263" t="s">
        <v>129</v>
      </c>
      <c r="G2" s="1263"/>
      <c r="H2" s="1263"/>
      <c r="J2" s="1263" t="s">
        <v>130</v>
      </c>
      <c r="K2" s="1263"/>
      <c r="L2" s="1263"/>
      <c r="P2" s="1263" t="s">
        <v>156</v>
      </c>
      <c r="Q2" s="1263"/>
      <c r="R2" s="1263"/>
    </row>
    <row r="3" spans="1:18" x14ac:dyDescent="0.2">
      <c r="B3" s="1259" t="s">
        <v>131</v>
      </c>
      <c r="C3" s="1259"/>
      <c r="D3" s="625">
        <f>Flux!F42</f>
        <v>3296712.4745155601</v>
      </c>
      <c r="F3" s="1260" t="str">
        <f>"Montant "&amp;R5&amp;" :"</f>
        <v>Montant mensualité :</v>
      </c>
      <c r="G3" s="1261"/>
      <c r="H3" s="626">
        <f>IF(L7=0,ROUND(D3/L5,R6),ROUND(D3*L7/(1-(1+L7)^-L5),R6))</f>
        <v>40184.54</v>
      </c>
      <c r="J3" s="1256" t="s">
        <v>132</v>
      </c>
      <c r="K3" s="1256"/>
      <c r="L3" s="627">
        <f>ROUND(D5*P5,0)</f>
        <v>120</v>
      </c>
      <c r="N3" s="654"/>
      <c r="O3" s="655"/>
      <c r="P3" s="656" t="s">
        <v>157</v>
      </c>
      <c r="Q3" s="656" t="s">
        <v>158</v>
      </c>
      <c r="R3" s="656" t="s">
        <v>1073</v>
      </c>
    </row>
    <row r="4" spans="1:18" x14ac:dyDescent="0.2">
      <c r="B4" s="1259" t="s">
        <v>133</v>
      </c>
      <c r="C4" s="1259"/>
      <c r="D4" s="628">
        <v>0.04</v>
      </c>
      <c r="F4" s="1257" t="s">
        <v>134</v>
      </c>
      <c r="G4" s="1258"/>
      <c r="H4" s="629">
        <f>ROUND(D3*D7/P5,R6)</f>
        <v>0</v>
      </c>
      <c r="J4" s="1262" t="s">
        <v>135</v>
      </c>
      <c r="K4" s="1262"/>
      <c r="L4" s="627">
        <v>24</v>
      </c>
      <c r="N4" s="627" t="s">
        <v>159</v>
      </c>
      <c r="O4" s="627"/>
      <c r="P4" s="657" t="s">
        <v>160</v>
      </c>
      <c r="Q4" s="627" t="s">
        <v>161</v>
      </c>
      <c r="R4" s="658" t="str">
        <f>IF(LEFT(P4,1)="A","Calcul actuariel","Calcul proportionnel")</f>
        <v>Calcul proportionnel</v>
      </c>
    </row>
    <row r="5" spans="1:18" x14ac:dyDescent="0.2">
      <c r="B5" s="1259" t="s">
        <v>136</v>
      </c>
      <c r="C5" s="1259"/>
      <c r="D5" s="630">
        <v>10</v>
      </c>
      <c r="F5" s="1260" t="s">
        <v>137</v>
      </c>
      <c r="G5" s="1261"/>
      <c r="H5" s="626">
        <f>H6+H7</f>
        <v>10070943.669999998</v>
      </c>
      <c r="J5" s="1262" t="s">
        <v>138</v>
      </c>
      <c r="K5" s="1262"/>
      <c r="L5" s="627">
        <f>L3-L4</f>
        <v>96</v>
      </c>
      <c r="N5" s="627" t="s">
        <v>162</v>
      </c>
      <c r="O5" s="627"/>
      <c r="P5" s="657">
        <v>12</v>
      </c>
      <c r="Q5" s="627" t="s">
        <v>163</v>
      </c>
      <c r="R5" s="658" t="str">
        <f>IF(P5=12,"mensualité",IF(P5=1,"annuité",IF(P5=4,"trimestrialité",IF(P5=2,"semestrialité","ERREUR"))))</f>
        <v>mensualité</v>
      </c>
    </row>
    <row r="6" spans="1:18" x14ac:dyDescent="0.2">
      <c r="B6" s="1253" t="s">
        <v>139</v>
      </c>
      <c r="C6" s="1253"/>
      <c r="D6" s="631"/>
      <c r="F6" s="1254" t="s">
        <v>140</v>
      </c>
      <c r="G6" s="1255"/>
      <c r="H6" s="629">
        <f>E373</f>
        <v>10070943.669999998</v>
      </c>
      <c r="J6" s="1256" t="s">
        <v>141</v>
      </c>
      <c r="K6" s="1256"/>
      <c r="L6" s="627">
        <f>L3*12/P5</f>
        <v>120</v>
      </c>
      <c r="N6" s="627" t="s">
        <v>164</v>
      </c>
      <c r="O6" s="627"/>
      <c r="P6" s="657">
        <v>2</v>
      </c>
      <c r="Q6" s="627" t="s">
        <v>165</v>
      </c>
      <c r="R6" s="658">
        <f>IF(ISNUMBER(P6),P6,2)</f>
        <v>2</v>
      </c>
    </row>
    <row r="7" spans="1:18" x14ac:dyDescent="0.2">
      <c r="B7" s="1253" t="s">
        <v>142</v>
      </c>
      <c r="C7" s="1253"/>
      <c r="D7" s="632"/>
      <c r="F7" s="1254" t="s">
        <v>143</v>
      </c>
      <c r="G7" s="1255"/>
      <c r="H7" s="629">
        <f>G373</f>
        <v>0</v>
      </c>
      <c r="J7" s="1256" t="s">
        <v>144</v>
      </c>
      <c r="K7" s="1256"/>
      <c r="L7" s="633">
        <f>IF(D4=0,0,IF(LEFT(P4,1)="A",((D4+1)^(1/P5))-1,D4/P5))</f>
        <v>3.3333333333333335E-3</v>
      </c>
      <c r="N7" s="659"/>
    </row>
    <row r="8" spans="1:18" x14ac:dyDescent="0.2">
      <c r="B8" s="1253" t="s">
        <v>145</v>
      </c>
      <c r="C8" s="1253"/>
      <c r="D8" s="634">
        <f ca="1">NOW()</f>
        <v>42185.546445370368</v>
      </c>
      <c r="F8" s="1257" t="s">
        <v>146</v>
      </c>
      <c r="G8" s="1258"/>
      <c r="H8" s="629">
        <f>F373</f>
        <v>3296712.4699999997</v>
      </c>
      <c r="J8" s="1256" t="s">
        <v>147</v>
      </c>
      <c r="K8" s="1256"/>
      <c r="L8" s="635" t="str">
        <f>IF(ABS(H8-D11)&gt;0.01,"KO","Ok")</f>
        <v>Ok</v>
      </c>
    </row>
    <row r="9" spans="1:18" x14ac:dyDescent="0.2">
      <c r="B9" s="1251" t="s">
        <v>148</v>
      </c>
      <c r="C9" s="1251"/>
      <c r="D9" s="1251"/>
      <c r="E9" s="1251"/>
      <c r="F9" s="1251"/>
      <c r="G9" s="1251"/>
      <c r="H9" s="1251"/>
    </row>
    <row r="10" spans="1:18" x14ac:dyDescent="0.2">
      <c r="B10" s="636" t="s">
        <v>149</v>
      </c>
      <c r="C10" s="637" t="s">
        <v>150</v>
      </c>
      <c r="D10" s="637" t="s">
        <v>151</v>
      </c>
      <c r="E10" s="638" t="s">
        <v>152</v>
      </c>
      <c r="F10" s="638" t="s">
        <v>153</v>
      </c>
      <c r="G10" s="638" t="s">
        <v>154</v>
      </c>
      <c r="H10" s="638" t="s">
        <v>155</v>
      </c>
      <c r="J10" s="638"/>
      <c r="K10" s="638"/>
      <c r="L10" s="638"/>
    </row>
    <row r="11" spans="1:18" s="639" customFormat="1" x14ac:dyDescent="0.2">
      <c r="B11" s="640">
        <v>0</v>
      </c>
      <c r="C11" s="641">
        <f ca="1">D8</f>
        <v>42185.546445370368</v>
      </c>
      <c r="D11" s="642">
        <f>ROUND(D3,R6)</f>
        <v>3296712.47</v>
      </c>
      <c r="E11" s="642"/>
      <c r="F11" s="642"/>
      <c r="G11" s="642"/>
      <c r="H11" s="642"/>
    </row>
    <row r="12" spans="1:18" s="639" customFormat="1" x14ac:dyDescent="0.2">
      <c r="B12" s="640">
        <f t="shared" ref="B12:B75" si="0">IF(B11&lt;$L$3,B11+1,"-")</f>
        <v>1</v>
      </c>
      <c r="C12" s="641">
        <f t="shared" ref="C12:C75" ca="1" si="1">IF(ISNUMBER(B12),MIN(DATE(YEAR($C$11),MONTH($C$11)+B12*12/$P$5,DAY($C$11)),DATE(YEAR($C$11),MONTH($C$11)+1+B12*12/$P$5,1)-1),"")</f>
        <v>42215</v>
      </c>
      <c r="D12" s="642">
        <f t="shared" ref="D12:D43" si="2">IF(ISNUMBER(B12),D11-F11,"")</f>
        <v>3296712.47</v>
      </c>
      <c r="E12" s="642">
        <f t="shared" ref="E12:E75" si="3">IF(ISNUMBER(B12),ROUND(D12*$L$7,$R$6),"")</f>
        <v>10989.04</v>
      </c>
      <c r="F12" s="642">
        <f t="shared" ref="F12:F75" si="4">IF(ISNUMBER(B12),IF(B12=$L$3,D12,IF(B12&gt;$L$4,$H$3-E12,0)),"")</f>
        <v>0</v>
      </c>
      <c r="G12" s="642">
        <f t="shared" ref="G12:G75" si="5">IF(ISNUMBER(B12),$H$4,"")</f>
        <v>0</v>
      </c>
      <c r="H12" s="642">
        <f t="shared" ref="H12:H75" si="6">IF(ISNUMBER(B12),E12+F12+G12,"")</f>
        <v>10989.04</v>
      </c>
      <c r="J12" s="663"/>
      <c r="K12" s="643"/>
      <c r="L12" s="643"/>
      <c r="M12" s="644"/>
    </row>
    <row r="13" spans="1:18" s="639" customFormat="1" x14ac:dyDescent="0.2">
      <c r="B13" s="640">
        <f t="shared" si="0"/>
        <v>2</v>
      </c>
      <c r="C13" s="641">
        <f t="shared" ca="1" si="1"/>
        <v>42246</v>
      </c>
      <c r="D13" s="642">
        <f t="shared" si="2"/>
        <v>3296712.47</v>
      </c>
      <c r="E13" s="642">
        <f t="shared" si="3"/>
        <v>10989.04</v>
      </c>
      <c r="F13" s="642">
        <f t="shared" si="4"/>
        <v>0</v>
      </c>
      <c r="G13" s="642">
        <f t="shared" si="5"/>
        <v>0</v>
      </c>
      <c r="H13" s="642">
        <f t="shared" si="6"/>
        <v>10989.04</v>
      </c>
      <c r="J13" s="643"/>
      <c r="K13" s="643"/>
      <c r="L13" s="643"/>
      <c r="M13" s="644"/>
    </row>
    <row r="14" spans="1:18" s="639" customFormat="1" x14ac:dyDescent="0.2">
      <c r="B14" s="640">
        <f t="shared" si="0"/>
        <v>3</v>
      </c>
      <c r="C14" s="641">
        <f t="shared" ca="1" si="1"/>
        <v>42277</v>
      </c>
      <c r="D14" s="642">
        <f t="shared" si="2"/>
        <v>3296712.47</v>
      </c>
      <c r="E14" s="642">
        <f t="shared" si="3"/>
        <v>10989.04</v>
      </c>
      <c r="F14" s="642">
        <f t="shared" si="4"/>
        <v>0</v>
      </c>
      <c r="G14" s="642">
        <f t="shared" si="5"/>
        <v>0</v>
      </c>
      <c r="H14" s="642">
        <f t="shared" si="6"/>
        <v>10989.04</v>
      </c>
      <c r="J14" s="643"/>
      <c r="K14" s="643"/>
      <c r="L14" s="643"/>
      <c r="M14" s="644"/>
    </row>
    <row r="15" spans="1:18" s="639" customFormat="1" x14ac:dyDescent="0.2">
      <c r="B15" s="640">
        <f t="shared" si="0"/>
        <v>4</v>
      </c>
      <c r="C15" s="641">
        <f t="shared" ca="1" si="1"/>
        <v>42307</v>
      </c>
      <c r="D15" s="642">
        <f t="shared" si="2"/>
        <v>3296712.47</v>
      </c>
      <c r="E15" s="642">
        <f t="shared" si="3"/>
        <v>10989.04</v>
      </c>
      <c r="F15" s="642">
        <f t="shared" si="4"/>
        <v>0</v>
      </c>
      <c r="G15" s="642">
        <f t="shared" si="5"/>
        <v>0</v>
      </c>
      <c r="H15" s="642">
        <f t="shared" si="6"/>
        <v>10989.04</v>
      </c>
      <c r="J15" s="643"/>
      <c r="K15" s="643"/>
      <c r="L15" s="643"/>
      <c r="M15" s="644"/>
    </row>
    <row r="16" spans="1:18" s="639" customFormat="1" x14ac:dyDescent="0.2">
      <c r="B16" s="640">
        <f t="shared" si="0"/>
        <v>5</v>
      </c>
      <c r="C16" s="641">
        <f t="shared" ca="1" si="1"/>
        <v>42338</v>
      </c>
      <c r="D16" s="642">
        <f t="shared" si="2"/>
        <v>3296712.47</v>
      </c>
      <c r="E16" s="642">
        <f t="shared" si="3"/>
        <v>10989.04</v>
      </c>
      <c r="F16" s="642">
        <f t="shared" si="4"/>
        <v>0</v>
      </c>
      <c r="G16" s="642">
        <f t="shared" si="5"/>
        <v>0</v>
      </c>
      <c r="H16" s="642">
        <f t="shared" si="6"/>
        <v>10989.04</v>
      </c>
      <c r="J16" s="644"/>
      <c r="K16" s="644"/>
      <c r="L16" s="644"/>
      <c r="M16" s="644"/>
    </row>
    <row r="17" spans="2:13" s="639" customFormat="1" x14ac:dyDescent="0.2">
      <c r="B17" s="640">
        <f t="shared" si="0"/>
        <v>6</v>
      </c>
      <c r="C17" s="641">
        <f t="shared" ca="1" si="1"/>
        <v>42368</v>
      </c>
      <c r="D17" s="642">
        <f t="shared" si="2"/>
        <v>3296712.47</v>
      </c>
      <c r="E17" s="642">
        <f t="shared" si="3"/>
        <v>10989.04</v>
      </c>
      <c r="F17" s="642">
        <f t="shared" si="4"/>
        <v>0</v>
      </c>
      <c r="G17" s="642">
        <f t="shared" si="5"/>
        <v>0</v>
      </c>
      <c r="H17" s="642">
        <f t="shared" si="6"/>
        <v>10989.04</v>
      </c>
      <c r="J17" s="645"/>
      <c r="K17" s="644"/>
      <c r="L17" s="644"/>
      <c r="M17" s="644"/>
    </row>
    <row r="18" spans="2:13" s="639" customFormat="1" x14ac:dyDescent="0.2">
      <c r="B18" s="640">
        <f t="shared" si="0"/>
        <v>7</v>
      </c>
      <c r="C18" s="641">
        <f t="shared" ca="1" si="1"/>
        <v>42399</v>
      </c>
      <c r="D18" s="642">
        <f t="shared" si="2"/>
        <v>3296712.47</v>
      </c>
      <c r="E18" s="642">
        <f t="shared" si="3"/>
        <v>10989.04</v>
      </c>
      <c r="F18" s="642">
        <f t="shared" si="4"/>
        <v>0</v>
      </c>
      <c r="G18" s="642">
        <f t="shared" si="5"/>
        <v>0</v>
      </c>
      <c r="H18" s="642">
        <f t="shared" si="6"/>
        <v>10989.04</v>
      </c>
      <c r="J18" s="644"/>
      <c r="K18" s="644"/>
      <c r="L18" s="644"/>
      <c r="M18" s="644"/>
    </row>
    <row r="19" spans="2:13" s="639" customFormat="1" x14ac:dyDescent="0.2">
      <c r="B19" s="640">
        <f t="shared" si="0"/>
        <v>8</v>
      </c>
      <c r="C19" s="641">
        <f t="shared" ca="1" si="1"/>
        <v>42429</v>
      </c>
      <c r="D19" s="642">
        <f t="shared" si="2"/>
        <v>3296712.47</v>
      </c>
      <c r="E19" s="642">
        <f t="shared" si="3"/>
        <v>10989.04</v>
      </c>
      <c r="F19" s="642">
        <f t="shared" si="4"/>
        <v>0</v>
      </c>
      <c r="G19" s="642">
        <f t="shared" si="5"/>
        <v>0</v>
      </c>
      <c r="H19" s="642">
        <f t="shared" si="6"/>
        <v>10989.04</v>
      </c>
      <c r="J19" s="644"/>
      <c r="K19" s="644"/>
      <c r="L19" s="644"/>
      <c r="M19" s="644"/>
    </row>
    <row r="20" spans="2:13" s="639" customFormat="1" x14ac:dyDescent="0.2">
      <c r="B20" s="640">
        <f t="shared" si="0"/>
        <v>9</v>
      </c>
      <c r="C20" s="641">
        <f t="shared" ca="1" si="1"/>
        <v>42459</v>
      </c>
      <c r="D20" s="642">
        <f t="shared" si="2"/>
        <v>3296712.47</v>
      </c>
      <c r="E20" s="642">
        <f t="shared" si="3"/>
        <v>10989.04</v>
      </c>
      <c r="F20" s="642">
        <f t="shared" si="4"/>
        <v>0</v>
      </c>
      <c r="G20" s="642">
        <f t="shared" si="5"/>
        <v>0</v>
      </c>
      <c r="H20" s="642">
        <f t="shared" si="6"/>
        <v>10989.04</v>
      </c>
      <c r="J20" s="642"/>
      <c r="K20" s="642"/>
      <c r="L20" s="642"/>
    </row>
    <row r="21" spans="2:13" s="639" customFormat="1" x14ac:dyDescent="0.2">
      <c r="B21" s="640">
        <f t="shared" si="0"/>
        <v>10</v>
      </c>
      <c r="C21" s="641">
        <f t="shared" ca="1" si="1"/>
        <v>42490</v>
      </c>
      <c r="D21" s="642">
        <f t="shared" si="2"/>
        <v>3296712.47</v>
      </c>
      <c r="E21" s="642">
        <f t="shared" si="3"/>
        <v>10989.04</v>
      </c>
      <c r="F21" s="642">
        <f t="shared" si="4"/>
        <v>0</v>
      </c>
      <c r="G21" s="642">
        <f t="shared" si="5"/>
        <v>0</v>
      </c>
      <c r="H21" s="642">
        <f t="shared" si="6"/>
        <v>10989.04</v>
      </c>
      <c r="J21" s="642"/>
      <c r="K21" s="642"/>
      <c r="L21" s="642"/>
    </row>
    <row r="22" spans="2:13" s="639" customFormat="1" x14ac:dyDescent="0.2">
      <c r="B22" s="640">
        <f t="shared" si="0"/>
        <v>11</v>
      </c>
      <c r="C22" s="641">
        <f t="shared" ca="1" si="1"/>
        <v>42520</v>
      </c>
      <c r="D22" s="642">
        <f t="shared" si="2"/>
        <v>3296712.47</v>
      </c>
      <c r="E22" s="642">
        <f t="shared" si="3"/>
        <v>10989.04</v>
      </c>
      <c r="F22" s="642">
        <f t="shared" si="4"/>
        <v>0</v>
      </c>
      <c r="G22" s="642">
        <f t="shared" si="5"/>
        <v>0</v>
      </c>
      <c r="H22" s="642">
        <f t="shared" si="6"/>
        <v>10989.04</v>
      </c>
      <c r="J22" s="642"/>
      <c r="K22" s="642"/>
      <c r="L22" s="642"/>
    </row>
    <row r="23" spans="2:13" s="639" customFormat="1" x14ac:dyDescent="0.2">
      <c r="B23" s="640">
        <f t="shared" si="0"/>
        <v>12</v>
      </c>
      <c r="C23" s="641">
        <f t="shared" ca="1" si="1"/>
        <v>42551</v>
      </c>
      <c r="D23" s="642">
        <f t="shared" si="2"/>
        <v>3296712.47</v>
      </c>
      <c r="E23" s="642">
        <f t="shared" si="3"/>
        <v>10989.04</v>
      </c>
      <c r="F23" s="642">
        <f t="shared" si="4"/>
        <v>0</v>
      </c>
      <c r="G23" s="642">
        <f t="shared" si="5"/>
        <v>0</v>
      </c>
      <c r="H23" s="642">
        <f t="shared" si="6"/>
        <v>10989.04</v>
      </c>
      <c r="J23" s="642">
        <f>D11-D23</f>
        <v>0</v>
      </c>
      <c r="K23" s="642"/>
      <c r="L23" s="642"/>
    </row>
    <row r="24" spans="2:13" s="646" customFormat="1" x14ac:dyDescent="0.2">
      <c r="B24" s="647">
        <f t="shared" si="0"/>
        <v>13</v>
      </c>
      <c r="C24" s="648">
        <f t="shared" ca="1" si="1"/>
        <v>42581</v>
      </c>
      <c r="D24" s="649">
        <f t="shared" si="2"/>
        <v>3296712.47</v>
      </c>
      <c r="E24" s="649">
        <f t="shared" si="3"/>
        <v>10989.04</v>
      </c>
      <c r="F24" s="649">
        <f t="shared" si="4"/>
        <v>0</v>
      </c>
      <c r="G24" s="649">
        <f t="shared" si="5"/>
        <v>0</v>
      </c>
      <c r="H24" s="649">
        <f t="shared" si="6"/>
        <v>10989.04</v>
      </c>
      <c r="J24" s="649"/>
      <c r="K24" s="649"/>
      <c r="L24" s="649"/>
    </row>
    <row r="25" spans="2:13" s="646" customFormat="1" x14ac:dyDescent="0.2">
      <c r="B25" s="647">
        <f t="shared" si="0"/>
        <v>14</v>
      </c>
      <c r="C25" s="648">
        <f t="shared" ca="1" si="1"/>
        <v>42612</v>
      </c>
      <c r="D25" s="649">
        <f t="shared" si="2"/>
        <v>3296712.47</v>
      </c>
      <c r="E25" s="649">
        <f t="shared" si="3"/>
        <v>10989.04</v>
      </c>
      <c r="F25" s="649">
        <f t="shared" si="4"/>
        <v>0</v>
      </c>
      <c r="G25" s="649">
        <f t="shared" si="5"/>
        <v>0</v>
      </c>
      <c r="H25" s="649">
        <f t="shared" si="6"/>
        <v>10989.04</v>
      </c>
      <c r="J25" s="649"/>
      <c r="K25" s="649"/>
      <c r="L25" s="649"/>
    </row>
    <row r="26" spans="2:13" s="646" customFormat="1" x14ac:dyDescent="0.2">
      <c r="B26" s="647">
        <f t="shared" si="0"/>
        <v>15</v>
      </c>
      <c r="C26" s="648">
        <f t="shared" ca="1" si="1"/>
        <v>42643</v>
      </c>
      <c r="D26" s="649">
        <f t="shared" si="2"/>
        <v>3296712.47</v>
      </c>
      <c r="E26" s="649">
        <f t="shared" si="3"/>
        <v>10989.04</v>
      </c>
      <c r="F26" s="649">
        <f t="shared" si="4"/>
        <v>0</v>
      </c>
      <c r="G26" s="649">
        <f t="shared" si="5"/>
        <v>0</v>
      </c>
      <c r="H26" s="649">
        <f t="shared" si="6"/>
        <v>10989.04</v>
      </c>
      <c r="J26" s="649"/>
      <c r="K26" s="649"/>
      <c r="L26" s="649"/>
    </row>
    <row r="27" spans="2:13" s="646" customFormat="1" x14ac:dyDescent="0.2">
      <c r="B27" s="647">
        <f t="shared" si="0"/>
        <v>16</v>
      </c>
      <c r="C27" s="648">
        <f t="shared" ca="1" si="1"/>
        <v>42673</v>
      </c>
      <c r="D27" s="649">
        <f t="shared" si="2"/>
        <v>3296712.47</v>
      </c>
      <c r="E27" s="649">
        <f t="shared" si="3"/>
        <v>10989.04</v>
      </c>
      <c r="F27" s="649">
        <f t="shared" si="4"/>
        <v>0</v>
      </c>
      <c r="G27" s="649">
        <f t="shared" si="5"/>
        <v>0</v>
      </c>
      <c r="H27" s="649">
        <f t="shared" si="6"/>
        <v>10989.04</v>
      </c>
      <c r="J27" s="649"/>
      <c r="K27" s="649"/>
      <c r="L27" s="649"/>
    </row>
    <row r="28" spans="2:13" s="646" customFormat="1" x14ac:dyDescent="0.2">
      <c r="B28" s="647">
        <f t="shared" si="0"/>
        <v>17</v>
      </c>
      <c r="C28" s="648">
        <f t="shared" ca="1" si="1"/>
        <v>42704</v>
      </c>
      <c r="D28" s="649">
        <f t="shared" si="2"/>
        <v>3296712.47</v>
      </c>
      <c r="E28" s="649">
        <f t="shared" si="3"/>
        <v>10989.04</v>
      </c>
      <c r="F28" s="649">
        <f t="shared" si="4"/>
        <v>0</v>
      </c>
      <c r="G28" s="649">
        <f t="shared" si="5"/>
        <v>0</v>
      </c>
      <c r="H28" s="649">
        <f t="shared" si="6"/>
        <v>10989.04</v>
      </c>
      <c r="J28" s="649"/>
      <c r="K28" s="649"/>
      <c r="L28" s="649"/>
    </row>
    <row r="29" spans="2:13" s="646" customFormat="1" x14ac:dyDescent="0.2">
      <c r="B29" s="647">
        <f t="shared" si="0"/>
        <v>18</v>
      </c>
      <c r="C29" s="648">
        <f t="shared" ca="1" si="1"/>
        <v>42734</v>
      </c>
      <c r="D29" s="649">
        <f t="shared" si="2"/>
        <v>3296712.47</v>
      </c>
      <c r="E29" s="649">
        <f t="shared" si="3"/>
        <v>10989.04</v>
      </c>
      <c r="F29" s="649">
        <f t="shared" si="4"/>
        <v>0</v>
      </c>
      <c r="G29" s="649">
        <f t="shared" si="5"/>
        <v>0</v>
      </c>
      <c r="H29" s="649">
        <f t="shared" si="6"/>
        <v>10989.04</v>
      </c>
      <c r="J29" s="649"/>
      <c r="K29" s="649"/>
      <c r="L29" s="649"/>
    </row>
    <row r="30" spans="2:13" s="646" customFormat="1" x14ac:dyDescent="0.2">
      <c r="B30" s="647">
        <f t="shared" si="0"/>
        <v>19</v>
      </c>
      <c r="C30" s="648">
        <f t="shared" ca="1" si="1"/>
        <v>42765</v>
      </c>
      <c r="D30" s="649">
        <f t="shared" si="2"/>
        <v>3296712.47</v>
      </c>
      <c r="E30" s="649">
        <f t="shared" si="3"/>
        <v>10989.04</v>
      </c>
      <c r="F30" s="649">
        <f t="shared" si="4"/>
        <v>0</v>
      </c>
      <c r="G30" s="649">
        <f t="shared" si="5"/>
        <v>0</v>
      </c>
      <c r="H30" s="649">
        <f t="shared" si="6"/>
        <v>10989.04</v>
      </c>
      <c r="J30" s="649"/>
      <c r="K30" s="649"/>
      <c r="L30" s="649"/>
    </row>
    <row r="31" spans="2:13" s="646" customFormat="1" x14ac:dyDescent="0.2">
      <c r="B31" s="647">
        <f t="shared" si="0"/>
        <v>20</v>
      </c>
      <c r="C31" s="648">
        <f t="shared" ca="1" si="1"/>
        <v>42794</v>
      </c>
      <c r="D31" s="649">
        <f t="shared" si="2"/>
        <v>3296712.47</v>
      </c>
      <c r="E31" s="649">
        <f t="shared" si="3"/>
        <v>10989.04</v>
      </c>
      <c r="F31" s="649">
        <f t="shared" si="4"/>
        <v>0</v>
      </c>
      <c r="G31" s="649">
        <f t="shared" si="5"/>
        <v>0</v>
      </c>
      <c r="H31" s="649">
        <f t="shared" si="6"/>
        <v>10989.04</v>
      </c>
      <c r="J31" s="649"/>
      <c r="K31" s="649"/>
      <c r="L31" s="649"/>
    </row>
    <row r="32" spans="2:13" s="646" customFormat="1" x14ac:dyDescent="0.2">
      <c r="B32" s="647">
        <f t="shared" si="0"/>
        <v>21</v>
      </c>
      <c r="C32" s="648">
        <f t="shared" ca="1" si="1"/>
        <v>42824</v>
      </c>
      <c r="D32" s="649">
        <f t="shared" si="2"/>
        <v>3296712.47</v>
      </c>
      <c r="E32" s="649">
        <f t="shared" si="3"/>
        <v>10989.04</v>
      </c>
      <c r="F32" s="649">
        <f t="shared" si="4"/>
        <v>0</v>
      </c>
      <c r="G32" s="649">
        <f t="shared" si="5"/>
        <v>0</v>
      </c>
      <c r="H32" s="649">
        <f t="shared" si="6"/>
        <v>10989.04</v>
      </c>
      <c r="J32" s="649"/>
      <c r="K32" s="649"/>
      <c r="L32" s="649"/>
    </row>
    <row r="33" spans="1:12" s="646" customFormat="1" x14ac:dyDescent="0.2">
      <c r="B33" s="647">
        <f t="shared" si="0"/>
        <v>22</v>
      </c>
      <c r="C33" s="648">
        <f t="shared" ca="1" si="1"/>
        <v>42855</v>
      </c>
      <c r="D33" s="649">
        <f t="shared" si="2"/>
        <v>3296712.47</v>
      </c>
      <c r="E33" s="649">
        <f t="shared" si="3"/>
        <v>10989.04</v>
      </c>
      <c r="F33" s="649">
        <f t="shared" si="4"/>
        <v>0</v>
      </c>
      <c r="G33" s="649">
        <f t="shared" si="5"/>
        <v>0</v>
      </c>
      <c r="H33" s="649">
        <f t="shared" si="6"/>
        <v>10989.04</v>
      </c>
      <c r="J33" s="649"/>
      <c r="K33" s="649"/>
      <c r="L33" s="649"/>
    </row>
    <row r="34" spans="1:12" s="646" customFormat="1" x14ac:dyDescent="0.2">
      <c r="B34" s="647">
        <f t="shared" si="0"/>
        <v>23</v>
      </c>
      <c r="C34" s="648">
        <f t="shared" ca="1" si="1"/>
        <v>42885</v>
      </c>
      <c r="D34" s="649">
        <f t="shared" si="2"/>
        <v>3296712.47</v>
      </c>
      <c r="E34" s="649">
        <f t="shared" si="3"/>
        <v>10989.04</v>
      </c>
      <c r="F34" s="649">
        <f t="shared" si="4"/>
        <v>0</v>
      </c>
      <c r="G34" s="649">
        <f t="shared" si="5"/>
        <v>0</v>
      </c>
      <c r="H34" s="649">
        <f t="shared" si="6"/>
        <v>10989.04</v>
      </c>
      <c r="J34" s="649"/>
      <c r="K34" s="649"/>
      <c r="L34" s="649"/>
    </row>
    <row r="35" spans="1:12" s="646" customFormat="1" x14ac:dyDescent="0.2">
      <c r="B35" s="647">
        <f t="shared" si="0"/>
        <v>24</v>
      </c>
      <c r="C35" s="648">
        <f t="shared" ca="1" si="1"/>
        <v>42916</v>
      </c>
      <c r="D35" s="649">
        <f t="shared" si="2"/>
        <v>3296712.47</v>
      </c>
      <c r="E35" s="649">
        <f t="shared" si="3"/>
        <v>10989.04</v>
      </c>
      <c r="F35" s="649">
        <f t="shared" si="4"/>
        <v>0</v>
      </c>
      <c r="G35" s="649">
        <f t="shared" si="5"/>
        <v>0</v>
      </c>
      <c r="H35" s="649">
        <f t="shared" si="6"/>
        <v>10989.04</v>
      </c>
      <c r="J35" s="642">
        <f>D23-D35</f>
        <v>0</v>
      </c>
      <c r="K35" s="649"/>
      <c r="L35" s="649"/>
    </row>
    <row r="36" spans="1:12" x14ac:dyDescent="0.2">
      <c r="A36" s="639"/>
      <c r="B36" s="640">
        <f t="shared" si="0"/>
        <v>25</v>
      </c>
      <c r="C36" s="641">
        <f t="shared" ca="1" si="1"/>
        <v>42946</v>
      </c>
      <c r="D36" s="642">
        <f t="shared" si="2"/>
        <v>3296712.47</v>
      </c>
      <c r="E36" s="642">
        <f t="shared" si="3"/>
        <v>10989.04</v>
      </c>
      <c r="F36" s="642">
        <f t="shared" si="4"/>
        <v>29195.5</v>
      </c>
      <c r="G36" s="642">
        <f t="shared" si="5"/>
        <v>0</v>
      </c>
      <c r="H36" s="642">
        <f t="shared" si="6"/>
        <v>40184.54</v>
      </c>
      <c r="J36" s="650"/>
      <c r="K36" s="650"/>
      <c r="L36" s="650"/>
    </row>
    <row r="37" spans="1:12" x14ac:dyDescent="0.2">
      <c r="A37" s="639"/>
      <c r="B37" s="640">
        <f t="shared" si="0"/>
        <v>26</v>
      </c>
      <c r="C37" s="641">
        <f t="shared" ca="1" si="1"/>
        <v>42977</v>
      </c>
      <c r="D37" s="642">
        <f t="shared" si="2"/>
        <v>3267516.97</v>
      </c>
      <c r="E37" s="642">
        <f t="shared" si="3"/>
        <v>10891.72</v>
      </c>
      <c r="F37" s="642">
        <f t="shared" si="4"/>
        <v>29292.82</v>
      </c>
      <c r="G37" s="642">
        <f t="shared" si="5"/>
        <v>0</v>
      </c>
      <c r="H37" s="642">
        <f t="shared" si="6"/>
        <v>40184.54</v>
      </c>
      <c r="J37" s="650"/>
      <c r="K37" s="650"/>
      <c r="L37" s="650"/>
    </row>
    <row r="38" spans="1:12" x14ac:dyDescent="0.2">
      <c r="A38" s="639"/>
      <c r="B38" s="640">
        <f t="shared" si="0"/>
        <v>27</v>
      </c>
      <c r="C38" s="641">
        <f t="shared" ca="1" si="1"/>
        <v>43008</v>
      </c>
      <c r="D38" s="642">
        <f t="shared" si="2"/>
        <v>3238224.1500000004</v>
      </c>
      <c r="E38" s="642">
        <f t="shared" si="3"/>
        <v>10794.08</v>
      </c>
      <c r="F38" s="642">
        <f t="shared" si="4"/>
        <v>29390.46</v>
      </c>
      <c r="G38" s="642">
        <f t="shared" si="5"/>
        <v>0</v>
      </c>
      <c r="H38" s="642">
        <f t="shared" si="6"/>
        <v>40184.54</v>
      </c>
      <c r="J38" s="650"/>
      <c r="K38" s="650"/>
      <c r="L38" s="650"/>
    </row>
    <row r="39" spans="1:12" x14ac:dyDescent="0.2">
      <c r="A39" s="639"/>
      <c r="B39" s="640">
        <f t="shared" si="0"/>
        <v>28</v>
      </c>
      <c r="C39" s="641">
        <f t="shared" ca="1" si="1"/>
        <v>43038</v>
      </c>
      <c r="D39" s="642">
        <f t="shared" si="2"/>
        <v>3208833.6900000004</v>
      </c>
      <c r="E39" s="642">
        <f t="shared" si="3"/>
        <v>10696.11</v>
      </c>
      <c r="F39" s="642">
        <f t="shared" si="4"/>
        <v>29488.43</v>
      </c>
      <c r="G39" s="642">
        <f t="shared" si="5"/>
        <v>0</v>
      </c>
      <c r="H39" s="642">
        <f t="shared" si="6"/>
        <v>40184.54</v>
      </c>
      <c r="J39" s="650"/>
      <c r="K39" s="650"/>
      <c r="L39" s="650"/>
    </row>
    <row r="40" spans="1:12" x14ac:dyDescent="0.2">
      <c r="A40" s="639"/>
      <c r="B40" s="640">
        <f t="shared" si="0"/>
        <v>29</v>
      </c>
      <c r="C40" s="641">
        <f t="shared" ca="1" si="1"/>
        <v>43069</v>
      </c>
      <c r="D40" s="642">
        <f t="shared" si="2"/>
        <v>3179345.2600000002</v>
      </c>
      <c r="E40" s="642">
        <f t="shared" si="3"/>
        <v>10597.82</v>
      </c>
      <c r="F40" s="642">
        <f t="shared" si="4"/>
        <v>29586.720000000001</v>
      </c>
      <c r="G40" s="642">
        <f t="shared" si="5"/>
        <v>0</v>
      </c>
      <c r="H40" s="642">
        <f t="shared" si="6"/>
        <v>40184.54</v>
      </c>
      <c r="J40" s="650"/>
      <c r="K40" s="650"/>
      <c r="L40" s="650"/>
    </row>
    <row r="41" spans="1:12" x14ac:dyDescent="0.2">
      <c r="A41" s="639"/>
      <c r="B41" s="640">
        <f t="shared" si="0"/>
        <v>30</v>
      </c>
      <c r="C41" s="641">
        <f t="shared" ca="1" si="1"/>
        <v>43099</v>
      </c>
      <c r="D41" s="642">
        <f t="shared" si="2"/>
        <v>3149758.54</v>
      </c>
      <c r="E41" s="642">
        <f t="shared" si="3"/>
        <v>10499.2</v>
      </c>
      <c r="F41" s="642">
        <f t="shared" si="4"/>
        <v>29685.34</v>
      </c>
      <c r="G41" s="642">
        <f t="shared" si="5"/>
        <v>0</v>
      </c>
      <c r="H41" s="642">
        <f t="shared" si="6"/>
        <v>40184.54</v>
      </c>
      <c r="J41" s="650"/>
      <c r="K41" s="650"/>
      <c r="L41" s="650"/>
    </row>
    <row r="42" spans="1:12" x14ac:dyDescent="0.2">
      <c r="A42" s="639"/>
      <c r="B42" s="640">
        <f t="shared" si="0"/>
        <v>31</v>
      </c>
      <c r="C42" s="641">
        <f t="shared" ca="1" si="1"/>
        <v>43130</v>
      </c>
      <c r="D42" s="642">
        <f t="shared" si="2"/>
        <v>3120073.2</v>
      </c>
      <c r="E42" s="642">
        <f t="shared" si="3"/>
        <v>10400.24</v>
      </c>
      <c r="F42" s="642">
        <f t="shared" si="4"/>
        <v>29784.300000000003</v>
      </c>
      <c r="G42" s="642">
        <f t="shared" si="5"/>
        <v>0</v>
      </c>
      <c r="H42" s="642">
        <f t="shared" si="6"/>
        <v>40184.54</v>
      </c>
      <c r="J42" s="650"/>
      <c r="K42" s="650"/>
      <c r="L42" s="650"/>
    </row>
    <row r="43" spans="1:12" x14ac:dyDescent="0.2">
      <c r="A43" s="639"/>
      <c r="B43" s="640">
        <f t="shared" si="0"/>
        <v>32</v>
      </c>
      <c r="C43" s="641">
        <f t="shared" ca="1" si="1"/>
        <v>43159</v>
      </c>
      <c r="D43" s="642">
        <f t="shared" si="2"/>
        <v>3090288.9000000004</v>
      </c>
      <c r="E43" s="642">
        <f t="shared" si="3"/>
        <v>10300.959999999999</v>
      </c>
      <c r="F43" s="642">
        <f t="shared" si="4"/>
        <v>29883.58</v>
      </c>
      <c r="G43" s="642">
        <f t="shared" si="5"/>
        <v>0</v>
      </c>
      <c r="H43" s="642">
        <f t="shared" si="6"/>
        <v>40184.54</v>
      </c>
      <c r="J43" s="650"/>
      <c r="K43" s="650"/>
      <c r="L43" s="650"/>
    </row>
    <row r="44" spans="1:12" x14ac:dyDescent="0.2">
      <c r="A44" s="639"/>
      <c r="B44" s="640">
        <f t="shared" si="0"/>
        <v>33</v>
      </c>
      <c r="C44" s="641">
        <f t="shared" ca="1" si="1"/>
        <v>43189</v>
      </c>
      <c r="D44" s="642">
        <f t="shared" ref="D44:D75" si="7">IF(ISNUMBER(B44),D43-F43,"")</f>
        <v>3060405.3200000003</v>
      </c>
      <c r="E44" s="642">
        <f t="shared" si="3"/>
        <v>10201.35</v>
      </c>
      <c r="F44" s="642">
        <f t="shared" si="4"/>
        <v>29983.190000000002</v>
      </c>
      <c r="G44" s="642">
        <f t="shared" si="5"/>
        <v>0</v>
      </c>
      <c r="H44" s="642">
        <f t="shared" si="6"/>
        <v>40184.54</v>
      </c>
      <c r="J44" s="650"/>
      <c r="K44" s="650"/>
      <c r="L44" s="650"/>
    </row>
    <row r="45" spans="1:12" x14ac:dyDescent="0.2">
      <c r="A45" s="639"/>
      <c r="B45" s="640">
        <f t="shared" si="0"/>
        <v>34</v>
      </c>
      <c r="C45" s="641">
        <f t="shared" ca="1" si="1"/>
        <v>43220</v>
      </c>
      <c r="D45" s="642">
        <f t="shared" si="7"/>
        <v>3030422.1300000004</v>
      </c>
      <c r="E45" s="642">
        <f t="shared" si="3"/>
        <v>10101.41</v>
      </c>
      <c r="F45" s="642">
        <f t="shared" si="4"/>
        <v>30083.13</v>
      </c>
      <c r="G45" s="642">
        <f t="shared" si="5"/>
        <v>0</v>
      </c>
      <c r="H45" s="642">
        <f t="shared" si="6"/>
        <v>40184.54</v>
      </c>
      <c r="J45" s="650"/>
      <c r="K45" s="650"/>
      <c r="L45" s="650"/>
    </row>
    <row r="46" spans="1:12" x14ac:dyDescent="0.2">
      <c r="A46" s="639"/>
      <c r="B46" s="640">
        <f t="shared" si="0"/>
        <v>35</v>
      </c>
      <c r="C46" s="641">
        <f t="shared" ca="1" si="1"/>
        <v>43250</v>
      </c>
      <c r="D46" s="642">
        <f t="shared" si="7"/>
        <v>3000339.0000000005</v>
      </c>
      <c r="E46" s="642">
        <f t="shared" si="3"/>
        <v>10001.129999999999</v>
      </c>
      <c r="F46" s="642">
        <f t="shared" si="4"/>
        <v>30183.410000000003</v>
      </c>
      <c r="G46" s="642">
        <f t="shared" si="5"/>
        <v>0</v>
      </c>
      <c r="H46" s="642">
        <f t="shared" si="6"/>
        <v>40184.54</v>
      </c>
      <c r="J46" s="650"/>
      <c r="K46" s="650"/>
      <c r="L46" s="650"/>
    </row>
    <row r="47" spans="1:12" x14ac:dyDescent="0.2">
      <c r="A47" s="639"/>
      <c r="B47" s="640">
        <f t="shared" si="0"/>
        <v>36</v>
      </c>
      <c r="C47" s="641">
        <f t="shared" ca="1" si="1"/>
        <v>43281</v>
      </c>
      <c r="D47" s="642">
        <f t="shared" si="7"/>
        <v>2970155.5900000003</v>
      </c>
      <c r="E47" s="642">
        <f t="shared" si="3"/>
        <v>9900.52</v>
      </c>
      <c r="F47" s="642">
        <f t="shared" si="4"/>
        <v>30284.02</v>
      </c>
      <c r="G47" s="642">
        <f t="shared" si="5"/>
        <v>0</v>
      </c>
      <c r="H47" s="642">
        <f t="shared" si="6"/>
        <v>40184.54</v>
      </c>
      <c r="J47" s="642">
        <f>D35-D47</f>
        <v>326556.87999999989</v>
      </c>
      <c r="K47" s="650"/>
      <c r="L47" s="650"/>
    </row>
    <row r="48" spans="1:12" x14ac:dyDescent="0.2">
      <c r="B48" s="647">
        <f t="shared" si="0"/>
        <v>37</v>
      </c>
      <c r="C48" s="648">
        <f t="shared" ca="1" si="1"/>
        <v>43311</v>
      </c>
      <c r="D48" s="649">
        <f t="shared" si="7"/>
        <v>2939871.5700000003</v>
      </c>
      <c r="E48" s="649">
        <f t="shared" si="3"/>
        <v>9799.57</v>
      </c>
      <c r="F48" s="649">
        <f t="shared" si="4"/>
        <v>30384.97</v>
      </c>
      <c r="G48" s="649">
        <f t="shared" si="5"/>
        <v>0</v>
      </c>
      <c r="H48" s="649">
        <f t="shared" si="6"/>
        <v>40184.54</v>
      </c>
      <c r="J48" s="650"/>
      <c r="K48" s="650"/>
      <c r="L48" s="650"/>
    </row>
    <row r="49" spans="2:12" x14ac:dyDescent="0.2">
      <c r="B49" s="647">
        <f t="shared" si="0"/>
        <v>38</v>
      </c>
      <c r="C49" s="648">
        <f t="shared" ca="1" si="1"/>
        <v>43342</v>
      </c>
      <c r="D49" s="649">
        <f t="shared" si="7"/>
        <v>2909486.6</v>
      </c>
      <c r="E49" s="649">
        <f t="shared" si="3"/>
        <v>9698.2900000000009</v>
      </c>
      <c r="F49" s="649">
        <f t="shared" si="4"/>
        <v>30486.25</v>
      </c>
      <c r="G49" s="649">
        <f t="shared" si="5"/>
        <v>0</v>
      </c>
      <c r="H49" s="649">
        <f t="shared" si="6"/>
        <v>40184.54</v>
      </c>
      <c r="J49" s="650"/>
      <c r="K49" s="650"/>
      <c r="L49" s="650"/>
    </row>
    <row r="50" spans="2:12" x14ac:dyDescent="0.2">
      <c r="B50" s="647">
        <f t="shared" si="0"/>
        <v>39</v>
      </c>
      <c r="C50" s="648">
        <f t="shared" ca="1" si="1"/>
        <v>43373</v>
      </c>
      <c r="D50" s="649">
        <f t="shared" si="7"/>
        <v>2879000.35</v>
      </c>
      <c r="E50" s="649">
        <f t="shared" si="3"/>
        <v>9596.67</v>
      </c>
      <c r="F50" s="649">
        <f t="shared" si="4"/>
        <v>30587.870000000003</v>
      </c>
      <c r="G50" s="649">
        <f t="shared" si="5"/>
        <v>0</v>
      </c>
      <c r="H50" s="649">
        <f t="shared" si="6"/>
        <v>40184.54</v>
      </c>
      <c r="J50" s="650"/>
      <c r="K50" s="650"/>
      <c r="L50" s="650"/>
    </row>
    <row r="51" spans="2:12" x14ac:dyDescent="0.2">
      <c r="B51" s="647">
        <f t="shared" si="0"/>
        <v>40</v>
      </c>
      <c r="C51" s="648">
        <f t="shared" ca="1" si="1"/>
        <v>43403</v>
      </c>
      <c r="D51" s="649">
        <f t="shared" si="7"/>
        <v>2848412.48</v>
      </c>
      <c r="E51" s="649">
        <f t="shared" si="3"/>
        <v>9494.7099999999991</v>
      </c>
      <c r="F51" s="649">
        <f t="shared" si="4"/>
        <v>30689.83</v>
      </c>
      <c r="G51" s="649">
        <f t="shared" si="5"/>
        <v>0</v>
      </c>
      <c r="H51" s="649">
        <f t="shared" si="6"/>
        <v>40184.54</v>
      </c>
      <c r="J51" s="650"/>
      <c r="K51" s="650"/>
      <c r="L51" s="650"/>
    </row>
    <row r="52" spans="2:12" x14ac:dyDescent="0.2">
      <c r="B52" s="647">
        <f t="shared" si="0"/>
        <v>41</v>
      </c>
      <c r="C52" s="648">
        <f t="shared" ca="1" si="1"/>
        <v>43434</v>
      </c>
      <c r="D52" s="649">
        <f t="shared" si="7"/>
        <v>2817722.65</v>
      </c>
      <c r="E52" s="649">
        <f t="shared" si="3"/>
        <v>9392.41</v>
      </c>
      <c r="F52" s="649">
        <f t="shared" si="4"/>
        <v>30792.13</v>
      </c>
      <c r="G52" s="649">
        <f t="shared" si="5"/>
        <v>0</v>
      </c>
      <c r="H52" s="649">
        <f t="shared" si="6"/>
        <v>40184.54</v>
      </c>
      <c r="J52" s="650"/>
      <c r="K52" s="650"/>
      <c r="L52" s="650"/>
    </row>
    <row r="53" spans="2:12" x14ac:dyDescent="0.2">
      <c r="B53" s="647">
        <f t="shared" si="0"/>
        <v>42</v>
      </c>
      <c r="C53" s="648">
        <f t="shared" ca="1" si="1"/>
        <v>43464</v>
      </c>
      <c r="D53" s="649">
        <f t="shared" si="7"/>
        <v>2786930.52</v>
      </c>
      <c r="E53" s="649">
        <f t="shared" si="3"/>
        <v>9289.77</v>
      </c>
      <c r="F53" s="649">
        <f t="shared" si="4"/>
        <v>30894.77</v>
      </c>
      <c r="G53" s="649">
        <f t="shared" si="5"/>
        <v>0</v>
      </c>
      <c r="H53" s="649">
        <f t="shared" si="6"/>
        <v>40184.54</v>
      </c>
      <c r="J53" s="650"/>
      <c r="K53" s="650"/>
      <c r="L53" s="650"/>
    </row>
    <row r="54" spans="2:12" x14ac:dyDescent="0.2">
      <c r="B54" s="647">
        <f t="shared" si="0"/>
        <v>43</v>
      </c>
      <c r="C54" s="648">
        <f t="shared" ca="1" si="1"/>
        <v>43495</v>
      </c>
      <c r="D54" s="649">
        <f t="shared" si="7"/>
        <v>2756035.75</v>
      </c>
      <c r="E54" s="649">
        <f t="shared" si="3"/>
        <v>9186.7900000000009</v>
      </c>
      <c r="F54" s="649">
        <f t="shared" si="4"/>
        <v>30997.75</v>
      </c>
      <c r="G54" s="649">
        <f t="shared" si="5"/>
        <v>0</v>
      </c>
      <c r="H54" s="649">
        <f t="shared" si="6"/>
        <v>40184.54</v>
      </c>
      <c r="J54" s="650"/>
      <c r="K54" s="650"/>
      <c r="L54" s="650"/>
    </row>
    <row r="55" spans="2:12" x14ac:dyDescent="0.2">
      <c r="B55" s="647">
        <f t="shared" si="0"/>
        <v>44</v>
      </c>
      <c r="C55" s="648">
        <f t="shared" ca="1" si="1"/>
        <v>43524</v>
      </c>
      <c r="D55" s="649">
        <f t="shared" si="7"/>
        <v>2725038</v>
      </c>
      <c r="E55" s="649">
        <f t="shared" si="3"/>
        <v>9083.4599999999991</v>
      </c>
      <c r="F55" s="649">
        <f t="shared" si="4"/>
        <v>31101.08</v>
      </c>
      <c r="G55" s="649">
        <f t="shared" si="5"/>
        <v>0</v>
      </c>
      <c r="H55" s="649">
        <f t="shared" si="6"/>
        <v>40184.54</v>
      </c>
      <c r="J55" s="650"/>
      <c r="K55" s="650"/>
      <c r="L55" s="650"/>
    </row>
    <row r="56" spans="2:12" x14ac:dyDescent="0.2">
      <c r="B56" s="647">
        <f t="shared" si="0"/>
        <v>45</v>
      </c>
      <c r="C56" s="648">
        <f t="shared" ca="1" si="1"/>
        <v>43554</v>
      </c>
      <c r="D56" s="649">
        <f t="shared" si="7"/>
        <v>2693936.92</v>
      </c>
      <c r="E56" s="649">
        <f t="shared" si="3"/>
        <v>8979.7900000000009</v>
      </c>
      <c r="F56" s="649">
        <f t="shared" si="4"/>
        <v>31204.75</v>
      </c>
      <c r="G56" s="649">
        <f t="shared" si="5"/>
        <v>0</v>
      </c>
      <c r="H56" s="649">
        <f t="shared" si="6"/>
        <v>40184.54</v>
      </c>
      <c r="J56" s="650"/>
      <c r="K56" s="650"/>
      <c r="L56" s="650"/>
    </row>
    <row r="57" spans="2:12" x14ac:dyDescent="0.2">
      <c r="B57" s="647">
        <f t="shared" si="0"/>
        <v>46</v>
      </c>
      <c r="C57" s="648">
        <f t="shared" ca="1" si="1"/>
        <v>43585</v>
      </c>
      <c r="D57" s="649">
        <f t="shared" si="7"/>
        <v>2662732.17</v>
      </c>
      <c r="E57" s="649">
        <f t="shared" si="3"/>
        <v>8875.77</v>
      </c>
      <c r="F57" s="649">
        <f t="shared" si="4"/>
        <v>31308.77</v>
      </c>
      <c r="G57" s="649">
        <f t="shared" si="5"/>
        <v>0</v>
      </c>
      <c r="H57" s="649">
        <f t="shared" si="6"/>
        <v>40184.54</v>
      </c>
      <c r="J57" s="650"/>
      <c r="K57" s="650"/>
      <c r="L57" s="650"/>
    </row>
    <row r="58" spans="2:12" x14ac:dyDescent="0.2">
      <c r="B58" s="647">
        <f t="shared" si="0"/>
        <v>47</v>
      </c>
      <c r="C58" s="648">
        <f t="shared" ca="1" si="1"/>
        <v>43615</v>
      </c>
      <c r="D58" s="649">
        <f t="shared" si="7"/>
        <v>2631423.4</v>
      </c>
      <c r="E58" s="649">
        <f t="shared" si="3"/>
        <v>8771.41</v>
      </c>
      <c r="F58" s="649">
        <f t="shared" si="4"/>
        <v>31413.13</v>
      </c>
      <c r="G58" s="649">
        <f t="shared" si="5"/>
        <v>0</v>
      </c>
      <c r="H58" s="649">
        <f t="shared" si="6"/>
        <v>40184.54</v>
      </c>
      <c r="J58" s="650"/>
      <c r="K58" s="650"/>
      <c r="L58" s="650"/>
    </row>
    <row r="59" spans="2:12" x14ac:dyDescent="0.2">
      <c r="B59" s="647">
        <f t="shared" si="0"/>
        <v>48</v>
      </c>
      <c r="C59" s="648">
        <f t="shared" ca="1" si="1"/>
        <v>43646</v>
      </c>
      <c r="D59" s="649">
        <f t="shared" si="7"/>
        <v>2600010.27</v>
      </c>
      <c r="E59" s="649">
        <f t="shared" si="3"/>
        <v>8666.7000000000007</v>
      </c>
      <c r="F59" s="649">
        <f t="shared" si="4"/>
        <v>31517.84</v>
      </c>
      <c r="G59" s="649">
        <f t="shared" si="5"/>
        <v>0</v>
      </c>
      <c r="H59" s="649">
        <f t="shared" si="6"/>
        <v>40184.54</v>
      </c>
      <c r="J59" s="642">
        <f>D47-D59</f>
        <v>370145.3200000003</v>
      </c>
      <c r="K59" s="650"/>
      <c r="L59" s="650"/>
    </row>
    <row r="60" spans="2:12" x14ac:dyDescent="0.2">
      <c r="B60" s="640">
        <f t="shared" si="0"/>
        <v>49</v>
      </c>
      <c r="C60" s="641">
        <f t="shared" ca="1" si="1"/>
        <v>43676</v>
      </c>
      <c r="D60" s="642">
        <f t="shared" si="7"/>
        <v>2568492.4300000002</v>
      </c>
      <c r="E60" s="642">
        <f t="shared" si="3"/>
        <v>8561.64</v>
      </c>
      <c r="F60" s="642">
        <f t="shared" si="4"/>
        <v>31622.9</v>
      </c>
      <c r="G60" s="642">
        <f t="shared" si="5"/>
        <v>0</v>
      </c>
      <c r="H60" s="642">
        <f t="shared" si="6"/>
        <v>40184.54</v>
      </c>
      <c r="J60" s="650"/>
      <c r="K60" s="650"/>
      <c r="L60" s="650"/>
    </row>
    <row r="61" spans="2:12" x14ac:dyDescent="0.2">
      <c r="B61" s="640">
        <f t="shared" si="0"/>
        <v>50</v>
      </c>
      <c r="C61" s="641">
        <f t="shared" ca="1" si="1"/>
        <v>43707</v>
      </c>
      <c r="D61" s="642">
        <f t="shared" si="7"/>
        <v>2536869.5300000003</v>
      </c>
      <c r="E61" s="642">
        <f t="shared" si="3"/>
        <v>8456.23</v>
      </c>
      <c r="F61" s="642">
        <f t="shared" si="4"/>
        <v>31728.31</v>
      </c>
      <c r="G61" s="642">
        <f t="shared" si="5"/>
        <v>0</v>
      </c>
      <c r="H61" s="642">
        <f t="shared" si="6"/>
        <v>40184.54</v>
      </c>
      <c r="J61" s="650"/>
      <c r="K61" s="650"/>
      <c r="L61" s="650"/>
    </row>
    <row r="62" spans="2:12" x14ac:dyDescent="0.2">
      <c r="B62" s="640">
        <f t="shared" si="0"/>
        <v>51</v>
      </c>
      <c r="C62" s="641">
        <f t="shared" ca="1" si="1"/>
        <v>43738</v>
      </c>
      <c r="D62" s="642">
        <f t="shared" si="7"/>
        <v>2505141.2200000002</v>
      </c>
      <c r="E62" s="642">
        <f t="shared" si="3"/>
        <v>8350.4699999999993</v>
      </c>
      <c r="F62" s="642">
        <f t="shared" si="4"/>
        <v>31834.07</v>
      </c>
      <c r="G62" s="642">
        <f t="shared" si="5"/>
        <v>0</v>
      </c>
      <c r="H62" s="642">
        <f t="shared" si="6"/>
        <v>40184.54</v>
      </c>
      <c r="J62" s="650"/>
      <c r="K62" s="650"/>
      <c r="L62" s="650"/>
    </row>
    <row r="63" spans="2:12" x14ac:dyDescent="0.2">
      <c r="B63" s="640">
        <f t="shared" si="0"/>
        <v>52</v>
      </c>
      <c r="C63" s="641">
        <f t="shared" ca="1" si="1"/>
        <v>43768</v>
      </c>
      <c r="D63" s="642">
        <f t="shared" si="7"/>
        <v>2473307.1500000004</v>
      </c>
      <c r="E63" s="642">
        <f t="shared" si="3"/>
        <v>8244.36</v>
      </c>
      <c r="F63" s="642">
        <f t="shared" si="4"/>
        <v>31940.18</v>
      </c>
      <c r="G63" s="642">
        <f t="shared" si="5"/>
        <v>0</v>
      </c>
      <c r="H63" s="642">
        <f t="shared" si="6"/>
        <v>40184.54</v>
      </c>
      <c r="J63" s="650"/>
      <c r="K63" s="650"/>
      <c r="L63" s="650"/>
    </row>
    <row r="64" spans="2:12" x14ac:dyDescent="0.2">
      <c r="B64" s="640">
        <f t="shared" si="0"/>
        <v>53</v>
      </c>
      <c r="C64" s="641">
        <f t="shared" ca="1" si="1"/>
        <v>43799</v>
      </c>
      <c r="D64" s="642">
        <f t="shared" si="7"/>
        <v>2441366.9700000002</v>
      </c>
      <c r="E64" s="642">
        <f t="shared" si="3"/>
        <v>8137.89</v>
      </c>
      <c r="F64" s="642">
        <f t="shared" si="4"/>
        <v>32046.65</v>
      </c>
      <c r="G64" s="642">
        <f t="shared" si="5"/>
        <v>0</v>
      </c>
      <c r="H64" s="642">
        <f t="shared" si="6"/>
        <v>40184.54</v>
      </c>
      <c r="J64" s="650"/>
      <c r="K64" s="650"/>
      <c r="L64" s="650"/>
    </row>
    <row r="65" spans="2:12" x14ac:dyDescent="0.2">
      <c r="B65" s="640">
        <f t="shared" si="0"/>
        <v>54</v>
      </c>
      <c r="C65" s="641">
        <f t="shared" ca="1" si="1"/>
        <v>43829</v>
      </c>
      <c r="D65" s="642">
        <f t="shared" si="7"/>
        <v>2409320.3200000003</v>
      </c>
      <c r="E65" s="642">
        <f t="shared" si="3"/>
        <v>8031.07</v>
      </c>
      <c r="F65" s="642">
        <f t="shared" si="4"/>
        <v>32153.47</v>
      </c>
      <c r="G65" s="642">
        <f t="shared" si="5"/>
        <v>0</v>
      </c>
      <c r="H65" s="642">
        <f t="shared" si="6"/>
        <v>40184.54</v>
      </c>
      <c r="J65" s="650"/>
      <c r="K65" s="650"/>
      <c r="L65" s="650"/>
    </row>
    <row r="66" spans="2:12" x14ac:dyDescent="0.2">
      <c r="B66" s="640">
        <f t="shared" si="0"/>
        <v>55</v>
      </c>
      <c r="C66" s="641">
        <f t="shared" ca="1" si="1"/>
        <v>43860</v>
      </c>
      <c r="D66" s="642">
        <f t="shared" si="7"/>
        <v>2377166.85</v>
      </c>
      <c r="E66" s="642">
        <f t="shared" si="3"/>
        <v>7923.89</v>
      </c>
      <c r="F66" s="642">
        <f t="shared" si="4"/>
        <v>32260.65</v>
      </c>
      <c r="G66" s="642">
        <f t="shared" si="5"/>
        <v>0</v>
      </c>
      <c r="H66" s="642">
        <f t="shared" si="6"/>
        <v>40184.54</v>
      </c>
      <c r="J66" s="650"/>
      <c r="K66" s="650"/>
      <c r="L66" s="650"/>
    </row>
    <row r="67" spans="2:12" x14ac:dyDescent="0.2">
      <c r="B67" s="640">
        <f t="shared" si="0"/>
        <v>56</v>
      </c>
      <c r="C67" s="641">
        <f t="shared" ca="1" si="1"/>
        <v>43890</v>
      </c>
      <c r="D67" s="642">
        <f t="shared" si="7"/>
        <v>2344906.2000000002</v>
      </c>
      <c r="E67" s="642">
        <f t="shared" si="3"/>
        <v>7816.35</v>
      </c>
      <c r="F67" s="642">
        <f t="shared" si="4"/>
        <v>32368.190000000002</v>
      </c>
      <c r="G67" s="642">
        <f t="shared" si="5"/>
        <v>0</v>
      </c>
      <c r="H67" s="642">
        <f t="shared" si="6"/>
        <v>40184.54</v>
      </c>
      <c r="J67" s="650"/>
      <c r="K67" s="650"/>
      <c r="L67" s="650"/>
    </row>
    <row r="68" spans="2:12" x14ac:dyDescent="0.2">
      <c r="B68" s="640">
        <f t="shared" si="0"/>
        <v>57</v>
      </c>
      <c r="C68" s="641">
        <f t="shared" ca="1" si="1"/>
        <v>43920</v>
      </c>
      <c r="D68" s="642">
        <f t="shared" si="7"/>
        <v>2312538.0100000002</v>
      </c>
      <c r="E68" s="642">
        <f t="shared" si="3"/>
        <v>7708.46</v>
      </c>
      <c r="F68" s="642">
        <f t="shared" si="4"/>
        <v>32476.080000000002</v>
      </c>
      <c r="G68" s="642">
        <f t="shared" si="5"/>
        <v>0</v>
      </c>
      <c r="H68" s="642">
        <f t="shared" si="6"/>
        <v>40184.54</v>
      </c>
      <c r="J68" s="650"/>
      <c r="K68" s="650"/>
      <c r="L68" s="650"/>
    </row>
    <row r="69" spans="2:12" x14ac:dyDescent="0.2">
      <c r="B69" s="640">
        <f t="shared" si="0"/>
        <v>58</v>
      </c>
      <c r="C69" s="641">
        <f t="shared" ca="1" si="1"/>
        <v>43951</v>
      </c>
      <c r="D69" s="642">
        <f t="shared" si="7"/>
        <v>2280061.9300000002</v>
      </c>
      <c r="E69" s="642">
        <f t="shared" si="3"/>
        <v>7600.21</v>
      </c>
      <c r="F69" s="642">
        <f t="shared" si="4"/>
        <v>32584.33</v>
      </c>
      <c r="G69" s="642">
        <f t="shared" si="5"/>
        <v>0</v>
      </c>
      <c r="H69" s="642">
        <f t="shared" si="6"/>
        <v>40184.54</v>
      </c>
      <c r="J69" s="650"/>
      <c r="K69" s="650"/>
      <c r="L69" s="650"/>
    </row>
    <row r="70" spans="2:12" x14ac:dyDescent="0.2">
      <c r="B70" s="640">
        <f t="shared" si="0"/>
        <v>59</v>
      </c>
      <c r="C70" s="641">
        <f t="shared" ca="1" si="1"/>
        <v>43981</v>
      </c>
      <c r="D70" s="642">
        <f t="shared" si="7"/>
        <v>2247477.6</v>
      </c>
      <c r="E70" s="642">
        <f t="shared" si="3"/>
        <v>7491.59</v>
      </c>
      <c r="F70" s="642">
        <f t="shared" si="4"/>
        <v>32692.95</v>
      </c>
      <c r="G70" s="642">
        <f t="shared" si="5"/>
        <v>0</v>
      </c>
      <c r="H70" s="642">
        <f t="shared" si="6"/>
        <v>40184.54</v>
      </c>
      <c r="J70" s="650"/>
      <c r="K70" s="650"/>
      <c r="L70" s="650"/>
    </row>
    <row r="71" spans="2:12" x14ac:dyDescent="0.2">
      <c r="B71" s="640">
        <f t="shared" si="0"/>
        <v>60</v>
      </c>
      <c r="C71" s="641">
        <f t="shared" ca="1" si="1"/>
        <v>44012</v>
      </c>
      <c r="D71" s="642">
        <f t="shared" si="7"/>
        <v>2214784.65</v>
      </c>
      <c r="E71" s="642">
        <f t="shared" si="3"/>
        <v>7382.62</v>
      </c>
      <c r="F71" s="642">
        <f t="shared" si="4"/>
        <v>32801.919999999998</v>
      </c>
      <c r="G71" s="642">
        <f t="shared" si="5"/>
        <v>0</v>
      </c>
      <c r="H71" s="642">
        <f t="shared" si="6"/>
        <v>40184.54</v>
      </c>
      <c r="J71" s="642">
        <f>D59-D71</f>
        <v>385225.62000000011</v>
      </c>
      <c r="K71" s="650"/>
      <c r="L71" s="650"/>
    </row>
    <row r="72" spans="2:12" x14ac:dyDescent="0.2">
      <c r="B72" s="647">
        <f t="shared" si="0"/>
        <v>61</v>
      </c>
      <c r="C72" s="648">
        <f t="shared" ca="1" si="1"/>
        <v>44042</v>
      </c>
      <c r="D72" s="649">
        <f t="shared" si="7"/>
        <v>2181982.73</v>
      </c>
      <c r="E72" s="649">
        <f t="shared" si="3"/>
        <v>7273.28</v>
      </c>
      <c r="F72" s="649">
        <f t="shared" si="4"/>
        <v>32911.26</v>
      </c>
      <c r="G72" s="649">
        <f t="shared" si="5"/>
        <v>0</v>
      </c>
      <c r="H72" s="649">
        <f t="shared" si="6"/>
        <v>40184.54</v>
      </c>
      <c r="J72" s="650"/>
      <c r="K72" s="650"/>
      <c r="L72" s="650"/>
    </row>
    <row r="73" spans="2:12" x14ac:dyDescent="0.2">
      <c r="B73" s="647">
        <f t="shared" si="0"/>
        <v>62</v>
      </c>
      <c r="C73" s="648">
        <f t="shared" ca="1" si="1"/>
        <v>44073</v>
      </c>
      <c r="D73" s="649">
        <f t="shared" si="7"/>
        <v>2149071.4700000002</v>
      </c>
      <c r="E73" s="649">
        <f t="shared" si="3"/>
        <v>7163.57</v>
      </c>
      <c r="F73" s="649">
        <f t="shared" si="4"/>
        <v>33020.97</v>
      </c>
      <c r="G73" s="649">
        <f t="shared" si="5"/>
        <v>0</v>
      </c>
      <c r="H73" s="649">
        <f t="shared" si="6"/>
        <v>40184.54</v>
      </c>
      <c r="J73" s="650"/>
      <c r="K73" s="650"/>
      <c r="L73" s="650"/>
    </row>
    <row r="74" spans="2:12" x14ac:dyDescent="0.2">
      <c r="B74" s="647">
        <f t="shared" si="0"/>
        <v>63</v>
      </c>
      <c r="C74" s="648">
        <f t="shared" ca="1" si="1"/>
        <v>44104</v>
      </c>
      <c r="D74" s="649">
        <f t="shared" si="7"/>
        <v>2116050.5</v>
      </c>
      <c r="E74" s="649">
        <f t="shared" si="3"/>
        <v>7053.5</v>
      </c>
      <c r="F74" s="649">
        <f t="shared" si="4"/>
        <v>33131.040000000001</v>
      </c>
      <c r="G74" s="649">
        <f t="shared" si="5"/>
        <v>0</v>
      </c>
      <c r="H74" s="649">
        <f t="shared" si="6"/>
        <v>40184.54</v>
      </c>
      <c r="J74" s="650"/>
      <c r="K74" s="650"/>
      <c r="L74" s="650"/>
    </row>
    <row r="75" spans="2:12" x14ac:dyDescent="0.2">
      <c r="B75" s="647">
        <f t="shared" si="0"/>
        <v>64</v>
      </c>
      <c r="C75" s="648">
        <f t="shared" ca="1" si="1"/>
        <v>44134</v>
      </c>
      <c r="D75" s="649">
        <f t="shared" si="7"/>
        <v>2082919.46</v>
      </c>
      <c r="E75" s="649">
        <f t="shared" si="3"/>
        <v>6943.06</v>
      </c>
      <c r="F75" s="649">
        <f t="shared" si="4"/>
        <v>33241.480000000003</v>
      </c>
      <c r="G75" s="649">
        <f t="shared" si="5"/>
        <v>0</v>
      </c>
      <c r="H75" s="649">
        <f t="shared" si="6"/>
        <v>40184.54</v>
      </c>
      <c r="J75" s="650"/>
      <c r="K75" s="650"/>
      <c r="L75" s="650"/>
    </row>
    <row r="76" spans="2:12" x14ac:dyDescent="0.2">
      <c r="B76" s="647">
        <f t="shared" ref="B76:B139" si="8">IF(B75&lt;$L$3,B75+1,"-")</f>
        <v>65</v>
      </c>
      <c r="C76" s="648">
        <f t="shared" ref="C76:C139" ca="1" si="9">IF(ISNUMBER(B76),MIN(DATE(YEAR($C$11),MONTH($C$11)+B76*12/$P$5,DAY($C$11)),DATE(YEAR($C$11),MONTH($C$11)+1+B76*12/$P$5,1)-1),"")</f>
        <v>44165</v>
      </c>
      <c r="D76" s="649">
        <f t="shared" ref="D76:D107" si="10">IF(ISNUMBER(B76),D75-F75,"")</f>
        <v>2049677.98</v>
      </c>
      <c r="E76" s="649">
        <f t="shared" ref="E76:E139" si="11">IF(ISNUMBER(B76),ROUND(D76*$L$7,$R$6),"")</f>
        <v>6832.26</v>
      </c>
      <c r="F76" s="649">
        <f t="shared" ref="F76:F139" si="12">IF(ISNUMBER(B76),IF(B76=$L$3,D76,IF(B76&gt;$L$4,$H$3-E76,0)),"")</f>
        <v>33352.28</v>
      </c>
      <c r="G76" s="649">
        <f t="shared" ref="G76:G139" si="13">IF(ISNUMBER(B76),$H$4,"")</f>
        <v>0</v>
      </c>
      <c r="H76" s="649">
        <f t="shared" ref="H76:H139" si="14">IF(ISNUMBER(B76),E76+F76+G76,"")</f>
        <v>40184.54</v>
      </c>
      <c r="J76" s="650"/>
      <c r="K76" s="650"/>
      <c r="L76" s="650"/>
    </row>
    <row r="77" spans="2:12" x14ac:dyDescent="0.2">
      <c r="B77" s="647">
        <f t="shared" si="8"/>
        <v>66</v>
      </c>
      <c r="C77" s="648">
        <f t="shared" ca="1" si="9"/>
        <v>44195</v>
      </c>
      <c r="D77" s="649">
        <f t="shared" si="10"/>
        <v>2016325.7</v>
      </c>
      <c r="E77" s="649">
        <f t="shared" si="11"/>
        <v>6721.09</v>
      </c>
      <c r="F77" s="649">
        <f t="shared" si="12"/>
        <v>33463.449999999997</v>
      </c>
      <c r="G77" s="649">
        <f t="shared" si="13"/>
        <v>0</v>
      </c>
      <c r="H77" s="649">
        <f t="shared" si="14"/>
        <v>40184.539999999994</v>
      </c>
      <c r="J77" s="650"/>
      <c r="K77" s="650"/>
      <c r="L77" s="650"/>
    </row>
    <row r="78" spans="2:12" x14ac:dyDescent="0.2">
      <c r="B78" s="647">
        <f t="shared" si="8"/>
        <v>67</v>
      </c>
      <c r="C78" s="648">
        <f t="shared" ca="1" si="9"/>
        <v>44226</v>
      </c>
      <c r="D78" s="649">
        <f t="shared" si="10"/>
        <v>1982862.25</v>
      </c>
      <c r="E78" s="649">
        <f t="shared" si="11"/>
        <v>6609.54</v>
      </c>
      <c r="F78" s="649">
        <f t="shared" si="12"/>
        <v>33575</v>
      </c>
      <c r="G78" s="649">
        <f t="shared" si="13"/>
        <v>0</v>
      </c>
      <c r="H78" s="649">
        <f t="shared" si="14"/>
        <v>40184.54</v>
      </c>
      <c r="J78" s="650"/>
      <c r="K78" s="650"/>
      <c r="L78" s="650"/>
    </row>
    <row r="79" spans="2:12" x14ac:dyDescent="0.2">
      <c r="B79" s="647">
        <f t="shared" si="8"/>
        <v>68</v>
      </c>
      <c r="C79" s="648">
        <f t="shared" ca="1" si="9"/>
        <v>44255</v>
      </c>
      <c r="D79" s="649">
        <f t="shared" si="10"/>
        <v>1949287.25</v>
      </c>
      <c r="E79" s="649">
        <f t="shared" si="11"/>
        <v>6497.62</v>
      </c>
      <c r="F79" s="649">
        <f t="shared" si="12"/>
        <v>33686.92</v>
      </c>
      <c r="G79" s="649">
        <f t="shared" si="13"/>
        <v>0</v>
      </c>
      <c r="H79" s="649">
        <f t="shared" si="14"/>
        <v>40184.54</v>
      </c>
      <c r="J79" s="650"/>
      <c r="K79" s="650"/>
      <c r="L79" s="650"/>
    </row>
    <row r="80" spans="2:12" x14ac:dyDescent="0.2">
      <c r="B80" s="647">
        <f t="shared" si="8"/>
        <v>69</v>
      </c>
      <c r="C80" s="648">
        <f t="shared" ca="1" si="9"/>
        <v>44285</v>
      </c>
      <c r="D80" s="649">
        <f t="shared" si="10"/>
        <v>1915600.33</v>
      </c>
      <c r="E80" s="649">
        <f t="shared" si="11"/>
        <v>6385.33</v>
      </c>
      <c r="F80" s="649">
        <f t="shared" si="12"/>
        <v>33799.21</v>
      </c>
      <c r="G80" s="649">
        <f t="shared" si="13"/>
        <v>0</v>
      </c>
      <c r="H80" s="649">
        <f t="shared" si="14"/>
        <v>40184.54</v>
      </c>
      <c r="J80" s="650"/>
      <c r="K80" s="650"/>
      <c r="L80" s="650"/>
    </row>
    <row r="81" spans="2:12" x14ac:dyDescent="0.2">
      <c r="B81" s="647">
        <f t="shared" si="8"/>
        <v>70</v>
      </c>
      <c r="C81" s="648">
        <f t="shared" ca="1" si="9"/>
        <v>44316</v>
      </c>
      <c r="D81" s="649">
        <f t="shared" si="10"/>
        <v>1881801.12</v>
      </c>
      <c r="E81" s="649">
        <f t="shared" si="11"/>
        <v>6272.67</v>
      </c>
      <c r="F81" s="649">
        <f t="shared" si="12"/>
        <v>33911.870000000003</v>
      </c>
      <c r="G81" s="649">
        <f t="shared" si="13"/>
        <v>0</v>
      </c>
      <c r="H81" s="649">
        <f t="shared" si="14"/>
        <v>40184.54</v>
      </c>
      <c r="J81" s="650"/>
      <c r="K81" s="650"/>
      <c r="L81" s="650"/>
    </row>
    <row r="82" spans="2:12" x14ac:dyDescent="0.2">
      <c r="B82" s="647">
        <f t="shared" si="8"/>
        <v>71</v>
      </c>
      <c r="C82" s="648">
        <f t="shared" ca="1" si="9"/>
        <v>44346</v>
      </c>
      <c r="D82" s="649">
        <f t="shared" si="10"/>
        <v>1847889.25</v>
      </c>
      <c r="E82" s="649">
        <f t="shared" si="11"/>
        <v>6159.63</v>
      </c>
      <c r="F82" s="649">
        <f t="shared" si="12"/>
        <v>34024.910000000003</v>
      </c>
      <c r="G82" s="649">
        <f t="shared" si="13"/>
        <v>0</v>
      </c>
      <c r="H82" s="649">
        <f t="shared" si="14"/>
        <v>40184.54</v>
      </c>
      <c r="J82" s="650"/>
      <c r="K82" s="650"/>
      <c r="L82" s="650"/>
    </row>
    <row r="83" spans="2:12" x14ac:dyDescent="0.2">
      <c r="B83" s="647">
        <f t="shared" si="8"/>
        <v>72</v>
      </c>
      <c r="C83" s="648">
        <f t="shared" ca="1" si="9"/>
        <v>44377</v>
      </c>
      <c r="D83" s="649">
        <f t="shared" si="10"/>
        <v>1813864.34</v>
      </c>
      <c r="E83" s="649">
        <f t="shared" si="11"/>
        <v>6046.21</v>
      </c>
      <c r="F83" s="649">
        <f t="shared" si="12"/>
        <v>34138.33</v>
      </c>
      <c r="G83" s="649">
        <f t="shared" si="13"/>
        <v>0</v>
      </c>
      <c r="H83" s="649">
        <f t="shared" si="14"/>
        <v>40184.54</v>
      </c>
      <c r="J83" s="642">
        <f>D71-D83</f>
        <v>400920.30999999982</v>
      </c>
      <c r="K83" s="650"/>
      <c r="L83" s="650"/>
    </row>
    <row r="84" spans="2:12" x14ac:dyDescent="0.2">
      <c r="B84" s="651">
        <f t="shared" si="8"/>
        <v>73</v>
      </c>
      <c r="C84" s="652">
        <f t="shared" ca="1" si="9"/>
        <v>44407</v>
      </c>
      <c r="D84" s="653">
        <f t="shared" si="10"/>
        <v>1779726.01</v>
      </c>
      <c r="E84" s="653">
        <f t="shared" si="11"/>
        <v>5932.42</v>
      </c>
      <c r="F84" s="653">
        <f t="shared" si="12"/>
        <v>34252.120000000003</v>
      </c>
      <c r="G84" s="653">
        <f t="shared" si="13"/>
        <v>0</v>
      </c>
      <c r="H84" s="653">
        <f t="shared" si="14"/>
        <v>40184.54</v>
      </c>
      <c r="J84" s="650"/>
      <c r="K84" s="650"/>
      <c r="L84" s="650"/>
    </row>
    <row r="85" spans="2:12" x14ac:dyDescent="0.2">
      <c r="B85" s="651">
        <f t="shared" si="8"/>
        <v>74</v>
      </c>
      <c r="C85" s="652">
        <f t="shared" ca="1" si="9"/>
        <v>44438</v>
      </c>
      <c r="D85" s="653">
        <f t="shared" si="10"/>
        <v>1745473.89</v>
      </c>
      <c r="E85" s="653">
        <f t="shared" si="11"/>
        <v>5818.25</v>
      </c>
      <c r="F85" s="653">
        <f t="shared" si="12"/>
        <v>34366.29</v>
      </c>
      <c r="G85" s="653">
        <f t="shared" si="13"/>
        <v>0</v>
      </c>
      <c r="H85" s="653">
        <f t="shared" si="14"/>
        <v>40184.54</v>
      </c>
      <c r="J85" s="650"/>
      <c r="K85" s="650"/>
      <c r="L85" s="650"/>
    </row>
    <row r="86" spans="2:12" x14ac:dyDescent="0.2">
      <c r="B86" s="651">
        <f t="shared" si="8"/>
        <v>75</v>
      </c>
      <c r="C86" s="652">
        <f t="shared" ca="1" si="9"/>
        <v>44469</v>
      </c>
      <c r="D86" s="653">
        <f t="shared" si="10"/>
        <v>1711107.5999999999</v>
      </c>
      <c r="E86" s="653">
        <f t="shared" si="11"/>
        <v>5703.69</v>
      </c>
      <c r="F86" s="653">
        <f t="shared" si="12"/>
        <v>34480.85</v>
      </c>
      <c r="G86" s="653">
        <f t="shared" si="13"/>
        <v>0</v>
      </c>
      <c r="H86" s="653">
        <f t="shared" si="14"/>
        <v>40184.54</v>
      </c>
      <c r="J86" s="650"/>
      <c r="K86" s="650"/>
      <c r="L86" s="650"/>
    </row>
    <row r="87" spans="2:12" x14ac:dyDescent="0.2">
      <c r="B87" s="651">
        <f t="shared" si="8"/>
        <v>76</v>
      </c>
      <c r="C87" s="652">
        <f t="shared" ca="1" si="9"/>
        <v>44499</v>
      </c>
      <c r="D87" s="653">
        <f t="shared" si="10"/>
        <v>1676626.7499999998</v>
      </c>
      <c r="E87" s="653">
        <f t="shared" si="11"/>
        <v>5588.76</v>
      </c>
      <c r="F87" s="653">
        <f t="shared" si="12"/>
        <v>34595.78</v>
      </c>
      <c r="G87" s="653">
        <f t="shared" si="13"/>
        <v>0</v>
      </c>
      <c r="H87" s="653">
        <f t="shared" si="14"/>
        <v>40184.54</v>
      </c>
      <c r="J87" s="650"/>
      <c r="K87" s="650"/>
      <c r="L87" s="650"/>
    </row>
    <row r="88" spans="2:12" x14ac:dyDescent="0.2">
      <c r="B88" s="651">
        <f t="shared" si="8"/>
        <v>77</v>
      </c>
      <c r="C88" s="652">
        <f t="shared" ca="1" si="9"/>
        <v>44530</v>
      </c>
      <c r="D88" s="653">
        <f t="shared" si="10"/>
        <v>1642030.9699999997</v>
      </c>
      <c r="E88" s="653">
        <f t="shared" si="11"/>
        <v>5473.44</v>
      </c>
      <c r="F88" s="653">
        <f t="shared" si="12"/>
        <v>34711.1</v>
      </c>
      <c r="G88" s="653">
        <f t="shared" si="13"/>
        <v>0</v>
      </c>
      <c r="H88" s="653">
        <f t="shared" si="14"/>
        <v>40184.54</v>
      </c>
      <c r="J88" s="650"/>
      <c r="K88" s="650"/>
      <c r="L88" s="650"/>
    </row>
    <row r="89" spans="2:12" x14ac:dyDescent="0.2">
      <c r="B89" s="651">
        <f t="shared" si="8"/>
        <v>78</v>
      </c>
      <c r="C89" s="652">
        <f t="shared" ca="1" si="9"/>
        <v>44560</v>
      </c>
      <c r="D89" s="653">
        <f t="shared" si="10"/>
        <v>1607319.8699999996</v>
      </c>
      <c r="E89" s="653">
        <f t="shared" si="11"/>
        <v>5357.73</v>
      </c>
      <c r="F89" s="653">
        <f t="shared" si="12"/>
        <v>34826.81</v>
      </c>
      <c r="G89" s="653">
        <f t="shared" si="13"/>
        <v>0</v>
      </c>
      <c r="H89" s="653">
        <f t="shared" si="14"/>
        <v>40184.539999999994</v>
      </c>
      <c r="J89" s="650"/>
      <c r="K89" s="650"/>
      <c r="L89" s="650"/>
    </row>
    <row r="90" spans="2:12" x14ac:dyDescent="0.2">
      <c r="B90" s="651">
        <f t="shared" si="8"/>
        <v>79</v>
      </c>
      <c r="C90" s="652">
        <f t="shared" ca="1" si="9"/>
        <v>44591</v>
      </c>
      <c r="D90" s="653">
        <f t="shared" si="10"/>
        <v>1572493.0599999996</v>
      </c>
      <c r="E90" s="653">
        <f t="shared" si="11"/>
        <v>5241.6400000000003</v>
      </c>
      <c r="F90" s="653">
        <f t="shared" si="12"/>
        <v>34942.9</v>
      </c>
      <c r="G90" s="653">
        <f t="shared" si="13"/>
        <v>0</v>
      </c>
      <c r="H90" s="653">
        <f t="shared" si="14"/>
        <v>40184.54</v>
      </c>
      <c r="J90" s="650"/>
      <c r="K90" s="650"/>
      <c r="L90" s="650"/>
    </row>
    <row r="91" spans="2:12" x14ac:dyDescent="0.2">
      <c r="B91" s="651">
        <f t="shared" si="8"/>
        <v>80</v>
      </c>
      <c r="C91" s="652">
        <f t="shared" ca="1" si="9"/>
        <v>44620</v>
      </c>
      <c r="D91" s="653">
        <f t="shared" si="10"/>
        <v>1537550.1599999997</v>
      </c>
      <c r="E91" s="653">
        <f t="shared" si="11"/>
        <v>5125.17</v>
      </c>
      <c r="F91" s="653">
        <f t="shared" si="12"/>
        <v>35059.370000000003</v>
      </c>
      <c r="G91" s="653">
        <f t="shared" si="13"/>
        <v>0</v>
      </c>
      <c r="H91" s="653">
        <f t="shared" si="14"/>
        <v>40184.54</v>
      </c>
      <c r="J91" s="650"/>
      <c r="K91" s="650"/>
      <c r="L91" s="650"/>
    </row>
    <row r="92" spans="2:12" x14ac:dyDescent="0.2">
      <c r="B92" s="651">
        <f t="shared" si="8"/>
        <v>81</v>
      </c>
      <c r="C92" s="652">
        <f t="shared" ca="1" si="9"/>
        <v>44650</v>
      </c>
      <c r="D92" s="653">
        <f t="shared" si="10"/>
        <v>1502490.7899999996</v>
      </c>
      <c r="E92" s="653">
        <f t="shared" si="11"/>
        <v>5008.3</v>
      </c>
      <c r="F92" s="653">
        <f t="shared" si="12"/>
        <v>35176.239999999998</v>
      </c>
      <c r="G92" s="653">
        <f t="shared" si="13"/>
        <v>0</v>
      </c>
      <c r="H92" s="653">
        <f t="shared" si="14"/>
        <v>40184.54</v>
      </c>
      <c r="J92" s="650"/>
      <c r="K92" s="650"/>
      <c r="L92" s="650"/>
    </row>
    <row r="93" spans="2:12" x14ac:dyDescent="0.2">
      <c r="B93" s="651">
        <f t="shared" si="8"/>
        <v>82</v>
      </c>
      <c r="C93" s="652">
        <f t="shared" ca="1" si="9"/>
        <v>44681</v>
      </c>
      <c r="D93" s="653">
        <f t="shared" si="10"/>
        <v>1467314.5499999996</v>
      </c>
      <c r="E93" s="653">
        <f t="shared" si="11"/>
        <v>4891.05</v>
      </c>
      <c r="F93" s="653">
        <f t="shared" si="12"/>
        <v>35293.49</v>
      </c>
      <c r="G93" s="653">
        <f t="shared" si="13"/>
        <v>0</v>
      </c>
      <c r="H93" s="653">
        <f t="shared" si="14"/>
        <v>40184.54</v>
      </c>
      <c r="J93" s="650"/>
      <c r="K93" s="650"/>
      <c r="L93" s="650"/>
    </row>
    <row r="94" spans="2:12" x14ac:dyDescent="0.2">
      <c r="B94" s="651">
        <f t="shared" si="8"/>
        <v>83</v>
      </c>
      <c r="C94" s="652">
        <f t="shared" ca="1" si="9"/>
        <v>44711</v>
      </c>
      <c r="D94" s="653">
        <f t="shared" si="10"/>
        <v>1432021.0599999996</v>
      </c>
      <c r="E94" s="653">
        <f t="shared" si="11"/>
        <v>4773.3999999999996</v>
      </c>
      <c r="F94" s="653">
        <f t="shared" si="12"/>
        <v>35411.14</v>
      </c>
      <c r="G94" s="653">
        <f t="shared" si="13"/>
        <v>0</v>
      </c>
      <c r="H94" s="653">
        <f t="shared" si="14"/>
        <v>40184.54</v>
      </c>
      <c r="J94" s="650"/>
      <c r="K94" s="650"/>
      <c r="L94" s="650"/>
    </row>
    <row r="95" spans="2:12" x14ac:dyDescent="0.2">
      <c r="B95" s="651">
        <f t="shared" si="8"/>
        <v>84</v>
      </c>
      <c r="C95" s="652">
        <f t="shared" ca="1" si="9"/>
        <v>44742</v>
      </c>
      <c r="D95" s="653">
        <f t="shared" si="10"/>
        <v>1396609.9199999997</v>
      </c>
      <c r="E95" s="653">
        <f t="shared" si="11"/>
        <v>4655.37</v>
      </c>
      <c r="F95" s="653">
        <f t="shared" si="12"/>
        <v>35529.17</v>
      </c>
      <c r="G95" s="653">
        <f t="shared" si="13"/>
        <v>0</v>
      </c>
      <c r="H95" s="653">
        <f t="shared" si="14"/>
        <v>40184.54</v>
      </c>
      <c r="J95" s="642">
        <f>D83-D95</f>
        <v>417254.42000000039</v>
      </c>
      <c r="K95" s="650"/>
      <c r="L95" s="650"/>
    </row>
    <row r="96" spans="2:12" x14ac:dyDescent="0.2">
      <c r="B96" s="647">
        <f t="shared" si="8"/>
        <v>85</v>
      </c>
      <c r="C96" s="648">
        <f t="shared" ca="1" si="9"/>
        <v>44772</v>
      </c>
      <c r="D96" s="649">
        <f t="shared" si="10"/>
        <v>1361080.7499999998</v>
      </c>
      <c r="E96" s="649">
        <f t="shared" si="11"/>
        <v>4536.9399999999996</v>
      </c>
      <c r="F96" s="649">
        <f t="shared" si="12"/>
        <v>35647.599999999999</v>
      </c>
      <c r="G96" s="649">
        <f t="shared" si="13"/>
        <v>0</v>
      </c>
      <c r="H96" s="649">
        <f t="shared" si="14"/>
        <v>40184.54</v>
      </c>
      <c r="J96" s="650"/>
      <c r="K96" s="650"/>
      <c r="L96" s="650"/>
    </row>
    <row r="97" spans="2:12" x14ac:dyDescent="0.2">
      <c r="B97" s="647">
        <f t="shared" si="8"/>
        <v>86</v>
      </c>
      <c r="C97" s="648">
        <f t="shared" ca="1" si="9"/>
        <v>44803</v>
      </c>
      <c r="D97" s="649">
        <f t="shared" si="10"/>
        <v>1325433.1499999997</v>
      </c>
      <c r="E97" s="649">
        <f t="shared" si="11"/>
        <v>4418.1099999999997</v>
      </c>
      <c r="F97" s="649">
        <f t="shared" si="12"/>
        <v>35766.43</v>
      </c>
      <c r="G97" s="649">
        <f t="shared" si="13"/>
        <v>0</v>
      </c>
      <c r="H97" s="649">
        <f t="shared" si="14"/>
        <v>40184.54</v>
      </c>
      <c r="J97" s="650"/>
      <c r="K97" s="650"/>
      <c r="L97" s="650"/>
    </row>
    <row r="98" spans="2:12" x14ac:dyDescent="0.2">
      <c r="B98" s="647">
        <f t="shared" si="8"/>
        <v>87</v>
      </c>
      <c r="C98" s="648">
        <f t="shared" ca="1" si="9"/>
        <v>44834</v>
      </c>
      <c r="D98" s="649">
        <f t="shared" si="10"/>
        <v>1289666.7199999997</v>
      </c>
      <c r="E98" s="649">
        <f t="shared" si="11"/>
        <v>4298.8900000000003</v>
      </c>
      <c r="F98" s="649">
        <f t="shared" si="12"/>
        <v>35885.65</v>
      </c>
      <c r="G98" s="649">
        <f t="shared" si="13"/>
        <v>0</v>
      </c>
      <c r="H98" s="649">
        <f t="shared" si="14"/>
        <v>40184.54</v>
      </c>
      <c r="J98" s="650"/>
      <c r="K98" s="650"/>
      <c r="L98" s="650"/>
    </row>
    <row r="99" spans="2:12" x14ac:dyDescent="0.2">
      <c r="B99" s="647">
        <f t="shared" si="8"/>
        <v>88</v>
      </c>
      <c r="C99" s="648">
        <f t="shared" ca="1" si="9"/>
        <v>44864</v>
      </c>
      <c r="D99" s="649">
        <f t="shared" si="10"/>
        <v>1253781.0699999998</v>
      </c>
      <c r="E99" s="649">
        <f t="shared" si="11"/>
        <v>4179.2700000000004</v>
      </c>
      <c r="F99" s="649">
        <f t="shared" si="12"/>
        <v>36005.270000000004</v>
      </c>
      <c r="G99" s="649">
        <f t="shared" si="13"/>
        <v>0</v>
      </c>
      <c r="H99" s="649">
        <f t="shared" si="14"/>
        <v>40184.540000000008</v>
      </c>
      <c r="J99" s="650"/>
      <c r="K99" s="650"/>
      <c r="L99" s="650"/>
    </row>
    <row r="100" spans="2:12" x14ac:dyDescent="0.2">
      <c r="B100" s="647">
        <f t="shared" si="8"/>
        <v>89</v>
      </c>
      <c r="C100" s="648">
        <f t="shared" ca="1" si="9"/>
        <v>44895</v>
      </c>
      <c r="D100" s="649">
        <f t="shared" si="10"/>
        <v>1217775.7999999998</v>
      </c>
      <c r="E100" s="649">
        <f t="shared" si="11"/>
        <v>4059.25</v>
      </c>
      <c r="F100" s="649">
        <f t="shared" si="12"/>
        <v>36125.29</v>
      </c>
      <c r="G100" s="649">
        <f t="shared" si="13"/>
        <v>0</v>
      </c>
      <c r="H100" s="649">
        <f t="shared" si="14"/>
        <v>40184.54</v>
      </c>
      <c r="J100" s="650"/>
      <c r="K100" s="650"/>
      <c r="L100" s="650"/>
    </row>
    <row r="101" spans="2:12" x14ac:dyDescent="0.2">
      <c r="B101" s="647">
        <f t="shared" si="8"/>
        <v>90</v>
      </c>
      <c r="C101" s="648">
        <f t="shared" ca="1" si="9"/>
        <v>44925</v>
      </c>
      <c r="D101" s="649">
        <f t="shared" si="10"/>
        <v>1181650.5099999998</v>
      </c>
      <c r="E101" s="649">
        <f t="shared" si="11"/>
        <v>3938.84</v>
      </c>
      <c r="F101" s="649">
        <f t="shared" si="12"/>
        <v>36245.699999999997</v>
      </c>
      <c r="G101" s="649">
        <f t="shared" si="13"/>
        <v>0</v>
      </c>
      <c r="H101" s="649">
        <f t="shared" si="14"/>
        <v>40184.539999999994</v>
      </c>
      <c r="J101" s="650"/>
      <c r="K101" s="650"/>
      <c r="L101" s="650"/>
    </row>
    <row r="102" spans="2:12" x14ac:dyDescent="0.2">
      <c r="B102" s="647">
        <f t="shared" si="8"/>
        <v>91</v>
      </c>
      <c r="C102" s="648">
        <f t="shared" ca="1" si="9"/>
        <v>44956</v>
      </c>
      <c r="D102" s="649">
        <f t="shared" si="10"/>
        <v>1145404.8099999998</v>
      </c>
      <c r="E102" s="649">
        <f t="shared" si="11"/>
        <v>3818.02</v>
      </c>
      <c r="F102" s="649">
        <f t="shared" si="12"/>
        <v>36366.520000000004</v>
      </c>
      <c r="G102" s="649">
        <f t="shared" si="13"/>
        <v>0</v>
      </c>
      <c r="H102" s="649">
        <f t="shared" si="14"/>
        <v>40184.54</v>
      </c>
      <c r="J102" s="650"/>
      <c r="K102" s="650"/>
      <c r="L102" s="650"/>
    </row>
    <row r="103" spans="2:12" x14ac:dyDescent="0.2">
      <c r="B103" s="647">
        <f t="shared" si="8"/>
        <v>92</v>
      </c>
      <c r="C103" s="648">
        <f t="shared" ca="1" si="9"/>
        <v>44985</v>
      </c>
      <c r="D103" s="649">
        <f t="shared" si="10"/>
        <v>1109038.2899999998</v>
      </c>
      <c r="E103" s="649">
        <f t="shared" si="11"/>
        <v>3696.79</v>
      </c>
      <c r="F103" s="649">
        <f t="shared" si="12"/>
        <v>36487.75</v>
      </c>
      <c r="G103" s="649">
        <f t="shared" si="13"/>
        <v>0</v>
      </c>
      <c r="H103" s="649">
        <f t="shared" si="14"/>
        <v>40184.54</v>
      </c>
      <c r="J103" s="650"/>
      <c r="K103" s="650"/>
      <c r="L103" s="650"/>
    </row>
    <row r="104" spans="2:12" x14ac:dyDescent="0.2">
      <c r="B104" s="647">
        <f t="shared" si="8"/>
        <v>93</v>
      </c>
      <c r="C104" s="648">
        <f t="shared" ca="1" si="9"/>
        <v>45015</v>
      </c>
      <c r="D104" s="649">
        <f t="shared" si="10"/>
        <v>1072550.5399999998</v>
      </c>
      <c r="E104" s="649">
        <f t="shared" si="11"/>
        <v>3575.17</v>
      </c>
      <c r="F104" s="649">
        <f t="shared" si="12"/>
        <v>36609.370000000003</v>
      </c>
      <c r="G104" s="649">
        <f t="shared" si="13"/>
        <v>0</v>
      </c>
      <c r="H104" s="649">
        <f t="shared" si="14"/>
        <v>40184.54</v>
      </c>
      <c r="J104" s="650"/>
      <c r="K104" s="650"/>
      <c r="L104" s="650"/>
    </row>
    <row r="105" spans="2:12" x14ac:dyDescent="0.2">
      <c r="B105" s="647">
        <f t="shared" si="8"/>
        <v>94</v>
      </c>
      <c r="C105" s="648">
        <f t="shared" ca="1" si="9"/>
        <v>45046</v>
      </c>
      <c r="D105" s="649">
        <f t="shared" si="10"/>
        <v>1035941.1699999998</v>
      </c>
      <c r="E105" s="649">
        <f t="shared" si="11"/>
        <v>3453.14</v>
      </c>
      <c r="F105" s="649">
        <f t="shared" si="12"/>
        <v>36731.4</v>
      </c>
      <c r="G105" s="649">
        <f t="shared" si="13"/>
        <v>0</v>
      </c>
      <c r="H105" s="649">
        <f t="shared" si="14"/>
        <v>40184.54</v>
      </c>
      <c r="J105" s="650"/>
      <c r="K105" s="650"/>
      <c r="L105" s="650"/>
    </row>
    <row r="106" spans="2:12" x14ac:dyDescent="0.2">
      <c r="B106" s="647">
        <f t="shared" si="8"/>
        <v>95</v>
      </c>
      <c r="C106" s="648">
        <f t="shared" ca="1" si="9"/>
        <v>45076</v>
      </c>
      <c r="D106" s="649">
        <f t="shared" si="10"/>
        <v>999209.76999999979</v>
      </c>
      <c r="E106" s="649">
        <f t="shared" si="11"/>
        <v>3330.7</v>
      </c>
      <c r="F106" s="649">
        <f t="shared" si="12"/>
        <v>36853.840000000004</v>
      </c>
      <c r="G106" s="649">
        <f t="shared" si="13"/>
        <v>0</v>
      </c>
      <c r="H106" s="649">
        <f t="shared" si="14"/>
        <v>40184.54</v>
      </c>
      <c r="J106" s="650"/>
      <c r="K106" s="650"/>
      <c r="L106" s="650"/>
    </row>
    <row r="107" spans="2:12" x14ac:dyDescent="0.2">
      <c r="B107" s="647">
        <f t="shared" si="8"/>
        <v>96</v>
      </c>
      <c r="C107" s="648">
        <f t="shared" ca="1" si="9"/>
        <v>45107</v>
      </c>
      <c r="D107" s="649">
        <f t="shared" si="10"/>
        <v>962355.92999999982</v>
      </c>
      <c r="E107" s="649">
        <f t="shared" si="11"/>
        <v>3207.85</v>
      </c>
      <c r="F107" s="649">
        <f t="shared" si="12"/>
        <v>36976.69</v>
      </c>
      <c r="G107" s="649">
        <f t="shared" si="13"/>
        <v>0</v>
      </c>
      <c r="H107" s="649">
        <f t="shared" si="14"/>
        <v>40184.54</v>
      </c>
      <c r="J107" s="642">
        <f>D95-D107</f>
        <v>434253.98999999987</v>
      </c>
      <c r="K107" s="650"/>
      <c r="L107" s="650"/>
    </row>
    <row r="108" spans="2:12" x14ac:dyDescent="0.2">
      <c r="B108" s="651">
        <f t="shared" si="8"/>
        <v>97</v>
      </c>
      <c r="C108" s="652">
        <f t="shared" ca="1" si="9"/>
        <v>45137</v>
      </c>
      <c r="D108" s="653">
        <f t="shared" ref="D108:D131" si="15">IF(ISNUMBER(B108),D107-F107,"")</f>
        <v>925379.23999999976</v>
      </c>
      <c r="E108" s="653">
        <f t="shared" si="11"/>
        <v>3084.6</v>
      </c>
      <c r="F108" s="653">
        <f t="shared" si="12"/>
        <v>37099.94</v>
      </c>
      <c r="G108" s="653">
        <f t="shared" si="13"/>
        <v>0</v>
      </c>
      <c r="H108" s="653">
        <f t="shared" si="14"/>
        <v>40184.54</v>
      </c>
      <c r="J108" s="650"/>
      <c r="K108" s="650"/>
      <c r="L108" s="650"/>
    </row>
    <row r="109" spans="2:12" x14ac:dyDescent="0.2">
      <c r="B109" s="651">
        <f t="shared" si="8"/>
        <v>98</v>
      </c>
      <c r="C109" s="652">
        <f t="shared" ca="1" si="9"/>
        <v>45168</v>
      </c>
      <c r="D109" s="653">
        <f t="shared" si="15"/>
        <v>888279.29999999981</v>
      </c>
      <c r="E109" s="653">
        <f t="shared" si="11"/>
        <v>2960.93</v>
      </c>
      <c r="F109" s="653">
        <f t="shared" si="12"/>
        <v>37223.61</v>
      </c>
      <c r="G109" s="653">
        <f t="shared" si="13"/>
        <v>0</v>
      </c>
      <c r="H109" s="653">
        <f t="shared" si="14"/>
        <v>40184.54</v>
      </c>
      <c r="J109" s="650"/>
      <c r="K109" s="650"/>
      <c r="L109" s="650"/>
    </row>
    <row r="110" spans="2:12" x14ac:dyDescent="0.2">
      <c r="B110" s="651">
        <f t="shared" si="8"/>
        <v>99</v>
      </c>
      <c r="C110" s="652">
        <f t="shared" ca="1" si="9"/>
        <v>45199</v>
      </c>
      <c r="D110" s="653">
        <f t="shared" si="15"/>
        <v>851055.68999999983</v>
      </c>
      <c r="E110" s="653">
        <f t="shared" si="11"/>
        <v>2836.85</v>
      </c>
      <c r="F110" s="653">
        <f t="shared" si="12"/>
        <v>37347.69</v>
      </c>
      <c r="G110" s="653">
        <f t="shared" si="13"/>
        <v>0</v>
      </c>
      <c r="H110" s="653">
        <f t="shared" si="14"/>
        <v>40184.54</v>
      </c>
      <c r="J110" s="650"/>
      <c r="K110" s="650"/>
      <c r="L110" s="650"/>
    </row>
    <row r="111" spans="2:12" x14ac:dyDescent="0.2">
      <c r="B111" s="651">
        <f t="shared" si="8"/>
        <v>100</v>
      </c>
      <c r="C111" s="652">
        <f t="shared" ca="1" si="9"/>
        <v>45229</v>
      </c>
      <c r="D111" s="653">
        <f t="shared" si="15"/>
        <v>813707.99999999977</v>
      </c>
      <c r="E111" s="653">
        <f t="shared" si="11"/>
        <v>2712.36</v>
      </c>
      <c r="F111" s="653">
        <f t="shared" si="12"/>
        <v>37472.18</v>
      </c>
      <c r="G111" s="653">
        <f t="shared" si="13"/>
        <v>0</v>
      </c>
      <c r="H111" s="653">
        <f t="shared" si="14"/>
        <v>40184.54</v>
      </c>
      <c r="J111" s="650"/>
      <c r="K111" s="650"/>
      <c r="L111" s="650"/>
    </row>
    <row r="112" spans="2:12" x14ac:dyDescent="0.2">
      <c r="B112" s="651">
        <f t="shared" si="8"/>
        <v>101</v>
      </c>
      <c r="C112" s="652">
        <f t="shared" ca="1" si="9"/>
        <v>45260</v>
      </c>
      <c r="D112" s="653">
        <f t="shared" si="15"/>
        <v>776235.81999999972</v>
      </c>
      <c r="E112" s="653">
        <f t="shared" si="11"/>
        <v>2587.4499999999998</v>
      </c>
      <c r="F112" s="653">
        <f t="shared" si="12"/>
        <v>37597.090000000004</v>
      </c>
      <c r="G112" s="653">
        <f t="shared" si="13"/>
        <v>0</v>
      </c>
      <c r="H112" s="653">
        <f t="shared" si="14"/>
        <v>40184.54</v>
      </c>
      <c r="J112" s="650"/>
      <c r="K112" s="650"/>
      <c r="L112" s="650"/>
    </row>
    <row r="113" spans="2:12" x14ac:dyDescent="0.2">
      <c r="B113" s="651">
        <f t="shared" si="8"/>
        <v>102</v>
      </c>
      <c r="C113" s="652">
        <f t="shared" ca="1" si="9"/>
        <v>45290</v>
      </c>
      <c r="D113" s="653">
        <f t="shared" si="15"/>
        <v>738638.72999999975</v>
      </c>
      <c r="E113" s="653">
        <f t="shared" si="11"/>
        <v>2462.13</v>
      </c>
      <c r="F113" s="653">
        <f t="shared" si="12"/>
        <v>37722.410000000003</v>
      </c>
      <c r="G113" s="653">
        <f t="shared" si="13"/>
        <v>0</v>
      </c>
      <c r="H113" s="653">
        <f t="shared" si="14"/>
        <v>40184.54</v>
      </c>
      <c r="J113" s="650"/>
      <c r="K113" s="650"/>
      <c r="L113" s="650"/>
    </row>
    <row r="114" spans="2:12" x14ac:dyDescent="0.2">
      <c r="B114" s="651">
        <f t="shared" si="8"/>
        <v>103</v>
      </c>
      <c r="C114" s="652">
        <f t="shared" ca="1" si="9"/>
        <v>45321</v>
      </c>
      <c r="D114" s="653">
        <f t="shared" si="15"/>
        <v>700916.31999999972</v>
      </c>
      <c r="E114" s="653">
        <f t="shared" si="11"/>
        <v>2336.39</v>
      </c>
      <c r="F114" s="653">
        <f t="shared" si="12"/>
        <v>37848.15</v>
      </c>
      <c r="G114" s="653">
        <f t="shared" si="13"/>
        <v>0</v>
      </c>
      <c r="H114" s="653">
        <f t="shared" si="14"/>
        <v>40184.54</v>
      </c>
      <c r="J114" s="650"/>
      <c r="K114" s="650"/>
      <c r="L114" s="650"/>
    </row>
    <row r="115" spans="2:12" x14ac:dyDescent="0.2">
      <c r="B115" s="651">
        <f t="shared" si="8"/>
        <v>104</v>
      </c>
      <c r="C115" s="652">
        <f t="shared" ca="1" si="9"/>
        <v>45351</v>
      </c>
      <c r="D115" s="653">
        <f t="shared" si="15"/>
        <v>663068.16999999969</v>
      </c>
      <c r="E115" s="653">
        <f t="shared" si="11"/>
        <v>2210.23</v>
      </c>
      <c r="F115" s="653">
        <f t="shared" si="12"/>
        <v>37974.31</v>
      </c>
      <c r="G115" s="653">
        <f t="shared" si="13"/>
        <v>0</v>
      </c>
      <c r="H115" s="653">
        <f t="shared" si="14"/>
        <v>40184.54</v>
      </c>
      <c r="J115" s="650"/>
      <c r="K115" s="650"/>
      <c r="L115" s="650"/>
    </row>
    <row r="116" spans="2:12" x14ac:dyDescent="0.2">
      <c r="B116" s="651">
        <f t="shared" si="8"/>
        <v>105</v>
      </c>
      <c r="C116" s="652">
        <f t="shared" ca="1" si="9"/>
        <v>45381</v>
      </c>
      <c r="D116" s="653">
        <f t="shared" si="15"/>
        <v>625093.85999999964</v>
      </c>
      <c r="E116" s="653">
        <f t="shared" si="11"/>
        <v>2083.65</v>
      </c>
      <c r="F116" s="653">
        <f t="shared" si="12"/>
        <v>38100.89</v>
      </c>
      <c r="G116" s="653">
        <f t="shared" si="13"/>
        <v>0</v>
      </c>
      <c r="H116" s="653">
        <f t="shared" si="14"/>
        <v>40184.54</v>
      </c>
      <c r="J116" s="650"/>
      <c r="K116" s="650"/>
      <c r="L116" s="650"/>
    </row>
    <row r="117" spans="2:12" x14ac:dyDescent="0.2">
      <c r="B117" s="651">
        <f t="shared" si="8"/>
        <v>106</v>
      </c>
      <c r="C117" s="652">
        <f t="shared" ca="1" si="9"/>
        <v>45412</v>
      </c>
      <c r="D117" s="653">
        <f t="shared" si="15"/>
        <v>586992.96999999962</v>
      </c>
      <c r="E117" s="653">
        <f t="shared" si="11"/>
        <v>1956.64</v>
      </c>
      <c r="F117" s="653">
        <f t="shared" si="12"/>
        <v>38227.9</v>
      </c>
      <c r="G117" s="653">
        <f t="shared" si="13"/>
        <v>0</v>
      </c>
      <c r="H117" s="653">
        <f t="shared" si="14"/>
        <v>40184.54</v>
      </c>
      <c r="J117" s="650"/>
      <c r="K117" s="650"/>
      <c r="L117" s="650"/>
    </row>
    <row r="118" spans="2:12" x14ac:dyDescent="0.2">
      <c r="B118" s="651">
        <f t="shared" si="8"/>
        <v>107</v>
      </c>
      <c r="C118" s="652">
        <f t="shared" ca="1" si="9"/>
        <v>45442</v>
      </c>
      <c r="D118" s="653">
        <f t="shared" si="15"/>
        <v>548765.0699999996</v>
      </c>
      <c r="E118" s="653">
        <f t="shared" si="11"/>
        <v>1829.22</v>
      </c>
      <c r="F118" s="653">
        <f t="shared" si="12"/>
        <v>38355.32</v>
      </c>
      <c r="G118" s="653">
        <f t="shared" si="13"/>
        <v>0</v>
      </c>
      <c r="H118" s="653">
        <f t="shared" si="14"/>
        <v>40184.54</v>
      </c>
      <c r="J118" s="650"/>
      <c r="K118" s="650"/>
      <c r="L118" s="650"/>
    </row>
    <row r="119" spans="2:12" x14ac:dyDescent="0.2">
      <c r="B119" s="651">
        <f t="shared" si="8"/>
        <v>108</v>
      </c>
      <c r="C119" s="652">
        <f t="shared" ca="1" si="9"/>
        <v>45473</v>
      </c>
      <c r="D119" s="653">
        <f t="shared" si="15"/>
        <v>510409.74999999959</v>
      </c>
      <c r="E119" s="653">
        <f t="shared" si="11"/>
        <v>1701.37</v>
      </c>
      <c r="F119" s="653">
        <f t="shared" si="12"/>
        <v>38483.17</v>
      </c>
      <c r="G119" s="653">
        <f t="shared" si="13"/>
        <v>0</v>
      </c>
      <c r="H119" s="653">
        <f t="shared" si="14"/>
        <v>40184.54</v>
      </c>
      <c r="J119" s="642">
        <f>D107-D119</f>
        <v>451946.18000000023</v>
      </c>
      <c r="K119" s="650"/>
      <c r="L119" s="650"/>
    </row>
    <row r="120" spans="2:12" x14ac:dyDescent="0.2">
      <c r="B120" s="647">
        <f t="shared" si="8"/>
        <v>109</v>
      </c>
      <c r="C120" s="648">
        <f t="shared" ca="1" si="9"/>
        <v>45503</v>
      </c>
      <c r="D120" s="649">
        <f t="shared" si="15"/>
        <v>471926.57999999961</v>
      </c>
      <c r="E120" s="649">
        <f t="shared" si="11"/>
        <v>1573.09</v>
      </c>
      <c r="F120" s="649">
        <f t="shared" si="12"/>
        <v>38611.450000000004</v>
      </c>
      <c r="G120" s="649">
        <f t="shared" si="13"/>
        <v>0</v>
      </c>
      <c r="H120" s="649">
        <f t="shared" si="14"/>
        <v>40184.54</v>
      </c>
      <c r="J120" s="650"/>
      <c r="K120" s="650"/>
      <c r="L120" s="650"/>
    </row>
    <row r="121" spans="2:12" x14ac:dyDescent="0.2">
      <c r="B121" s="647">
        <f t="shared" si="8"/>
        <v>110</v>
      </c>
      <c r="C121" s="648">
        <f t="shared" ca="1" si="9"/>
        <v>45534</v>
      </c>
      <c r="D121" s="649">
        <f t="shared" si="15"/>
        <v>433315.1299999996</v>
      </c>
      <c r="E121" s="649">
        <f t="shared" si="11"/>
        <v>1444.38</v>
      </c>
      <c r="F121" s="649">
        <f t="shared" si="12"/>
        <v>38740.160000000003</v>
      </c>
      <c r="G121" s="649">
        <f t="shared" si="13"/>
        <v>0</v>
      </c>
      <c r="H121" s="649">
        <f t="shared" si="14"/>
        <v>40184.54</v>
      </c>
      <c r="J121" s="650"/>
      <c r="K121" s="650"/>
      <c r="L121" s="650"/>
    </row>
    <row r="122" spans="2:12" x14ac:dyDescent="0.2">
      <c r="B122" s="647">
        <f t="shared" si="8"/>
        <v>111</v>
      </c>
      <c r="C122" s="648">
        <f t="shared" ca="1" si="9"/>
        <v>45565</v>
      </c>
      <c r="D122" s="649">
        <f t="shared" si="15"/>
        <v>394574.96999999962</v>
      </c>
      <c r="E122" s="649">
        <f t="shared" si="11"/>
        <v>1315.25</v>
      </c>
      <c r="F122" s="649">
        <f t="shared" si="12"/>
        <v>38869.29</v>
      </c>
      <c r="G122" s="649">
        <f t="shared" si="13"/>
        <v>0</v>
      </c>
      <c r="H122" s="649">
        <f t="shared" si="14"/>
        <v>40184.54</v>
      </c>
      <c r="J122" s="650"/>
      <c r="K122" s="650"/>
      <c r="L122" s="650"/>
    </row>
    <row r="123" spans="2:12" x14ac:dyDescent="0.2">
      <c r="B123" s="647">
        <f t="shared" si="8"/>
        <v>112</v>
      </c>
      <c r="C123" s="648">
        <f t="shared" ca="1" si="9"/>
        <v>45595</v>
      </c>
      <c r="D123" s="649">
        <f t="shared" si="15"/>
        <v>355705.67999999964</v>
      </c>
      <c r="E123" s="649">
        <f t="shared" si="11"/>
        <v>1185.69</v>
      </c>
      <c r="F123" s="649">
        <f t="shared" si="12"/>
        <v>38998.85</v>
      </c>
      <c r="G123" s="649">
        <f t="shared" si="13"/>
        <v>0</v>
      </c>
      <c r="H123" s="649">
        <f t="shared" si="14"/>
        <v>40184.54</v>
      </c>
      <c r="J123" s="650"/>
      <c r="K123" s="650"/>
      <c r="L123" s="650"/>
    </row>
    <row r="124" spans="2:12" x14ac:dyDescent="0.2">
      <c r="B124" s="647">
        <f t="shared" si="8"/>
        <v>113</v>
      </c>
      <c r="C124" s="648">
        <f t="shared" ca="1" si="9"/>
        <v>45626</v>
      </c>
      <c r="D124" s="649">
        <f t="shared" si="15"/>
        <v>316706.82999999967</v>
      </c>
      <c r="E124" s="649">
        <f t="shared" si="11"/>
        <v>1055.69</v>
      </c>
      <c r="F124" s="649">
        <f t="shared" si="12"/>
        <v>39128.85</v>
      </c>
      <c r="G124" s="649">
        <f t="shared" si="13"/>
        <v>0</v>
      </c>
      <c r="H124" s="649">
        <f t="shared" si="14"/>
        <v>40184.54</v>
      </c>
      <c r="J124" s="650"/>
      <c r="K124" s="650"/>
      <c r="L124" s="650"/>
    </row>
    <row r="125" spans="2:12" x14ac:dyDescent="0.2">
      <c r="B125" s="647">
        <f t="shared" si="8"/>
        <v>114</v>
      </c>
      <c r="C125" s="648">
        <f t="shared" ca="1" si="9"/>
        <v>45656</v>
      </c>
      <c r="D125" s="649">
        <f t="shared" si="15"/>
        <v>277577.97999999969</v>
      </c>
      <c r="E125" s="649">
        <f t="shared" si="11"/>
        <v>925.26</v>
      </c>
      <c r="F125" s="649">
        <f t="shared" si="12"/>
        <v>39259.279999999999</v>
      </c>
      <c r="G125" s="649">
        <f t="shared" si="13"/>
        <v>0</v>
      </c>
      <c r="H125" s="649">
        <f t="shared" si="14"/>
        <v>40184.54</v>
      </c>
      <c r="J125" s="650"/>
      <c r="K125" s="650"/>
      <c r="L125" s="650"/>
    </row>
    <row r="126" spans="2:12" x14ac:dyDescent="0.2">
      <c r="B126" s="647">
        <f t="shared" si="8"/>
        <v>115</v>
      </c>
      <c r="C126" s="648">
        <f t="shared" ca="1" si="9"/>
        <v>45687</v>
      </c>
      <c r="D126" s="649">
        <f t="shared" si="15"/>
        <v>238318.69999999969</v>
      </c>
      <c r="E126" s="649">
        <f t="shared" si="11"/>
        <v>794.4</v>
      </c>
      <c r="F126" s="649">
        <f t="shared" si="12"/>
        <v>39390.14</v>
      </c>
      <c r="G126" s="649">
        <f t="shared" si="13"/>
        <v>0</v>
      </c>
      <c r="H126" s="649">
        <f t="shared" si="14"/>
        <v>40184.54</v>
      </c>
      <c r="J126" s="650"/>
      <c r="K126" s="650"/>
      <c r="L126" s="650"/>
    </row>
    <row r="127" spans="2:12" x14ac:dyDescent="0.2">
      <c r="B127" s="647">
        <f t="shared" si="8"/>
        <v>116</v>
      </c>
      <c r="C127" s="648">
        <f t="shared" ca="1" si="9"/>
        <v>45716</v>
      </c>
      <c r="D127" s="649">
        <f t="shared" si="15"/>
        <v>198928.55999999971</v>
      </c>
      <c r="E127" s="649">
        <f t="shared" si="11"/>
        <v>663.1</v>
      </c>
      <c r="F127" s="649">
        <f t="shared" si="12"/>
        <v>39521.440000000002</v>
      </c>
      <c r="G127" s="649">
        <f t="shared" si="13"/>
        <v>0</v>
      </c>
      <c r="H127" s="649">
        <f t="shared" si="14"/>
        <v>40184.54</v>
      </c>
      <c r="J127" s="650"/>
      <c r="K127" s="650"/>
      <c r="L127" s="650"/>
    </row>
    <row r="128" spans="2:12" x14ac:dyDescent="0.2">
      <c r="B128" s="647">
        <f t="shared" si="8"/>
        <v>117</v>
      </c>
      <c r="C128" s="648">
        <f t="shared" ca="1" si="9"/>
        <v>45746</v>
      </c>
      <c r="D128" s="649">
        <f t="shared" si="15"/>
        <v>159407.1199999997</v>
      </c>
      <c r="E128" s="649">
        <f t="shared" si="11"/>
        <v>531.36</v>
      </c>
      <c r="F128" s="649">
        <f t="shared" si="12"/>
        <v>39653.18</v>
      </c>
      <c r="G128" s="649">
        <f t="shared" si="13"/>
        <v>0</v>
      </c>
      <c r="H128" s="649">
        <f t="shared" si="14"/>
        <v>40184.54</v>
      </c>
      <c r="J128" s="650"/>
      <c r="K128" s="650"/>
      <c r="L128" s="650"/>
    </row>
    <row r="129" spans="2:12" x14ac:dyDescent="0.2">
      <c r="B129" s="647">
        <f t="shared" si="8"/>
        <v>118</v>
      </c>
      <c r="C129" s="648">
        <f t="shared" ca="1" si="9"/>
        <v>45777</v>
      </c>
      <c r="D129" s="649">
        <f t="shared" si="15"/>
        <v>119753.93999999971</v>
      </c>
      <c r="E129" s="649">
        <f t="shared" si="11"/>
        <v>399.18</v>
      </c>
      <c r="F129" s="649">
        <f t="shared" si="12"/>
        <v>39785.360000000001</v>
      </c>
      <c r="G129" s="649">
        <f t="shared" si="13"/>
        <v>0</v>
      </c>
      <c r="H129" s="649">
        <f t="shared" si="14"/>
        <v>40184.54</v>
      </c>
      <c r="J129" s="650"/>
      <c r="K129" s="650"/>
      <c r="L129" s="650"/>
    </row>
    <row r="130" spans="2:12" x14ac:dyDescent="0.2">
      <c r="B130" s="647">
        <f t="shared" si="8"/>
        <v>119</v>
      </c>
      <c r="C130" s="648">
        <f t="shared" ca="1" si="9"/>
        <v>45807</v>
      </c>
      <c r="D130" s="649">
        <f t="shared" si="15"/>
        <v>79968.579999999711</v>
      </c>
      <c r="E130" s="649">
        <f t="shared" si="11"/>
        <v>266.56</v>
      </c>
      <c r="F130" s="649">
        <f t="shared" si="12"/>
        <v>39917.980000000003</v>
      </c>
      <c r="G130" s="649">
        <f t="shared" si="13"/>
        <v>0</v>
      </c>
      <c r="H130" s="649">
        <f t="shared" si="14"/>
        <v>40184.54</v>
      </c>
      <c r="J130" s="650"/>
      <c r="K130" s="650"/>
      <c r="L130" s="650"/>
    </row>
    <row r="131" spans="2:12" x14ac:dyDescent="0.2">
      <c r="B131" s="647">
        <f t="shared" si="8"/>
        <v>120</v>
      </c>
      <c r="C131" s="648">
        <f t="shared" ca="1" si="9"/>
        <v>45838</v>
      </c>
      <c r="D131" s="649">
        <f t="shared" si="15"/>
        <v>40050.599999999708</v>
      </c>
      <c r="E131" s="649">
        <f t="shared" si="11"/>
        <v>133.5</v>
      </c>
      <c r="F131" s="649">
        <f t="shared" si="12"/>
        <v>40050.599999999708</v>
      </c>
      <c r="G131" s="649">
        <f t="shared" si="13"/>
        <v>0</v>
      </c>
      <c r="H131" s="649">
        <f t="shared" si="14"/>
        <v>40184.099999999708</v>
      </c>
      <c r="J131" s="642">
        <f>D119</f>
        <v>510409.74999999959</v>
      </c>
      <c r="K131" s="650"/>
      <c r="L131" s="650"/>
    </row>
    <row r="132" spans="2:12" x14ac:dyDescent="0.2">
      <c r="B132" s="660" t="str">
        <f t="shared" si="8"/>
        <v>-</v>
      </c>
      <c r="C132" s="661" t="str">
        <f t="shared" si="9"/>
        <v/>
      </c>
      <c r="D132" s="650"/>
      <c r="E132" s="650" t="str">
        <f t="shared" si="11"/>
        <v/>
      </c>
      <c r="F132" s="650" t="str">
        <f t="shared" si="12"/>
        <v/>
      </c>
      <c r="G132" s="650" t="str">
        <f t="shared" si="13"/>
        <v/>
      </c>
      <c r="H132" s="650" t="str">
        <f t="shared" si="14"/>
        <v/>
      </c>
      <c r="J132" s="650"/>
      <c r="K132" s="650"/>
      <c r="L132" s="650"/>
    </row>
    <row r="133" spans="2:12" x14ac:dyDescent="0.2">
      <c r="B133" s="660" t="str">
        <f t="shared" si="8"/>
        <v>-</v>
      </c>
      <c r="C133" s="661" t="str">
        <f t="shared" si="9"/>
        <v/>
      </c>
      <c r="D133" s="650"/>
      <c r="E133" s="650">
        <f>SUM(E11:E131)</f>
        <v>824739.8899999999</v>
      </c>
      <c r="F133" s="650" t="str">
        <f t="shared" si="12"/>
        <v/>
      </c>
      <c r="G133" s="650" t="str">
        <f t="shared" si="13"/>
        <v/>
      </c>
      <c r="H133" s="650" t="str">
        <f t="shared" si="14"/>
        <v/>
      </c>
      <c r="J133" s="650"/>
      <c r="K133" s="650"/>
      <c r="L133" s="650"/>
    </row>
    <row r="134" spans="2:12" x14ac:dyDescent="0.2">
      <c r="B134" s="660" t="str">
        <f t="shared" si="8"/>
        <v>-</v>
      </c>
      <c r="C134" s="661" t="str">
        <f t="shared" si="9"/>
        <v/>
      </c>
      <c r="D134" s="650" t="str">
        <f t="shared" ref="D134:D197" si="16">IF(ISNUMBER(B134),D133-F133,"")</f>
        <v/>
      </c>
      <c r="E134" s="650" t="str">
        <f t="shared" si="11"/>
        <v/>
      </c>
      <c r="F134" s="650" t="str">
        <f t="shared" si="12"/>
        <v/>
      </c>
      <c r="G134" s="650" t="str">
        <f t="shared" si="13"/>
        <v/>
      </c>
      <c r="H134" s="650" t="str">
        <f t="shared" si="14"/>
        <v/>
      </c>
      <c r="J134" s="650"/>
      <c r="K134" s="650"/>
      <c r="L134" s="650"/>
    </row>
    <row r="135" spans="2:12" x14ac:dyDescent="0.2">
      <c r="B135" s="660" t="str">
        <f t="shared" si="8"/>
        <v>-</v>
      </c>
      <c r="C135" s="661" t="str">
        <f t="shared" si="9"/>
        <v/>
      </c>
      <c r="D135" s="650" t="str">
        <f t="shared" si="16"/>
        <v/>
      </c>
      <c r="E135" s="650" t="str">
        <f t="shared" si="11"/>
        <v/>
      </c>
      <c r="F135" s="650" t="str">
        <f t="shared" si="12"/>
        <v/>
      </c>
      <c r="G135" s="650" t="str">
        <f t="shared" si="13"/>
        <v/>
      </c>
      <c r="H135" s="650" t="str">
        <f t="shared" si="14"/>
        <v/>
      </c>
      <c r="J135" s="650"/>
      <c r="K135" s="650"/>
      <c r="L135" s="650"/>
    </row>
    <row r="136" spans="2:12" x14ac:dyDescent="0.2">
      <c r="B136" s="660" t="str">
        <f t="shared" si="8"/>
        <v>-</v>
      </c>
      <c r="C136" s="661" t="str">
        <f t="shared" si="9"/>
        <v/>
      </c>
      <c r="D136" s="650" t="str">
        <f t="shared" si="16"/>
        <v/>
      </c>
      <c r="E136" s="650" t="str">
        <f t="shared" si="11"/>
        <v/>
      </c>
      <c r="F136" s="650" t="str">
        <f t="shared" si="12"/>
        <v/>
      </c>
      <c r="G136" s="650" t="str">
        <f t="shared" si="13"/>
        <v/>
      </c>
      <c r="H136" s="650" t="str">
        <f t="shared" si="14"/>
        <v/>
      </c>
      <c r="J136" s="650"/>
      <c r="K136" s="650"/>
      <c r="L136" s="650"/>
    </row>
    <row r="137" spans="2:12" x14ac:dyDescent="0.2">
      <c r="B137" s="660" t="str">
        <f t="shared" si="8"/>
        <v>-</v>
      </c>
      <c r="C137" s="661" t="str">
        <f t="shared" si="9"/>
        <v/>
      </c>
      <c r="D137" s="650" t="str">
        <f t="shared" si="16"/>
        <v/>
      </c>
      <c r="E137" s="650">
        <f>E133+'Emprunt 2017'!E133+'Emprunt 2016'!E133</f>
        <v>8421453.2899999991</v>
      </c>
      <c r="F137" s="650" t="str">
        <f t="shared" si="12"/>
        <v/>
      </c>
      <c r="G137" s="650" t="str">
        <f t="shared" si="13"/>
        <v/>
      </c>
      <c r="H137" s="650" t="str">
        <f t="shared" si="14"/>
        <v/>
      </c>
      <c r="J137" s="650"/>
      <c r="K137" s="650"/>
      <c r="L137" s="650"/>
    </row>
    <row r="138" spans="2:12" x14ac:dyDescent="0.2">
      <c r="B138" s="660" t="str">
        <f t="shared" si="8"/>
        <v>-</v>
      </c>
      <c r="C138" s="661" t="str">
        <f t="shared" si="9"/>
        <v/>
      </c>
      <c r="D138" s="650" t="str">
        <f t="shared" si="16"/>
        <v/>
      </c>
      <c r="E138" s="650" t="str">
        <f t="shared" si="11"/>
        <v/>
      </c>
      <c r="F138" s="650" t="str">
        <f t="shared" si="12"/>
        <v/>
      </c>
      <c r="G138" s="650" t="str">
        <f t="shared" si="13"/>
        <v/>
      </c>
      <c r="H138" s="650" t="str">
        <f t="shared" si="14"/>
        <v/>
      </c>
      <c r="J138" s="650"/>
      <c r="K138" s="650"/>
      <c r="L138" s="650"/>
    </row>
    <row r="139" spans="2:12" x14ac:dyDescent="0.2">
      <c r="B139" s="660" t="str">
        <f t="shared" si="8"/>
        <v>-</v>
      </c>
      <c r="C139" s="661" t="str">
        <f t="shared" si="9"/>
        <v/>
      </c>
      <c r="D139" s="650" t="str">
        <f t="shared" si="16"/>
        <v/>
      </c>
      <c r="E139" s="650" t="str">
        <f t="shared" si="11"/>
        <v/>
      </c>
      <c r="F139" s="650" t="str">
        <f t="shared" si="12"/>
        <v/>
      </c>
      <c r="G139" s="650" t="str">
        <f t="shared" si="13"/>
        <v/>
      </c>
      <c r="H139" s="650" t="str">
        <f t="shared" si="14"/>
        <v/>
      </c>
      <c r="J139" s="650"/>
      <c r="K139" s="650"/>
      <c r="L139" s="650"/>
    </row>
    <row r="140" spans="2:12" x14ac:dyDescent="0.2">
      <c r="B140" s="660" t="str">
        <f t="shared" ref="B140:B203" si="17">IF(B139&lt;$L$3,B139+1,"-")</f>
        <v>-</v>
      </c>
      <c r="C140" s="661" t="str">
        <f t="shared" ref="C140:C203" si="18">IF(ISNUMBER(B140),MIN(DATE(YEAR($C$11),MONTH($C$11)+B140*12/$P$5,DAY($C$11)),DATE(YEAR($C$11),MONTH($C$11)+1+B140*12/$P$5,1)-1),"")</f>
        <v/>
      </c>
      <c r="D140" s="650" t="str">
        <f t="shared" si="16"/>
        <v/>
      </c>
      <c r="E140" s="650" t="str">
        <f t="shared" ref="E140:E203" si="19">IF(ISNUMBER(B140),ROUND(D140*$L$7,$R$6),"")</f>
        <v/>
      </c>
      <c r="F140" s="650" t="str">
        <f t="shared" ref="F140:F203" si="20">IF(ISNUMBER(B140),IF(B140=$L$3,D140,IF(B140&gt;$L$4,$H$3-E140,0)),"")</f>
        <v/>
      </c>
      <c r="G140" s="650" t="str">
        <f t="shared" ref="G140:G203" si="21">IF(ISNUMBER(B140),$H$4,"")</f>
        <v/>
      </c>
      <c r="H140" s="650" t="str">
        <f t="shared" ref="H140:H203" si="22">IF(ISNUMBER(B140),E140+F140+G140,"")</f>
        <v/>
      </c>
      <c r="J140" s="650"/>
      <c r="K140" s="650"/>
      <c r="L140" s="650"/>
    </row>
    <row r="141" spans="2:12" x14ac:dyDescent="0.2">
      <c r="B141" s="660" t="str">
        <f t="shared" si="17"/>
        <v>-</v>
      </c>
      <c r="C141" s="661" t="str">
        <f t="shared" si="18"/>
        <v/>
      </c>
      <c r="D141" s="650" t="str">
        <f t="shared" si="16"/>
        <v/>
      </c>
      <c r="E141" s="650" t="str">
        <f t="shared" si="19"/>
        <v/>
      </c>
      <c r="F141" s="650" t="str">
        <f t="shared" si="20"/>
        <v/>
      </c>
      <c r="G141" s="650" t="str">
        <f t="shared" si="21"/>
        <v/>
      </c>
      <c r="H141" s="650" t="str">
        <f t="shared" si="22"/>
        <v/>
      </c>
      <c r="J141" s="650"/>
      <c r="K141" s="650"/>
      <c r="L141" s="650"/>
    </row>
    <row r="142" spans="2:12" x14ac:dyDescent="0.2">
      <c r="B142" s="660" t="str">
        <f t="shared" si="17"/>
        <v>-</v>
      </c>
      <c r="C142" s="661" t="str">
        <f t="shared" si="18"/>
        <v/>
      </c>
      <c r="D142" s="650" t="str">
        <f t="shared" si="16"/>
        <v/>
      </c>
      <c r="E142" s="650" t="str">
        <f t="shared" si="19"/>
        <v/>
      </c>
      <c r="F142" s="650" t="str">
        <f t="shared" si="20"/>
        <v/>
      </c>
      <c r="G142" s="650" t="str">
        <f t="shared" si="21"/>
        <v/>
      </c>
      <c r="H142" s="650" t="str">
        <f t="shared" si="22"/>
        <v/>
      </c>
      <c r="J142" s="650"/>
      <c r="K142" s="650"/>
      <c r="L142" s="650"/>
    </row>
    <row r="143" spans="2:12" x14ac:dyDescent="0.2">
      <c r="B143" s="660" t="str">
        <f t="shared" si="17"/>
        <v>-</v>
      </c>
      <c r="C143" s="661" t="str">
        <f t="shared" si="18"/>
        <v/>
      </c>
      <c r="D143" s="650" t="str">
        <f t="shared" si="16"/>
        <v/>
      </c>
      <c r="E143" s="650">
        <f>2.8+3.8+2.4+1.6</f>
        <v>10.6</v>
      </c>
      <c r="F143" s="650" t="str">
        <f t="shared" si="20"/>
        <v/>
      </c>
      <c r="G143" s="650" t="str">
        <f t="shared" si="21"/>
        <v/>
      </c>
      <c r="H143" s="650" t="str">
        <f t="shared" si="22"/>
        <v/>
      </c>
      <c r="J143" s="650"/>
      <c r="K143" s="650"/>
      <c r="L143" s="650"/>
    </row>
    <row r="144" spans="2:12" x14ac:dyDescent="0.2">
      <c r="B144" s="660" t="str">
        <f t="shared" si="17"/>
        <v>-</v>
      </c>
      <c r="C144" s="661" t="str">
        <f t="shared" si="18"/>
        <v/>
      </c>
      <c r="D144" s="650" t="str">
        <f t="shared" si="16"/>
        <v/>
      </c>
      <c r="E144" s="650" t="str">
        <f t="shared" si="19"/>
        <v/>
      </c>
      <c r="F144" s="650" t="str">
        <f t="shared" si="20"/>
        <v/>
      </c>
      <c r="G144" s="650" t="str">
        <f t="shared" si="21"/>
        <v/>
      </c>
      <c r="H144" s="650" t="str">
        <f t="shared" si="22"/>
        <v/>
      </c>
      <c r="J144" s="650"/>
      <c r="K144" s="650"/>
      <c r="L144" s="650"/>
    </row>
    <row r="145" spans="2:12" x14ac:dyDescent="0.2">
      <c r="B145" s="660" t="str">
        <f t="shared" si="17"/>
        <v>-</v>
      </c>
      <c r="C145" s="661" t="str">
        <f t="shared" si="18"/>
        <v/>
      </c>
      <c r="D145" s="650" t="str">
        <f t="shared" si="16"/>
        <v/>
      </c>
      <c r="E145" s="650" t="str">
        <f t="shared" si="19"/>
        <v/>
      </c>
      <c r="F145" s="650" t="str">
        <f t="shared" si="20"/>
        <v/>
      </c>
      <c r="G145" s="650" t="str">
        <f t="shared" si="21"/>
        <v/>
      </c>
      <c r="H145" s="650" t="str">
        <f t="shared" si="22"/>
        <v/>
      </c>
      <c r="J145" s="650"/>
      <c r="K145" s="650"/>
      <c r="L145" s="650"/>
    </row>
    <row r="146" spans="2:12" x14ac:dyDescent="0.2">
      <c r="B146" s="660" t="str">
        <f t="shared" si="17"/>
        <v>-</v>
      </c>
      <c r="C146" s="661" t="str">
        <f t="shared" si="18"/>
        <v/>
      </c>
      <c r="D146" s="650" t="str">
        <f t="shared" si="16"/>
        <v/>
      </c>
      <c r="E146" s="650" t="str">
        <f t="shared" si="19"/>
        <v/>
      </c>
      <c r="F146" s="650" t="str">
        <f t="shared" si="20"/>
        <v/>
      </c>
      <c r="G146" s="650" t="str">
        <f t="shared" si="21"/>
        <v/>
      </c>
      <c r="H146" s="650" t="str">
        <f t="shared" si="22"/>
        <v/>
      </c>
      <c r="J146" s="650"/>
      <c r="K146" s="650"/>
      <c r="L146" s="650"/>
    </row>
    <row r="147" spans="2:12" x14ac:dyDescent="0.2">
      <c r="B147" s="660" t="str">
        <f t="shared" si="17"/>
        <v>-</v>
      </c>
      <c r="C147" s="661" t="str">
        <f t="shared" si="18"/>
        <v/>
      </c>
      <c r="D147" s="650" t="str">
        <f t="shared" si="16"/>
        <v/>
      </c>
      <c r="E147" s="650" t="str">
        <f t="shared" si="19"/>
        <v/>
      </c>
      <c r="F147" s="650" t="str">
        <f t="shared" si="20"/>
        <v/>
      </c>
      <c r="G147" s="650" t="str">
        <f t="shared" si="21"/>
        <v/>
      </c>
      <c r="H147" s="650" t="str">
        <f t="shared" si="22"/>
        <v/>
      </c>
      <c r="J147" s="650"/>
      <c r="K147" s="650"/>
      <c r="L147" s="650"/>
    </row>
    <row r="148" spans="2:12" x14ac:dyDescent="0.2">
      <c r="B148" s="660" t="str">
        <f t="shared" si="17"/>
        <v>-</v>
      </c>
      <c r="C148" s="661" t="str">
        <f t="shared" si="18"/>
        <v/>
      </c>
      <c r="D148" s="650" t="str">
        <f t="shared" si="16"/>
        <v/>
      </c>
      <c r="E148" s="650" t="str">
        <f t="shared" si="19"/>
        <v/>
      </c>
      <c r="F148" s="650" t="str">
        <f t="shared" si="20"/>
        <v/>
      </c>
      <c r="G148" s="650" t="str">
        <f t="shared" si="21"/>
        <v/>
      </c>
      <c r="H148" s="650" t="str">
        <f t="shared" si="22"/>
        <v/>
      </c>
      <c r="J148" s="650"/>
      <c r="K148" s="650"/>
      <c r="L148" s="650"/>
    </row>
    <row r="149" spans="2:12" x14ac:dyDescent="0.2">
      <c r="B149" s="660" t="str">
        <f t="shared" si="17"/>
        <v>-</v>
      </c>
      <c r="C149" s="661" t="str">
        <f t="shared" si="18"/>
        <v/>
      </c>
      <c r="D149" s="650" t="str">
        <f t="shared" si="16"/>
        <v/>
      </c>
      <c r="E149" s="650" t="str">
        <f t="shared" si="19"/>
        <v/>
      </c>
      <c r="F149" s="650" t="str">
        <f t="shared" si="20"/>
        <v/>
      </c>
      <c r="G149" s="650" t="str">
        <f t="shared" si="21"/>
        <v/>
      </c>
      <c r="H149" s="650" t="str">
        <f t="shared" si="22"/>
        <v/>
      </c>
      <c r="J149" s="650"/>
      <c r="K149" s="650"/>
      <c r="L149" s="650"/>
    </row>
    <row r="150" spans="2:12" x14ac:dyDescent="0.2">
      <c r="B150" s="660" t="str">
        <f t="shared" si="17"/>
        <v>-</v>
      </c>
      <c r="C150" s="661" t="str">
        <f t="shared" si="18"/>
        <v/>
      </c>
      <c r="D150" s="650" t="str">
        <f t="shared" si="16"/>
        <v/>
      </c>
      <c r="E150" s="650" t="str">
        <f t="shared" si="19"/>
        <v/>
      </c>
      <c r="F150" s="650" t="str">
        <f t="shared" si="20"/>
        <v/>
      </c>
      <c r="G150" s="650" t="str">
        <f t="shared" si="21"/>
        <v/>
      </c>
      <c r="H150" s="650" t="str">
        <f t="shared" si="22"/>
        <v/>
      </c>
      <c r="J150" s="650"/>
      <c r="K150" s="650"/>
      <c r="L150" s="650"/>
    </row>
    <row r="151" spans="2:12" x14ac:dyDescent="0.2">
      <c r="B151" s="660" t="str">
        <f t="shared" si="17"/>
        <v>-</v>
      </c>
      <c r="C151" s="661" t="str">
        <f t="shared" si="18"/>
        <v/>
      </c>
      <c r="D151" s="650" t="str">
        <f t="shared" si="16"/>
        <v/>
      </c>
      <c r="E151" s="650" t="str">
        <f t="shared" si="19"/>
        <v/>
      </c>
      <c r="F151" s="650" t="str">
        <f t="shared" si="20"/>
        <v/>
      </c>
      <c r="G151" s="650" t="str">
        <f t="shared" si="21"/>
        <v/>
      </c>
      <c r="H151" s="650" t="str">
        <f t="shared" si="22"/>
        <v/>
      </c>
      <c r="J151" s="650"/>
      <c r="K151" s="650"/>
      <c r="L151" s="650"/>
    </row>
    <row r="152" spans="2:12" x14ac:dyDescent="0.2">
      <c r="B152" s="660" t="str">
        <f t="shared" si="17"/>
        <v>-</v>
      </c>
      <c r="C152" s="661" t="str">
        <f t="shared" si="18"/>
        <v/>
      </c>
      <c r="D152" s="650" t="str">
        <f t="shared" si="16"/>
        <v/>
      </c>
      <c r="E152" s="650" t="str">
        <f t="shared" si="19"/>
        <v/>
      </c>
      <c r="F152" s="650" t="str">
        <f t="shared" si="20"/>
        <v/>
      </c>
      <c r="G152" s="650" t="str">
        <f t="shared" si="21"/>
        <v/>
      </c>
      <c r="H152" s="650" t="str">
        <f t="shared" si="22"/>
        <v/>
      </c>
      <c r="J152" s="650"/>
      <c r="K152" s="650"/>
      <c r="L152" s="650"/>
    </row>
    <row r="153" spans="2:12" x14ac:dyDescent="0.2">
      <c r="B153" s="660" t="str">
        <f t="shared" si="17"/>
        <v>-</v>
      </c>
      <c r="C153" s="661" t="str">
        <f t="shared" si="18"/>
        <v/>
      </c>
      <c r="D153" s="650" t="str">
        <f t="shared" si="16"/>
        <v/>
      </c>
      <c r="E153" s="650" t="str">
        <f t="shared" si="19"/>
        <v/>
      </c>
      <c r="F153" s="650" t="str">
        <f t="shared" si="20"/>
        <v/>
      </c>
      <c r="G153" s="650" t="str">
        <f t="shared" si="21"/>
        <v/>
      </c>
      <c r="H153" s="650" t="str">
        <f t="shared" si="22"/>
        <v/>
      </c>
      <c r="J153" s="650"/>
      <c r="K153" s="650"/>
      <c r="L153" s="650"/>
    </row>
    <row r="154" spans="2:12" x14ac:dyDescent="0.2">
      <c r="B154" s="660" t="str">
        <f t="shared" si="17"/>
        <v>-</v>
      </c>
      <c r="C154" s="661" t="str">
        <f t="shared" si="18"/>
        <v/>
      </c>
      <c r="D154" s="650" t="str">
        <f t="shared" si="16"/>
        <v/>
      </c>
      <c r="E154" s="650" t="str">
        <f t="shared" si="19"/>
        <v/>
      </c>
      <c r="F154" s="650" t="str">
        <f t="shared" si="20"/>
        <v/>
      </c>
      <c r="G154" s="650" t="str">
        <f t="shared" si="21"/>
        <v/>
      </c>
      <c r="H154" s="650" t="str">
        <f t="shared" si="22"/>
        <v/>
      </c>
      <c r="J154" s="650"/>
      <c r="K154" s="650"/>
      <c r="L154" s="650"/>
    </row>
    <row r="155" spans="2:12" x14ac:dyDescent="0.2">
      <c r="B155" s="660" t="str">
        <f t="shared" si="17"/>
        <v>-</v>
      </c>
      <c r="C155" s="661" t="str">
        <f t="shared" si="18"/>
        <v/>
      </c>
      <c r="D155" s="650" t="str">
        <f t="shared" si="16"/>
        <v/>
      </c>
      <c r="E155" s="650" t="str">
        <f t="shared" si="19"/>
        <v/>
      </c>
      <c r="F155" s="650" t="str">
        <f t="shared" si="20"/>
        <v/>
      </c>
      <c r="G155" s="650" t="str">
        <f t="shared" si="21"/>
        <v/>
      </c>
      <c r="H155" s="650" t="str">
        <f t="shared" si="22"/>
        <v/>
      </c>
      <c r="J155" s="650"/>
      <c r="K155" s="650"/>
      <c r="L155" s="650"/>
    </row>
    <row r="156" spans="2:12" x14ac:dyDescent="0.2">
      <c r="B156" s="660" t="str">
        <f t="shared" si="17"/>
        <v>-</v>
      </c>
      <c r="C156" s="661" t="str">
        <f t="shared" si="18"/>
        <v/>
      </c>
      <c r="D156" s="650" t="str">
        <f t="shared" si="16"/>
        <v/>
      </c>
      <c r="E156" s="650" t="str">
        <f t="shared" si="19"/>
        <v/>
      </c>
      <c r="F156" s="650" t="str">
        <f t="shared" si="20"/>
        <v/>
      </c>
      <c r="G156" s="650" t="str">
        <f t="shared" si="21"/>
        <v/>
      </c>
      <c r="H156" s="650" t="str">
        <f t="shared" si="22"/>
        <v/>
      </c>
      <c r="J156" s="650"/>
      <c r="K156" s="650"/>
      <c r="L156" s="650"/>
    </row>
    <row r="157" spans="2:12" x14ac:dyDescent="0.2">
      <c r="B157" s="660" t="str">
        <f t="shared" si="17"/>
        <v>-</v>
      </c>
      <c r="C157" s="661" t="str">
        <f t="shared" si="18"/>
        <v/>
      </c>
      <c r="D157" s="650" t="str">
        <f t="shared" si="16"/>
        <v/>
      </c>
      <c r="E157" s="650" t="str">
        <f t="shared" si="19"/>
        <v/>
      </c>
      <c r="F157" s="650" t="str">
        <f t="shared" si="20"/>
        <v/>
      </c>
      <c r="G157" s="650" t="str">
        <f t="shared" si="21"/>
        <v/>
      </c>
      <c r="H157" s="650" t="str">
        <f t="shared" si="22"/>
        <v/>
      </c>
      <c r="J157" s="650"/>
      <c r="K157" s="650"/>
      <c r="L157" s="650"/>
    </row>
    <row r="158" spans="2:12" x14ac:dyDescent="0.2">
      <c r="B158" s="660" t="str">
        <f t="shared" si="17"/>
        <v>-</v>
      </c>
      <c r="C158" s="661" t="str">
        <f t="shared" si="18"/>
        <v/>
      </c>
      <c r="D158" s="650" t="str">
        <f t="shared" si="16"/>
        <v/>
      </c>
      <c r="E158" s="650" t="str">
        <f t="shared" si="19"/>
        <v/>
      </c>
      <c r="F158" s="650" t="str">
        <f t="shared" si="20"/>
        <v/>
      </c>
      <c r="G158" s="650" t="str">
        <f t="shared" si="21"/>
        <v/>
      </c>
      <c r="H158" s="650" t="str">
        <f t="shared" si="22"/>
        <v/>
      </c>
      <c r="J158" s="650"/>
      <c r="K158" s="650"/>
      <c r="L158" s="650"/>
    </row>
    <row r="159" spans="2:12" x14ac:dyDescent="0.2">
      <c r="B159" s="660" t="str">
        <f t="shared" si="17"/>
        <v>-</v>
      </c>
      <c r="C159" s="661" t="str">
        <f t="shared" si="18"/>
        <v/>
      </c>
      <c r="D159" s="650" t="str">
        <f t="shared" si="16"/>
        <v/>
      </c>
      <c r="E159" s="650" t="str">
        <f t="shared" si="19"/>
        <v/>
      </c>
      <c r="F159" s="650" t="str">
        <f t="shared" si="20"/>
        <v/>
      </c>
      <c r="G159" s="650" t="str">
        <f t="shared" si="21"/>
        <v/>
      </c>
      <c r="H159" s="650" t="str">
        <f t="shared" si="22"/>
        <v/>
      </c>
      <c r="J159" s="650"/>
      <c r="K159" s="650"/>
      <c r="L159" s="650"/>
    </row>
    <row r="160" spans="2:12" x14ac:dyDescent="0.2">
      <c r="B160" s="660" t="str">
        <f t="shared" si="17"/>
        <v>-</v>
      </c>
      <c r="C160" s="661" t="str">
        <f t="shared" si="18"/>
        <v/>
      </c>
      <c r="D160" s="650" t="str">
        <f t="shared" si="16"/>
        <v/>
      </c>
      <c r="E160" s="650" t="str">
        <f t="shared" si="19"/>
        <v/>
      </c>
      <c r="F160" s="650" t="str">
        <f t="shared" si="20"/>
        <v/>
      </c>
      <c r="G160" s="650" t="str">
        <f t="shared" si="21"/>
        <v/>
      </c>
      <c r="H160" s="650" t="str">
        <f t="shared" si="22"/>
        <v/>
      </c>
      <c r="J160" s="650"/>
      <c r="K160" s="650"/>
      <c r="L160" s="650"/>
    </row>
    <row r="161" spans="2:12" x14ac:dyDescent="0.2">
      <c r="B161" s="660" t="str">
        <f t="shared" si="17"/>
        <v>-</v>
      </c>
      <c r="C161" s="661" t="str">
        <f t="shared" si="18"/>
        <v/>
      </c>
      <c r="D161" s="650" t="str">
        <f t="shared" si="16"/>
        <v/>
      </c>
      <c r="E161" s="650" t="str">
        <f t="shared" si="19"/>
        <v/>
      </c>
      <c r="F161" s="650" t="str">
        <f t="shared" si="20"/>
        <v/>
      </c>
      <c r="G161" s="650" t="str">
        <f t="shared" si="21"/>
        <v/>
      </c>
      <c r="H161" s="650" t="str">
        <f t="shared" si="22"/>
        <v/>
      </c>
      <c r="J161" s="650"/>
      <c r="K161" s="650"/>
      <c r="L161" s="650"/>
    </row>
    <row r="162" spans="2:12" x14ac:dyDescent="0.2">
      <c r="B162" s="660" t="str">
        <f t="shared" si="17"/>
        <v>-</v>
      </c>
      <c r="C162" s="661" t="str">
        <f t="shared" si="18"/>
        <v/>
      </c>
      <c r="D162" s="650" t="str">
        <f t="shared" si="16"/>
        <v/>
      </c>
      <c r="E162" s="650" t="str">
        <f t="shared" si="19"/>
        <v/>
      </c>
      <c r="F162" s="650" t="str">
        <f t="shared" si="20"/>
        <v/>
      </c>
      <c r="G162" s="650" t="str">
        <f t="shared" si="21"/>
        <v/>
      </c>
      <c r="H162" s="650" t="str">
        <f t="shared" si="22"/>
        <v/>
      </c>
      <c r="J162" s="650"/>
      <c r="K162" s="650"/>
      <c r="L162" s="650"/>
    </row>
    <row r="163" spans="2:12" x14ac:dyDescent="0.2">
      <c r="B163" s="660" t="str">
        <f t="shared" si="17"/>
        <v>-</v>
      </c>
      <c r="C163" s="661" t="str">
        <f t="shared" si="18"/>
        <v/>
      </c>
      <c r="D163" s="650" t="str">
        <f t="shared" si="16"/>
        <v/>
      </c>
      <c r="E163" s="650" t="str">
        <f t="shared" si="19"/>
        <v/>
      </c>
      <c r="F163" s="650" t="str">
        <f t="shared" si="20"/>
        <v/>
      </c>
      <c r="G163" s="650" t="str">
        <f t="shared" si="21"/>
        <v/>
      </c>
      <c r="H163" s="650" t="str">
        <f t="shared" si="22"/>
        <v/>
      </c>
      <c r="J163" s="650"/>
      <c r="K163" s="650"/>
      <c r="L163" s="650"/>
    </row>
    <row r="164" spans="2:12" x14ac:dyDescent="0.2">
      <c r="B164" s="660" t="str">
        <f t="shared" si="17"/>
        <v>-</v>
      </c>
      <c r="C164" s="661" t="str">
        <f t="shared" si="18"/>
        <v/>
      </c>
      <c r="D164" s="650" t="str">
        <f t="shared" si="16"/>
        <v/>
      </c>
      <c r="E164" s="650" t="str">
        <f t="shared" si="19"/>
        <v/>
      </c>
      <c r="F164" s="650" t="str">
        <f t="shared" si="20"/>
        <v/>
      </c>
      <c r="G164" s="650" t="str">
        <f t="shared" si="21"/>
        <v/>
      </c>
      <c r="H164" s="650" t="str">
        <f t="shared" si="22"/>
        <v/>
      </c>
      <c r="J164" s="650"/>
      <c r="K164" s="650"/>
      <c r="L164" s="650"/>
    </row>
    <row r="165" spans="2:12" x14ac:dyDescent="0.2">
      <c r="B165" s="660" t="str">
        <f t="shared" si="17"/>
        <v>-</v>
      </c>
      <c r="C165" s="661" t="str">
        <f t="shared" si="18"/>
        <v/>
      </c>
      <c r="D165" s="650" t="str">
        <f t="shared" si="16"/>
        <v/>
      </c>
      <c r="E165" s="650" t="str">
        <f t="shared" si="19"/>
        <v/>
      </c>
      <c r="F165" s="650" t="str">
        <f t="shared" si="20"/>
        <v/>
      </c>
      <c r="G165" s="650" t="str">
        <f t="shared" si="21"/>
        <v/>
      </c>
      <c r="H165" s="650" t="str">
        <f t="shared" si="22"/>
        <v/>
      </c>
      <c r="J165" s="650"/>
      <c r="K165" s="650"/>
      <c r="L165" s="650"/>
    </row>
    <row r="166" spans="2:12" x14ac:dyDescent="0.2">
      <c r="B166" s="660" t="str">
        <f t="shared" si="17"/>
        <v>-</v>
      </c>
      <c r="C166" s="661" t="str">
        <f t="shared" si="18"/>
        <v/>
      </c>
      <c r="D166" s="650" t="str">
        <f t="shared" si="16"/>
        <v/>
      </c>
      <c r="E166" s="650" t="str">
        <f t="shared" si="19"/>
        <v/>
      </c>
      <c r="F166" s="650" t="str">
        <f t="shared" si="20"/>
        <v/>
      </c>
      <c r="G166" s="650" t="str">
        <f t="shared" si="21"/>
        <v/>
      </c>
      <c r="H166" s="650" t="str">
        <f t="shared" si="22"/>
        <v/>
      </c>
      <c r="J166" s="650"/>
      <c r="K166" s="650"/>
      <c r="L166" s="650"/>
    </row>
    <row r="167" spans="2:12" x14ac:dyDescent="0.2">
      <c r="B167" s="660" t="str">
        <f t="shared" si="17"/>
        <v>-</v>
      </c>
      <c r="C167" s="661" t="str">
        <f t="shared" si="18"/>
        <v/>
      </c>
      <c r="D167" s="650" t="str">
        <f t="shared" si="16"/>
        <v/>
      </c>
      <c r="E167" s="650" t="str">
        <f t="shared" si="19"/>
        <v/>
      </c>
      <c r="F167" s="650" t="str">
        <f t="shared" si="20"/>
        <v/>
      </c>
      <c r="G167" s="650" t="str">
        <f t="shared" si="21"/>
        <v/>
      </c>
      <c r="H167" s="650" t="str">
        <f t="shared" si="22"/>
        <v/>
      </c>
      <c r="J167" s="650"/>
      <c r="K167" s="650"/>
      <c r="L167" s="650"/>
    </row>
    <row r="168" spans="2:12" x14ac:dyDescent="0.2">
      <c r="B168" s="660" t="str">
        <f t="shared" si="17"/>
        <v>-</v>
      </c>
      <c r="C168" s="661" t="str">
        <f t="shared" si="18"/>
        <v/>
      </c>
      <c r="D168" s="650" t="str">
        <f t="shared" si="16"/>
        <v/>
      </c>
      <c r="E168" s="650" t="str">
        <f t="shared" si="19"/>
        <v/>
      </c>
      <c r="F168" s="650" t="str">
        <f t="shared" si="20"/>
        <v/>
      </c>
      <c r="G168" s="650" t="str">
        <f t="shared" si="21"/>
        <v/>
      </c>
      <c r="H168" s="650" t="str">
        <f t="shared" si="22"/>
        <v/>
      </c>
      <c r="J168" s="650"/>
      <c r="K168" s="650"/>
      <c r="L168" s="650"/>
    </row>
    <row r="169" spans="2:12" x14ac:dyDescent="0.2">
      <c r="B169" s="660" t="str">
        <f t="shared" si="17"/>
        <v>-</v>
      </c>
      <c r="C169" s="661" t="str">
        <f t="shared" si="18"/>
        <v/>
      </c>
      <c r="D169" s="650" t="str">
        <f t="shared" si="16"/>
        <v/>
      </c>
      <c r="E169" s="650" t="str">
        <f t="shared" si="19"/>
        <v/>
      </c>
      <c r="F169" s="650" t="str">
        <f t="shared" si="20"/>
        <v/>
      </c>
      <c r="G169" s="650" t="str">
        <f t="shared" si="21"/>
        <v/>
      </c>
      <c r="H169" s="650" t="str">
        <f t="shared" si="22"/>
        <v/>
      </c>
      <c r="J169" s="650"/>
      <c r="K169" s="650"/>
      <c r="L169" s="650"/>
    </row>
    <row r="170" spans="2:12" x14ac:dyDescent="0.2">
      <c r="B170" s="660" t="str">
        <f t="shared" si="17"/>
        <v>-</v>
      </c>
      <c r="C170" s="661" t="str">
        <f t="shared" si="18"/>
        <v/>
      </c>
      <c r="D170" s="650" t="str">
        <f t="shared" si="16"/>
        <v/>
      </c>
      <c r="E170" s="650" t="str">
        <f t="shared" si="19"/>
        <v/>
      </c>
      <c r="F170" s="650" t="str">
        <f t="shared" si="20"/>
        <v/>
      </c>
      <c r="G170" s="650" t="str">
        <f t="shared" si="21"/>
        <v/>
      </c>
      <c r="H170" s="650" t="str">
        <f t="shared" si="22"/>
        <v/>
      </c>
      <c r="J170" s="650"/>
      <c r="K170" s="650"/>
      <c r="L170" s="650"/>
    </row>
    <row r="171" spans="2:12" x14ac:dyDescent="0.2">
      <c r="B171" s="660" t="str">
        <f t="shared" si="17"/>
        <v>-</v>
      </c>
      <c r="C171" s="661" t="str">
        <f t="shared" si="18"/>
        <v/>
      </c>
      <c r="D171" s="650" t="str">
        <f t="shared" si="16"/>
        <v/>
      </c>
      <c r="E171" s="650" t="str">
        <f t="shared" si="19"/>
        <v/>
      </c>
      <c r="F171" s="650" t="str">
        <f t="shared" si="20"/>
        <v/>
      </c>
      <c r="G171" s="650" t="str">
        <f t="shared" si="21"/>
        <v/>
      </c>
      <c r="H171" s="650" t="str">
        <f t="shared" si="22"/>
        <v/>
      </c>
      <c r="J171" s="650"/>
      <c r="K171" s="650"/>
      <c r="L171" s="650"/>
    </row>
    <row r="172" spans="2:12" x14ac:dyDescent="0.2">
      <c r="B172" s="660" t="str">
        <f t="shared" si="17"/>
        <v>-</v>
      </c>
      <c r="C172" s="661" t="str">
        <f t="shared" si="18"/>
        <v/>
      </c>
      <c r="D172" s="650" t="str">
        <f t="shared" si="16"/>
        <v/>
      </c>
      <c r="E172" s="650" t="str">
        <f t="shared" si="19"/>
        <v/>
      </c>
      <c r="F172" s="650" t="str">
        <f t="shared" si="20"/>
        <v/>
      </c>
      <c r="G172" s="650" t="str">
        <f t="shared" si="21"/>
        <v/>
      </c>
      <c r="H172" s="650" t="str">
        <f t="shared" si="22"/>
        <v/>
      </c>
      <c r="J172" s="650"/>
      <c r="K172" s="650"/>
      <c r="L172" s="650"/>
    </row>
    <row r="173" spans="2:12" x14ac:dyDescent="0.2">
      <c r="B173" s="660" t="str">
        <f t="shared" si="17"/>
        <v>-</v>
      </c>
      <c r="C173" s="661" t="str">
        <f t="shared" si="18"/>
        <v/>
      </c>
      <c r="D173" s="650" t="str">
        <f t="shared" si="16"/>
        <v/>
      </c>
      <c r="E173" s="650" t="str">
        <f t="shared" si="19"/>
        <v/>
      </c>
      <c r="F173" s="650" t="str">
        <f t="shared" si="20"/>
        <v/>
      </c>
      <c r="G173" s="650" t="str">
        <f t="shared" si="21"/>
        <v/>
      </c>
      <c r="H173" s="650" t="str">
        <f t="shared" si="22"/>
        <v/>
      </c>
      <c r="J173" s="650"/>
      <c r="K173" s="650"/>
      <c r="L173" s="650"/>
    </row>
    <row r="174" spans="2:12" x14ac:dyDescent="0.2">
      <c r="B174" s="660" t="str">
        <f t="shared" si="17"/>
        <v>-</v>
      </c>
      <c r="C174" s="661" t="str">
        <f t="shared" si="18"/>
        <v/>
      </c>
      <c r="D174" s="650" t="str">
        <f t="shared" si="16"/>
        <v/>
      </c>
      <c r="E174" s="650" t="str">
        <f t="shared" si="19"/>
        <v/>
      </c>
      <c r="F174" s="650" t="str">
        <f t="shared" si="20"/>
        <v/>
      </c>
      <c r="G174" s="650" t="str">
        <f t="shared" si="21"/>
        <v/>
      </c>
      <c r="H174" s="650" t="str">
        <f t="shared" si="22"/>
        <v/>
      </c>
      <c r="J174" s="650"/>
      <c r="K174" s="650"/>
      <c r="L174" s="650"/>
    </row>
    <row r="175" spans="2:12" x14ac:dyDescent="0.2">
      <c r="B175" s="660" t="str">
        <f t="shared" si="17"/>
        <v>-</v>
      </c>
      <c r="C175" s="661" t="str">
        <f t="shared" si="18"/>
        <v/>
      </c>
      <c r="D175" s="650" t="str">
        <f t="shared" si="16"/>
        <v/>
      </c>
      <c r="E175" s="650" t="str">
        <f t="shared" si="19"/>
        <v/>
      </c>
      <c r="F175" s="650" t="str">
        <f t="shared" si="20"/>
        <v/>
      </c>
      <c r="G175" s="650" t="str">
        <f t="shared" si="21"/>
        <v/>
      </c>
      <c r="H175" s="650" t="str">
        <f t="shared" si="22"/>
        <v/>
      </c>
      <c r="J175" s="650"/>
      <c r="K175" s="650"/>
      <c r="L175" s="650"/>
    </row>
    <row r="176" spans="2:12" x14ac:dyDescent="0.2">
      <c r="B176" s="660" t="str">
        <f t="shared" si="17"/>
        <v>-</v>
      </c>
      <c r="C176" s="661" t="str">
        <f t="shared" si="18"/>
        <v/>
      </c>
      <c r="D176" s="650" t="str">
        <f t="shared" si="16"/>
        <v/>
      </c>
      <c r="E176" s="650" t="str">
        <f t="shared" si="19"/>
        <v/>
      </c>
      <c r="F176" s="650" t="str">
        <f t="shared" si="20"/>
        <v/>
      </c>
      <c r="G176" s="650" t="str">
        <f t="shared" si="21"/>
        <v/>
      </c>
      <c r="H176" s="650" t="str">
        <f t="shared" si="22"/>
        <v/>
      </c>
      <c r="J176" s="650"/>
      <c r="K176" s="650"/>
      <c r="L176" s="650"/>
    </row>
    <row r="177" spans="2:12" x14ac:dyDescent="0.2">
      <c r="B177" s="660" t="str">
        <f t="shared" si="17"/>
        <v>-</v>
      </c>
      <c r="C177" s="661" t="str">
        <f t="shared" si="18"/>
        <v/>
      </c>
      <c r="D177" s="650" t="str">
        <f t="shared" si="16"/>
        <v/>
      </c>
      <c r="E177" s="650" t="str">
        <f t="shared" si="19"/>
        <v/>
      </c>
      <c r="F177" s="650" t="str">
        <f t="shared" si="20"/>
        <v/>
      </c>
      <c r="G177" s="650" t="str">
        <f t="shared" si="21"/>
        <v/>
      </c>
      <c r="H177" s="650" t="str">
        <f t="shared" si="22"/>
        <v/>
      </c>
      <c r="J177" s="650"/>
      <c r="K177" s="650"/>
      <c r="L177" s="650"/>
    </row>
    <row r="178" spans="2:12" x14ac:dyDescent="0.2">
      <c r="B178" s="660" t="str">
        <f t="shared" si="17"/>
        <v>-</v>
      </c>
      <c r="C178" s="661" t="str">
        <f t="shared" si="18"/>
        <v/>
      </c>
      <c r="D178" s="650" t="str">
        <f t="shared" si="16"/>
        <v/>
      </c>
      <c r="E178" s="650" t="str">
        <f t="shared" si="19"/>
        <v/>
      </c>
      <c r="F178" s="650" t="str">
        <f t="shared" si="20"/>
        <v/>
      </c>
      <c r="G178" s="650" t="str">
        <f t="shared" si="21"/>
        <v/>
      </c>
      <c r="H178" s="650" t="str">
        <f t="shared" si="22"/>
        <v/>
      </c>
      <c r="J178" s="650"/>
      <c r="K178" s="650"/>
      <c r="L178" s="650"/>
    </row>
    <row r="179" spans="2:12" x14ac:dyDescent="0.2">
      <c r="B179" s="660" t="str">
        <f t="shared" si="17"/>
        <v>-</v>
      </c>
      <c r="C179" s="661" t="str">
        <f t="shared" si="18"/>
        <v/>
      </c>
      <c r="D179" s="650" t="str">
        <f t="shared" si="16"/>
        <v/>
      </c>
      <c r="E179" s="650" t="str">
        <f t="shared" si="19"/>
        <v/>
      </c>
      <c r="F179" s="650" t="str">
        <f t="shared" si="20"/>
        <v/>
      </c>
      <c r="G179" s="650" t="str">
        <f t="shared" si="21"/>
        <v/>
      </c>
      <c r="H179" s="650" t="str">
        <f t="shared" si="22"/>
        <v/>
      </c>
      <c r="J179" s="650"/>
      <c r="K179" s="650"/>
      <c r="L179" s="650"/>
    </row>
    <row r="180" spans="2:12" x14ac:dyDescent="0.2">
      <c r="B180" s="660" t="str">
        <f t="shared" si="17"/>
        <v>-</v>
      </c>
      <c r="C180" s="661" t="str">
        <f t="shared" si="18"/>
        <v/>
      </c>
      <c r="D180" s="650" t="str">
        <f t="shared" si="16"/>
        <v/>
      </c>
      <c r="E180" s="650" t="str">
        <f t="shared" si="19"/>
        <v/>
      </c>
      <c r="F180" s="650" t="str">
        <f t="shared" si="20"/>
        <v/>
      </c>
      <c r="G180" s="650" t="str">
        <f t="shared" si="21"/>
        <v/>
      </c>
      <c r="H180" s="650" t="str">
        <f t="shared" si="22"/>
        <v/>
      </c>
      <c r="J180" s="650"/>
      <c r="K180" s="650"/>
      <c r="L180" s="650"/>
    </row>
    <row r="181" spans="2:12" x14ac:dyDescent="0.2">
      <c r="B181" s="660" t="str">
        <f t="shared" si="17"/>
        <v>-</v>
      </c>
      <c r="C181" s="661" t="str">
        <f t="shared" si="18"/>
        <v/>
      </c>
      <c r="D181" s="650" t="str">
        <f t="shared" si="16"/>
        <v/>
      </c>
      <c r="E181" s="650" t="str">
        <f t="shared" si="19"/>
        <v/>
      </c>
      <c r="F181" s="650" t="str">
        <f t="shared" si="20"/>
        <v/>
      </c>
      <c r="G181" s="650" t="str">
        <f t="shared" si="21"/>
        <v/>
      </c>
      <c r="H181" s="650" t="str">
        <f t="shared" si="22"/>
        <v/>
      </c>
      <c r="J181" s="650"/>
      <c r="K181" s="650"/>
      <c r="L181" s="650"/>
    </row>
    <row r="182" spans="2:12" x14ac:dyDescent="0.2">
      <c r="B182" s="660" t="str">
        <f t="shared" si="17"/>
        <v>-</v>
      </c>
      <c r="C182" s="661" t="str">
        <f t="shared" si="18"/>
        <v/>
      </c>
      <c r="D182" s="650" t="str">
        <f t="shared" si="16"/>
        <v/>
      </c>
      <c r="E182" s="650" t="str">
        <f t="shared" si="19"/>
        <v/>
      </c>
      <c r="F182" s="650" t="str">
        <f t="shared" si="20"/>
        <v/>
      </c>
      <c r="G182" s="650" t="str">
        <f t="shared" si="21"/>
        <v/>
      </c>
      <c r="H182" s="650" t="str">
        <f t="shared" si="22"/>
        <v/>
      </c>
      <c r="J182" s="650"/>
      <c r="K182" s="650"/>
      <c r="L182" s="650"/>
    </row>
    <row r="183" spans="2:12" x14ac:dyDescent="0.2">
      <c r="B183" s="660" t="str">
        <f t="shared" si="17"/>
        <v>-</v>
      </c>
      <c r="C183" s="661" t="str">
        <f t="shared" si="18"/>
        <v/>
      </c>
      <c r="D183" s="650" t="str">
        <f t="shared" si="16"/>
        <v/>
      </c>
      <c r="E183" s="650" t="str">
        <f t="shared" si="19"/>
        <v/>
      </c>
      <c r="F183" s="650" t="str">
        <f t="shared" si="20"/>
        <v/>
      </c>
      <c r="G183" s="650" t="str">
        <f t="shared" si="21"/>
        <v/>
      </c>
      <c r="H183" s="650" t="str">
        <f t="shared" si="22"/>
        <v/>
      </c>
      <c r="J183" s="650"/>
      <c r="K183" s="650"/>
      <c r="L183" s="650"/>
    </row>
    <row r="184" spans="2:12" x14ac:dyDescent="0.2">
      <c r="B184" s="660" t="str">
        <f t="shared" si="17"/>
        <v>-</v>
      </c>
      <c r="C184" s="661" t="str">
        <f t="shared" si="18"/>
        <v/>
      </c>
      <c r="D184" s="650" t="str">
        <f t="shared" si="16"/>
        <v/>
      </c>
      <c r="E184" s="650" t="str">
        <f t="shared" si="19"/>
        <v/>
      </c>
      <c r="F184" s="650" t="str">
        <f t="shared" si="20"/>
        <v/>
      </c>
      <c r="G184" s="650" t="str">
        <f t="shared" si="21"/>
        <v/>
      </c>
      <c r="H184" s="650" t="str">
        <f t="shared" si="22"/>
        <v/>
      </c>
      <c r="J184" s="650"/>
      <c r="K184" s="650"/>
      <c r="L184" s="650"/>
    </row>
    <row r="185" spans="2:12" x14ac:dyDescent="0.2">
      <c r="B185" s="660" t="str">
        <f t="shared" si="17"/>
        <v>-</v>
      </c>
      <c r="C185" s="661" t="str">
        <f t="shared" si="18"/>
        <v/>
      </c>
      <c r="D185" s="650" t="str">
        <f t="shared" si="16"/>
        <v/>
      </c>
      <c r="E185" s="650" t="str">
        <f t="shared" si="19"/>
        <v/>
      </c>
      <c r="F185" s="650" t="str">
        <f t="shared" si="20"/>
        <v/>
      </c>
      <c r="G185" s="650" t="str">
        <f t="shared" si="21"/>
        <v/>
      </c>
      <c r="H185" s="650" t="str">
        <f t="shared" si="22"/>
        <v/>
      </c>
      <c r="J185" s="650"/>
      <c r="K185" s="650"/>
      <c r="L185" s="650"/>
    </row>
    <row r="186" spans="2:12" x14ac:dyDescent="0.2">
      <c r="B186" s="660" t="str">
        <f t="shared" si="17"/>
        <v>-</v>
      </c>
      <c r="C186" s="661" t="str">
        <f t="shared" si="18"/>
        <v/>
      </c>
      <c r="D186" s="650" t="str">
        <f t="shared" si="16"/>
        <v/>
      </c>
      <c r="E186" s="650" t="str">
        <f t="shared" si="19"/>
        <v/>
      </c>
      <c r="F186" s="650" t="str">
        <f t="shared" si="20"/>
        <v/>
      </c>
      <c r="G186" s="650" t="str">
        <f t="shared" si="21"/>
        <v/>
      </c>
      <c r="H186" s="650" t="str">
        <f t="shared" si="22"/>
        <v/>
      </c>
      <c r="J186" s="650"/>
      <c r="K186" s="650"/>
      <c r="L186" s="650"/>
    </row>
    <row r="187" spans="2:12" x14ac:dyDescent="0.2">
      <c r="B187" s="660" t="str">
        <f t="shared" si="17"/>
        <v>-</v>
      </c>
      <c r="C187" s="661" t="str">
        <f t="shared" si="18"/>
        <v/>
      </c>
      <c r="D187" s="650" t="str">
        <f t="shared" si="16"/>
        <v/>
      </c>
      <c r="E187" s="650" t="str">
        <f t="shared" si="19"/>
        <v/>
      </c>
      <c r="F187" s="650" t="str">
        <f t="shared" si="20"/>
        <v/>
      </c>
      <c r="G187" s="650" t="str">
        <f t="shared" si="21"/>
        <v/>
      </c>
      <c r="H187" s="650" t="str">
        <f t="shared" si="22"/>
        <v/>
      </c>
      <c r="J187" s="650"/>
      <c r="K187" s="650"/>
      <c r="L187" s="650"/>
    </row>
    <row r="188" spans="2:12" x14ac:dyDescent="0.2">
      <c r="B188" s="660" t="str">
        <f t="shared" si="17"/>
        <v>-</v>
      </c>
      <c r="C188" s="661" t="str">
        <f t="shared" si="18"/>
        <v/>
      </c>
      <c r="D188" s="650" t="str">
        <f t="shared" si="16"/>
        <v/>
      </c>
      <c r="E188" s="650" t="str">
        <f t="shared" si="19"/>
        <v/>
      </c>
      <c r="F188" s="650" t="str">
        <f t="shared" si="20"/>
        <v/>
      </c>
      <c r="G188" s="650" t="str">
        <f t="shared" si="21"/>
        <v/>
      </c>
      <c r="H188" s="650" t="str">
        <f t="shared" si="22"/>
        <v/>
      </c>
      <c r="J188" s="650"/>
      <c r="K188" s="650"/>
      <c r="L188" s="650"/>
    </row>
    <row r="189" spans="2:12" x14ac:dyDescent="0.2">
      <c r="B189" s="660" t="str">
        <f t="shared" si="17"/>
        <v>-</v>
      </c>
      <c r="C189" s="661" t="str">
        <f t="shared" si="18"/>
        <v/>
      </c>
      <c r="D189" s="650" t="str">
        <f t="shared" si="16"/>
        <v/>
      </c>
      <c r="E189" s="650" t="str">
        <f t="shared" si="19"/>
        <v/>
      </c>
      <c r="F189" s="650" t="str">
        <f t="shared" si="20"/>
        <v/>
      </c>
      <c r="G189" s="650" t="str">
        <f t="shared" si="21"/>
        <v/>
      </c>
      <c r="H189" s="650" t="str">
        <f t="shared" si="22"/>
        <v/>
      </c>
      <c r="J189" s="650"/>
      <c r="K189" s="650"/>
      <c r="L189" s="650"/>
    </row>
    <row r="190" spans="2:12" x14ac:dyDescent="0.2">
      <c r="B190" s="660" t="str">
        <f t="shared" si="17"/>
        <v>-</v>
      </c>
      <c r="C190" s="661" t="str">
        <f t="shared" si="18"/>
        <v/>
      </c>
      <c r="D190" s="650" t="str">
        <f t="shared" si="16"/>
        <v/>
      </c>
      <c r="E190" s="650" t="str">
        <f t="shared" si="19"/>
        <v/>
      </c>
      <c r="F190" s="650" t="str">
        <f t="shared" si="20"/>
        <v/>
      </c>
      <c r="G190" s="650" t="str">
        <f t="shared" si="21"/>
        <v/>
      </c>
      <c r="H190" s="650" t="str">
        <f t="shared" si="22"/>
        <v/>
      </c>
      <c r="J190" s="650"/>
      <c r="K190" s="650"/>
      <c r="L190" s="650"/>
    </row>
    <row r="191" spans="2:12" x14ac:dyDescent="0.2">
      <c r="B191" s="660" t="str">
        <f t="shared" si="17"/>
        <v>-</v>
      </c>
      <c r="C191" s="661" t="str">
        <f t="shared" si="18"/>
        <v/>
      </c>
      <c r="D191" s="650" t="str">
        <f t="shared" si="16"/>
        <v/>
      </c>
      <c r="E191" s="650" t="str">
        <f t="shared" si="19"/>
        <v/>
      </c>
      <c r="F191" s="650" t="str">
        <f t="shared" si="20"/>
        <v/>
      </c>
      <c r="G191" s="650" t="str">
        <f t="shared" si="21"/>
        <v/>
      </c>
      <c r="H191" s="650" t="str">
        <f t="shared" si="22"/>
        <v/>
      </c>
      <c r="J191" s="650"/>
      <c r="K191" s="650"/>
      <c r="L191" s="650"/>
    </row>
    <row r="192" spans="2:12" x14ac:dyDescent="0.2">
      <c r="B192" s="660" t="str">
        <f t="shared" si="17"/>
        <v>-</v>
      </c>
      <c r="C192" s="661" t="str">
        <f t="shared" si="18"/>
        <v/>
      </c>
      <c r="D192" s="650" t="str">
        <f t="shared" si="16"/>
        <v/>
      </c>
      <c r="E192" s="650" t="str">
        <f t="shared" si="19"/>
        <v/>
      </c>
      <c r="F192" s="650" t="str">
        <f t="shared" si="20"/>
        <v/>
      </c>
      <c r="G192" s="650" t="str">
        <f t="shared" si="21"/>
        <v/>
      </c>
      <c r="H192" s="650" t="str">
        <f t="shared" si="22"/>
        <v/>
      </c>
      <c r="J192" s="650"/>
      <c r="K192" s="650"/>
      <c r="L192" s="650"/>
    </row>
    <row r="193" spans="2:12" x14ac:dyDescent="0.2">
      <c r="B193" s="660" t="str">
        <f t="shared" si="17"/>
        <v>-</v>
      </c>
      <c r="C193" s="661" t="str">
        <f t="shared" si="18"/>
        <v/>
      </c>
      <c r="D193" s="650" t="str">
        <f t="shared" si="16"/>
        <v/>
      </c>
      <c r="E193" s="650" t="str">
        <f t="shared" si="19"/>
        <v/>
      </c>
      <c r="F193" s="650" t="str">
        <f t="shared" si="20"/>
        <v/>
      </c>
      <c r="G193" s="650" t="str">
        <f t="shared" si="21"/>
        <v/>
      </c>
      <c r="H193" s="650" t="str">
        <f t="shared" si="22"/>
        <v/>
      </c>
      <c r="J193" s="650"/>
      <c r="K193" s="650"/>
      <c r="L193" s="650"/>
    </row>
    <row r="194" spans="2:12" x14ac:dyDescent="0.2">
      <c r="B194" s="660" t="str">
        <f t="shared" si="17"/>
        <v>-</v>
      </c>
      <c r="C194" s="661" t="str">
        <f t="shared" si="18"/>
        <v/>
      </c>
      <c r="D194" s="650" t="str">
        <f t="shared" si="16"/>
        <v/>
      </c>
      <c r="E194" s="650" t="str">
        <f t="shared" si="19"/>
        <v/>
      </c>
      <c r="F194" s="650" t="str">
        <f t="shared" si="20"/>
        <v/>
      </c>
      <c r="G194" s="650" t="str">
        <f t="shared" si="21"/>
        <v/>
      </c>
      <c r="H194" s="650" t="str">
        <f t="shared" si="22"/>
        <v/>
      </c>
      <c r="J194" s="650"/>
      <c r="K194" s="650"/>
      <c r="L194" s="650"/>
    </row>
    <row r="195" spans="2:12" x14ac:dyDescent="0.2">
      <c r="B195" s="660" t="str">
        <f t="shared" si="17"/>
        <v>-</v>
      </c>
      <c r="C195" s="661" t="str">
        <f t="shared" si="18"/>
        <v/>
      </c>
      <c r="D195" s="650" t="str">
        <f t="shared" si="16"/>
        <v/>
      </c>
      <c r="E195" s="650" t="str">
        <f t="shared" si="19"/>
        <v/>
      </c>
      <c r="F195" s="650" t="str">
        <f t="shared" si="20"/>
        <v/>
      </c>
      <c r="G195" s="650" t="str">
        <f t="shared" si="21"/>
        <v/>
      </c>
      <c r="H195" s="650" t="str">
        <f t="shared" si="22"/>
        <v/>
      </c>
      <c r="J195" s="650"/>
      <c r="K195" s="650"/>
      <c r="L195" s="650"/>
    </row>
    <row r="196" spans="2:12" x14ac:dyDescent="0.2">
      <c r="B196" s="660" t="str">
        <f t="shared" si="17"/>
        <v>-</v>
      </c>
      <c r="C196" s="661" t="str">
        <f t="shared" si="18"/>
        <v/>
      </c>
      <c r="D196" s="650" t="str">
        <f t="shared" si="16"/>
        <v/>
      </c>
      <c r="E196" s="650" t="str">
        <f t="shared" si="19"/>
        <v/>
      </c>
      <c r="F196" s="650" t="str">
        <f t="shared" si="20"/>
        <v/>
      </c>
      <c r="G196" s="650" t="str">
        <f t="shared" si="21"/>
        <v/>
      </c>
      <c r="H196" s="650" t="str">
        <f t="shared" si="22"/>
        <v/>
      </c>
      <c r="J196" s="650"/>
      <c r="K196" s="650"/>
      <c r="L196" s="650"/>
    </row>
    <row r="197" spans="2:12" x14ac:dyDescent="0.2">
      <c r="B197" s="660" t="str">
        <f t="shared" si="17"/>
        <v>-</v>
      </c>
      <c r="C197" s="661" t="str">
        <f t="shared" si="18"/>
        <v/>
      </c>
      <c r="D197" s="650" t="str">
        <f t="shared" si="16"/>
        <v/>
      </c>
      <c r="E197" s="650" t="str">
        <f t="shared" si="19"/>
        <v/>
      </c>
      <c r="F197" s="650" t="str">
        <f t="shared" si="20"/>
        <v/>
      </c>
      <c r="G197" s="650" t="str">
        <f t="shared" si="21"/>
        <v/>
      </c>
      <c r="H197" s="650" t="str">
        <f t="shared" si="22"/>
        <v/>
      </c>
      <c r="J197" s="650"/>
      <c r="K197" s="650"/>
      <c r="L197" s="650"/>
    </row>
    <row r="198" spans="2:12" x14ac:dyDescent="0.2">
      <c r="B198" s="660" t="str">
        <f t="shared" si="17"/>
        <v>-</v>
      </c>
      <c r="C198" s="661" t="str">
        <f t="shared" si="18"/>
        <v/>
      </c>
      <c r="D198" s="650" t="str">
        <f t="shared" ref="D198:D261" si="23">IF(ISNUMBER(B198),D197-F197,"")</f>
        <v/>
      </c>
      <c r="E198" s="650" t="str">
        <f t="shared" si="19"/>
        <v/>
      </c>
      <c r="F198" s="650" t="str">
        <f t="shared" si="20"/>
        <v/>
      </c>
      <c r="G198" s="650" t="str">
        <f t="shared" si="21"/>
        <v/>
      </c>
      <c r="H198" s="650" t="str">
        <f t="shared" si="22"/>
        <v/>
      </c>
      <c r="J198" s="650"/>
      <c r="K198" s="650"/>
      <c r="L198" s="650"/>
    </row>
    <row r="199" spans="2:12" x14ac:dyDescent="0.2">
      <c r="B199" s="660" t="str">
        <f t="shared" si="17"/>
        <v>-</v>
      </c>
      <c r="C199" s="661" t="str">
        <f t="shared" si="18"/>
        <v/>
      </c>
      <c r="D199" s="650" t="str">
        <f t="shared" si="23"/>
        <v/>
      </c>
      <c r="E199" s="650" t="str">
        <f t="shared" si="19"/>
        <v/>
      </c>
      <c r="F199" s="650" t="str">
        <f t="shared" si="20"/>
        <v/>
      </c>
      <c r="G199" s="650" t="str">
        <f t="shared" si="21"/>
        <v/>
      </c>
      <c r="H199" s="650" t="str">
        <f t="shared" si="22"/>
        <v/>
      </c>
      <c r="J199" s="650"/>
      <c r="K199" s="650"/>
      <c r="L199" s="650"/>
    </row>
    <row r="200" spans="2:12" x14ac:dyDescent="0.2">
      <c r="B200" s="660" t="str">
        <f t="shared" si="17"/>
        <v>-</v>
      </c>
      <c r="C200" s="661" t="str">
        <f t="shared" si="18"/>
        <v/>
      </c>
      <c r="D200" s="650" t="str">
        <f t="shared" si="23"/>
        <v/>
      </c>
      <c r="E200" s="650" t="str">
        <f t="shared" si="19"/>
        <v/>
      </c>
      <c r="F200" s="650" t="str">
        <f t="shared" si="20"/>
        <v/>
      </c>
      <c r="G200" s="650" t="str">
        <f t="shared" si="21"/>
        <v/>
      </c>
      <c r="H200" s="650" t="str">
        <f t="shared" si="22"/>
        <v/>
      </c>
      <c r="J200" s="650"/>
      <c r="K200" s="650"/>
      <c r="L200" s="650"/>
    </row>
    <row r="201" spans="2:12" x14ac:dyDescent="0.2">
      <c r="B201" s="660" t="str">
        <f t="shared" si="17"/>
        <v>-</v>
      </c>
      <c r="C201" s="661" t="str">
        <f t="shared" si="18"/>
        <v/>
      </c>
      <c r="D201" s="650" t="str">
        <f t="shared" si="23"/>
        <v/>
      </c>
      <c r="E201" s="650" t="str">
        <f t="shared" si="19"/>
        <v/>
      </c>
      <c r="F201" s="650" t="str">
        <f t="shared" si="20"/>
        <v/>
      </c>
      <c r="G201" s="650" t="str">
        <f t="shared" si="21"/>
        <v/>
      </c>
      <c r="H201" s="650" t="str">
        <f t="shared" si="22"/>
        <v/>
      </c>
      <c r="J201" s="650"/>
      <c r="K201" s="650"/>
      <c r="L201" s="650"/>
    </row>
    <row r="202" spans="2:12" x14ac:dyDescent="0.2">
      <c r="B202" s="660" t="str">
        <f t="shared" si="17"/>
        <v>-</v>
      </c>
      <c r="C202" s="661" t="str">
        <f t="shared" si="18"/>
        <v/>
      </c>
      <c r="D202" s="650" t="str">
        <f t="shared" si="23"/>
        <v/>
      </c>
      <c r="E202" s="650" t="str">
        <f t="shared" si="19"/>
        <v/>
      </c>
      <c r="F202" s="650" t="str">
        <f t="shared" si="20"/>
        <v/>
      </c>
      <c r="G202" s="650" t="str">
        <f t="shared" si="21"/>
        <v/>
      </c>
      <c r="H202" s="650" t="str">
        <f t="shared" si="22"/>
        <v/>
      </c>
      <c r="J202" s="650"/>
      <c r="K202" s="650"/>
      <c r="L202" s="650"/>
    </row>
    <row r="203" spans="2:12" x14ac:dyDescent="0.2">
      <c r="B203" s="660" t="str">
        <f t="shared" si="17"/>
        <v>-</v>
      </c>
      <c r="C203" s="661" t="str">
        <f t="shared" si="18"/>
        <v/>
      </c>
      <c r="D203" s="650" t="str">
        <f t="shared" si="23"/>
        <v/>
      </c>
      <c r="E203" s="650" t="str">
        <f t="shared" si="19"/>
        <v/>
      </c>
      <c r="F203" s="650" t="str">
        <f t="shared" si="20"/>
        <v/>
      </c>
      <c r="G203" s="650" t="str">
        <f t="shared" si="21"/>
        <v/>
      </c>
      <c r="H203" s="650" t="str">
        <f t="shared" si="22"/>
        <v/>
      </c>
      <c r="J203" s="650"/>
      <c r="K203" s="650"/>
      <c r="L203" s="650"/>
    </row>
    <row r="204" spans="2:12" x14ac:dyDescent="0.2">
      <c r="B204" s="660" t="str">
        <f t="shared" ref="B204:B267" si="24">IF(B203&lt;$L$3,B203+1,"-")</f>
        <v>-</v>
      </c>
      <c r="C204" s="661" t="str">
        <f t="shared" ref="C204:C267" si="25">IF(ISNUMBER(B204),MIN(DATE(YEAR($C$11),MONTH($C$11)+B204*12/$P$5,DAY($C$11)),DATE(YEAR($C$11),MONTH($C$11)+1+B204*12/$P$5,1)-1),"")</f>
        <v/>
      </c>
      <c r="D204" s="650" t="str">
        <f t="shared" si="23"/>
        <v/>
      </c>
      <c r="E204" s="650" t="str">
        <f t="shared" ref="E204:E267" si="26">IF(ISNUMBER(B204),ROUND(D204*$L$7,$R$6),"")</f>
        <v/>
      </c>
      <c r="F204" s="650" t="str">
        <f t="shared" ref="F204:F267" si="27">IF(ISNUMBER(B204),IF(B204=$L$3,D204,IF(B204&gt;$L$4,$H$3-E204,0)),"")</f>
        <v/>
      </c>
      <c r="G204" s="650" t="str">
        <f t="shared" ref="G204:G267" si="28">IF(ISNUMBER(B204),$H$4,"")</f>
        <v/>
      </c>
      <c r="H204" s="650" t="str">
        <f t="shared" ref="H204:H267" si="29">IF(ISNUMBER(B204),E204+F204+G204,"")</f>
        <v/>
      </c>
      <c r="J204" s="650"/>
      <c r="K204" s="650"/>
      <c r="L204" s="650"/>
    </row>
    <row r="205" spans="2:12" x14ac:dyDescent="0.2">
      <c r="B205" s="660" t="str">
        <f t="shared" si="24"/>
        <v>-</v>
      </c>
      <c r="C205" s="661" t="str">
        <f t="shared" si="25"/>
        <v/>
      </c>
      <c r="D205" s="650" t="str">
        <f t="shared" si="23"/>
        <v/>
      </c>
      <c r="E205" s="650" t="str">
        <f t="shared" si="26"/>
        <v/>
      </c>
      <c r="F205" s="650" t="str">
        <f t="shared" si="27"/>
        <v/>
      </c>
      <c r="G205" s="650" t="str">
        <f t="shared" si="28"/>
        <v/>
      </c>
      <c r="H205" s="650" t="str">
        <f t="shared" si="29"/>
        <v/>
      </c>
      <c r="J205" s="650"/>
      <c r="K205" s="650"/>
      <c r="L205" s="650"/>
    </row>
    <row r="206" spans="2:12" x14ac:dyDescent="0.2">
      <c r="B206" s="660" t="str">
        <f t="shared" si="24"/>
        <v>-</v>
      </c>
      <c r="C206" s="661" t="str">
        <f t="shared" si="25"/>
        <v/>
      </c>
      <c r="D206" s="650" t="str">
        <f t="shared" si="23"/>
        <v/>
      </c>
      <c r="E206" s="650" t="str">
        <f t="shared" si="26"/>
        <v/>
      </c>
      <c r="F206" s="650" t="str">
        <f t="shared" si="27"/>
        <v/>
      </c>
      <c r="G206" s="650" t="str">
        <f t="shared" si="28"/>
        <v/>
      </c>
      <c r="H206" s="650" t="str">
        <f t="shared" si="29"/>
        <v/>
      </c>
      <c r="J206" s="650"/>
      <c r="K206" s="650"/>
      <c r="L206" s="650"/>
    </row>
    <row r="207" spans="2:12" x14ac:dyDescent="0.2">
      <c r="B207" s="660" t="str">
        <f t="shared" si="24"/>
        <v>-</v>
      </c>
      <c r="C207" s="661" t="str">
        <f t="shared" si="25"/>
        <v/>
      </c>
      <c r="D207" s="650" t="str">
        <f t="shared" si="23"/>
        <v/>
      </c>
      <c r="E207" s="650" t="str">
        <f t="shared" si="26"/>
        <v/>
      </c>
      <c r="F207" s="650" t="str">
        <f t="shared" si="27"/>
        <v/>
      </c>
      <c r="G207" s="650" t="str">
        <f t="shared" si="28"/>
        <v/>
      </c>
      <c r="H207" s="650" t="str">
        <f t="shared" si="29"/>
        <v/>
      </c>
      <c r="J207" s="650"/>
      <c r="K207" s="650"/>
      <c r="L207" s="650"/>
    </row>
    <row r="208" spans="2:12" x14ac:dyDescent="0.2">
      <c r="B208" s="660" t="str">
        <f t="shared" si="24"/>
        <v>-</v>
      </c>
      <c r="C208" s="661" t="str">
        <f t="shared" si="25"/>
        <v/>
      </c>
      <c r="D208" s="650" t="str">
        <f t="shared" si="23"/>
        <v/>
      </c>
      <c r="E208" s="650" t="str">
        <f t="shared" si="26"/>
        <v/>
      </c>
      <c r="F208" s="650" t="str">
        <f t="shared" si="27"/>
        <v/>
      </c>
      <c r="G208" s="650" t="str">
        <f t="shared" si="28"/>
        <v/>
      </c>
      <c r="H208" s="650" t="str">
        <f t="shared" si="29"/>
        <v/>
      </c>
      <c r="J208" s="650"/>
      <c r="K208" s="650"/>
      <c r="L208" s="650"/>
    </row>
    <row r="209" spans="2:12" x14ac:dyDescent="0.2">
      <c r="B209" s="660" t="str">
        <f t="shared" si="24"/>
        <v>-</v>
      </c>
      <c r="C209" s="661" t="str">
        <f t="shared" si="25"/>
        <v/>
      </c>
      <c r="D209" s="650" t="str">
        <f t="shared" si="23"/>
        <v/>
      </c>
      <c r="E209" s="650" t="str">
        <f t="shared" si="26"/>
        <v/>
      </c>
      <c r="F209" s="650" t="str">
        <f t="shared" si="27"/>
        <v/>
      </c>
      <c r="G209" s="650" t="str">
        <f t="shared" si="28"/>
        <v/>
      </c>
      <c r="H209" s="650" t="str">
        <f t="shared" si="29"/>
        <v/>
      </c>
      <c r="J209" s="650"/>
      <c r="K209" s="650"/>
      <c r="L209" s="650"/>
    </row>
    <row r="210" spans="2:12" x14ac:dyDescent="0.2">
      <c r="B210" s="660" t="str">
        <f t="shared" si="24"/>
        <v>-</v>
      </c>
      <c r="C210" s="661" t="str">
        <f t="shared" si="25"/>
        <v/>
      </c>
      <c r="D210" s="650" t="str">
        <f t="shared" si="23"/>
        <v/>
      </c>
      <c r="E210" s="650" t="str">
        <f t="shared" si="26"/>
        <v/>
      </c>
      <c r="F210" s="650" t="str">
        <f t="shared" si="27"/>
        <v/>
      </c>
      <c r="G210" s="650" t="str">
        <f t="shared" si="28"/>
        <v/>
      </c>
      <c r="H210" s="650" t="str">
        <f t="shared" si="29"/>
        <v/>
      </c>
      <c r="J210" s="650"/>
      <c r="K210" s="650"/>
      <c r="L210" s="650"/>
    </row>
    <row r="211" spans="2:12" x14ac:dyDescent="0.2">
      <c r="B211" s="660" t="str">
        <f t="shared" si="24"/>
        <v>-</v>
      </c>
      <c r="C211" s="661" t="str">
        <f t="shared" si="25"/>
        <v/>
      </c>
      <c r="D211" s="650" t="str">
        <f t="shared" si="23"/>
        <v/>
      </c>
      <c r="E211" s="650" t="str">
        <f t="shared" si="26"/>
        <v/>
      </c>
      <c r="F211" s="650" t="str">
        <f t="shared" si="27"/>
        <v/>
      </c>
      <c r="G211" s="650" t="str">
        <f t="shared" si="28"/>
        <v/>
      </c>
      <c r="H211" s="650" t="str">
        <f t="shared" si="29"/>
        <v/>
      </c>
      <c r="J211" s="650"/>
      <c r="K211" s="650"/>
      <c r="L211" s="650"/>
    </row>
    <row r="212" spans="2:12" x14ac:dyDescent="0.2">
      <c r="B212" s="660" t="str">
        <f t="shared" si="24"/>
        <v>-</v>
      </c>
      <c r="C212" s="661" t="str">
        <f t="shared" si="25"/>
        <v/>
      </c>
      <c r="D212" s="650" t="str">
        <f t="shared" si="23"/>
        <v/>
      </c>
      <c r="E212" s="650" t="str">
        <f t="shared" si="26"/>
        <v/>
      </c>
      <c r="F212" s="650" t="str">
        <f t="shared" si="27"/>
        <v/>
      </c>
      <c r="G212" s="650" t="str">
        <f t="shared" si="28"/>
        <v/>
      </c>
      <c r="H212" s="650" t="str">
        <f t="shared" si="29"/>
        <v/>
      </c>
      <c r="J212" s="650"/>
      <c r="K212" s="650"/>
      <c r="L212" s="650"/>
    </row>
    <row r="213" spans="2:12" x14ac:dyDescent="0.2">
      <c r="B213" s="660" t="str">
        <f t="shared" si="24"/>
        <v>-</v>
      </c>
      <c r="C213" s="661" t="str">
        <f t="shared" si="25"/>
        <v/>
      </c>
      <c r="D213" s="650" t="str">
        <f t="shared" si="23"/>
        <v/>
      </c>
      <c r="E213" s="650" t="str">
        <f t="shared" si="26"/>
        <v/>
      </c>
      <c r="F213" s="650" t="str">
        <f t="shared" si="27"/>
        <v/>
      </c>
      <c r="G213" s="650" t="str">
        <f t="shared" si="28"/>
        <v/>
      </c>
      <c r="H213" s="650" t="str">
        <f t="shared" si="29"/>
        <v/>
      </c>
      <c r="J213" s="650"/>
      <c r="K213" s="650"/>
      <c r="L213" s="650"/>
    </row>
    <row r="214" spans="2:12" x14ac:dyDescent="0.2">
      <c r="B214" s="660" t="str">
        <f t="shared" si="24"/>
        <v>-</v>
      </c>
      <c r="C214" s="661" t="str">
        <f t="shared" si="25"/>
        <v/>
      </c>
      <c r="D214" s="650" t="str">
        <f t="shared" si="23"/>
        <v/>
      </c>
      <c r="E214" s="650" t="str">
        <f t="shared" si="26"/>
        <v/>
      </c>
      <c r="F214" s="650" t="str">
        <f t="shared" si="27"/>
        <v/>
      </c>
      <c r="G214" s="650" t="str">
        <f t="shared" si="28"/>
        <v/>
      </c>
      <c r="H214" s="650" t="str">
        <f t="shared" si="29"/>
        <v/>
      </c>
      <c r="J214" s="650"/>
      <c r="K214" s="650"/>
      <c r="L214" s="650"/>
    </row>
    <row r="215" spans="2:12" x14ac:dyDescent="0.2">
      <c r="B215" s="660" t="str">
        <f t="shared" si="24"/>
        <v>-</v>
      </c>
      <c r="C215" s="661" t="str">
        <f t="shared" si="25"/>
        <v/>
      </c>
      <c r="D215" s="650" t="str">
        <f t="shared" si="23"/>
        <v/>
      </c>
      <c r="E215" s="650" t="str">
        <f t="shared" si="26"/>
        <v/>
      </c>
      <c r="F215" s="650" t="str">
        <f t="shared" si="27"/>
        <v/>
      </c>
      <c r="G215" s="650" t="str">
        <f t="shared" si="28"/>
        <v/>
      </c>
      <c r="H215" s="650" t="str">
        <f t="shared" si="29"/>
        <v/>
      </c>
      <c r="J215" s="650"/>
      <c r="K215" s="650"/>
      <c r="L215" s="650"/>
    </row>
    <row r="216" spans="2:12" x14ac:dyDescent="0.2">
      <c r="B216" s="660" t="str">
        <f t="shared" si="24"/>
        <v>-</v>
      </c>
      <c r="C216" s="661" t="str">
        <f t="shared" si="25"/>
        <v/>
      </c>
      <c r="D216" s="650" t="str">
        <f t="shared" si="23"/>
        <v/>
      </c>
      <c r="E216" s="650" t="str">
        <f t="shared" si="26"/>
        <v/>
      </c>
      <c r="F216" s="650" t="str">
        <f t="shared" si="27"/>
        <v/>
      </c>
      <c r="G216" s="650" t="str">
        <f t="shared" si="28"/>
        <v/>
      </c>
      <c r="H216" s="650" t="str">
        <f t="shared" si="29"/>
        <v/>
      </c>
      <c r="J216" s="650"/>
      <c r="K216" s="650"/>
      <c r="L216" s="650"/>
    </row>
    <row r="217" spans="2:12" x14ac:dyDescent="0.2">
      <c r="B217" s="660" t="str">
        <f t="shared" si="24"/>
        <v>-</v>
      </c>
      <c r="C217" s="661" t="str">
        <f t="shared" si="25"/>
        <v/>
      </c>
      <c r="D217" s="650" t="str">
        <f t="shared" si="23"/>
        <v/>
      </c>
      <c r="E217" s="650" t="str">
        <f t="shared" si="26"/>
        <v/>
      </c>
      <c r="F217" s="650" t="str">
        <f t="shared" si="27"/>
        <v/>
      </c>
      <c r="G217" s="650" t="str">
        <f t="shared" si="28"/>
        <v/>
      </c>
      <c r="H217" s="650" t="str">
        <f t="shared" si="29"/>
        <v/>
      </c>
      <c r="J217" s="650"/>
      <c r="K217" s="650"/>
      <c r="L217" s="650"/>
    </row>
    <row r="218" spans="2:12" x14ac:dyDescent="0.2">
      <c r="B218" s="660" t="str">
        <f t="shared" si="24"/>
        <v>-</v>
      </c>
      <c r="C218" s="661" t="str">
        <f t="shared" si="25"/>
        <v/>
      </c>
      <c r="D218" s="650" t="str">
        <f t="shared" si="23"/>
        <v/>
      </c>
      <c r="E218" s="650" t="str">
        <f t="shared" si="26"/>
        <v/>
      </c>
      <c r="F218" s="650" t="str">
        <f t="shared" si="27"/>
        <v/>
      </c>
      <c r="G218" s="650" t="str">
        <f t="shared" si="28"/>
        <v/>
      </c>
      <c r="H218" s="650" t="str">
        <f t="shared" si="29"/>
        <v/>
      </c>
      <c r="J218" s="650"/>
      <c r="K218" s="650"/>
      <c r="L218" s="650"/>
    </row>
    <row r="219" spans="2:12" x14ac:dyDescent="0.2">
      <c r="B219" s="660" t="str">
        <f t="shared" si="24"/>
        <v>-</v>
      </c>
      <c r="C219" s="661" t="str">
        <f t="shared" si="25"/>
        <v/>
      </c>
      <c r="D219" s="650" t="str">
        <f t="shared" si="23"/>
        <v/>
      </c>
      <c r="E219" s="650" t="str">
        <f t="shared" si="26"/>
        <v/>
      </c>
      <c r="F219" s="650" t="str">
        <f t="shared" si="27"/>
        <v/>
      </c>
      <c r="G219" s="650" t="str">
        <f t="shared" si="28"/>
        <v/>
      </c>
      <c r="H219" s="650" t="str">
        <f t="shared" si="29"/>
        <v/>
      </c>
      <c r="J219" s="650"/>
      <c r="K219" s="650"/>
      <c r="L219" s="650"/>
    </row>
    <row r="220" spans="2:12" x14ac:dyDescent="0.2">
      <c r="B220" s="660" t="str">
        <f t="shared" si="24"/>
        <v>-</v>
      </c>
      <c r="C220" s="661" t="str">
        <f t="shared" si="25"/>
        <v/>
      </c>
      <c r="D220" s="650" t="str">
        <f t="shared" si="23"/>
        <v/>
      </c>
      <c r="E220" s="650" t="str">
        <f t="shared" si="26"/>
        <v/>
      </c>
      <c r="F220" s="650" t="str">
        <f t="shared" si="27"/>
        <v/>
      </c>
      <c r="G220" s="650" t="str">
        <f t="shared" si="28"/>
        <v/>
      </c>
      <c r="H220" s="650" t="str">
        <f t="shared" si="29"/>
        <v/>
      </c>
      <c r="J220" s="650"/>
      <c r="K220" s="650"/>
      <c r="L220" s="650"/>
    </row>
    <row r="221" spans="2:12" x14ac:dyDescent="0.2">
      <c r="B221" s="660" t="str">
        <f t="shared" si="24"/>
        <v>-</v>
      </c>
      <c r="C221" s="661" t="str">
        <f t="shared" si="25"/>
        <v/>
      </c>
      <c r="D221" s="650" t="str">
        <f t="shared" si="23"/>
        <v/>
      </c>
      <c r="E221" s="650" t="str">
        <f t="shared" si="26"/>
        <v/>
      </c>
      <c r="F221" s="650" t="str">
        <f t="shared" si="27"/>
        <v/>
      </c>
      <c r="G221" s="650" t="str">
        <f t="shared" si="28"/>
        <v/>
      </c>
      <c r="H221" s="650" t="str">
        <f t="shared" si="29"/>
        <v/>
      </c>
      <c r="J221" s="650"/>
      <c r="K221" s="650"/>
      <c r="L221" s="650"/>
    </row>
    <row r="222" spans="2:12" x14ac:dyDescent="0.2">
      <c r="B222" s="660" t="str">
        <f t="shared" si="24"/>
        <v>-</v>
      </c>
      <c r="C222" s="661" t="str">
        <f t="shared" si="25"/>
        <v/>
      </c>
      <c r="D222" s="650" t="str">
        <f t="shared" si="23"/>
        <v/>
      </c>
      <c r="E222" s="650" t="str">
        <f t="shared" si="26"/>
        <v/>
      </c>
      <c r="F222" s="650" t="str">
        <f t="shared" si="27"/>
        <v/>
      </c>
      <c r="G222" s="650" t="str">
        <f t="shared" si="28"/>
        <v/>
      </c>
      <c r="H222" s="650" t="str">
        <f t="shared" si="29"/>
        <v/>
      </c>
      <c r="J222" s="650"/>
      <c r="K222" s="650"/>
      <c r="L222" s="650"/>
    </row>
    <row r="223" spans="2:12" x14ac:dyDescent="0.2">
      <c r="B223" s="660" t="str">
        <f t="shared" si="24"/>
        <v>-</v>
      </c>
      <c r="C223" s="661" t="str">
        <f t="shared" si="25"/>
        <v/>
      </c>
      <c r="D223" s="650" t="str">
        <f t="shared" si="23"/>
        <v/>
      </c>
      <c r="E223" s="650" t="str">
        <f t="shared" si="26"/>
        <v/>
      </c>
      <c r="F223" s="650" t="str">
        <f t="shared" si="27"/>
        <v/>
      </c>
      <c r="G223" s="650" t="str">
        <f t="shared" si="28"/>
        <v/>
      </c>
      <c r="H223" s="650" t="str">
        <f t="shared" si="29"/>
        <v/>
      </c>
      <c r="J223" s="650"/>
      <c r="K223" s="650"/>
      <c r="L223" s="650"/>
    </row>
    <row r="224" spans="2:12" x14ac:dyDescent="0.2">
      <c r="B224" s="660" t="str">
        <f t="shared" si="24"/>
        <v>-</v>
      </c>
      <c r="C224" s="661" t="str">
        <f t="shared" si="25"/>
        <v/>
      </c>
      <c r="D224" s="650" t="str">
        <f t="shared" si="23"/>
        <v/>
      </c>
      <c r="E224" s="650" t="str">
        <f t="shared" si="26"/>
        <v/>
      </c>
      <c r="F224" s="650" t="str">
        <f t="shared" si="27"/>
        <v/>
      </c>
      <c r="G224" s="650" t="str">
        <f t="shared" si="28"/>
        <v/>
      </c>
      <c r="H224" s="650" t="str">
        <f t="shared" si="29"/>
        <v/>
      </c>
      <c r="J224" s="650"/>
      <c r="K224" s="650"/>
      <c r="L224" s="650"/>
    </row>
    <row r="225" spans="2:12" x14ac:dyDescent="0.2">
      <c r="B225" s="660" t="str">
        <f t="shared" si="24"/>
        <v>-</v>
      </c>
      <c r="C225" s="661" t="str">
        <f t="shared" si="25"/>
        <v/>
      </c>
      <c r="D225" s="650" t="str">
        <f t="shared" si="23"/>
        <v/>
      </c>
      <c r="E225" s="650" t="str">
        <f t="shared" si="26"/>
        <v/>
      </c>
      <c r="F225" s="650" t="str">
        <f t="shared" si="27"/>
        <v/>
      </c>
      <c r="G225" s="650" t="str">
        <f t="shared" si="28"/>
        <v/>
      </c>
      <c r="H225" s="650" t="str">
        <f t="shared" si="29"/>
        <v/>
      </c>
      <c r="J225" s="650"/>
      <c r="K225" s="650"/>
      <c r="L225" s="650"/>
    </row>
    <row r="226" spans="2:12" x14ac:dyDescent="0.2">
      <c r="B226" s="660" t="str">
        <f t="shared" si="24"/>
        <v>-</v>
      </c>
      <c r="C226" s="661" t="str">
        <f t="shared" si="25"/>
        <v/>
      </c>
      <c r="D226" s="650" t="str">
        <f t="shared" si="23"/>
        <v/>
      </c>
      <c r="E226" s="650" t="str">
        <f t="shared" si="26"/>
        <v/>
      </c>
      <c r="F226" s="650" t="str">
        <f t="shared" si="27"/>
        <v/>
      </c>
      <c r="G226" s="650" t="str">
        <f t="shared" si="28"/>
        <v/>
      </c>
      <c r="H226" s="650" t="str">
        <f t="shared" si="29"/>
        <v/>
      </c>
      <c r="J226" s="650"/>
      <c r="K226" s="650"/>
      <c r="L226" s="650"/>
    </row>
    <row r="227" spans="2:12" x14ac:dyDescent="0.2">
      <c r="B227" s="660" t="str">
        <f t="shared" si="24"/>
        <v>-</v>
      </c>
      <c r="C227" s="661" t="str">
        <f t="shared" si="25"/>
        <v/>
      </c>
      <c r="D227" s="650" t="str">
        <f t="shared" si="23"/>
        <v/>
      </c>
      <c r="E227" s="650" t="str">
        <f t="shared" si="26"/>
        <v/>
      </c>
      <c r="F227" s="650" t="str">
        <f t="shared" si="27"/>
        <v/>
      </c>
      <c r="G227" s="650" t="str">
        <f t="shared" si="28"/>
        <v/>
      </c>
      <c r="H227" s="650" t="str">
        <f t="shared" si="29"/>
        <v/>
      </c>
      <c r="J227" s="650"/>
      <c r="K227" s="650"/>
      <c r="L227" s="650"/>
    </row>
    <row r="228" spans="2:12" x14ac:dyDescent="0.2">
      <c r="B228" s="660" t="str">
        <f t="shared" si="24"/>
        <v>-</v>
      </c>
      <c r="C228" s="661" t="str">
        <f t="shared" si="25"/>
        <v/>
      </c>
      <c r="D228" s="650" t="str">
        <f t="shared" si="23"/>
        <v/>
      </c>
      <c r="E228" s="650" t="str">
        <f t="shared" si="26"/>
        <v/>
      </c>
      <c r="F228" s="650" t="str">
        <f t="shared" si="27"/>
        <v/>
      </c>
      <c r="G228" s="650" t="str">
        <f t="shared" si="28"/>
        <v/>
      </c>
      <c r="H228" s="650" t="str">
        <f t="shared" si="29"/>
        <v/>
      </c>
      <c r="J228" s="650"/>
      <c r="K228" s="650"/>
      <c r="L228" s="650"/>
    </row>
    <row r="229" spans="2:12" x14ac:dyDescent="0.2">
      <c r="B229" s="660" t="str">
        <f t="shared" si="24"/>
        <v>-</v>
      </c>
      <c r="C229" s="661" t="str">
        <f t="shared" si="25"/>
        <v/>
      </c>
      <c r="D229" s="650" t="str">
        <f t="shared" si="23"/>
        <v/>
      </c>
      <c r="E229" s="650" t="str">
        <f t="shared" si="26"/>
        <v/>
      </c>
      <c r="F229" s="650" t="str">
        <f t="shared" si="27"/>
        <v/>
      </c>
      <c r="G229" s="650" t="str">
        <f t="shared" si="28"/>
        <v/>
      </c>
      <c r="H229" s="650" t="str">
        <f t="shared" si="29"/>
        <v/>
      </c>
      <c r="J229" s="650"/>
      <c r="K229" s="650"/>
      <c r="L229" s="650"/>
    </row>
    <row r="230" spans="2:12" x14ac:dyDescent="0.2">
      <c r="B230" s="660" t="str">
        <f t="shared" si="24"/>
        <v>-</v>
      </c>
      <c r="C230" s="661" t="str">
        <f t="shared" si="25"/>
        <v/>
      </c>
      <c r="D230" s="650" t="str">
        <f t="shared" si="23"/>
        <v/>
      </c>
      <c r="E230" s="650" t="str">
        <f t="shared" si="26"/>
        <v/>
      </c>
      <c r="F230" s="650" t="str">
        <f t="shared" si="27"/>
        <v/>
      </c>
      <c r="G230" s="650" t="str">
        <f t="shared" si="28"/>
        <v/>
      </c>
      <c r="H230" s="650" t="str">
        <f t="shared" si="29"/>
        <v/>
      </c>
      <c r="J230" s="650"/>
      <c r="K230" s="650"/>
      <c r="L230" s="650"/>
    </row>
    <row r="231" spans="2:12" x14ac:dyDescent="0.2">
      <c r="B231" s="660" t="str">
        <f t="shared" si="24"/>
        <v>-</v>
      </c>
      <c r="C231" s="661" t="str">
        <f t="shared" si="25"/>
        <v/>
      </c>
      <c r="D231" s="650" t="str">
        <f t="shared" si="23"/>
        <v/>
      </c>
      <c r="E231" s="650" t="str">
        <f t="shared" si="26"/>
        <v/>
      </c>
      <c r="F231" s="650" t="str">
        <f t="shared" si="27"/>
        <v/>
      </c>
      <c r="G231" s="650" t="str">
        <f t="shared" si="28"/>
        <v/>
      </c>
      <c r="H231" s="650" t="str">
        <f t="shared" si="29"/>
        <v/>
      </c>
      <c r="J231" s="650"/>
      <c r="K231" s="650"/>
      <c r="L231" s="650"/>
    </row>
    <row r="232" spans="2:12" x14ac:dyDescent="0.2">
      <c r="B232" s="660" t="str">
        <f t="shared" si="24"/>
        <v>-</v>
      </c>
      <c r="C232" s="661" t="str">
        <f t="shared" si="25"/>
        <v/>
      </c>
      <c r="D232" s="650" t="str">
        <f t="shared" si="23"/>
        <v/>
      </c>
      <c r="E232" s="650" t="str">
        <f t="shared" si="26"/>
        <v/>
      </c>
      <c r="F232" s="650" t="str">
        <f t="shared" si="27"/>
        <v/>
      </c>
      <c r="G232" s="650" t="str">
        <f t="shared" si="28"/>
        <v/>
      </c>
      <c r="H232" s="650" t="str">
        <f t="shared" si="29"/>
        <v/>
      </c>
      <c r="J232" s="650"/>
      <c r="K232" s="650"/>
      <c r="L232" s="650"/>
    </row>
    <row r="233" spans="2:12" x14ac:dyDescent="0.2">
      <c r="B233" s="660" t="str">
        <f t="shared" si="24"/>
        <v>-</v>
      </c>
      <c r="C233" s="661" t="str">
        <f t="shared" si="25"/>
        <v/>
      </c>
      <c r="D233" s="650" t="str">
        <f t="shared" si="23"/>
        <v/>
      </c>
      <c r="E233" s="650" t="str">
        <f t="shared" si="26"/>
        <v/>
      </c>
      <c r="F233" s="650" t="str">
        <f t="shared" si="27"/>
        <v/>
      </c>
      <c r="G233" s="650" t="str">
        <f t="shared" si="28"/>
        <v/>
      </c>
      <c r="H233" s="650" t="str">
        <f t="shared" si="29"/>
        <v/>
      </c>
      <c r="J233" s="650"/>
      <c r="K233" s="650"/>
      <c r="L233" s="650"/>
    </row>
    <row r="234" spans="2:12" x14ac:dyDescent="0.2">
      <c r="B234" s="660" t="str">
        <f t="shared" si="24"/>
        <v>-</v>
      </c>
      <c r="C234" s="661" t="str">
        <f t="shared" si="25"/>
        <v/>
      </c>
      <c r="D234" s="650" t="str">
        <f t="shared" si="23"/>
        <v/>
      </c>
      <c r="E234" s="650" t="str">
        <f t="shared" si="26"/>
        <v/>
      </c>
      <c r="F234" s="650" t="str">
        <f t="shared" si="27"/>
        <v/>
      </c>
      <c r="G234" s="650" t="str">
        <f t="shared" si="28"/>
        <v/>
      </c>
      <c r="H234" s="650" t="str">
        <f t="shared" si="29"/>
        <v/>
      </c>
      <c r="J234" s="650"/>
      <c r="K234" s="650"/>
      <c r="L234" s="650"/>
    </row>
    <row r="235" spans="2:12" x14ac:dyDescent="0.2">
      <c r="B235" s="660" t="str">
        <f t="shared" si="24"/>
        <v>-</v>
      </c>
      <c r="C235" s="661" t="str">
        <f t="shared" si="25"/>
        <v/>
      </c>
      <c r="D235" s="650" t="str">
        <f t="shared" si="23"/>
        <v/>
      </c>
      <c r="E235" s="650" t="str">
        <f t="shared" si="26"/>
        <v/>
      </c>
      <c r="F235" s="650" t="str">
        <f t="shared" si="27"/>
        <v/>
      </c>
      <c r="G235" s="650" t="str">
        <f t="shared" si="28"/>
        <v/>
      </c>
      <c r="H235" s="650" t="str">
        <f t="shared" si="29"/>
        <v/>
      </c>
      <c r="J235" s="650"/>
      <c r="K235" s="650"/>
      <c r="L235" s="650"/>
    </row>
    <row r="236" spans="2:12" x14ac:dyDescent="0.2">
      <c r="B236" s="660" t="str">
        <f t="shared" si="24"/>
        <v>-</v>
      </c>
      <c r="C236" s="661" t="str">
        <f t="shared" si="25"/>
        <v/>
      </c>
      <c r="D236" s="650" t="str">
        <f t="shared" si="23"/>
        <v/>
      </c>
      <c r="E236" s="650" t="str">
        <f t="shared" si="26"/>
        <v/>
      </c>
      <c r="F236" s="650" t="str">
        <f t="shared" si="27"/>
        <v/>
      </c>
      <c r="G236" s="650" t="str">
        <f t="shared" si="28"/>
        <v/>
      </c>
      <c r="H236" s="650" t="str">
        <f t="shared" si="29"/>
        <v/>
      </c>
      <c r="J236" s="650"/>
      <c r="K236" s="650"/>
      <c r="L236" s="650"/>
    </row>
    <row r="237" spans="2:12" x14ac:dyDescent="0.2">
      <c r="B237" s="660" t="str">
        <f t="shared" si="24"/>
        <v>-</v>
      </c>
      <c r="C237" s="661" t="str">
        <f t="shared" si="25"/>
        <v/>
      </c>
      <c r="D237" s="650" t="str">
        <f t="shared" si="23"/>
        <v/>
      </c>
      <c r="E237" s="650" t="str">
        <f t="shared" si="26"/>
        <v/>
      </c>
      <c r="F237" s="650" t="str">
        <f t="shared" si="27"/>
        <v/>
      </c>
      <c r="G237" s="650" t="str">
        <f t="shared" si="28"/>
        <v/>
      </c>
      <c r="H237" s="650" t="str">
        <f t="shared" si="29"/>
        <v/>
      </c>
      <c r="J237" s="650"/>
      <c r="K237" s="650"/>
      <c r="L237" s="650"/>
    </row>
    <row r="238" spans="2:12" x14ac:dyDescent="0.2">
      <c r="B238" s="660" t="str">
        <f t="shared" si="24"/>
        <v>-</v>
      </c>
      <c r="C238" s="661" t="str">
        <f t="shared" si="25"/>
        <v/>
      </c>
      <c r="D238" s="650" t="str">
        <f t="shared" si="23"/>
        <v/>
      </c>
      <c r="E238" s="650" t="str">
        <f t="shared" si="26"/>
        <v/>
      </c>
      <c r="F238" s="650" t="str">
        <f t="shared" si="27"/>
        <v/>
      </c>
      <c r="G238" s="650" t="str">
        <f t="shared" si="28"/>
        <v/>
      </c>
      <c r="H238" s="650" t="str">
        <f t="shared" si="29"/>
        <v/>
      </c>
      <c r="J238" s="650"/>
      <c r="K238" s="650"/>
      <c r="L238" s="650"/>
    </row>
    <row r="239" spans="2:12" x14ac:dyDescent="0.2">
      <c r="B239" s="660" t="str">
        <f t="shared" si="24"/>
        <v>-</v>
      </c>
      <c r="C239" s="661" t="str">
        <f t="shared" si="25"/>
        <v/>
      </c>
      <c r="D239" s="650" t="str">
        <f t="shared" si="23"/>
        <v/>
      </c>
      <c r="E239" s="650" t="str">
        <f t="shared" si="26"/>
        <v/>
      </c>
      <c r="F239" s="650" t="str">
        <f t="shared" si="27"/>
        <v/>
      </c>
      <c r="G239" s="650" t="str">
        <f t="shared" si="28"/>
        <v/>
      </c>
      <c r="H239" s="650" t="str">
        <f t="shared" si="29"/>
        <v/>
      </c>
      <c r="J239" s="650"/>
      <c r="K239" s="650"/>
      <c r="L239" s="650"/>
    </row>
    <row r="240" spans="2:12" x14ac:dyDescent="0.2">
      <c r="B240" s="660" t="str">
        <f t="shared" si="24"/>
        <v>-</v>
      </c>
      <c r="C240" s="661" t="str">
        <f t="shared" si="25"/>
        <v/>
      </c>
      <c r="D240" s="650" t="str">
        <f t="shared" si="23"/>
        <v/>
      </c>
      <c r="E240" s="650" t="str">
        <f t="shared" si="26"/>
        <v/>
      </c>
      <c r="F240" s="650" t="str">
        <f t="shared" si="27"/>
        <v/>
      </c>
      <c r="G240" s="650" t="str">
        <f t="shared" si="28"/>
        <v/>
      </c>
      <c r="H240" s="650" t="str">
        <f t="shared" si="29"/>
        <v/>
      </c>
      <c r="J240" s="650"/>
      <c r="K240" s="650"/>
      <c r="L240" s="650"/>
    </row>
    <row r="241" spans="2:12" x14ac:dyDescent="0.2">
      <c r="B241" s="660" t="str">
        <f t="shared" si="24"/>
        <v>-</v>
      </c>
      <c r="C241" s="661" t="str">
        <f t="shared" si="25"/>
        <v/>
      </c>
      <c r="D241" s="650" t="str">
        <f t="shared" si="23"/>
        <v/>
      </c>
      <c r="E241" s="650" t="str">
        <f t="shared" si="26"/>
        <v/>
      </c>
      <c r="F241" s="650" t="str">
        <f t="shared" si="27"/>
        <v/>
      </c>
      <c r="G241" s="650" t="str">
        <f t="shared" si="28"/>
        <v/>
      </c>
      <c r="H241" s="650" t="str">
        <f t="shared" si="29"/>
        <v/>
      </c>
      <c r="J241" s="650"/>
      <c r="K241" s="650"/>
      <c r="L241" s="650"/>
    </row>
    <row r="242" spans="2:12" x14ac:dyDescent="0.2">
      <c r="B242" s="660" t="str">
        <f t="shared" si="24"/>
        <v>-</v>
      </c>
      <c r="C242" s="661" t="str">
        <f t="shared" si="25"/>
        <v/>
      </c>
      <c r="D242" s="650" t="str">
        <f t="shared" si="23"/>
        <v/>
      </c>
      <c r="E242" s="650" t="str">
        <f t="shared" si="26"/>
        <v/>
      </c>
      <c r="F242" s="650" t="str">
        <f t="shared" si="27"/>
        <v/>
      </c>
      <c r="G242" s="650" t="str">
        <f t="shared" si="28"/>
        <v/>
      </c>
      <c r="H242" s="650" t="str">
        <f t="shared" si="29"/>
        <v/>
      </c>
      <c r="J242" s="650"/>
      <c r="K242" s="650"/>
      <c r="L242" s="650"/>
    </row>
    <row r="243" spans="2:12" x14ac:dyDescent="0.2">
      <c r="B243" s="660" t="str">
        <f t="shared" si="24"/>
        <v>-</v>
      </c>
      <c r="C243" s="661" t="str">
        <f t="shared" si="25"/>
        <v/>
      </c>
      <c r="D243" s="650" t="str">
        <f t="shared" si="23"/>
        <v/>
      </c>
      <c r="E243" s="650" t="str">
        <f t="shared" si="26"/>
        <v/>
      </c>
      <c r="F243" s="650" t="str">
        <f t="shared" si="27"/>
        <v/>
      </c>
      <c r="G243" s="650" t="str">
        <f t="shared" si="28"/>
        <v/>
      </c>
      <c r="H243" s="650" t="str">
        <f t="shared" si="29"/>
        <v/>
      </c>
      <c r="J243" s="650"/>
      <c r="K243" s="650"/>
      <c r="L243" s="650"/>
    </row>
    <row r="244" spans="2:12" x14ac:dyDescent="0.2">
      <c r="B244" s="660" t="str">
        <f t="shared" si="24"/>
        <v>-</v>
      </c>
      <c r="C244" s="661" t="str">
        <f t="shared" si="25"/>
        <v/>
      </c>
      <c r="D244" s="650" t="str">
        <f t="shared" si="23"/>
        <v/>
      </c>
      <c r="E244" s="650" t="str">
        <f t="shared" si="26"/>
        <v/>
      </c>
      <c r="F244" s="650" t="str">
        <f t="shared" si="27"/>
        <v/>
      </c>
      <c r="G244" s="650" t="str">
        <f t="shared" si="28"/>
        <v/>
      </c>
      <c r="H244" s="650" t="str">
        <f t="shared" si="29"/>
        <v/>
      </c>
      <c r="J244" s="650"/>
      <c r="K244" s="650"/>
      <c r="L244" s="650"/>
    </row>
    <row r="245" spans="2:12" x14ac:dyDescent="0.2">
      <c r="B245" s="660" t="str">
        <f t="shared" si="24"/>
        <v>-</v>
      </c>
      <c r="C245" s="661" t="str">
        <f t="shared" si="25"/>
        <v/>
      </c>
      <c r="D245" s="650" t="str">
        <f t="shared" si="23"/>
        <v/>
      </c>
      <c r="E245" s="650" t="str">
        <f t="shared" si="26"/>
        <v/>
      </c>
      <c r="F245" s="650" t="str">
        <f t="shared" si="27"/>
        <v/>
      </c>
      <c r="G245" s="650" t="str">
        <f t="shared" si="28"/>
        <v/>
      </c>
      <c r="H245" s="650" t="str">
        <f t="shared" si="29"/>
        <v/>
      </c>
      <c r="J245" s="650"/>
      <c r="K245" s="650"/>
      <c r="L245" s="650"/>
    </row>
    <row r="246" spans="2:12" x14ac:dyDescent="0.2">
      <c r="B246" s="660" t="str">
        <f t="shared" si="24"/>
        <v>-</v>
      </c>
      <c r="C246" s="661" t="str">
        <f t="shared" si="25"/>
        <v/>
      </c>
      <c r="D246" s="650" t="str">
        <f t="shared" si="23"/>
        <v/>
      </c>
      <c r="E246" s="650" t="str">
        <f t="shared" si="26"/>
        <v/>
      </c>
      <c r="F246" s="650" t="str">
        <f t="shared" si="27"/>
        <v/>
      </c>
      <c r="G246" s="650" t="str">
        <f t="shared" si="28"/>
        <v/>
      </c>
      <c r="H246" s="650" t="str">
        <f t="shared" si="29"/>
        <v/>
      </c>
      <c r="J246" s="650"/>
      <c r="K246" s="650"/>
      <c r="L246" s="650"/>
    </row>
    <row r="247" spans="2:12" x14ac:dyDescent="0.2">
      <c r="B247" s="660" t="str">
        <f t="shared" si="24"/>
        <v>-</v>
      </c>
      <c r="C247" s="661" t="str">
        <f t="shared" si="25"/>
        <v/>
      </c>
      <c r="D247" s="650" t="str">
        <f t="shared" si="23"/>
        <v/>
      </c>
      <c r="E247" s="650" t="str">
        <f t="shared" si="26"/>
        <v/>
      </c>
      <c r="F247" s="650" t="str">
        <f t="shared" si="27"/>
        <v/>
      </c>
      <c r="G247" s="650" t="str">
        <f t="shared" si="28"/>
        <v/>
      </c>
      <c r="H247" s="650" t="str">
        <f t="shared" si="29"/>
        <v/>
      </c>
      <c r="J247" s="650"/>
      <c r="K247" s="650"/>
      <c r="L247" s="650"/>
    </row>
    <row r="248" spans="2:12" x14ac:dyDescent="0.2">
      <c r="B248" s="660" t="str">
        <f t="shared" si="24"/>
        <v>-</v>
      </c>
      <c r="C248" s="661" t="str">
        <f t="shared" si="25"/>
        <v/>
      </c>
      <c r="D248" s="650" t="str">
        <f t="shared" si="23"/>
        <v/>
      </c>
      <c r="E248" s="650" t="str">
        <f t="shared" si="26"/>
        <v/>
      </c>
      <c r="F248" s="650" t="str">
        <f t="shared" si="27"/>
        <v/>
      </c>
      <c r="G248" s="650" t="str">
        <f t="shared" si="28"/>
        <v/>
      </c>
      <c r="H248" s="650" t="str">
        <f t="shared" si="29"/>
        <v/>
      </c>
      <c r="J248" s="650"/>
      <c r="K248" s="650"/>
      <c r="L248" s="650"/>
    </row>
    <row r="249" spans="2:12" x14ac:dyDescent="0.2">
      <c r="B249" s="660" t="str">
        <f t="shared" si="24"/>
        <v>-</v>
      </c>
      <c r="C249" s="661" t="str">
        <f t="shared" si="25"/>
        <v/>
      </c>
      <c r="D249" s="650" t="str">
        <f t="shared" si="23"/>
        <v/>
      </c>
      <c r="E249" s="650" t="str">
        <f t="shared" si="26"/>
        <v/>
      </c>
      <c r="F249" s="650" t="str">
        <f t="shared" si="27"/>
        <v/>
      </c>
      <c r="G249" s="650" t="str">
        <f t="shared" si="28"/>
        <v/>
      </c>
      <c r="H249" s="650" t="str">
        <f t="shared" si="29"/>
        <v/>
      </c>
      <c r="J249" s="650"/>
      <c r="K249" s="650"/>
      <c r="L249" s="650"/>
    </row>
    <row r="250" spans="2:12" x14ac:dyDescent="0.2">
      <c r="B250" s="660" t="str">
        <f t="shared" si="24"/>
        <v>-</v>
      </c>
      <c r="C250" s="661" t="str">
        <f t="shared" si="25"/>
        <v/>
      </c>
      <c r="D250" s="650" t="str">
        <f t="shared" si="23"/>
        <v/>
      </c>
      <c r="E250" s="650" t="str">
        <f t="shared" si="26"/>
        <v/>
      </c>
      <c r="F250" s="650" t="str">
        <f t="shared" si="27"/>
        <v/>
      </c>
      <c r="G250" s="650" t="str">
        <f t="shared" si="28"/>
        <v/>
      </c>
      <c r="H250" s="650" t="str">
        <f t="shared" si="29"/>
        <v/>
      </c>
      <c r="J250" s="650"/>
      <c r="K250" s="650"/>
      <c r="L250" s="650"/>
    </row>
    <row r="251" spans="2:12" x14ac:dyDescent="0.2">
      <c r="B251" s="660" t="str">
        <f t="shared" si="24"/>
        <v>-</v>
      </c>
      <c r="C251" s="661" t="str">
        <f t="shared" si="25"/>
        <v/>
      </c>
      <c r="D251" s="650" t="str">
        <f t="shared" si="23"/>
        <v/>
      </c>
      <c r="E251" s="650" t="str">
        <f t="shared" si="26"/>
        <v/>
      </c>
      <c r="F251" s="650" t="str">
        <f t="shared" si="27"/>
        <v/>
      </c>
      <c r="G251" s="650" t="str">
        <f t="shared" si="28"/>
        <v/>
      </c>
      <c r="H251" s="650" t="str">
        <f t="shared" si="29"/>
        <v/>
      </c>
      <c r="J251" s="650"/>
      <c r="K251" s="650"/>
      <c r="L251" s="650"/>
    </row>
    <row r="252" spans="2:12" x14ac:dyDescent="0.2">
      <c r="B252" s="660" t="str">
        <f t="shared" si="24"/>
        <v>-</v>
      </c>
      <c r="C252" s="661" t="str">
        <f t="shared" si="25"/>
        <v/>
      </c>
      <c r="D252" s="650" t="str">
        <f t="shared" si="23"/>
        <v/>
      </c>
      <c r="E252" s="650" t="str">
        <f t="shared" si="26"/>
        <v/>
      </c>
      <c r="F252" s="650" t="str">
        <f t="shared" si="27"/>
        <v/>
      </c>
      <c r="G252" s="650" t="str">
        <f t="shared" si="28"/>
        <v/>
      </c>
      <c r="H252" s="650" t="str">
        <f t="shared" si="29"/>
        <v/>
      </c>
      <c r="J252" s="650"/>
      <c r="K252" s="650"/>
      <c r="L252" s="650"/>
    </row>
    <row r="253" spans="2:12" x14ac:dyDescent="0.2">
      <c r="B253" s="660" t="str">
        <f t="shared" si="24"/>
        <v>-</v>
      </c>
      <c r="C253" s="661" t="str">
        <f t="shared" si="25"/>
        <v/>
      </c>
      <c r="D253" s="650" t="str">
        <f t="shared" si="23"/>
        <v/>
      </c>
      <c r="E253" s="650" t="str">
        <f t="shared" si="26"/>
        <v/>
      </c>
      <c r="F253" s="650" t="str">
        <f t="shared" si="27"/>
        <v/>
      </c>
      <c r="G253" s="650" t="str">
        <f t="shared" si="28"/>
        <v/>
      </c>
      <c r="H253" s="650" t="str">
        <f t="shared" si="29"/>
        <v/>
      </c>
      <c r="J253" s="650"/>
      <c r="K253" s="650"/>
      <c r="L253" s="650"/>
    </row>
    <row r="254" spans="2:12" x14ac:dyDescent="0.2">
      <c r="B254" s="660" t="str">
        <f t="shared" si="24"/>
        <v>-</v>
      </c>
      <c r="C254" s="661" t="str">
        <f t="shared" si="25"/>
        <v/>
      </c>
      <c r="D254" s="650" t="str">
        <f t="shared" si="23"/>
        <v/>
      </c>
      <c r="E254" s="650" t="str">
        <f t="shared" si="26"/>
        <v/>
      </c>
      <c r="F254" s="650" t="str">
        <f t="shared" si="27"/>
        <v/>
      </c>
      <c r="G254" s="650" t="str">
        <f t="shared" si="28"/>
        <v/>
      </c>
      <c r="H254" s="650" t="str">
        <f t="shared" si="29"/>
        <v/>
      </c>
      <c r="J254" s="650"/>
      <c r="K254" s="650"/>
      <c r="L254" s="650"/>
    </row>
    <row r="255" spans="2:12" x14ac:dyDescent="0.2">
      <c r="B255" s="660" t="str">
        <f t="shared" si="24"/>
        <v>-</v>
      </c>
      <c r="C255" s="661" t="str">
        <f t="shared" si="25"/>
        <v/>
      </c>
      <c r="D255" s="650" t="str">
        <f t="shared" si="23"/>
        <v/>
      </c>
      <c r="E255" s="650" t="str">
        <f t="shared" si="26"/>
        <v/>
      </c>
      <c r="F255" s="650" t="str">
        <f t="shared" si="27"/>
        <v/>
      </c>
      <c r="G255" s="650" t="str">
        <f t="shared" si="28"/>
        <v/>
      </c>
      <c r="H255" s="650" t="str">
        <f t="shared" si="29"/>
        <v/>
      </c>
      <c r="J255" s="650"/>
      <c r="K255" s="650"/>
      <c r="L255" s="650"/>
    </row>
    <row r="256" spans="2:12" x14ac:dyDescent="0.2">
      <c r="B256" s="660" t="str">
        <f t="shared" si="24"/>
        <v>-</v>
      </c>
      <c r="C256" s="661" t="str">
        <f t="shared" si="25"/>
        <v/>
      </c>
      <c r="D256" s="650" t="str">
        <f t="shared" si="23"/>
        <v/>
      </c>
      <c r="E256" s="650" t="str">
        <f t="shared" si="26"/>
        <v/>
      </c>
      <c r="F256" s="650" t="str">
        <f t="shared" si="27"/>
        <v/>
      </c>
      <c r="G256" s="650" t="str">
        <f t="shared" si="28"/>
        <v/>
      </c>
      <c r="H256" s="650" t="str">
        <f t="shared" si="29"/>
        <v/>
      </c>
      <c r="J256" s="650"/>
      <c r="K256" s="650"/>
      <c r="L256" s="650"/>
    </row>
    <row r="257" spans="2:12" x14ac:dyDescent="0.2">
      <c r="B257" s="660" t="str">
        <f t="shared" si="24"/>
        <v>-</v>
      </c>
      <c r="C257" s="661" t="str">
        <f t="shared" si="25"/>
        <v/>
      </c>
      <c r="D257" s="650" t="str">
        <f t="shared" si="23"/>
        <v/>
      </c>
      <c r="E257" s="650" t="str">
        <f t="shared" si="26"/>
        <v/>
      </c>
      <c r="F257" s="650" t="str">
        <f t="shared" si="27"/>
        <v/>
      </c>
      <c r="G257" s="650" t="str">
        <f t="shared" si="28"/>
        <v/>
      </c>
      <c r="H257" s="650" t="str">
        <f t="shared" si="29"/>
        <v/>
      </c>
      <c r="J257" s="650"/>
      <c r="K257" s="650"/>
      <c r="L257" s="650"/>
    </row>
    <row r="258" spans="2:12" x14ac:dyDescent="0.2">
      <c r="B258" s="660" t="str">
        <f t="shared" si="24"/>
        <v>-</v>
      </c>
      <c r="C258" s="661" t="str">
        <f t="shared" si="25"/>
        <v/>
      </c>
      <c r="D258" s="650" t="str">
        <f t="shared" si="23"/>
        <v/>
      </c>
      <c r="E258" s="650" t="str">
        <f t="shared" si="26"/>
        <v/>
      </c>
      <c r="F258" s="650" t="str">
        <f t="shared" si="27"/>
        <v/>
      </c>
      <c r="G258" s="650" t="str">
        <f t="shared" si="28"/>
        <v/>
      </c>
      <c r="H258" s="650" t="str">
        <f t="shared" si="29"/>
        <v/>
      </c>
      <c r="J258" s="650"/>
      <c r="K258" s="650"/>
      <c r="L258" s="650"/>
    </row>
    <row r="259" spans="2:12" x14ac:dyDescent="0.2">
      <c r="B259" s="660" t="str">
        <f t="shared" si="24"/>
        <v>-</v>
      </c>
      <c r="C259" s="661" t="str">
        <f t="shared" si="25"/>
        <v/>
      </c>
      <c r="D259" s="650" t="str">
        <f t="shared" si="23"/>
        <v/>
      </c>
      <c r="E259" s="650" t="str">
        <f t="shared" si="26"/>
        <v/>
      </c>
      <c r="F259" s="650" t="str">
        <f t="shared" si="27"/>
        <v/>
      </c>
      <c r="G259" s="650" t="str">
        <f t="shared" si="28"/>
        <v/>
      </c>
      <c r="H259" s="650" t="str">
        <f t="shared" si="29"/>
        <v/>
      </c>
      <c r="J259" s="650"/>
      <c r="K259" s="650"/>
      <c r="L259" s="650"/>
    </row>
    <row r="260" spans="2:12" x14ac:dyDescent="0.2">
      <c r="B260" s="660" t="str">
        <f t="shared" si="24"/>
        <v>-</v>
      </c>
      <c r="C260" s="661" t="str">
        <f t="shared" si="25"/>
        <v/>
      </c>
      <c r="D260" s="650" t="str">
        <f t="shared" si="23"/>
        <v/>
      </c>
      <c r="E260" s="650" t="str">
        <f t="shared" si="26"/>
        <v/>
      </c>
      <c r="F260" s="650" t="str">
        <f t="shared" si="27"/>
        <v/>
      </c>
      <c r="G260" s="650" t="str">
        <f t="shared" si="28"/>
        <v/>
      </c>
      <c r="H260" s="650" t="str">
        <f t="shared" si="29"/>
        <v/>
      </c>
      <c r="J260" s="650"/>
      <c r="K260" s="650"/>
      <c r="L260" s="650"/>
    </row>
    <row r="261" spans="2:12" x14ac:dyDescent="0.2">
      <c r="B261" s="660" t="str">
        <f t="shared" si="24"/>
        <v>-</v>
      </c>
      <c r="C261" s="661" t="str">
        <f t="shared" si="25"/>
        <v/>
      </c>
      <c r="D261" s="650" t="str">
        <f t="shared" si="23"/>
        <v/>
      </c>
      <c r="E261" s="650" t="str">
        <f t="shared" si="26"/>
        <v/>
      </c>
      <c r="F261" s="650" t="str">
        <f t="shared" si="27"/>
        <v/>
      </c>
      <c r="G261" s="650" t="str">
        <f t="shared" si="28"/>
        <v/>
      </c>
      <c r="H261" s="650" t="str">
        <f t="shared" si="29"/>
        <v/>
      </c>
      <c r="J261" s="650"/>
      <c r="K261" s="650"/>
      <c r="L261" s="650"/>
    </row>
    <row r="262" spans="2:12" x14ac:dyDescent="0.2">
      <c r="B262" s="660" t="str">
        <f t="shared" si="24"/>
        <v>-</v>
      </c>
      <c r="C262" s="661" t="str">
        <f t="shared" si="25"/>
        <v/>
      </c>
      <c r="D262" s="650" t="str">
        <f t="shared" ref="D262:D325" si="30">IF(ISNUMBER(B262),D261-F261,"")</f>
        <v/>
      </c>
      <c r="E262" s="650" t="str">
        <f t="shared" si="26"/>
        <v/>
      </c>
      <c r="F262" s="650" t="str">
        <f t="shared" si="27"/>
        <v/>
      </c>
      <c r="G262" s="650" t="str">
        <f t="shared" si="28"/>
        <v/>
      </c>
      <c r="H262" s="650" t="str">
        <f t="shared" si="29"/>
        <v/>
      </c>
      <c r="J262" s="650"/>
      <c r="K262" s="650"/>
      <c r="L262" s="650"/>
    </row>
    <row r="263" spans="2:12" x14ac:dyDescent="0.2">
      <c r="B263" s="660" t="str">
        <f t="shared" si="24"/>
        <v>-</v>
      </c>
      <c r="C263" s="661" t="str">
        <f t="shared" si="25"/>
        <v/>
      </c>
      <c r="D263" s="650" t="str">
        <f t="shared" si="30"/>
        <v/>
      </c>
      <c r="E263" s="650" t="str">
        <f t="shared" si="26"/>
        <v/>
      </c>
      <c r="F263" s="650" t="str">
        <f t="shared" si="27"/>
        <v/>
      </c>
      <c r="G263" s="650" t="str">
        <f t="shared" si="28"/>
        <v/>
      </c>
      <c r="H263" s="650" t="str">
        <f t="shared" si="29"/>
        <v/>
      </c>
      <c r="J263" s="650"/>
      <c r="K263" s="650"/>
      <c r="L263" s="650"/>
    </row>
    <row r="264" spans="2:12" x14ac:dyDescent="0.2">
      <c r="B264" s="660" t="str">
        <f t="shared" si="24"/>
        <v>-</v>
      </c>
      <c r="C264" s="661" t="str">
        <f t="shared" si="25"/>
        <v/>
      </c>
      <c r="D264" s="650" t="str">
        <f t="shared" si="30"/>
        <v/>
      </c>
      <c r="E264" s="650" t="str">
        <f t="shared" si="26"/>
        <v/>
      </c>
      <c r="F264" s="650" t="str">
        <f t="shared" si="27"/>
        <v/>
      </c>
      <c r="G264" s="650" t="str">
        <f t="shared" si="28"/>
        <v/>
      </c>
      <c r="H264" s="650" t="str">
        <f t="shared" si="29"/>
        <v/>
      </c>
      <c r="J264" s="650"/>
      <c r="K264" s="650"/>
      <c r="L264" s="650"/>
    </row>
    <row r="265" spans="2:12" x14ac:dyDescent="0.2">
      <c r="B265" s="660" t="str">
        <f t="shared" si="24"/>
        <v>-</v>
      </c>
      <c r="C265" s="661" t="str">
        <f t="shared" si="25"/>
        <v/>
      </c>
      <c r="D265" s="650" t="str">
        <f t="shared" si="30"/>
        <v/>
      </c>
      <c r="E265" s="650" t="str">
        <f t="shared" si="26"/>
        <v/>
      </c>
      <c r="F265" s="650" t="str">
        <f t="shared" si="27"/>
        <v/>
      </c>
      <c r="G265" s="650" t="str">
        <f t="shared" si="28"/>
        <v/>
      </c>
      <c r="H265" s="650" t="str">
        <f t="shared" si="29"/>
        <v/>
      </c>
      <c r="J265" s="650"/>
      <c r="K265" s="650"/>
      <c r="L265" s="650"/>
    </row>
    <row r="266" spans="2:12" x14ac:dyDescent="0.2">
      <c r="B266" s="660" t="str">
        <f t="shared" si="24"/>
        <v>-</v>
      </c>
      <c r="C266" s="661" t="str">
        <f t="shared" si="25"/>
        <v/>
      </c>
      <c r="D266" s="650" t="str">
        <f t="shared" si="30"/>
        <v/>
      </c>
      <c r="E266" s="650" t="str">
        <f t="shared" si="26"/>
        <v/>
      </c>
      <c r="F266" s="650" t="str">
        <f t="shared" si="27"/>
        <v/>
      </c>
      <c r="G266" s="650" t="str">
        <f t="shared" si="28"/>
        <v/>
      </c>
      <c r="H266" s="650" t="str">
        <f t="shared" si="29"/>
        <v/>
      </c>
      <c r="J266" s="650"/>
      <c r="K266" s="650"/>
      <c r="L266" s="650"/>
    </row>
    <row r="267" spans="2:12" x14ac:dyDescent="0.2">
      <c r="B267" s="660" t="str">
        <f t="shared" si="24"/>
        <v>-</v>
      </c>
      <c r="C267" s="661" t="str">
        <f t="shared" si="25"/>
        <v/>
      </c>
      <c r="D267" s="650" t="str">
        <f t="shared" si="30"/>
        <v/>
      </c>
      <c r="E267" s="650" t="str">
        <f t="shared" si="26"/>
        <v/>
      </c>
      <c r="F267" s="650" t="str">
        <f t="shared" si="27"/>
        <v/>
      </c>
      <c r="G267" s="650" t="str">
        <f t="shared" si="28"/>
        <v/>
      </c>
      <c r="H267" s="650" t="str">
        <f t="shared" si="29"/>
        <v/>
      </c>
      <c r="J267" s="650"/>
      <c r="K267" s="650"/>
      <c r="L267" s="650"/>
    </row>
    <row r="268" spans="2:12" x14ac:dyDescent="0.2">
      <c r="B268" s="660" t="str">
        <f t="shared" ref="B268:B331" si="31">IF(B267&lt;$L$3,B267+1,"-")</f>
        <v>-</v>
      </c>
      <c r="C268" s="661" t="str">
        <f t="shared" ref="C268:C331" si="32">IF(ISNUMBER(B268),MIN(DATE(YEAR($C$11),MONTH($C$11)+B268*12/$P$5,DAY($C$11)),DATE(YEAR($C$11),MONTH($C$11)+1+B268*12/$P$5,1)-1),"")</f>
        <v/>
      </c>
      <c r="D268" s="650" t="str">
        <f t="shared" si="30"/>
        <v/>
      </c>
      <c r="E268" s="650" t="str">
        <f t="shared" ref="E268:E331" si="33">IF(ISNUMBER(B268),ROUND(D268*$L$7,$R$6),"")</f>
        <v/>
      </c>
      <c r="F268" s="650" t="str">
        <f t="shared" ref="F268:F331" si="34">IF(ISNUMBER(B268),IF(B268=$L$3,D268,IF(B268&gt;$L$4,$H$3-E268,0)),"")</f>
        <v/>
      </c>
      <c r="G268" s="650" t="str">
        <f t="shared" ref="G268:G331" si="35">IF(ISNUMBER(B268),$H$4,"")</f>
        <v/>
      </c>
      <c r="H268" s="650" t="str">
        <f t="shared" ref="H268:H331" si="36">IF(ISNUMBER(B268),E268+F268+G268,"")</f>
        <v/>
      </c>
      <c r="J268" s="650"/>
      <c r="K268" s="650"/>
      <c r="L268" s="650"/>
    </row>
    <row r="269" spans="2:12" x14ac:dyDescent="0.2">
      <c r="B269" s="660" t="str">
        <f t="shared" si="31"/>
        <v>-</v>
      </c>
      <c r="C269" s="661" t="str">
        <f t="shared" si="32"/>
        <v/>
      </c>
      <c r="D269" s="650" t="str">
        <f t="shared" si="30"/>
        <v/>
      </c>
      <c r="E269" s="650" t="str">
        <f t="shared" si="33"/>
        <v/>
      </c>
      <c r="F269" s="650" t="str">
        <f t="shared" si="34"/>
        <v/>
      </c>
      <c r="G269" s="650" t="str">
        <f t="shared" si="35"/>
        <v/>
      </c>
      <c r="H269" s="650" t="str">
        <f t="shared" si="36"/>
        <v/>
      </c>
      <c r="J269" s="650"/>
      <c r="K269" s="650"/>
      <c r="L269" s="650"/>
    </row>
    <row r="270" spans="2:12" x14ac:dyDescent="0.2">
      <c r="B270" s="660" t="str">
        <f t="shared" si="31"/>
        <v>-</v>
      </c>
      <c r="C270" s="661" t="str">
        <f t="shared" si="32"/>
        <v/>
      </c>
      <c r="D270" s="650" t="str">
        <f t="shared" si="30"/>
        <v/>
      </c>
      <c r="E270" s="650" t="str">
        <f t="shared" si="33"/>
        <v/>
      </c>
      <c r="F270" s="650" t="str">
        <f t="shared" si="34"/>
        <v/>
      </c>
      <c r="G270" s="650" t="str">
        <f t="shared" si="35"/>
        <v/>
      </c>
      <c r="H270" s="650" t="str">
        <f t="shared" si="36"/>
        <v/>
      </c>
      <c r="J270" s="650"/>
      <c r="K270" s="650"/>
      <c r="L270" s="650"/>
    </row>
    <row r="271" spans="2:12" x14ac:dyDescent="0.2">
      <c r="B271" s="660" t="str">
        <f t="shared" si="31"/>
        <v>-</v>
      </c>
      <c r="C271" s="661" t="str">
        <f t="shared" si="32"/>
        <v/>
      </c>
      <c r="D271" s="650" t="str">
        <f t="shared" si="30"/>
        <v/>
      </c>
      <c r="E271" s="650" t="str">
        <f t="shared" si="33"/>
        <v/>
      </c>
      <c r="F271" s="650" t="str">
        <f t="shared" si="34"/>
        <v/>
      </c>
      <c r="G271" s="650" t="str">
        <f t="shared" si="35"/>
        <v/>
      </c>
      <c r="H271" s="650" t="str">
        <f t="shared" si="36"/>
        <v/>
      </c>
      <c r="J271" s="650"/>
      <c r="K271" s="650"/>
      <c r="L271" s="650"/>
    </row>
    <row r="272" spans="2:12" x14ac:dyDescent="0.2">
      <c r="B272" s="660" t="str">
        <f t="shared" si="31"/>
        <v>-</v>
      </c>
      <c r="C272" s="661" t="str">
        <f t="shared" si="32"/>
        <v/>
      </c>
      <c r="D272" s="650" t="str">
        <f t="shared" si="30"/>
        <v/>
      </c>
      <c r="E272" s="650" t="str">
        <f t="shared" si="33"/>
        <v/>
      </c>
      <c r="F272" s="650" t="str">
        <f t="shared" si="34"/>
        <v/>
      </c>
      <c r="G272" s="650" t="str">
        <f t="shared" si="35"/>
        <v/>
      </c>
      <c r="H272" s="650" t="str">
        <f t="shared" si="36"/>
        <v/>
      </c>
      <c r="J272" s="650"/>
      <c r="K272" s="650"/>
      <c r="L272" s="650"/>
    </row>
    <row r="273" spans="2:12" x14ac:dyDescent="0.2">
      <c r="B273" s="660" t="str">
        <f t="shared" si="31"/>
        <v>-</v>
      </c>
      <c r="C273" s="661" t="str">
        <f t="shared" si="32"/>
        <v/>
      </c>
      <c r="D273" s="650" t="str">
        <f t="shared" si="30"/>
        <v/>
      </c>
      <c r="E273" s="650" t="str">
        <f t="shared" si="33"/>
        <v/>
      </c>
      <c r="F273" s="650" t="str">
        <f t="shared" si="34"/>
        <v/>
      </c>
      <c r="G273" s="650" t="str">
        <f t="shared" si="35"/>
        <v/>
      </c>
      <c r="H273" s="650" t="str">
        <f t="shared" si="36"/>
        <v/>
      </c>
      <c r="J273" s="650"/>
      <c r="K273" s="650"/>
      <c r="L273" s="650"/>
    </row>
    <row r="274" spans="2:12" x14ac:dyDescent="0.2">
      <c r="B274" s="660" t="str">
        <f t="shared" si="31"/>
        <v>-</v>
      </c>
      <c r="C274" s="661" t="str">
        <f t="shared" si="32"/>
        <v/>
      </c>
      <c r="D274" s="650" t="str">
        <f t="shared" si="30"/>
        <v/>
      </c>
      <c r="E274" s="650" t="str">
        <f t="shared" si="33"/>
        <v/>
      </c>
      <c r="F274" s="650" t="str">
        <f t="shared" si="34"/>
        <v/>
      </c>
      <c r="G274" s="650" t="str">
        <f t="shared" si="35"/>
        <v/>
      </c>
      <c r="H274" s="650" t="str">
        <f t="shared" si="36"/>
        <v/>
      </c>
      <c r="J274" s="650"/>
      <c r="K274" s="650"/>
      <c r="L274" s="650"/>
    </row>
    <row r="275" spans="2:12" x14ac:dyDescent="0.2">
      <c r="B275" s="660" t="str">
        <f t="shared" si="31"/>
        <v>-</v>
      </c>
      <c r="C275" s="661" t="str">
        <f t="shared" si="32"/>
        <v/>
      </c>
      <c r="D275" s="650" t="str">
        <f t="shared" si="30"/>
        <v/>
      </c>
      <c r="E275" s="650" t="str">
        <f t="shared" si="33"/>
        <v/>
      </c>
      <c r="F275" s="650" t="str">
        <f t="shared" si="34"/>
        <v/>
      </c>
      <c r="G275" s="650" t="str">
        <f t="shared" si="35"/>
        <v/>
      </c>
      <c r="H275" s="650" t="str">
        <f t="shared" si="36"/>
        <v/>
      </c>
      <c r="J275" s="650"/>
      <c r="K275" s="650"/>
      <c r="L275" s="650"/>
    </row>
    <row r="276" spans="2:12" x14ac:dyDescent="0.2">
      <c r="B276" s="660" t="str">
        <f t="shared" si="31"/>
        <v>-</v>
      </c>
      <c r="C276" s="661" t="str">
        <f t="shared" si="32"/>
        <v/>
      </c>
      <c r="D276" s="650" t="str">
        <f t="shared" si="30"/>
        <v/>
      </c>
      <c r="E276" s="650" t="str">
        <f t="shared" si="33"/>
        <v/>
      </c>
      <c r="F276" s="650" t="str">
        <f t="shared" si="34"/>
        <v/>
      </c>
      <c r="G276" s="650" t="str">
        <f t="shared" si="35"/>
        <v/>
      </c>
      <c r="H276" s="650" t="str">
        <f t="shared" si="36"/>
        <v/>
      </c>
      <c r="J276" s="650"/>
      <c r="K276" s="650"/>
      <c r="L276" s="650"/>
    </row>
    <row r="277" spans="2:12" x14ac:dyDescent="0.2">
      <c r="B277" s="660" t="str">
        <f t="shared" si="31"/>
        <v>-</v>
      </c>
      <c r="C277" s="661" t="str">
        <f t="shared" si="32"/>
        <v/>
      </c>
      <c r="D277" s="650" t="str">
        <f t="shared" si="30"/>
        <v/>
      </c>
      <c r="E277" s="650" t="str">
        <f t="shared" si="33"/>
        <v/>
      </c>
      <c r="F277" s="650" t="str">
        <f t="shared" si="34"/>
        <v/>
      </c>
      <c r="G277" s="650" t="str">
        <f t="shared" si="35"/>
        <v/>
      </c>
      <c r="H277" s="650" t="str">
        <f t="shared" si="36"/>
        <v/>
      </c>
      <c r="J277" s="650"/>
      <c r="K277" s="650"/>
      <c r="L277" s="650"/>
    </row>
    <row r="278" spans="2:12" x14ac:dyDescent="0.2">
      <c r="B278" s="660" t="str">
        <f t="shared" si="31"/>
        <v>-</v>
      </c>
      <c r="C278" s="661" t="str">
        <f t="shared" si="32"/>
        <v/>
      </c>
      <c r="D278" s="650" t="str">
        <f t="shared" si="30"/>
        <v/>
      </c>
      <c r="E278" s="650" t="str">
        <f t="shared" si="33"/>
        <v/>
      </c>
      <c r="F278" s="650" t="str">
        <f t="shared" si="34"/>
        <v/>
      </c>
      <c r="G278" s="650" t="str">
        <f t="shared" si="35"/>
        <v/>
      </c>
      <c r="H278" s="650" t="str">
        <f t="shared" si="36"/>
        <v/>
      </c>
      <c r="J278" s="650"/>
      <c r="K278" s="650"/>
      <c r="L278" s="650"/>
    </row>
    <row r="279" spans="2:12" x14ac:dyDescent="0.2">
      <c r="B279" s="660" t="str">
        <f t="shared" si="31"/>
        <v>-</v>
      </c>
      <c r="C279" s="661" t="str">
        <f t="shared" si="32"/>
        <v/>
      </c>
      <c r="D279" s="650" t="str">
        <f t="shared" si="30"/>
        <v/>
      </c>
      <c r="E279" s="650" t="str">
        <f t="shared" si="33"/>
        <v/>
      </c>
      <c r="F279" s="650" t="str">
        <f t="shared" si="34"/>
        <v/>
      </c>
      <c r="G279" s="650" t="str">
        <f t="shared" si="35"/>
        <v/>
      </c>
      <c r="H279" s="650" t="str">
        <f t="shared" si="36"/>
        <v/>
      </c>
      <c r="J279" s="650"/>
      <c r="K279" s="650"/>
      <c r="L279" s="650"/>
    </row>
    <row r="280" spans="2:12" x14ac:dyDescent="0.2">
      <c r="B280" s="660" t="str">
        <f t="shared" si="31"/>
        <v>-</v>
      </c>
      <c r="C280" s="661" t="str">
        <f t="shared" si="32"/>
        <v/>
      </c>
      <c r="D280" s="650" t="str">
        <f t="shared" si="30"/>
        <v/>
      </c>
      <c r="E280" s="650" t="str">
        <f t="shared" si="33"/>
        <v/>
      </c>
      <c r="F280" s="650" t="str">
        <f t="shared" si="34"/>
        <v/>
      </c>
      <c r="G280" s="650" t="str">
        <f t="shared" si="35"/>
        <v/>
      </c>
      <c r="H280" s="650" t="str">
        <f t="shared" si="36"/>
        <v/>
      </c>
      <c r="J280" s="650"/>
      <c r="K280" s="650"/>
      <c r="L280" s="650"/>
    </row>
    <row r="281" spans="2:12" x14ac:dyDescent="0.2">
      <c r="B281" s="660" t="str">
        <f t="shared" si="31"/>
        <v>-</v>
      </c>
      <c r="C281" s="661" t="str">
        <f t="shared" si="32"/>
        <v/>
      </c>
      <c r="D281" s="650" t="str">
        <f t="shared" si="30"/>
        <v/>
      </c>
      <c r="E281" s="650" t="str">
        <f t="shared" si="33"/>
        <v/>
      </c>
      <c r="F281" s="650" t="str">
        <f t="shared" si="34"/>
        <v/>
      </c>
      <c r="G281" s="650" t="str">
        <f t="shared" si="35"/>
        <v/>
      </c>
      <c r="H281" s="650" t="str">
        <f t="shared" si="36"/>
        <v/>
      </c>
      <c r="J281" s="650"/>
      <c r="K281" s="650"/>
      <c r="L281" s="650"/>
    </row>
    <row r="282" spans="2:12" x14ac:dyDescent="0.2">
      <c r="B282" s="660" t="str">
        <f t="shared" si="31"/>
        <v>-</v>
      </c>
      <c r="C282" s="661" t="str">
        <f t="shared" si="32"/>
        <v/>
      </c>
      <c r="D282" s="650" t="str">
        <f t="shared" si="30"/>
        <v/>
      </c>
      <c r="E282" s="650" t="str">
        <f t="shared" si="33"/>
        <v/>
      </c>
      <c r="F282" s="650" t="str">
        <f t="shared" si="34"/>
        <v/>
      </c>
      <c r="G282" s="650" t="str">
        <f t="shared" si="35"/>
        <v/>
      </c>
      <c r="H282" s="650" t="str">
        <f t="shared" si="36"/>
        <v/>
      </c>
      <c r="J282" s="650"/>
      <c r="K282" s="650"/>
      <c r="L282" s="650"/>
    </row>
    <row r="283" spans="2:12" x14ac:dyDescent="0.2">
      <c r="B283" s="660" t="str">
        <f t="shared" si="31"/>
        <v>-</v>
      </c>
      <c r="C283" s="661" t="str">
        <f t="shared" si="32"/>
        <v/>
      </c>
      <c r="D283" s="650" t="str">
        <f t="shared" si="30"/>
        <v/>
      </c>
      <c r="E283" s="650" t="str">
        <f t="shared" si="33"/>
        <v/>
      </c>
      <c r="F283" s="650" t="str">
        <f t="shared" si="34"/>
        <v/>
      </c>
      <c r="G283" s="650" t="str">
        <f t="shared" si="35"/>
        <v/>
      </c>
      <c r="H283" s="650" t="str">
        <f t="shared" si="36"/>
        <v/>
      </c>
      <c r="J283" s="650"/>
      <c r="K283" s="650"/>
      <c r="L283" s="650"/>
    </row>
    <row r="284" spans="2:12" x14ac:dyDescent="0.2">
      <c r="B284" s="660" t="str">
        <f t="shared" si="31"/>
        <v>-</v>
      </c>
      <c r="C284" s="661" t="str">
        <f t="shared" si="32"/>
        <v/>
      </c>
      <c r="D284" s="650" t="str">
        <f t="shared" si="30"/>
        <v/>
      </c>
      <c r="E284" s="650" t="str">
        <f t="shared" si="33"/>
        <v/>
      </c>
      <c r="F284" s="650" t="str">
        <f t="shared" si="34"/>
        <v/>
      </c>
      <c r="G284" s="650" t="str">
        <f t="shared" si="35"/>
        <v/>
      </c>
      <c r="H284" s="650" t="str">
        <f t="shared" si="36"/>
        <v/>
      </c>
      <c r="J284" s="650"/>
      <c r="K284" s="650"/>
      <c r="L284" s="650"/>
    </row>
    <row r="285" spans="2:12" x14ac:dyDescent="0.2">
      <c r="B285" s="660" t="str">
        <f t="shared" si="31"/>
        <v>-</v>
      </c>
      <c r="C285" s="661" t="str">
        <f t="shared" si="32"/>
        <v/>
      </c>
      <c r="D285" s="650" t="str">
        <f t="shared" si="30"/>
        <v/>
      </c>
      <c r="E285" s="650" t="str">
        <f t="shared" si="33"/>
        <v/>
      </c>
      <c r="F285" s="650" t="str">
        <f t="shared" si="34"/>
        <v/>
      </c>
      <c r="G285" s="650" t="str">
        <f t="shared" si="35"/>
        <v/>
      </c>
      <c r="H285" s="650" t="str">
        <f t="shared" si="36"/>
        <v/>
      </c>
      <c r="J285" s="650"/>
      <c r="K285" s="650"/>
      <c r="L285" s="650"/>
    </row>
    <row r="286" spans="2:12" x14ac:dyDescent="0.2">
      <c r="B286" s="660" t="str">
        <f t="shared" si="31"/>
        <v>-</v>
      </c>
      <c r="C286" s="661" t="str">
        <f t="shared" si="32"/>
        <v/>
      </c>
      <c r="D286" s="650" t="str">
        <f t="shared" si="30"/>
        <v/>
      </c>
      <c r="E286" s="650" t="str">
        <f t="shared" si="33"/>
        <v/>
      </c>
      <c r="F286" s="650" t="str">
        <f t="shared" si="34"/>
        <v/>
      </c>
      <c r="G286" s="650" t="str">
        <f t="shared" si="35"/>
        <v/>
      </c>
      <c r="H286" s="650" t="str">
        <f t="shared" si="36"/>
        <v/>
      </c>
      <c r="J286" s="650"/>
      <c r="K286" s="650"/>
      <c r="L286" s="650"/>
    </row>
    <row r="287" spans="2:12" x14ac:dyDescent="0.2">
      <c r="B287" s="660" t="str">
        <f t="shared" si="31"/>
        <v>-</v>
      </c>
      <c r="C287" s="661" t="str">
        <f t="shared" si="32"/>
        <v/>
      </c>
      <c r="D287" s="650" t="str">
        <f t="shared" si="30"/>
        <v/>
      </c>
      <c r="E287" s="650" t="str">
        <f t="shared" si="33"/>
        <v/>
      </c>
      <c r="F287" s="650" t="str">
        <f t="shared" si="34"/>
        <v/>
      </c>
      <c r="G287" s="650" t="str">
        <f t="shared" si="35"/>
        <v/>
      </c>
      <c r="H287" s="650" t="str">
        <f t="shared" si="36"/>
        <v/>
      </c>
      <c r="J287" s="650"/>
      <c r="K287" s="650"/>
      <c r="L287" s="650"/>
    </row>
    <row r="288" spans="2:12" x14ac:dyDescent="0.2">
      <c r="B288" s="660" t="str">
        <f t="shared" si="31"/>
        <v>-</v>
      </c>
      <c r="C288" s="661" t="str">
        <f t="shared" si="32"/>
        <v/>
      </c>
      <c r="D288" s="650" t="str">
        <f t="shared" si="30"/>
        <v/>
      </c>
      <c r="E288" s="650" t="str">
        <f t="shared" si="33"/>
        <v/>
      </c>
      <c r="F288" s="650" t="str">
        <f t="shared" si="34"/>
        <v/>
      </c>
      <c r="G288" s="650" t="str">
        <f t="shared" si="35"/>
        <v/>
      </c>
      <c r="H288" s="650" t="str">
        <f t="shared" si="36"/>
        <v/>
      </c>
      <c r="J288" s="650"/>
      <c r="K288" s="650"/>
      <c r="L288" s="650"/>
    </row>
    <row r="289" spans="2:12" x14ac:dyDescent="0.2">
      <c r="B289" s="660" t="str">
        <f t="shared" si="31"/>
        <v>-</v>
      </c>
      <c r="C289" s="661" t="str">
        <f t="shared" si="32"/>
        <v/>
      </c>
      <c r="D289" s="650" t="str">
        <f t="shared" si="30"/>
        <v/>
      </c>
      <c r="E289" s="650" t="str">
        <f t="shared" si="33"/>
        <v/>
      </c>
      <c r="F289" s="650" t="str">
        <f t="shared" si="34"/>
        <v/>
      </c>
      <c r="G289" s="650" t="str">
        <f t="shared" si="35"/>
        <v/>
      </c>
      <c r="H289" s="650" t="str">
        <f t="shared" si="36"/>
        <v/>
      </c>
      <c r="J289" s="650"/>
      <c r="K289" s="650"/>
      <c r="L289" s="650"/>
    </row>
    <row r="290" spans="2:12" x14ac:dyDescent="0.2">
      <c r="B290" s="660" t="str">
        <f t="shared" si="31"/>
        <v>-</v>
      </c>
      <c r="C290" s="661" t="str">
        <f t="shared" si="32"/>
        <v/>
      </c>
      <c r="D290" s="650" t="str">
        <f t="shared" si="30"/>
        <v/>
      </c>
      <c r="E290" s="650" t="str">
        <f t="shared" si="33"/>
        <v/>
      </c>
      <c r="F290" s="650" t="str">
        <f t="shared" si="34"/>
        <v/>
      </c>
      <c r="G290" s="650" t="str">
        <f t="shared" si="35"/>
        <v/>
      </c>
      <c r="H290" s="650" t="str">
        <f t="shared" si="36"/>
        <v/>
      </c>
      <c r="J290" s="650"/>
      <c r="K290" s="650"/>
      <c r="L290" s="650"/>
    </row>
    <row r="291" spans="2:12" x14ac:dyDescent="0.2">
      <c r="B291" s="660" t="str">
        <f t="shared" si="31"/>
        <v>-</v>
      </c>
      <c r="C291" s="661" t="str">
        <f t="shared" si="32"/>
        <v/>
      </c>
      <c r="D291" s="650" t="str">
        <f t="shared" si="30"/>
        <v/>
      </c>
      <c r="E291" s="650" t="str">
        <f t="shared" si="33"/>
        <v/>
      </c>
      <c r="F291" s="650" t="str">
        <f t="shared" si="34"/>
        <v/>
      </c>
      <c r="G291" s="650" t="str">
        <f t="shared" si="35"/>
        <v/>
      </c>
      <c r="H291" s="650" t="str">
        <f t="shared" si="36"/>
        <v/>
      </c>
      <c r="J291" s="650"/>
      <c r="K291" s="650"/>
      <c r="L291" s="650"/>
    </row>
    <row r="292" spans="2:12" x14ac:dyDescent="0.2">
      <c r="B292" s="660" t="str">
        <f t="shared" si="31"/>
        <v>-</v>
      </c>
      <c r="C292" s="661" t="str">
        <f t="shared" si="32"/>
        <v/>
      </c>
      <c r="D292" s="650" t="str">
        <f t="shared" si="30"/>
        <v/>
      </c>
      <c r="E292" s="650" t="str">
        <f t="shared" si="33"/>
        <v/>
      </c>
      <c r="F292" s="650" t="str">
        <f t="shared" si="34"/>
        <v/>
      </c>
      <c r="G292" s="650" t="str">
        <f t="shared" si="35"/>
        <v/>
      </c>
      <c r="H292" s="650" t="str">
        <f t="shared" si="36"/>
        <v/>
      </c>
      <c r="J292" s="650"/>
      <c r="K292" s="650"/>
      <c r="L292" s="650"/>
    </row>
    <row r="293" spans="2:12" x14ac:dyDescent="0.2">
      <c r="B293" s="660" t="str">
        <f t="shared" si="31"/>
        <v>-</v>
      </c>
      <c r="C293" s="661" t="str">
        <f t="shared" si="32"/>
        <v/>
      </c>
      <c r="D293" s="650" t="str">
        <f t="shared" si="30"/>
        <v/>
      </c>
      <c r="E293" s="650" t="str">
        <f t="shared" si="33"/>
        <v/>
      </c>
      <c r="F293" s="650" t="str">
        <f t="shared" si="34"/>
        <v/>
      </c>
      <c r="G293" s="650" t="str">
        <f t="shared" si="35"/>
        <v/>
      </c>
      <c r="H293" s="650" t="str">
        <f t="shared" si="36"/>
        <v/>
      </c>
      <c r="J293" s="650"/>
      <c r="K293" s="650"/>
      <c r="L293" s="650"/>
    </row>
    <row r="294" spans="2:12" x14ac:dyDescent="0.2">
      <c r="B294" s="660" t="str">
        <f t="shared" si="31"/>
        <v>-</v>
      </c>
      <c r="C294" s="661" t="str">
        <f t="shared" si="32"/>
        <v/>
      </c>
      <c r="D294" s="650" t="str">
        <f t="shared" si="30"/>
        <v/>
      </c>
      <c r="E294" s="650" t="str">
        <f t="shared" si="33"/>
        <v/>
      </c>
      <c r="F294" s="650" t="str">
        <f t="shared" si="34"/>
        <v/>
      </c>
      <c r="G294" s="650" t="str">
        <f t="shared" si="35"/>
        <v/>
      </c>
      <c r="H294" s="650" t="str">
        <f t="shared" si="36"/>
        <v/>
      </c>
      <c r="J294" s="650"/>
      <c r="K294" s="650"/>
      <c r="L294" s="650"/>
    </row>
    <row r="295" spans="2:12" x14ac:dyDescent="0.2">
      <c r="B295" s="660" t="str">
        <f t="shared" si="31"/>
        <v>-</v>
      </c>
      <c r="C295" s="661" t="str">
        <f t="shared" si="32"/>
        <v/>
      </c>
      <c r="D295" s="650" t="str">
        <f t="shared" si="30"/>
        <v/>
      </c>
      <c r="E295" s="650" t="str">
        <f t="shared" si="33"/>
        <v/>
      </c>
      <c r="F295" s="650" t="str">
        <f t="shared" si="34"/>
        <v/>
      </c>
      <c r="G295" s="650" t="str">
        <f t="shared" si="35"/>
        <v/>
      </c>
      <c r="H295" s="650" t="str">
        <f t="shared" si="36"/>
        <v/>
      </c>
      <c r="J295" s="650"/>
      <c r="K295" s="650"/>
      <c r="L295" s="650"/>
    </row>
    <row r="296" spans="2:12" x14ac:dyDescent="0.2">
      <c r="B296" s="660" t="str">
        <f t="shared" si="31"/>
        <v>-</v>
      </c>
      <c r="C296" s="661" t="str">
        <f t="shared" si="32"/>
        <v/>
      </c>
      <c r="D296" s="650" t="str">
        <f t="shared" si="30"/>
        <v/>
      </c>
      <c r="E296" s="650" t="str">
        <f t="shared" si="33"/>
        <v/>
      </c>
      <c r="F296" s="650" t="str">
        <f t="shared" si="34"/>
        <v/>
      </c>
      <c r="G296" s="650" t="str">
        <f t="shared" si="35"/>
        <v/>
      </c>
      <c r="H296" s="650" t="str">
        <f t="shared" si="36"/>
        <v/>
      </c>
      <c r="J296" s="650"/>
      <c r="K296" s="650"/>
      <c r="L296" s="650"/>
    </row>
    <row r="297" spans="2:12" x14ac:dyDescent="0.2">
      <c r="B297" s="660" t="str">
        <f t="shared" si="31"/>
        <v>-</v>
      </c>
      <c r="C297" s="661" t="str">
        <f t="shared" si="32"/>
        <v/>
      </c>
      <c r="D297" s="650" t="str">
        <f t="shared" si="30"/>
        <v/>
      </c>
      <c r="E297" s="650" t="str">
        <f t="shared" si="33"/>
        <v/>
      </c>
      <c r="F297" s="650" t="str">
        <f t="shared" si="34"/>
        <v/>
      </c>
      <c r="G297" s="650" t="str">
        <f t="shared" si="35"/>
        <v/>
      </c>
      <c r="H297" s="650" t="str">
        <f t="shared" si="36"/>
        <v/>
      </c>
      <c r="J297" s="650"/>
      <c r="K297" s="650"/>
      <c r="L297" s="650"/>
    </row>
    <row r="298" spans="2:12" x14ac:dyDescent="0.2">
      <c r="B298" s="660" t="str">
        <f t="shared" si="31"/>
        <v>-</v>
      </c>
      <c r="C298" s="661" t="str">
        <f t="shared" si="32"/>
        <v/>
      </c>
      <c r="D298" s="650" t="str">
        <f t="shared" si="30"/>
        <v/>
      </c>
      <c r="E298" s="650" t="str">
        <f t="shared" si="33"/>
        <v/>
      </c>
      <c r="F298" s="650" t="str">
        <f t="shared" si="34"/>
        <v/>
      </c>
      <c r="G298" s="650" t="str">
        <f t="shared" si="35"/>
        <v/>
      </c>
      <c r="H298" s="650" t="str">
        <f t="shared" si="36"/>
        <v/>
      </c>
      <c r="J298" s="650"/>
      <c r="K298" s="650"/>
      <c r="L298" s="650"/>
    </row>
    <row r="299" spans="2:12" x14ac:dyDescent="0.2">
      <c r="B299" s="660" t="str">
        <f t="shared" si="31"/>
        <v>-</v>
      </c>
      <c r="C299" s="661" t="str">
        <f t="shared" si="32"/>
        <v/>
      </c>
      <c r="D299" s="650" t="str">
        <f t="shared" si="30"/>
        <v/>
      </c>
      <c r="E299" s="650" t="str">
        <f t="shared" si="33"/>
        <v/>
      </c>
      <c r="F299" s="650" t="str">
        <f t="shared" si="34"/>
        <v/>
      </c>
      <c r="G299" s="650" t="str">
        <f t="shared" si="35"/>
        <v/>
      </c>
      <c r="H299" s="650" t="str">
        <f t="shared" si="36"/>
        <v/>
      </c>
      <c r="J299" s="650"/>
      <c r="K299" s="650"/>
      <c r="L299" s="650"/>
    </row>
    <row r="300" spans="2:12" x14ac:dyDescent="0.2">
      <c r="B300" s="660" t="str">
        <f t="shared" si="31"/>
        <v>-</v>
      </c>
      <c r="C300" s="661" t="str">
        <f t="shared" si="32"/>
        <v/>
      </c>
      <c r="D300" s="650" t="str">
        <f t="shared" si="30"/>
        <v/>
      </c>
      <c r="E300" s="650" t="str">
        <f t="shared" si="33"/>
        <v/>
      </c>
      <c r="F300" s="650" t="str">
        <f t="shared" si="34"/>
        <v/>
      </c>
      <c r="G300" s="650" t="str">
        <f t="shared" si="35"/>
        <v/>
      </c>
      <c r="H300" s="650" t="str">
        <f t="shared" si="36"/>
        <v/>
      </c>
      <c r="J300" s="650"/>
      <c r="K300" s="650"/>
      <c r="L300" s="650"/>
    </row>
    <row r="301" spans="2:12" x14ac:dyDescent="0.2">
      <c r="B301" s="660" t="str">
        <f t="shared" si="31"/>
        <v>-</v>
      </c>
      <c r="C301" s="661" t="str">
        <f t="shared" si="32"/>
        <v/>
      </c>
      <c r="D301" s="650" t="str">
        <f t="shared" si="30"/>
        <v/>
      </c>
      <c r="E301" s="650" t="str">
        <f t="shared" si="33"/>
        <v/>
      </c>
      <c r="F301" s="650" t="str">
        <f t="shared" si="34"/>
        <v/>
      </c>
      <c r="G301" s="650" t="str">
        <f t="shared" si="35"/>
        <v/>
      </c>
      <c r="H301" s="650" t="str">
        <f t="shared" si="36"/>
        <v/>
      </c>
      <c r="J301" s="650"/>
      <c r="K301" s="650"/>
      <c r="L301" s="650"/>
    </row>
    <row r="302" spans="2:12" x14ac:dyDescent="0.2">
      <c r="B302" s="660" t="str">
        <f t="shared" si="31"/>
        <v>-</v>
      </c>
      <c r="C302" s="661" t="str">
        <f t="shared" si="32"/>
        <v/>
      </c>
      <c r="D302" s="650" t="str">
        <f t="shared" si="30"/>
        <v/>
      </c>
      <c r="E302" s="650" t="str">
        <f t="shared" si="33"/>
        <v/>
      </c>
      <c r="F302" s="650" t="str">
        <f t="shared" si="34"/>
        <v/>
      </c>
      <c r="G302" s="650" t="str">
        <f t="shared" si="35"/>
        <v/>
      </c>
      <c r="H302" s="650" t="str">
        <f t="shared" si="36"/>
        <v/>
      </c>
      <c r="J302" s="650"/>
      <c r="K302" s="650"/>
      <c r="L302" s="650"/>
    </row>
    <row r="303" spans="2:12" x14ac:dyDescent="0.2">
      <c r="B303" s="660" t="str">
        <f t="shared" si="31"/>
        <v>-</v>
      </c>
      <c r="C303" s="661" t="str">
        <f t="shared" si="32"/>
        <v/>
      </c>
      <c r="D303" s="650" t="str">
        <f t="shared" si="30"/>
        <v/>
      </c>
      <c r="E303" s="650" t="str">
        <f t="shared" si="33"/>
        <v/>
      </c>
      <c r="F303" s="650" t="str">
        <f t="shared" si="34"/>
        <v/>
      </c>
      <c r="G303" s="650" t="str">
        <f t="shared" si="35"/>
        <v/>
      </c>
      <c r="H303" s="650" t="str">
        <f t="shared" si="36"/>
        <v/>
      </c>
      <c r="J303" s="650"/>
      <c r="K303" s="650"/>
      <c r="L303" s="650"/>
    </row>
    <row r="304" spans="2:12" x14ac:dyDescent="0.2">
      <c r="B304" s="660" t="str">
        <f t="shared" si="31"/>
        <v>-</v>
      </c>
      <c r="C304" s="661" t="str">
        <f t="shared" si="32"/>
        <v/>
      </c>
      <c r="D304" s="650" t="str">
        <f t="shared" si="30"/>
        <v/>
      </c>
      <c r="E304" s="650" t="str">
        <f t="shared" si="33"/>
        <v/>
      </c>
      <c r="F304" s="650" t="str">
        <f t="shared" si="34"/>
        <v/>
      </c>
      <c r="G304" s="650" t="str">
        <f t="shared" si="35"/>
        <v/>
      </c>
      <c r="H304" s="650" t="str">
        <f t="shared" si="36"/>
        <v/>
      </c>
      <c r="J304" s="650"/>
      <c r="K304" s="650"/>
      <c r="L304" s="650"/>
    </row>
    <row r="305" spans="2:12" x14ac:dyDescent="0.2">
      <c r="B305" s="660" t="str">
        <f t="shared" si="31"/>
        <v>-</v>
      </c>
      <c r="C305" s="661" t="str">
        <f t="shared" si="32"/>
        <v/>
      </c>
      <c r="D305" s="650" t="str">
        <f t="shared" si="30"/>
        <v/>
      </c>
      <c r="E305" s="650" t="str">
        <f t="shared" si="33"/>
        <v/>
      </c>
      <c r="F305" s="650" t="str">
        <f t="shared" si="34"/>
        <v/>
      </c>
      <c r="G305" s="650" t="str">
        <f t="shared" si="35"/>
        <v/>
      </c>
      <c r="H305" s="650" t="str">
        <f t="shared" si="36"/>
        <v/>
      </c>
      <c r="J305" s="650"/>
      <c r="K305" s="650"/>
      <c r="L305" s="650"/>
    </row>
    <row r="306" spans="2:12" x14ac:dyDescent="0.2">
      <c r="B306" s="660" t="str">
        <f t="shared" si="31"/>
        <v>-</v>
      </c>
      <c r="C306" s="661" t="str">
        <f t="shared" si="32"/>
        <v/>
      </c>
      <c r="D306" s="650" t="str">
        <f t="shared" si="30"/>
        <v/>
      </c>
      <c r="E306" s="650" t="str">
        <f t="shared" si="33"/>
        <v/>
      </c>
      <c r="F306" s="650" t="str">
        <f t="shared" si="34"/>
        <v/>
      </c>
      <c r="G306" s="650" t="str">
        <f t="shared" si="35"/>
        <v/>
      </c>
      <c r="H306" s="650" t="str">
        <f t="shared" si="36"/>
        <v/>
      </c>
      <c r="J306" s="650"/>
      <c r="K306" s="650"/>
      <c r="L306" s="650"/>
    </row>
    <row r="307" spans="2:12" x14ac:dyDescent="0.2">
      <c r="B307" s="660" t="str">
        <f t="shared" si="31"/>
        <v>-</v>
      </c>
      <c r="C307" s="661" t="str">
        <f t="shared" si="32"/>
        <v/>
      </c>
      <c r="D307" s="650" t="str">
        <f t="shared" si="30"/>
        <v/>
      </c>
      <c r="E307" s="650" t="str">
        <f t="shared" si="33"/>
        <v/>
      </c>
      <c r="F307" s="650" t="str">
        <f t="shared" si="34"/>
        <v/>
      </c>
      <c r="G307" s="650" t="str">
        <f t="shared" si="35"/>
        <v/>
      </c>
      <c r="H307" s="650" t="str">
        <f t="shared" si="36"/>
        <v/>
      </c>
      <c r="J307" s="650"/>
      <c r="K307" s="650"/>
      <c r="L307" s="650"/>
    </row>
    <row r="308" spans="2:12" x14ac:dyDescent="0.2">
      <c r="B308" s="660" t="str">
        <f t="shared" si="31"/>
        <v>-</v>
      </c>
      <c r="C308" s="661" t="str">
        <f t="shared" si="32"/>
        <v/>
      </c>
      <c r="D308" s="650" t="str">
        <f t="shared" si="30"/>
        <v/>
      </c>
      <c r="E308" s="650" t="str">
        <f t="shared" si="33"/>
        <v/>
      </c>
      <c r="F308" s="650" t="str">
        <f t="shared" si="34"/>
        <v/>
      </c>
      <c r="G308" s="650" t="str">
        <f t="shared" si="35"/>
        <v/>
      </c>
      <c r="H308" s="650" t="str">
        <f t="shared" si="36"/>
        <v/>
      </c>
      <c r="J308" s="650"/>
      <c r="K308" s="650"/>
      <c r="L308" s="650"/>
    </row>
    <row r="309" spans="2:12" x14ac:dyDescent="0.2">
      <c r="B309" s="660" t="str">
        <f t="shared" si="31"/>
        <v>-</v>
      </c>
      <c r="C309" s="661" t="str">
        <f t="shared" si="32"/>
        <v/>
      </c>
      <c r="D309" s="650" t="str">
        <f t="shared" si="30"/>
        <v/>
      </c>
      <c r="E309" s="650" t="str">
        <f t="shared" si="33"/>
        <v/>
      </c>
      <c r="F309" s="650" t="str">
        <f t="shared" si="34"/>
        <v/>
      </c>
      <c r="G309" s="650" t="str">
        <f t="shared" si="35"/>
        <v/>
      </c>
      <c r="H309" s="650" t="str">
        <f t="shared" si="36"/>
        <v/>
      </c>
      <c r="J309" s="650"/>
      <c r="K309" s="650"/>
      <c r="L309" s="650"/>
    </row>
    <row r="310" spans="2:12" x14ac:dyDescent="0.2">
      <c r="B310" s="660" t="str">
        <f t="shared" si="31"/>
        <v>-</v>
      </c>
      <c r="C310" s="661" t="str">
        <f t="shared" si="32"/>
        <v/>
      </c>
      <c r="D310" s="650" t="str">
        <f t="shared" si="30"/>
        <v/>
      </c>
      <c r="E310" s="650" t="str">
        <f t="shared" si="33"/>
        <v/>
      </c>
      <c r="F310" s="650" t="str">
        <f t="shared" si="34"/>
        <v/>
      </c>
      <c r="G310" s="650" t="str">
        <f t="shared" si="35"/>
        <v/>
      </c>
      <c r="H310" s="650" t="str">
        <f t="shared" si="36"/>
        <v/>
      </c>
      <c r="J310" s="650"/>
      <c r="K310" s="650"/>
      <c r="L310" s="650"/>
    </row>
    <row r="311" spans="2:12" x14ac:dyDescent="0.2">
      <c r="B311" s="660" t="str">
        <f t="shared" si="31"/>
        <v>-</v>
      </c>
      <c r="C311" s="661" t="str">
        <f t="shared" si="32"/>
        <v/>
      </c>
      <c r="D311" s="650" t="str">
        <f t="shared" si="30"/>
        <v/>
      </c>
      <c r="E311" s="650" t="str">
        <f t="shared" si="33"/>
        <v/>
      </c>
      <c r="F311" s="650" t="str">
        <f t="shared" si="34"/>
        <v/>
      </c>
      <c r="G311" s="650" t="str">
        <f t="shared" si="35"/>
        <v/>
      </c>
      <c r="H311" s="650" t="str">
        <f t="shared" si="36"/>
        <v/>
      </c>
      <c r="J311" s="650"/>
      <c r="K311" s="650"/>
      <c r="L311" s="650"/>
    </row>
    <row r="312" spans="2:12" x14ac:dyDescent="0.2">
      <c r="B312" s="660" t="str">
        <f t="shared" si="31"/>
        <v>-</v>
      </c>
      <c r="C312" s="661" t="str">
        <f t="shared" si="32"/>
        <v/>
      </c>
      <c r="D312" s="650" t="str">
        <f t="shared" si="30"/>
        <v/>
      </c>
      <c r="E312" s="650" t="str">
        <f t="shared" si="33"/>
        <v/>
      </c>
      <c r="F312" s="650" t="str">
        <f t="shared" si="34"/>
        <v/>
      </c>
      <c r="G312" s="650" t="str">
        <f t="shared" si="35"/>
        <v/>
      </c>
      <c r="H312" s="650" t="str">
        <f t="shared" si="36"/>
        <v/>
      </c>
      <c r="J312" s="650"/>
      <c r="K312" s="650"/>
      <c r="L312" s="650"/>
    </row>
    <row r="313" spans="2:12" x14ac:dyDescent="0.2">
      <c r="B313" s="660" t="str">
        <f t="shared" si="31"/>
        <v>-</v>
      </c>
      <c r="C313" s="661" t="str">
        <f t="shared" si="32"/>
        <v/>
      </c>
      <c r="D313" s="650" t="str">
        <f t="shared" si="30"/>
        <v/>
      </c>
      <c r="E313" s="650" t="str">
        <f t="shared" si="33"/>
        <v/>
      </c>
      <c r="F313" s="650" t="str">
        <f t="shared" si="34"/>
        <v/>
      </c>
      <c r="G313" s="650" t="str">
        <f t="shared" si="35"/>
        <v/>
      </c>
      <c r="H313" s="650" t="str">
        <f t="shared" si="36"/>
        <v/>
      </c>
      <c r="J313" s="650"/>
      <c r="K313" s="650"/>
      <c r="L313" s="650"/>
    </row>
    <row r="314" spans="2:12" x14ac:dyDescent="0.2">
      <c r="B314" s="660" t="str">
        <f t="shared" si="31"/>
        <v>-</v>
      </c>
      <c r="C314" s="661" t="str">
        <f t="shared" si="32"/>
        <v/>
      </c>
      <c r="D314" s="650" t="str">
        <f t="shared" si="30"/>
        <v/>
      </c>
      <c r="E314" s="650" t="str">
        <f t="shared" si="33"/>
        <v/>
      </c>
      <c r="F314" s="650" t="str">
        <f t="shared" si="34"/>
        <v/>
      </c>
      <c r="G314" s="650" t="str">
        <f t="shared" si="35"/>
        <v/>
      </c>
      <c r="H314" s="650" t="str">
        <f t="shared" si="36"/>
        <v/>
      </c>
      <c r="J314" s="650"/>
      <c r="K314" s="650"/>
      <c r="L314" s="650"/>
    </row>
    <row r="315" spans="2:12" x14ac:dyDescent="0.2">
      <c r="B315" s="660" t="str">
        <f t="shared" si="31"/>
        <v>-</v>
      </c>
      <c r="C315" s="661" t="str">
        <f t="shared" si="32"/>
        <v/>
      </c>
      <c r="D315" s="650" t="str">
        <f t="shared" si="30"/>
        <v/>
      </c>
      <c r="E315" s="650" t="str">
        <f t="shared" si="33"/>
        <v/>
      </c>
      <c r="F315" s="650" t="str">
        <f t="shared" si="34"/>
        <v/>
      </c>
      <c r="G315" s="650" t="str">
        <f t="shared" si="35"/>
        <v/>
      </c>
      <c r="H315" s="650" t="str">
        <f t="shared" si="36"/>
        <v/>
      </c>
      <c r="J315" s="650"/>
      <c r="K315" s="650"/>
      <c r="L315" s="650"/>
    </row>
    <row r="316" spans="2:12" x14ac:dyDescent="0.2">
      <c r="B316" s="660" t="str">
        <f t="shared" si="31"/>
        <v>-</v>
      </c>
      <c r="C316" s="661" t="str">
        <f t="shared" si="32"/>
        <v/>
      </c>
      <c r="D316" s="650" t="str">
        <f t="shared" si="30"/>
        <v/>
      </c>
      <c r="E316" s="650" t="str">
        <f t="shared" si="33"/>
        <v/>
      </c>
      <c r="F316" s="650" t="str">
        <f t="shared" si="34"/>
        <v/>
      </c>
      <c r="G316" s="650" t="str">
        <f t="shared" si="35"/>
        <v/>
      </c>
      <c r="H316" s="650" t="str">
        <f t="shared" si="36"/>
        <v/>
      </c>
      <c r="J316" s="650"/>
      <c r="K316" s="650"/>
      <c r="L316" s="650"/>
    </row>
    <row r="317" spans="2:12" x14ac:dyDescent="0.2">
      <c r="B317" s="660" t="str">
        <f t="shared" si="31"/>
        <v>-</v>
      </c>
      <c r="C317" s="661" t="str">
        <f t="shared" si="32"/>
        <v/>
      </c>
      <c r="D317" s="650" t="str">
        <f t="shared" si="30"/>
        <v/>
      </c>
      <c r="E317" s="650" t="str">
        <f t="shared" si="33"/>
        <v/>
      </c>
      <c r="F317" s="650" t="str">
        <f t="shared" si="34"/>
        <v/>
      </c>
      <c r="G317" s="650" t="str">
        <f t="shared" si="35"/>
        <v/>
      </c>
      <c r="H317" s="650" t="str">
        <f t="shared" si="36"/>
        <v/>
      </c>
      <c r="J317" s="650"/>
      <c r="K317" s="650"/>
      <c r="L317" s="650"/>
    </row>
    <row r="318" spans="2:12" x14ac:dyDescent="0.2">
      <c r="B318" s="660" t="str">
        <f t="shared" si="31"/>
        <v>-</v>
      </c>
      <c r="C318" s="661" t="str">
        <f t="shared" si="32"/>
        <v/>
      </c>
      <c r="D318" s="650" t="str">
        <f t="shared" si="30"/>
        <v/>
      </c>
      <c r="E318" s="650" t="str">
        <f t="shared" si="33"/>
        <v/>
      </c>
      <c r="F318" s="650" t="str">
        <f t="shared" si="34"/>
        <v/>
      </c>
      <c r="G318" s="650" t="str">
        <f t="shared" si="35"/>
        <v/>
      </c>
      <c r="H318" s="650" t="str">
        <f t="shared" si="36"/>
        <v/>
      </c>
      <c r="J318" s="650"/>
      <c r="K318" s="650"/>
      <c r="L318" s="650"/>
    </row>
    <row r="319" spans="2:12" x14ac:dyDescent="0.2">
      <c r="B319" s="660" t="str">
        <f t="shared" si="31"/>
        <v>-</v>
      </c>
      <c r="C319" s="661" t="str">
        <f t="shared" si="32"/>
        <v/>
      </c>
      <c r="D319" s="650" t="str">
        <f t="shared" si="30"/>
        <v/>
      </c>
      <c r="E319" s="650" t="str">
        <f t="shared" si="33"/>
        <v/>
      </c>
      <c r="F319" s="650" t="str">
        <f t="shared" si="34"/>
        <v/>
      </c>
      <c r="G319" s="650" t="str">
        <f t="shared" si="35"/>
        <v/>
      </c>
      <c r="H319" s="650" t="str">
        <f t="shared" si="36"/>
        <v/>
      </c>
      <c r="J319" s="650"/>
      <c r="K319" s="650"/>
      <c r="L319" s="650"/>
    </row>
    <row r="320" spans="2:12" x14ac:dyDescent="0.2">
      <c r="B320" s="660" t="str">
        <f t="shared" si="31"/>
        <v>-</v>
      </c>
      <c r="C320" s="661" t="str">
        <f t="shared" si="32"/>
        <v/>
      </c>
      <c r="D320" s="650" t="str">
        <f t="shared" si="30"/>
        <v/>
      </c>
      <c r="E320" s="650" t="str">
        <f t="shared" si="33"/>
        <v/>
      </c>
      <c r="F320" s="650" t="str">
        <f t="shared" si="34"/>
        <v/>
      </c>
      <c r="G320" s="650" t="str">
        <f t="shared" si="35"/>
        <v/>
      </c>
      <c r="H320" s="650" t="str">
        <f t="shared" si="36"/>
        <v/>
      </c>
      <c r="J320" s="650"/>
      <c r="K320" s="650"/>
      <c r="L320" s="650"/>
    </row>
    <row r="321" spans="2:12" x14ac:dyDescent="0.2">
      <c r="B321" s="660" t="str">
        <f t="shared" si="31"/>
        <v>-</v>
      </c>
      <c r="C321" s="661" t="str">
        <f t="shared" si="32"/>
        <v/>
      </c>
      <c r="D321" s="650" t="str">
        <f t="shared" si="30"/>
        <v/>
      </c>
      <c r="E321" s="650" t="str">
        <f t="shared" si="33"/>
        <v/>
      </c>
      <c r="F321" s="650" t="str">
        <f t="shared" si="34"/>
        <v/>
      </c>
      <c r="G321" s="650" t="str">
        <f t="shared" si="35"/>
        <v/>
      </c>
      <c r="H321" s="650" t="str">
        <f t="shared" si="36"/>
        <v/>
      </c>
      <c r="J321" s="650"/>
      <c r="K321" s="650"/>
      <c r="L321" s="650"/>
    </row>
    <row r="322" spans="2:12" x14ac:dyDescent="0.2">
      <c r="B322" s="660" t="str">
        <f t="shared" si="31"/>
        <v>-</v>
      </c>
      <c r="C322" s="661" t="str">
        <f t="shared" si="32"/>
        <v/>
      </c>
      <c r="D322" s="650" t="str">
        <f t="shared" si="30"/>
        <v/>
      </c>
      <c r="E322" s="650" t="str">
        <f t="shared" si="33"/>
        <v/>
      </c>
      <c r="F322" s="650" t="str">
        <f t="shared" si="34"/>
        <v/>
      </c>
      <c r="G322" s="650" t="str">
        <f t="shared" si="35"/>
        <v/>
      </c>
      <c r="H322" s="650" t="str">
        <f t="shared" si="36"/>
        <v/>
      </c>
      <c r="J322" s="650"/>
      <c r="K322" s="650"/>
      <c r="L322" s="650"/>
    </row>
    <row r="323" spans="2:12" x14ac:dyDescent="0.2">
      <c r="B323" s="660" t="str">
        <f t="shared" si="31"/>
        <v>-</v>
      </c>
      <c r="C323" s="661" t="str">
        <f t="shared" si="32"/>
        <v/>
      </c>
      <c r="D323" s="650" t="str">
        <f t="shared" si="30"/>
        <v/>
      </c>
      <c r="E323" s="650" t="str">
        <f t="shared" si="33"/>
        <v/>
      </c>
      <c r="F323" s="650" t="str">
        <f t="shared" si="34"/>
        <v/>
      </c>
      <c r="G323" s="650" t="str">
        <f t="shared" si="35"/>
        <v/>
      </c>
      <c r="H323" s="650" t="str">
        <f t="shared" si="36"/>
        <v/>
      </c>
      <c r="J323" s="650"/>
      <c r="K323" s="650"/>
      <c r="L323" s="650"/>
    </row>
    <row r="324" spans="2:12" x14ac:dyDescent="0.2">
      <c r="B324" s="660" t="str">
        <f t="shared" si="31"/>
        <v>-</v>
      </c>
      <c r="C324" s="661" t="str">
        <f t="shared" si="32"/>
        <v/>
      </c>
      <c r="D324" s="650" t="str">
        <f t="shared" si="30"/>
        <v/>
      </c>
      <c r="E324" s="650" t="str">
        <f t="shared" si="33"/>
        <v/>
      </c>
      <c r="F324" s="650" t="str">
        <f t="shared" si="34"/>
        <v/>
      </c>
      <c r="G324" s="650" t="str">
        <f t="shared" si="35"/>
        <v/>
      </c>
      <c r="H324" s="650" t="str">
        <f t="shared" si="36"/>
        <v/>
      </c>
      <c r="J324" s="650"/>
      <c r="K324" s="650"/>
      <c r="L324" s="650"/>
    </row>
    <row r="325" spans="2:12" x14ac:dyDescent="0.2">
      <c r="B325" s="660" t="str">
        <f t="shared" si="31"/>
        <v>-</v>
      </c>
      <c r="C325" s="661" t="str">
        <f t="shared" si="32"/>
        <v/>
      </c>
      <c r="D325" s="650" t="str">
        <f t="shared" si="30"/>
        <v/>
      </c>
      <c r="E325" s="650" t="str">
        <f t="shared" si="33"/>
        <v/>
      </c>
      <c r="F325" s="650" t="str">
        <f t="shared" si="34"/>
        <v/>
      </c>
      <c r="G325" s="650" t="str">
        <f t="shared" si="35"/>
        <v/>
      </c>
      <c r="H325" s="650" t="str">
        <f t="shared" si="36"/>
        <v/>
      </c>
      <c r="J325" s="650"/>
      <c r="K325" s="650"/>
      <c r="L325" s="650"/>
    </row>
    <row r="326" spans="2:12" x14ac:dyDescent="0.2">
      <c r="B326" s="660" t="str">
        <f t="shared" si="31"/>
        <v>-</v>
      </c>
      <c r="C326" s="661" t="str">
        <f t="shared" si="32"/>
        <v/>
      </c>
      <c r="D326" s="650" t="str">
        <f t="shared" ref="D326:D371" si="37">IF(ISNUMBER(B326),D325-F325,"")</f>
        <v/>
      </c>
      <c r="E326" s="650" t="str">
        <f t="shared" si="33"/>
        <v/>
      </c>
      <c r="F326" s="650" t="str">
        <f t="shared" si="34"/>
        <v/>
      </c>
      <c r="G326" s="650" t="str">
        <f t="shared" si="35"/>
        <v/>
      </c>
      <c r="H326" s="650" t="str">
        <f t="shared" si="36"/>
        <v/>
      </c>
      <c r="J326" s="650"/>
      <c r="K326" s="650"/>
      <c r="L326" s="650"/>
    </row>
    <row r="327" spans="2:12" x14ac:dyDescent="0.2">
      <c r="B327" s="660" t="str">
        <f t="shared" si="31"/>
        <v>-</v>
      </c>
      <c r="C327" s="661" t="str">
        <f t="shared" si="32"/>
        <v/>
      </c>
      <c r="D327" s="650" t="str">
        <f t="shared" si="37"/>
        <v/>
      </c>
      <c r="E327" s="650" t="str">
        <f t="shared" si="33"/>
        <v/>
      </c>
      <c r="F327" s="650" t="str">
        <f t="shared" si="34"/>
        <v/>
      </c>
      <c r="G327" s="650" t="str">
        <f t="shared" si="35"/>
        <v/>
      </c>
      <c r="H327" s="650" t="str">
        <f t="shared" si="36"/>
        <v/>
      </c>
      <c r="J327" s="650"/>
      <c r="K327" s="650"/>
      <c r="L327" s="650"/>
    </row>
    <row r="328" spans="2:12" x14ac:dyDescent="0.2">
      <c r="B328" s="660" t="str">
        <f t="shared" si="31"/>
        <v>-</v>
      </c>
      <c r="C328" s="661" t="str">
        <f t="shared" si="32"/>
        <v/>
      </c>
      <c r="D328" s="650" t="str">
        <f t="shared" si="37"/>
        <v/>
      </c>
      <c r="E328" s="650" t="str">
        <f t="shared" si="33"/>
        <v/>
      </c>
      <c r="F328" s="650" t="str">
        <f t="shared" si="34"/>
        <v/>
      </c>
      <c r="G328" s="650" t="str">
        <f t="shared" si="35"/>
        <v/>
      </c>
      <c r="H328" s="650" t="str">
        <f t="shared" si="36"/>
        <v/>
      </c>
      <c r="J328" s="650"/>
      <c r="K328" s="650"/>
      <c r="L328" s="650"/>
    </row>
    <row r="329" spans="2:12" x14ac:dyDescent="0.2">
      <c r="B329" s="660" t="str">
        <f t="shared" si="31"/>
        <v>-</v>
      </c>
      <c r="C329" s="661" t="str">
        <f t="shared" si="32"/>
        <v/>
      </c>
      <c r="D329" s="650" t="str">
        <f t="shared" si="37"/>
        <v/>
      </c>
      <c r="E329" s="650" t="str">
        <f t="shared" si="33"/>
        <v/>
      </c>
      <c r="F329" s="650" t="str">
        <f t="shared" si="34"/>
        <v/>
      </c>
      <c r="G329" s="650" t="str">
        <f t="shared" si="35"/>
        <v/>
      </c>
      <c r="H329" s="650" t="str">
        <f t="shared" si="36"/>
        <v/>
      </c>
      <c r="J329" s="650"/>
      <c r="K329" s="650"/>
      <c r="L329" s="650"/>
    </row>
    <row r="330" spans="2:12" x14ac:dyDescent="0.2">
      <c r="B330" s="660" t="str">
        <f t="shared" si="31"/>
        <v>-</v>
      </c>
      <c r="C330" s="661" t="str">
        <f t="shared" si="32"/>
        <v/>
      </c>
      <c r="D330" s="650" t="str">
        <f t="shared" si="37"/>
        <v/>
      </c>
      <c r="E330" s="650" t="str">
        <f t="shared" si="33"/>
        <v/>
      </c>
      <c r="F330" s="650" t="str">
        <f t="shared" si="34"/>
        <v/>
      </c>
      <c r="G330" s="650" t="str">
        <f t="shared" si="35"/>
        <v/>
      </c>
      <c r="H330" s="650" t="str">
        <f t="shared" si="36"/>
        <v/>
      </c>
      <c r="J330" s="650"/>
      <c r="K330" s="650"/>
      <c r="L330" s="650"/>
    </row>
    <row r="331" spans="2:12" x14ac:dyDescent="0.2">
      <c r="B331" s="660" t="str">
        <f t="shared" si="31"/>
        <v>-</v>
      </c>
      <c r="C331" s="661" t="str">
        <f t="shared" si="32"/>
        <v/>
      </c>
      <c r="D331" s="650" t="str">
        <f t="shared" si="37"/>
        <v/>
      </c>
      <c r="E331" s="650" t="str">
        <f t="shared" si="33"/>
        <v/>
      </c>
      <c r="F331" s="650" t="str">
        <f t="shared" si="34"/>
        <v/>
      </c>
      <c r="G331" s="650" t="str">
        <f t="shared" si="35"/>
        <v/>
      </c>
      <c r="H331" s="650" t="str">
        <f t="shared" si="36"/>
        <v/>
      </c>
      <c r="J331" s="650"/>
      <c r="K331" s="650"/>
      <c r="L331" s="650"/>
    </row>
    <row r="332" spans="2:12" x14ac:dyDescent="0.2">
      <c r="B332" s="660" t="str">
        <f t="shared" ref="B332:B371" si="38">IF(B331&lt;$L$3,B331+1,"-")</f>
        <v>-</v>
      </c>
      <c r="C332" s="661" t="str">
        <f t="shared" ref="C332:C371" si="39">IF(ISNUMBER(B332),MIN(DATE(YEAR($C$11),MONTH($C$11)+B332*12/$P$5,DAY($C$11)),DATE(YEAR($C$11),MONTH($C$11)+1+B332*12/$P$5,1)-1),"")</f>
        <v/>
      </c>
      <c r="D332" s="650" t="str">
        <f t="shared" si="37"/>
        <v/>
      </c>
      <c r="E332" s="650" t="str">
        <f t="shared" ref="E332:E371" si="40">IF(ISNUMBER(B332),ROUND(D332*$L$7,$R$6),"")</f>
        <v/>
      </c>
      <c r="F332" s="650" t="str">
        <f t="shared" ref="F332:F371" si="41">IF(ISNUMBER(B332),IF(B332=$L$3,D332,IF(B332&gt;$L$4,$H$3-E332,0)),"")</f>
        <v/>
      </c>
      <c r="G332" s="650" t="str">
        <f t="shared" ref="G332:G371" si="42">IF(ISNUMBER(B332),$H$4,"")</f>
        <v/>
      </c>
      <c r="H332" s="650" t="str">
        <f t="shared" ref="H332:H371" si="43">IF(ISNUMBER(B332),E332+F332+G332,"")</f>
        <v/>
      </c>
      <c r="J332" s="650"/>
      <c r="K332" s="650"/>
      <c r="L332" s="650"/>
    </row>
    <row r="333" spans="2:12" x14ac:dyDescent="0.2">
      <c r="B333" s="660" t="str">
        <f t="shared" si="38"/>
        <v>-</v>
      </c>
      <c r="C333" s="661" t="str">
        <f t="shared" si="39"/>
        <v/>
      </c>
      <c r="D333" s="650" t="str">
        <f t="shared" si="37"/>
        <v/>
      </c>
      <c r="E333" s="650" t="str">
        <f t="shared" si="40"/>
        <v/>
      </c>
      <c r="F333" s="650" t="str">
        <f t="shared" si="41"/>
        <v/>
      </c>
      <c r="G333" s="650" t="str">
        <f t="shared" si="42"/>
        <v/>
      </c>
      <c r="H333" s="650" t="str">
        <f t="shared" si="43"/>
        <v/>
      </c>
      <c r="J333" s="650"/>
      <c r="K333" s="650"/>
      <c r="L333" s="650"/>
    </row>
    <row r="334" spans="2:12" x14ac:dyDescent="0.2">
      <c r="B334" s="660" t="str">
        <f t="shared" si="38"/>
        <v>-</v>
      </c>
      <c r="C334" s="661" t="str">
        <f t="shared" si="39"/>
        <v/>
      </c>
      <c r="D334" s="650" t="str">
        <f t="shared" si="37"/>
        <v/>
      </c>
      <c r="E334" s="650" t="str">
        <f t="shared" si="40"/>
        <v/>
      </c>
      <c r="F334" s="650" t="str">
        <f t="shared" si="41"/>
        <v/>
      </c>
      <c r="G334" s="650" t="str">
        <f t="shared" si="42"/>
        <v/>
      </c>
      <c r="H334" s="650" t="str">
        <f t="shared" si="43"/>
        <v/>
      </c>
      <c r="J334" s="650"/>
      <c r="K334" s="650"/>
      <c r="L334" s="650"/>
    </row>
    <row r="335" spans="2:12" x14ac:dyDescent="0.2">
      <c r="B335" s="660" t="str">
        <f t="shared" si="38"/>
        <v>-</v>
      </c>
      <c r="C335" s="661" t="str">
        <f t="shared" si="39"/>
        <v/>
      </c>
      <c r="D335" s="650" t="str">
        <f t="shared" si="37"/>
        <v/>
      </c>
      <c r="E335" s="650" t="str">
        <f t="shared" si="40"/>
        <v/>
      </c>
      <c r="F335" s="650" t="str">
        <f t="shared" si="41"/>
        <v/>
      </c>
      <c r="G335" s="650" t="str">
        <f t="shared" si="42"/>
        <v/>
      </c>
      <c r="H335" s="650" t="str">
        <f t="shared" si="43"/>
        <v/>
      </c>
      <c r="J335" s="650"/>
      <c r="K335" s="650"/>
      <c r="L335" s="650"/>
    </row>
    <row r="336" spans="2:12" x14ac:dyDescent="0.2">
      <c r="B336" s="660" t="str">
        <f t="shared" si="38"/>
        <v>-</v>
      </c>
      <c r="C336" s="661" t="str">
        <f t="shared" si="39"/>
        <v/>
      </c>
      <c r="D336" s="650" t="str">
        <f t="shared" si="37"/>
        <v/>
      </c>
      <c r="E336" s="650" t="str">
        <f t="shared" si="40"/>
        <v/>
      </c>
      <c r="F336" s="650" t="str">
        <f t="shared" si="41"/>
        <v/>
      </c>
      <c r="G336" s="650" t="str">
        <f t="shared" si="42"/>
        <v/>
      </c>
      <c r="H336" s="650" t="str">
        <f t="shared" si="43"/>
        <v/>
      </c>
      <c r="J336" s="650"/>
      <c r="K336" s="650"/>
      <c r="L336" s="650"/>
    </row>
    <row r="337" spans="2:12" x14ac:dyDescent="0.2">
      <c r="B337" s="660" t="str">
        <f t="shared" si="38"/>
        <v>-</v>
      </c>
      <c r="C337" s="661" t="str">
        <f t="shared" si="39"/>
        <v/>
      </c>
      <c r="D337" s="650" t="str">
        <f t="shared" si="37"/>
        <v/>
      </c>
      <c r="E337" s="650" t="str">
        <f t="shared" si="40"/>
        <v/>
      </c>
      <c r="F337" s="650" t="str">
        <f t="shared" si="41"/>
        <v/>
      </c>
      <c r="G337" s="650" t="str">
        <f t="shared" si="42"/>
        <v/>
      </c>
      <c r="H337" s="650" t="str">
        <f t="shared" si="43"/>
        <v/>
      </c>
      <c r="J337" s="650"/>
      <c r="K337" s="650"/>
      <c r="L337" s="650"/>
    </row>
    <row r="338" spans="2:12" x14ac:dyDescent="0.2">
      <c r="B338" s="660" t="str">
        <f t="shared" si="38"/>
        <v>-</v>
      </c>
      <c r="C338" s="661" t="str">
        <f t="shared" si="39"/>
        <v/>
      </c>
      <c r="D338" s="650" t="str">
        <f t="shared" si="37"/>
        <v/>
      </c>
      <c r="E338" s="650" t="str">
        <f t="shared" si="40"/>
        <v/>
      </c>
      <c r="F338" s="650" t="str">
        <f t="shared" si="41"/>
        <v/>
      </c>
      <c r="G338" s="650" t="str">
        <f t="shared" si="42"/>
        <v/>
      </c>
      <c r="H338" s="650" t="str">
        <f t="shared" si="43"/>
        <v/>
      </c>
      <c r="J338" s="650"/>
      <c r="K338" s="650"/>
      <c r="L338" s="650"/>
    </row>
    <row r="339" spans="2:12" x14ac:dyDescent="0.2">
      <c r="B339" s="660" t="str">
        <f t="shared" si="38"/>
        <v>-</v>
      </c>
      <c r="C339" s="661" t="str">
        <f t="shared" si="39"/>
        <v/>
      </c>
      <c r="D339" s="650" t="str">
        <f t="shared" si="37"/>
        <v/>
      </c>
      <c r="E339" s="650" t="str">
        <f t="shared" si="40"/>
        <v/>
      </c>
      <c r="F339" s="650" t="str">
        <f t="shared" si="41"/>
        <v/>
      </c>
      <c r="G339" s="650" t="str">
        <f t="shared" si="42"/>
        <v/>
      </c>
      <c r="H339" s="650" t="str">
        <f t="shared" si="43"/>
        <v/>
      </c>
      <c r="J339" s="650"/>
      <c r="K339" s="650"/>
      <c r="L339" s="650"/>
    </row>
    <row r="340" spans="2:12" x14ac:dyDescent="0.2">
      <c r="B340" s="660" t="str">
        <f t="shared" si="38"/>
        <v>-</v>
      </c>
      <c r="C340" s="661" t="str">
        <f t="shared" si="39"/>
        <v/>
      </c>
      <c r="D340" s="650" t="str">
        <f t="shared" si="37"/>
        <v/>
      </c>
      <c r="E340" s="650" t="str">
        <f t="shared" si="40"/>
        <v/>
      </c>
      <c r="F340" s="650" t="str">
        <f t="shared" si="41"/>
        <v/>
      </c>
      <c r="G340" s="650" t="str">
        <f t="shared" si="42"/>
        <v/>
      </c>
      <c r="H340" s="650" t="str">
        <f t="shared" si="43"/>
        <v/>
      </c>
      <c r="J340" s="650"/>
      <c r="K340" s="650"/>
      <c r="L340" s="650"/>
    </row>
    <row r="341" spans="2:12" x14ac:dyDescent="0.2">
      <c r="B341" s="660" t="str">
        <f t="shared" si="38"/>
        <v>-</v>
      </c>
      <c r="C341" s="661" t="str">
        <f t="shared" si="39"/>
        <v/>
      </c>
      <c r="D341" s="650" t="str">
        <f t="shared" si="37"/>
        <v/>
      </c>
      <c r="E341" s="650" t="str">
        <f t="shared" si="40"/>
        <v/>
      </c>
      <c r="F341" s="650" t="str">
        <f t="shared" si="41"/>
        <v/>
      </c>
      <c r="G341" s="650" t="str">
        <f t="shared" si="42"/>
        <v/>
      </c>
      <c r="H341" s="650" t="str">
        <f t="shared" si="43"/>
        <v/>
      </c>
      <c r="J341" s="650"/>
      <c r="K341" s="650"/>
      <c r="L341" s="650"/>
    </row>
    <row r="342" spans="2:12" x14ac:dyDescent="0.2">
      <c r="B342" s="660" t="str">
        <f t="shared" si="38"/>
        <v>-</v>
      </c>
      <c r="C342" s="661" t="str">
        <f t="shared" si="39"/>
        <v/>
      </c>
      <c r="D342" s="650" t="str">
        <f t="shared" si="37"/>
        <v/>
      </c>
      <c r="E342" s="650" t="str">
        <f t="shared" si="40"/>
        <v/>
      </c>
      <c r="F342" s="650" t="str">
        <f t="shared" si="41"/>
        <v/>
      </c>
      <c r="G342" s="650" t="str">
        <f t="shared" si="42"/>
        <v/>
      </c>
      <c r="H342" s="650" t="str">
        <f t="shared" si="43"/>
        <v/>
      </c>
      <c r="J342" s="650"/>
      <c r="K342" s="650"/>
      <c r="L342" s="650"/>
    </row>
    <row r="343" spans="2:12" x14ac:dyDescent="0.2">
      <c r="B343" s="660" t="str">
        <f t="shared" si="38"/>
        <v>-</v>
      </c>
      <c r="C343" s="661" t="str">
        <f t="shared" si="39"/>
        <v/>
      </c>
      <c r="D343" s="650" t="str">
        <f t="shared" si="37"/>
        <v/>
      </c>
      <c r="E343" s="650" t="str">
        <f t="shared" si="40"/>
        <v/>
      </c>
      <c r="F343" s="650" t="str">
        <f t="shared" si="41"/>
        <v/>
      </c>
      <c r="G343" s="650" t="str">
        <f t="shared" si="42"/>
        <v/>
      </c>
      <c r="H343" s="650" t="str">
        <f t="shared" si="43"/>
        <v/>
      </c>
      <c r="J343" s="650"/>
      <c r="K343" s="650"/>
      <c r="L343" s="650"/>
    </row>
    <row r="344" spans="2:12" x14ac:dyDescent="0.2">
      <c r="B344" s="660" t="str">
        <f t="shared" si="38"/>
        <v>-</v>
      </c>
      <c r="C344" s="661" t="str">
        <f t="shared" si="39"/>
        <v/>
      </c>
      <c r="D344" s="650" t="str">
        <f t="shared" si="37"/>
        <v/>
      </c>
      <c r="E344" s="650" t="str">
        <f t="shared" si="40"/>
        <v/>
      </c>
      <c r="F344" s="650" t="str">
        <f t="shared" si="41"/>
        <v/>
      </c>
      <c r="G344" s="650" t="str">
        <f t="shared" si="42"/>
        <v/>
      </c>
      <c r="H344" s="650" t="str">
        <f t="shared" si="43"/>
        <v/>
      </c>
      <c r="J344" s="650"/>
      <c r="K344" s="650"/>
      <c r="L344" s="650"/>
    </row>
    <row r="345" spans="2:12" x14ac:dyDescent="0.2">
      <c r="B345" s="660" t="str">
        <f t="shared" si="38"/>
        <v>-</v>
      </c>
      <c r="C345" s="661" t="str">
        <f t="shared" si="39"/>
        <v/>
      </c>
      <c r="D345" s="650" t="str">
        <f t="shared" si="37"/>
        <v/>
      </c>
      <c r="E345" s="650" t="str">
        <f t="shared" si="40"/>
        <v/>
      </c>
      <c r="F345" s="650" t="str">
        <f t="shared" si="41"/>
        <v/>
      </c>
      <c r="G345" s="650" t="str">
        <f t="shared" si="42"/>
        <v/>
      </c>
      <c r="H345" s="650" t="str">
        <f t="shared" si="43"/>
        <v/>
      </c>
      <c r="J345" s="650"/>
      <c r="K345" s="650"/>
      <c r="L345" s="650"/>
    </row>
    <row r="346" spans="2:12" x14ac:dyDescent="0.2">
      <c r="B346" s="660" t="str">
        <f t="shared" si="38"/>
        <v>-</v>
      </c>
      <c r="C346" s="661" t="str">
        <f t="shared" si="39"/>
        <v/>
      </c>
      <c r="D346" s="650" t="str">
        <f t="shared" si="37"/>
        <v/>
      </c>
      <c r="E346" s="650" t="str">
        <f t="shared" si="40"/>
        <v/>
      </c>
      <c r="F346" s="650" t="str">
        <f t="shared" si="41"/>
        <v/>
      </c>
      <c r="G346" s="650" t="str">
        <f t="shared" si="42"/>
        <v/>
      </c>
      <c r="H346" s="650" t="str">
        <f t="shared" si="43"/>
        <v/>
      </c>
      <c r="J346" s="650"/>
      <c r="K346" s="650"/>
      <c r="L346" s="650"/>
    </row>
    <row r="347" spans="2:12" x14ac:dyDescent="0.2">
      <c r="B347" s="660" t="str">
        <f t="shared" si="38"/>
        <v>-</v>
      </c>
      <c r="C347" s="661" t="str">
        <f t="shared" si="39"/>
        <v/>
      </c>
      <c r="D347" s="650" t="str">
        <f t="shared" si="37"/>
        <v/>
      </c>
      <c r="E347" s="650" t="str">
        <f t="shared" si="40"/>
        <v/>
      </c>
      <c r="F347" s="650" t="str">
        <f t="shared" si="41"/>
        <v/>
      </c>
      <c r="G347" s="650" t="str">
        <f t="shared" si="42"/>
        <v/>
      </c>
      <c r="H347" s="650" t="str">
        <f t="shared" si="43"/>
        <v/>
      </c>
      <c r="J347" s="650"/>
      <c r="K347" s="650"/>
      <c r="L347" s="650"/>
    </row>
    <row r="348" spans="2:12" x14ac:dyDescent="0.2">
      <c r="B348" s="660" t="str">
        <f t="shared" si="38"/>
        <v>-</v>
      </c>
      <c r="C348" s="661" t="str">
        <f t="shared" si="39"/>
        <v/>
      </c>
      <c r="D348" s="650" t="str">
        <f t="shared" si="37"/>
        <v/>
      </c>
      <c r="E348" s="650" t="str">
        <f t="shared" si="40"/>
        <v/>
      </c>
      <c r="F348" s="650" t="str">
        <f t="shared" si="41"/>
        <v/>
      </c>
      <c r="G348" s="650" t="str">
        <f t="shared" si="42"/>
        <v/>
      </c>
      <c r="H348" s="650" t="str">
        <f t="shared" si="43"/>
        <v/>
      </c>
      <c r="J348" s="650"/>
      <c r="K348" s="650"/>
      <c r="L348" s="650"/>
    </row>
    <row r="349" spans="2:12" x14ac:dyDescent="0.2">
      <c r="B349" s="660" t="str">
        <f t="shared" si="38"/>
        <v>-</v>
      </c>
      <c r="C349" s="661" t="str">
        <f t="shared" si="39"/>
        <v/>
      </c>
      <c r="D349" s="650" t="str">
        <f t="shared" si="37"/>
        <v/>
      </c>
      <c r="E349" s="650" t="str">
        <f t="shared" si="40"/>
        <v/>
      </c>
      <c r="F349" s="650" t="str">
        <f t="shared" si="41"/>
        <v/>
      </c>
      <c r="G349" s="650" t="str">
        <f t="shared" si="42"/>
        <v/>
      </c>
      <c r="H349" s="650" t="str">
        <f t="shared" si="43"/>
        <v/>
      </c>
      <c r="J349" s="650"/>
      <c r="K349" s="650"/>
      <c r="L349" s="650"/>
    </row>
    <row r="350" spans="2:12" x14ac:dyDescent="0.2">
      <c r="B350" s="660" t="str">
        <f t="shared" si="38"/>
        <v>-</v>
      </c>
      <c r="C350" s="661" t="str">
        <f t="shared" si="39"/>
        <v/>
      </c>
      <c r="D350" s="650" t="str">
        <f t="shared" si="37"/>
        <v/>
      </c>
      <c r="E350" s="650" t="str">
        <f t="shared" si="40"/>
        <v/>
      </c>
      <c r="F350" s="650" t="str">
        <f t="shared" si="41"/>
        <v/>
      </c>
      <c r="G350" s="650" t="str">
        <f t="shared" si="42"/>
        <v/>
      </c>
      <c r="H350" s="650" t="str">
        <f t="shared" si="43"/>
        <v/>
      </c>
      <c r="J350" s="650"/>
      <c r="K350" s="650"/>
      <c r="L350" s="650"/>
    </row>
    <row r="351" spans="2:12" x14ac:dyDescent="0.2">
      <c r="B351" s="660" t="str">
        <f t="shared" si="38"/>
        <v>-</v>
      </c>
      <c r="C351" s="661" t="str">
        <f t="shared" si="39"/>
        <v/>
      </c>
      <c r="D351" s="650" t="str">
        <f t="shared" si="37"/>
        <v/>
      </c>
      <c r="E351" s="650" t="str">
        <f t="shared" si="40"/>
        <v/>
      </c>
      <c r="F351" s="650" t="str">
        <f t="shared" si="41"/>
        <v/>
      </c>
      <c r="G351" s="650" t="str">
        <f t="shared" si="42"/>
        <v/>
      </c>
      <c r="H351" s="650" t="str">
        <f t="shared" si="43"/>
        <v/>
      </c>
      <c r="J351" s="650"/>
      <c r="K351" s="650"/>
      <c r="L351" s="650"/>
    </row>
    <row r="352" spans="2:12" x14ac:dyDescent="0.2">
      <c r="B352" s="660" t="str">
        <f t="shared" si="38"/>
        <v>-</v>
      </c>
      <c r="C352" s="661" t="str">
        <f t="shared" si="39"/>
        <v/>
      </c>
      <c r="D352" s="650" t="str">
        <f t="shared" si="37"/>
        <v/>
      </c>
      <c r="E352" s="650" t="str">
        <f t="shared" si="40"/>
        <v/>
      </c>
      <c r="F352" s="650" t="str">
        <f t="shared" si="41"/>
        <v/>
      </c>
      <c r="G352" s="650" t="str">
        <f t="shared" si="42"/>
        <v/>
      </c>
      <c r="H352" s="650" t="str">
        <f t="shared" si="43"/>
        <v/>
      </c>
      <c r="J352" s="650"/>
      <c r="K352" s="650"/>
      <c r="L352" s="650"/>
    </row>
    <row r="353" spans="2:12" x14ac:dyDescent="0.2">
      <c r="B353" s="660" t="str">
        <f t="shared" si="38"/>
        <v>-</v>
      </c>
      <c r="C353" s="661" t="str">
        <f t="shared" si="39"/>
        <v/>
      </c>
      <c r="D353" s="650" t="str">
        <f t="shared" si="37"/>
        <v/>
      </c>
      <c r="E353" s="650" t="str">
        <f t="shared" si="40"/>
        <v/>
      </c>
      <c r="F353" s="650" t="str">
        <f t="shared" si="41"/>
        <v/>
      </c>
      <c r="G353" s="650" t="str">
        <f t="shared" si="42"/>
        <v/>
      </c>
      <c r="H353" s="650" t="str">
        <f t="shared" si="43"/>
        <v/>
      </c>
      <c r="J353" s="650"/>
      <c r="K353" s="650"/>
      <c r="L353" s="650"/>
    </row>
    <row r="354" spans="2:12" x14ac:dyDescent="0.2">
      <c r="B354" s="660" t="str">
        <f t="shared" si="38"/>
        <v>-</v>
      </c>
      <c r="C354" s="661" t="str">
        <f t="shared" si="39"/>
        <v/>
      </c>
      <c r="D354" s="650" t="str">
        <f t="shared" si="37"/>
        <v/>
      </c>
      <c r="E354" s="650" t="str">
        <f t="shared" si="40"/>
        <v/>
      </c>
      <c r="F354" s="650" t="str">
        <f t="shared" si="41"/>
        <v/>
      </c>
      <c r="G354" s="650" t="str">
        <f t="shared" si="42"/>
        <v/>
      </c>
      <c r="H354" s="650" t="str">
        <f t="shared" si="43"/>
        <v/>
      </c>
      <c r="J354" s="650"/>
      <c r="K354" s="650"/>
      <c r="L354" s="650"/>
    </row>
    <row r="355" spans="2:12" x14ac:dyDescent="0.2">
      <c r="B355" s="660" t="str">
        <f t="shared" si="38"/>
        <v>-</v>
      </c>
      <c r="C355" s="661" t="str">
        <f t="shared" si="39"/>
        <v/>
      </c>
      <c r="D355" s="650" t="str">
        <f t="shared" si="37"/>
        <v/>
      </c>
      <c r="E355" s="650" t="str">
        <f t="shared" si="40"/>
        <v/>
      </c>
      <c r="F355" s="650" t="str">
        <f t="shared" si="41"/>
        <v/>
      </c>
      <c r="G355" s="650" t="str">
        <f t="shared" si="42"/>
        <v/>
      </c>
      <c r="H355" s="650" t="str">
        <f t="shared" si="43"/>
        <v/>
      </c>
      <c r="J355" s="650"/>
      <c r="K355" s="650"/>
      <c r="L355" s="650"/>
    </row>
    <row r="356" spans="2:12" x14ac:dyDescent="0.2">
      <c r="B356" s="660" t="str">
        <f t="shared" si="38"/>
        <v>-</v>
      </c>
      <c r="C356" s="661" t="str">
        <f t="shared" si="39"/>
        <v/>
      </c>
      <c r="D356" s="650" t="str">
        <f t="shared" si="37"/>
        <v/>
      </c>
      <c r="E356" s="650" t="str">
        <f t="shared" si="40"/>
        <v/>
      </c>
      <c r="F356" s="650" t="str">
        <f t="shared" si="41"/>
        <v/>
      </c>
      <c r="G356" s="650" t="str">
        <f t="shared" si="42"/>
        <v/>
      </c>
      <c r="H356" s="650" t="str">
        <f t="shared" si="43"/>
        <v/>
      </c>
      <c r="J356" s="650"/>
      <c r="K356" s="650"/>
      <c r="L356" s="650"/>
    </row>
    <row r="357" spans="2:12" x14ac:dyDescent="0.2">
      <c r="B357" s="660" t="str">
        <f t="shared" si="38"/>
        <v>-</v>
      </c>
      <c r="C357" s="661" t="str">
        <f t="shared" si="39"/>
        <v/>
      </c>
      <c r="D357" s="650" t="str">
        <f t="shared" si="37"/>
        <v/>
      </c>
      <c r="E357" s="650" t="str">
        <f t="shared" si="40"/>
        <v/>
      </c>
      <c r="F357" s="650" t="str">
        <f t="shared" si="41"/>
        <v/>
      </c>
      <c r="G357" s="650" t="str">
        <f t="shared" si="42"/>
        <v/>
      </c>
      <c r="H357" s="650" t="str">
        <f t="shared" si="43"/>
        <v/>
      </c>
      <c r="J357" s="650"/>
      <c r="K357" s="650"/>
      <c r="L357" s="650"/>
    </row>
    <row r="358" spans="2:12" x14ac:dyDescent="0.2">
      <c r="B358" s="660" t="str">
        <f t="shared" si="38"/>
        <v>-</v>
      </c>
      <c r="C358" s="661" t="str">
        <f t="shared" si="39"/>
        <v/>
      </c>
      <c r="D358" s="650" t="str">
        <f t="shared" si="37"/>
        <v/>
      </c>
      <c r="E358" s="650" t="str">
        <f t="shared" si="40"/>
        <v/>
      </c>
      <c r="F358" s="650" t="str">
        <f t="shared" si="41"/>
        <v/>
      </c>
      <c r="G358" s="650" t="str">
        <f t="shared" si="42"/>
        <v/>
      </c>
      <c r="H358" s="650" t="str">
        <f t="shared" si="43"/>
        <v/>
      </c>
      <c r="J358" s="650"/>
      <c r="K358" s="650"/>
      <c r="L358" s="650"/>
    </row>
    <row r="359" spans="2:12" x14ac:dyDescent="0.2">
      <c r="B359" s="660" t="str">
        <f t="shared" si="38"/>
        <v>-</v>
      </c>
      <c r="C359" s="661" t="str">
        <f t="shared" si="39"/>
        <v/>
      </c>
      <c r="D359" s="650" t="str">
        <f t="shared" si="37"/>
        <v/>
      </c>
      <c r="E359" s="650" t="str">
        <f t="shared" si="40"/>
        <v/>
      </c>
      <c r="F359" s="650" t="str">
        <f t="shared" si="41"/>
        <v/>
      </c>
      <c r="G359" s="650" t="str">
        <f t="shared" si="42"/>
        <v/>
      </c>
      <c r="H359" s="650" t="str">
        <f t="shared" si="43"/>
        <v/>
      </c>
      <c r="J359" s="650"/>
      <c r="K359" s="650"/>
      <c r="L359" s="650"/>
    </row>
    <row r="360" spans="2:12" x14ac:dyDescent="0.2">
      <c r="B360" s="660" t="str">
        <f t="shared" si="38"/>
        <v>-</v>
      </c>
      <c r="C360" s="661" t="str">
        <f t="shared" si="39"/>
        <v/>
      </c>
      <c r="D360" s="650" t="str">
        <f t="shared" si="37"/>
        <v/>
      </c>
      <c r="E360" s="650" t="str">
        <f t="shared" si="40"/>
        <v/>
      </c>
      <c r="F360" s="650" t="str">
        <f t="shared" si="41"/>
        <v/>
      </c>
      <c r="G360" s="650" t="str">
        <f t="shared" si="42"/>
        <v/>
      </c>
      <c r="H360" s="650" t="str">
        <f t="shared" si="43"/>
        <v/>
      </c>
      <c r="J360" s="650"/>
      <c r="K360" s="650"/>
      <c r="L360" s="650"/>
    </row>
    <row r="361" spans="2:12" x14ac:dyDescent="0.2">
      <c r="B361" s="660" t="str">
        <f t="shared" si="38"/>
        <v>-</v>
      </c>
      <c r="C361" s="661" t="str">
        <f t="shared" si="39"/>
        <v/>
      </c>
      <c r="D361" s="650" t="str">
        <f t="shared" si="37"/>
        <v/>
      </c>
      <c r="E361" s="650" t="str">
        <f t="shared" si="40"/>
        <v/>
      </c>
      <c r="F361" s="650" t="str">
        <f t="shared" si="41"/>
        <v/>
      </c>
      <c r="G361" s="650" t="str">
        <f t="shared" si="42"/>
        <v/>
      </c>
      <c r="H361" s="650" t="str">
        <f t="shared" si="43"/>
        <v/>
      </c>
      <c r="J361" s="650"/>
      <c r="K361" s="650"/>
      <c r="L361" s="650"/>
    </row>
    <row r="362" spans="2:12" x14ac:dyDescent="0.2">
      <c r="B362" s="660" t="str">
        <f t="shared" si="38"/>
        <v>-</v>
      </c>
      <c r="C362" s="661" t="str">
        <f t="shared" si="39"/>
        <v/>
      </c>
      <c r="D362" s="650" t="str">
        <f t="shared" si="37"/>
        <v/>
      </c>
      <c r="E362" s="650" t="str">
        <f t="shared" si="40"/>
        <v/>
      </c>
      <c r="F362" s="650" t="str">
        <f t="shared" si="41"/>
        <v/>
      </c>
      <c r="G362" s="650" t="str">
        <f t="shared" si="42"/>
        <v/>
      </c>
      <c r="H362" s="650" t="str">
        <f t="shared" si="43"/>
        <v/>
      </c>
      <c r="J362" s="650"/>
      <c r="K362" s="650"/>
      <c r="L362" s="650"/>
    </row>
    <row r="363" spans="2:12" x14ac:dyDescent="0.2">
      <c r="B363" s="660" t="str">
        <f t="shared" si="38"/>
        <v>-</v>
      </c>
      <c r="C363" s="661" t="str">
        <f t="shared" si="39"/>
        <v/>
      </c>
      <c r="D363" s="650" t="str">
        <f t="shared" si="37"/>
        <v/>
      </c>
      <c r="E363" s="650" t="str">
        <f t="shared" si="40"/>
        <v/>
      </c>
      <c r="F363" s="650" t="str">
        <f t="shared" si="41"/>
        <v/>
      </c>
      <c r="G363" s="650" t="str">
        <f t="shared" si="42"/>
        <v/>
      </c>
      <c r="H363" s="650" t="str">
        <f t="shared" si="43"/>
        <v/>
      </c>
      <c r="J363" s="650"/>
      <c r="K363" s="650"/>
      <c r="L363" s="650"/>
    </row>
    <row r="364" spans="2:12" x14ac:dyDescent="0.2">
      <c r="B364" s="660" t="str">
        <f t="shared" si="38"/>
        <v>-</v>
      </c>
      <c r="C364" s="661" t="str">
        <f t="shared" si="39"/>
        <v/>
      </c>
      <c r="D364" s="650" t="str">
        <f t="shared" si="37"/>
        <v/>
      </c>
      <c r="E364" s="650" t="str">
        <f t="shared" si="40"/>
        <v/>
      </c>
      <c r="F364" s="650" t="str">
        <f t="shared" si="41"/>
        <v/>
      </c>
      <c r="G364" s="650" t="str">
        <f t="shared" si="42"/>
        <v/>
      </c>
      <c r="H364" s="650" t="str">
        <f t="shared" si="43"/>
        <v/>
      </c>
      <c r="J364" s="650"/>
      <c r="K364" s="650"/>
      <c r="L364" s="650"/>
    </row>
    <row r="365" spans="2:12" x14ac:dyDescent="0.2">
      <c r="B365" s="660" t="str">
        <f t="shared" si="38"/>
        <v>-</v>
      </c>
      <c r="C365" s="661" t="str">
        <f t="shared" si="39"/>
        <v/>
      </c>
      <c r="D365" s="650" t="str">
        <f t="shared" si="37"/>
        <v/>
      </c>
      <c r="E365" s="650" t="str">
        <f t="shared" si="40"/>
        <v/>
      </c>
      <c r="F365" s="650" t="str">
        <f t="shared" si="41"/>
        <v/>
      </c>
      <c r="G365" s="650" t="str">
        <f t="shared" si="42"/>
        <v/>
      </c>
      <c r="H365" s="650" t="str">
        <f t="shared" si="43"/>
        <v/>
      </c>
      <c r="J365" s="650"/>
      <c r="K365" s="650"/>
      <c r="L365" s="650"/>
    </row>
    <row r="366" spans="2:12" x14ac:dyDescent="0.2">
      <c r="B366" s="660" t="str">
        <f t="shared" si="38"/>
        <v>-</v>
      </c>
      <c r="C366" s="661" t="str">
        <f t="shared" si="39"/>
        <v/>
      </c>
      <c r="D366" s="650" t="str">
        <f t="shared" si="37"/>
        <v/>
      </c>
      <c r="E366" s="650" t="str">
        <f t="shared" si="40"/>
        <v/>
      </c>
      <c r="F366" s="650" t="str">
        <f t="shared" si="41"/>
        <v/>
      </c>
      <c r="G366" s="650" t="str">
        <f t="shared" si="42"/>
        <v/>
      </c>
      <c r="H366" s="650" t="str">
        <f t="shared" si="43"/>
        <v/>
      </c>
      <c r="J366" s="650"/>
      <c r="K366" s="650"/>
      <c r="L366" s="650"/>
    </row>
    <row r="367" spans="2:12" x14ac:dyDescent="0.2">
      <c r="B367" s="660" t="str">
        <f t="shared" si="38"/>
        <v>-</v>
      </c>
      <c r="C367" s="661" t="str">
        <f t="shared" si="39"/>
        <v/>
      </c>
      <c r="D367" s="650" t="str">
        <f t="shared" si="37"/>
        <v/>
      </c>
      <c r="E367" s="650" t="str">
        <f t="shared" si="40"/>
        <v/>
      </c>
      <c r="F367" s="650" t="str">
        <f t="shared" si="41"/>
        <v/>
      </c>
      <c r="G367" s="650" t="str">
        <f t="shared" si="42"/>
        <v/>
      </c>
      <c r="H367" s="650" t="str">
        <f t="shared" si="43"/>
        <v/>
      </c>
      <c r="J367" s="650"/>
      <c r="K367" s="650"/>
      <c r="L367" s="650"/>
    </row>
    <row r="368" spans="2:12" x14ac:dyDescent="0.2">
      <c r="B368" s="660" t="str">
        <f t="shared" si="38"/>
        <v>-</v>
      </c>
      <c r="C368" s="661" t="str">
        <f t="shared" si="39"/>
        <v/>
      </c>
      <c r="D368" s="650" t="str">
        <f t="shared" si="37"/>
        <v/>
      </c>
      <c r="E368" s="650" t="str">
        <f t="shared" si="40"/>
        <v/>
      </c>
      <c r="F368" s="650" t="str">
        <f t="shared" si="41"/>
        <v/>
      </c>
      <c r="G368" s="650" t="str">
        <f t="shared" si="42"/>
        <v/>
      </c>
      <c r="H368" s="650" t="str">
        <f t="shared" si="43"/>
        <v/>
      </c>
      <c r="J368" s="650"/>
      <c r="K368" s="650"/>
      <c r="L368" s="650"/>
    </row>
    <row r="369" spans="2:12" x14ac:dyDescent="0.2">
      <c r="B369" s="660" t="str">
        <f t="shared" si="38"/>
        <v>-</v>
      </c>
      <c r="C369" s="661" t="str">
        <f t="shared" si="39"/>
        <v/>
      </c>
      <c r="D369" s="650" t="str">
        <f t="shared" si="37"/>
        <v/>
      </c>
      <c r="E369" s="650" t="str">
        <f t="shared" si="40"/>
        <v/>
      </c>
      <c r="F369" s="650" t="str">
        <f t="shared" si="41"/>
        <v/>
      </c>
      <c r="G369" s="650" t="str">
        <f t="shared" si="42"/>
        <v/>
      </c>
      <c r="H369" s="650" t="str">
        <f t="shared" si="43"/>
        <v/>
      </c>
      <c r="J369" s="650"/>
      <c r="K369" s="650"/>
      <c r="L369" s="650"/>
    </row>
    <row r="370" spans="2:12" x14ac:dyDescent="0.2">
      <c r="B370" s="660" t="str">
        <f t="shared" si="38"/>
        <v>-</v>
      </c>
      <c r="C370" s="661" t="str">
        <f t="shared" si="39"/>
        <v/>
      </c>
      <c r="D370" s="650" t="str">
        <f t="shared" si="37"/>
        <v/>
      </c>
      <c r="E370" s="650" t="str">
        <f t="shared" si="40"/>
        <v/>
      </c>
      <c r="F370" s="650" t="str">
        <f t="shared" si="41"/>
        <v/>
      </c>
      <c r="G370" s="650" t="str">
        <f t="shared" si="42"/>
        <v/>
      </c>
      <c r="H370" s="650" t="str">
        <f t="shared" si="43"/>
        <v/>
      </c>
      <c r="J370" s="650"/>
      <c r="K370" s="650"/>
      <c r="L370" s="650"/>
    </row>
    <row r="371" spans="2:12" x14ac:dyDescent="0.2">
      <c r="B371" s="660" t="str">
        <f t="shared" si="38"/>
        <v>-</v>
      </c>
      <c r="C371" s="661" t="str">
        <f t="shared" si="39"/>
        <v/>
      </c>
      <c r="D371" s="650" t="str">
        <f t="shared" si="37"/>
        <v/>
      </c>
      <c r="E371" s="650" t="str">
        <f t="shared" si="40"/>
        <v/>
      </c>
      <c r="F371" s="650" t="str">
        <f t="shared" si="41"/>
        <v/>
      </c>
      <c r="G371" s="650" t="str">
        <f t="shared" si="42"/>
        <v/>
      </c>
      <c r="H371" s="650" t="str">
        <f t="shared" si="43"/>
        <v/>
      </c>
      <c r="J371" s="650"/>
      <c r="K371" s="650"/>
      <c r="L371" s="650"/>
    </row>
    <row r="372" spans="2:12" x14ac:dyDescent="0.2">
      <c r="B372" s="1252" t="s">
        <v>166</v>
      </c>
      <c r="C372" s="1252"/>
      <c r="D372" s="1252"/>
      <c r="E372" s="1252"/>
      <c r="F372" s="1252"/>
      <c r="G372" s="1252"/>
      <c r="H372" s="1252"/>
    </row>
    <row r="373" spans="2:12" x14ac:dyDescent="0.2">
      <c r="B373" s="662" t="s">
        <v>167</v>
      </c>
      <c r="E373" s="650">
        <f>SUM(E12:E371)</f>
        <v>10070943.669999998</v>
      </c>
      <c r="F373" s="650">
        <f>SUM(F12:F371)</f>
        <v>3296712.4699999997</v>
      </c>
      <c r="G373" s="650">
        <f>SUM(G12:G371)</f>
        <v>0</v>
      </c>
      <c r="H373" s="650">
        <f>SUM(H12:H371)</f>
        <v>4121452.3600000027</v>
      </c>
    </row>
  </sheetData>
  <mergeCells count="26">
    <mergeCell ref="P2:R2"/>
    <mergeCell ref="F7:G7"/>
    <mergeCell ref="F8:G8"/>
    <mergeCell ref="J6:K6"/>
    <mergeCell ref="F6:G6"/>
    <mergeCell ref="B372:H372"/>
    <mergeCell ref="B3:C3"/>
    <mergeCell ref="B4:C4"/>
    <mergeCell ref="B5:C5"/>
    <mergeCell ref="B6:C6"/>
    <mergeCell ref="B7:C7"/>
    <mergeCell ref="B8:C8"/>
    <mergeCell ref="F3:G3"/>
    <mergeCell ref="F4:G4"/>
    <mergeCell ref="F5:G5"/>
    <mergeCell ref="B2:D2"/>
    <mergeCell ref="B1:G1"/>
    <mergeCell ref="B9:H9"/>
    <mergeCell ref="J7:K7"/>
    <mergeCell ref="F2:H2"/>
    <mergeCell ref="J2:L2"/>
    <mergeCell ref="J3:K3"/>
    <mergeCell ref="J4:K4"/>
    <mergeCell ref="J5:K5"/>
    <mergeCell ref="J1:L1"/>
    <mergeCell ref="J8:K8"/>
  </mergeCells>
  <phoneticPr fontId="6" type="noConversion"/>
  <conditionalFormatting sqref="L8">
    <cfRule type="cellIs" dxfId="3" priority="1" stopIfTrue="1" operator="equal">
      <formula>"KO"</formula>
    </cfRule>
  </conditionalFormatting>
  <hyperlinks>
    <hyperlink ref="J1" r:id="rId1" display="www.cbanque.com"/>
    <hyperlink ref="J1:L1" r:id="rId2" tooltip="Mode d'emploi JxPret sur cbanque.com - site d'information sur les crédits et les placements" display="Lien mode d'emploi"/>
  </hyperlinks>
  <pageMargins left="0.78740157499999996" right="0.78740157499999996" top="0.984251969" bottom="0.984251969" header="0.4921259845" footer="0.4921259845"/>
  <pageSetup paperSize="9"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FF0000"/>
  </sheetPr>
  <dimension ref="A1:R373"/>
  <sheetViews>
    <sheetView showGridLines="0" workbookViewId="0">
      <pane ySplit="10" topLeftCell="A11" activePane="bottomLeft" state="frozen"/>
      <selection activeCell="J137" sqref="J137"/>
      <selection pane="bottomLeft" activeCell="U29" sqref="U29"/>
    </sheetView>
  </sheetViews>
  <sheetFormatPr baseColWidth="10" defaultRowHeight="12.75" x14ac:dyDescent="0.2"/>
  <cols>
    <col min="1" max="1" width="3.7109375" style="624" customWidth="1"/>
    <col min="2" max="2" width="11.42578125" style="660"/>
    <col min="3" max="3" width="11.42578125" style="624"/>
    <col min="4" max="4" width="16.5703125" style="624" customWidth="1"/>
    <col min="5" max="5" width="11.7109375" style="624" bestFit="1" customWidth="1"/>
    <col min="6" max="6" width="12.140625" style="624" bestFit="1" customWidth="1"/>
    <col min="7" max="7" width="11.42578125" style="624"/>
    <col min="8" max="8" width="14.140625" style="624" customWidth="1"/>
    <col min="9" max="9" width="3.7109375" style="624" customWidth="1"/>
    <col min="10" max="10" width="11.7109375" style="624" bestFit="1" customWidth="1"/>
    <col min="11" max="12" width="11.42578125" style="624"/>
    <col min="13" max="13" width="3.7109375" style="624" customWidth="1"/>
    <col min="14" max="14" width="21.28515625" style="624" hidden="1" customWidth="1"/>
    <col min="15" max="15" width="11.42578125" style="624" hidden="1" customWidth="1"/>
    <col min="16" max="16" width="6.140625" style="624" hidden="1" customWidth="1"/>
    <col min="17" max="17" width="11.42578125" style="624" hidden="1" customWidth="1"/>
    <col min="18" max="18" width="17.42578125" style="624" hidden="1" customWidth="1"/>
    <col min="19" max="16384" width="11.42578125" style="624"/>
  </cols>
  <sheetData>
    <row r="1" spans="1:18" x14ac:dyDescent="0.2">
      <c r="A1" s="621"/>
      <c r="B1" s="1264" t="s">
        <v>125</v>
      </c>
      <c r="C1" s="1264"/>
      <c r="D1" s="1264"/>
      <c r="E1" s="1264"/>
      <c r="F1" s="1264"/>
      <c r="G1" s="1264"/>
      <c r="H1" s="622" t="s">
        <v>126</v>
      </c>
      <c r="I1" s="623"/>
      <c r="J1" s="1265" t="s">
        <v>127</v>
      </c>
      <c r="K1" s="1265"/>
      <c r="L1" s="1265"/>
      <c r="M1" s="621"/>
    </row>
    <row r="2" spans="1:18" x14ac:dyDescent="0.2">
      <c r="B2" s="1263" t="s">
        <v>128</v>
      </c>
      <c r="C2" s="1263"/>
      <c r="D2" s="1263"/>
      <c r="E2" s="636">
        <v>2019</v>
      </c>
      <c r="F2" s="1263" t="s">
        <v>129</v>
      </c>
      <c r="G2" s="1263"/>
      <c r="H2" s="1263"/>
      <c r="J2" s="1263" t="s">
        <v>130</v>
      </c>
      <c r="K2" s="1263"/>
      <c r="L2" s="1263"/>
      <c r="P2" s="1263" t="s">
        <v>156</v>
      </c>
      <c r="Q2" s="1263"/>
      <c r="R2" s="1263"/>
    </row>
    <row r="3" spans="1:18" x14ac:dyDescent="0.2">
      <c r="B3" s="1259" t="s">
        <v>131</v>
      </c>
      <c r="C3" s="1259"/>
      <c r="D3" s="625">
        <f>Flux!G42</f>
        <v>2145203.1031069644</v>
      </c>
      <c r="F3" s="1260" t="str">
        <f>"Montant "&amp;R5&amp;" :"</f>
        <v>Montant mensualité :</v>
      </c>
      <c r="G3" s="1261"/>
      <c r="H3" s="626">
        <f>IF(L7=0,ROUND(D3/L5,R6),ROUND(D3*L7/(1-(1+L7)^-L5),R6))</f>
        <v>26148.47</v>
      </c>
      <c r="J3" s="1256" t="s">
        <v>132</v>
      </c>
      <c r="K3" s="1256"/>
      <c r="L3" s="627">
        <f>ROUND(D5*P5,0)</f>
        <v>120</v>
      </c>
      <c r="N3" s="654"/>
      <c r="O3" s="655"/>
      <c r="P3" s="656" t="s">
        <v>157</v>
      </c>
      <c r="Q3" s="656" t="s">
        <v>158</v>
      </c>
      <c r="R3" s="656" t="s">
        <v>1073</v>
      </c>
    </row>
    <row r="4" spans="1:18" x14ac:dyDescent="0.2">
      <c r="B4" s="1259" t="s">
        <v>133</v>
      </c>
      <c r="C4" s="1259"/>
      <c r="D4" s="628">
        <v>0.04</v>
      </c>
      <c r="F4" s="1257" t="s">
        <v>134</v>
      </c>
      <c r="G4" s="1258"/>
      <c r="H4" s="629">
        <f>ROUND(D3*D7/P5,R6)</f>
        <v>0</v>
      </c>
      <c r="J4" s="1262" t="s">
        <v>135</v>
      </c>
      <c r="K4" s="1262"/>
      <c r="L4" s="627">
        <v>24</v>
      </c>
      <c r="N4" s="627" t="s">
        <v>159</v>
      </c>
      <c r="O4" s="627"/>
      <c r="P4" s="657" t="s">
        <v>160</v>
      </c>
      <c r="Q4" s="627" t="s">
        <v>161</v>
      </c>
      <c r="R4" s="658" t="str">
        <f>IF(LEFT(P4,1)="A","Calcul actuariel","Calcul proportionnel")</f>
        <v>Calcul proportionnel</v>
      </c>
    </row>
    <row r="5" spans="1:18" x14ac:dyDescent="0.2">
      <c r="B5" s="1259" t="s">
        <v>136</v>
      </c>
      <c r="C5" s="1259"/>
      <c r="D5" s="630">
        <v>10</v>
      </c>
      <c r="F5" s="1260" t="s">
        <v>137</v>
      </c>
      <c r="G5" s="1261"/>
      <c r="H5" s="626">
        <f>H6+H7</f>
        <v>9206712.6899999976</v>
      </c>
      <c r="J5" s="1262" t="s">
        <v>138</v>
      </c>
      <c r="K5" s="1262"/>
      <c r="L5" s="627">
        <f>L3-L4</f>
        <v>96</v>
      </c>
      <c r="N5" s="627" t="s">
        <v>162</v>
      </c>
      <c r="O5" s="627"/>
      <c r="P5" s="657">
        <v>12</v>
      </c>
      <c r="Q5" s="627" t="s">
        <v>163</v>
      </c>
      <c r="R5" s="658" t="str">
        <f>IF(P5=12,"mensualité",IF(P5=1,"annuité",IF(P5=4,"trimestrialité",IF(P5=2,"semestrialité","ERREUR"))))</f>
        <v>mensualité</v>
      </c>
    </row>
    <row r="6" spans="1:18" x14ac:dyDescent="0.2">
      <c r="B6" s="1253" t="s">
        <v>139</v>
      </c>
      <c r="C6" s="1253"/>
      <c r="D6" s="631"/>
      <c r="F6" s="1254" t="s">
        <v>140</v>
      </c>
      <c r="G6" s="1255"/>
      <c r="H6" s="629">
        <f>E373</f>
        <v>9206712.6899999976</v>
      </c>
      <c r="J6" s="1256" t="s">
        <v>141</v>
      </c>
      <c r="K6" s="1256"/>
      <c r="L6" s="627">
        <f>L3*12/P5</f>
        <v>120</v>
      </c>
      <c r="N6" s="627" t="s">
        <v>164</v>
      </c>
      <c r="O6" s="627"/>
      <c r="P6" s="657">
        <v>2</v>
      </c>
      <c r="Q6" s="627" t="s">
        <v>165</v>
      </c>
      <c r="R6" s="658">
        <f>IF(ISNUMBER(P6),P6,2)</f>
        <v>2</v>
      </c>
    </row>
    <row r="7" spans="1:18" x14ac:dyDescent="0.2">
      <c r="B7" s="1253" t="s">
        <v>142</v>
      </c>
      <c r="C7" s="1253"/>
      <c r="D7" s="632"/>
      <c r="F7" s="1254" t="s">
        <v>143</v>
      </c>
      <c r="G7" s="1255"/>
      <c r="H7" s="629">
        <f>G373</f>
        <v>0</v>
      </c>
      <c r="J7" s="1256" t="s">
        <v>144</v>
      </c>
      <c r="K7" s="1256"/>
      <c r="L7" s="633">
        <f>IF(D4=0,0,IF(LEFT(P4,1)="A",((D4+1)^(1/P5))-1,D4/P5))</f>
        <v>3.3333333333333335E-3</v>
      </c>
      <c r="N7" s="659"/>
    </row>
    <row r="8" spans="1:18" x14ac:dyDescent="0.2">
      <c r="B8" s="1253" t="s">
        <v>145</v>
      </c>
      <c r="C8" s="1253"/>
      <c r="D8" s="634">
        <f ca="1">NOW()</f>
        <v>42185.546445370368</v>
      </c>
      <c r="F8" s="1257" t="s">
        <v>146</v>
      </c>
      <c r="G8" s="1258"/>
      <c r="H8" s="629">
        <f>F373</f>
        <v>2145203.1</v>
      </c>
      <c r="J8" s="1256" t="s">
        <v>147</v>
      </c>
      <c r="K8" s="1256"/>
      <c r="L8" s="635" t="str">
        <f>IF(ABS(H8-D11)&gt;0.01,"KO","Ok")</f>
        <v>Ok</v>
      </c>
    </row>
    <row r="9" spans="1:18" x14ac:dyDescent="0.2">
      <c r="B9" s="1251" t="s">
        <v>148</v>
      </c>
      <c r="C9" s="1251"/>
      <c r="D9" s="1251"/>
      <c r="E9" s="1251"/>
      <c r="F9" s="1251"/>
      <c r="G9" s="1251"/>
      <c r="H9" s="1251"/>
    </row>
    <row r="10" spans="1:18" x14ac:dyDescent="0.2">
      <c r="B10" s="636" t="s">
        <v>149</v>
      </c>
      <c r="C10" s="637" t="s">
        <v>150</v>
      </c>
      <c r="D10" s="637" t="s">
        <v>151</v>
      </c>
      <c r="E10" s="638" t="s">
        <v>152</v>
      </c>
      <c r="F10" s="638" t="s">
        <v>153</v>
      </c>
      <c r="G10" s="638" t="s">
        <v>154</v>
      </c>
      <c r="H10" s="638" t="s">
        <v>155</v>
      </c>
      <c r="J10" s="638"/>
      <c r="K10" s="638"/>
      <c r="L10" s="638"/>
    </row>
    <row r="11" spans="1:18" s="639" customFormat="1" x14ac:dyDescent="0.2">
      <c r="B11" s="640">
        <v>0</v>
      </c>
      <c r="C11" s="641">
        <f ca="1">D8</f>
        <v>42185.546445370368</v>
      </c>
      <c r="D11" s="642">
        <f>ROUND(D3,R6)</f>
        <v>2145203.1</v>
      </c>
      <c r="E11" s="642"/>
      <c r="F11" s="642"/>
      <c r="G11" s="642"/>
      <c r="H11" s="642"/>
    </row>
    <row r="12" spans="1:18" s="639" customFormat="1" x14ac:dyDescent="0.2">
      <c r="B12" s="640">
        <f t="shared" ref="B12:B75" si="0">IF(B11&lt;$L$3,B11+1,"-")</f>
        <v>1</v>
      </c>
      <c r="C12" s="641">
        <f t="shared" ref="C12:C75" ca="1" si="1">IF(ISNUMBER(B12),MIN(DATE(YEAR($C$11),MONTH($C$11)+B12*12/$P$5,DAY($C$11)),DATE(YEAR($C$11),MONTH($C$11)+1+B12*12/$P$5,1)-1),"")</f>
        <v>42215</v>
      </c>
      <c r="D12" s="642">
        <f t="shared" ref="D12:D75" si="2">IF(ISNUMBER(B12),D11-F11,"")</f>
        <v>2145203.1</v>
      </c>
      <c r="E12" s="642">
        <f t="shared" ref="E12:E75" si="3">IF(ISNUMBER(B12),ROUND(D12*$L$7,$R$6),"")</f>
        <v>7150.68</v>
      </c>
      <c r="F12" s="642">
        <f t="shared" ref="F12:F75" si="4">IF(ISNUMBER(B12),IF(B12=$L$3,D12,IF(B12&gt;$L$4,$H$3-E12,0)),"")</f>
        <v>0</v>
      </c>
      <c r="G12" s="642">
        <f t="shared" ref="G12:G75" si="5">IF(ISNUMBER(B12),$H$4,"")</f>
        <v>0</v>
      </c>
      <c r="H12" s="642">
        <f t="shared" ref="H12:H75" si="6">IF(ISNUMBER(B12),E12+F12+G12,"")</f>
        <v>7150.68</v>
      </c>
      <c r="J12" s="663"/>
      <c r="K12" s="643"/>
      <c r="L12" s="643"/>
      <c r="M12" s="644"/>
    </row>
    <row r="13" spans="1:18" s="639" customFormat="1" x14ac:dyDescent="0.2">
      <c r="B13" s="640">
        <f t="shared" si="0"/>
        <v>2</v>
      </c>
      <c r="C13" s="641">
        <f t="shared" ca="1" si="1"/>
        <v>42246</v>
      </c>
      <c r="D13" s="642">
        <f t="shared" si="2"/>
        <v>2145203.1</v>
      </c>
      <c r="E13" s="642">
        <f t="shared" si="3"/>
        <v>7150.68</v>
      </c>
      <c r="F13" s="642">
        <f t="shared" si="4"/>
        <v>0</v>
      </c>
      <c r="G13" s="642">
        <f t="shared" si="5"/>
        <v>0</v>
      </c>
      <c r="H13" s="642">
        <f t="shared" si="6"/>
        <v>7150.68</v>
      </c>
      <c r="J13" s="643"/>
      <c r="K13" s="643"/>
      <c r="L13" s="643"/>
      <c r="M13" s="644"/>
    </row>
    <row r="14" spans="1:18" s="639" customFormat="1" x14ac:dyDescent="0.2">
      <c r="B14" s="640">
        <f t="shared" si="0"/>
        <v>3</v>
      </c>
      <c r="C14" s="641">
        <f t="shared" ca="1" si="1"/>
        <v>42277</v>
      </c>
      <c r="D14" s="642">
        <f t="shared" si="2"/>
        <v>2145203.1</v>
      </c>
      <c r="E14" s="642">
        <f t="shared" si="3"/>
        <v>7150.68</v>
      </c>
      <c r="F14" s="642">
        <f t="shared" si="4"/>
        <v>0</v>
      </c>
      <c r="G14" s="642">
        <f t="shared" si="5"/>
        <v>0</v>
      </c>
      <c r="H14" s="642">
        <f t="shared" si="6"/>
        <v>7150.68</v>
      </c>
      <c r="J14" s="643"/>
      <c r="K14" s="643"/>
      <c r="L14" s="643"/>
      <c r="M14" s="644"/>
    </row>
    <row r="15" spans="1:18" s="639" customFormat="1" x14ac:dyDescent="0.2">
      <c r="B15" s="640">
        <f t="shared" si="0"/>
        <v>4</v>
      </c>
      <c r="C15" s="641">
        <f t="shared" ca="1" si="1"/>
        <v>42307</v>
      </c>
      <c r="D15" s="642">
        <f t="shared" si="2"/>
        <v>2145203.1</v>
      </c>
      <c r="E15" s="642">
        <f t="shared" si="3"/>
        <v>7150.68</v>
      </c>
      <c r="F15" s="642">
        <f t="shared" si="4"/>
        <v>0</v>
      </c>
      <c r="G15" s="642">
        <f t="shared" si="5"/>
        <v>0</v>
      </c>
      <c r="H15" s="642">
        <f t="shared" si="6"/>
        <v>7150.68</v>
      </c>
      <c r="J15" s="643"/>
      <c r="K15" s="643"/>
      <c r="L15" s="643"/>
      <c r="M15" s="644"/>
    </row>
    <row r="16" spans="1:18" s="639" customFormat="1" x14ac:dyDescent="0.2">
      <c r="B16" s="640">
        <f t="shared" si="0"/>
        <v>5</v>
      </c>
      <c r="C16" s="641">
        <f t="shared" ca="1" si="1"/>
        <v>42338</v>
      </c>
      <c r="D16" s="642">
        <f t="shared" si="2"/>
        <v>2145203.1</v>
      </c>
      <c r="E16" s="642">
        <f t="shared" si="3"/>
        <v>7150.68</v>
      </c>
      <c r="F16" s="642">
        <f t="shared" si="4"/>
        <v>0</v>
      </c>
      <c r="G16" s="642">
        <f t="shared" si="5"/>
        <v>0</v>
      </c>
      <c r="H16" s="642">
        <f t="shared" si="6"/>
        <v>7150.68</v>
      </c>
      <c r="J16" s="644"/>
      <c r="K16" s="644"/>
      <c r="L16" s="644"/>
      <c r="M16" s="644"/>
    </row>
    <row r="17" spans="2:13" s="639" customFormat="1" x14ac:dyDescent="0.2">
      <c r="B17" s="640">
        <f t="shared" si="0"/>
        <v>6</v>
      </c>
      <c r="C17" s="641">
        <f t="shared" ca="1" si="1"/>
        <v>42368</v>
      </c>
      <c r="D17" s="642">
        <f t="shared" si="2"/>
        <v>2145203.1</v>
      </c>
      <c r="E17" s="642">
        <f t="shared" si="3"/>
        <v>7150.68</v>
      </c>
      <c r="F17" s="642">
        <f t="shared" si="4"/>
        <v>0</v>
      </c>
      <c r="G17" s="642">
        <f t="shared" si="5"/>
        <v>0</v>
      </c>
      <c r="H17" s="642">
        <f t="shared" si="6"/>
        <v>7150.68</v>
      </c>
      <c r="J17" s="645"/>
      <c r="K17" s="644"/>
      <c r="L17" s="644"/>
      <c r="M17" s="644"/>
    </row>
    <row r="18" spans="2:13" s="639" customFormat="1" x14ac:dyDescent="0.2">
      <c r="B18" s="640">
        <f t="shared" si="0"/>
        <v>7</v>
      </c>
      <c r="C18" s="641">
        <f t="shared" ca="1" si="1"/>
        <v>42399</v>
      </c>
      <c r="D18" s="642">
        <f t="shared" si="2"/>
        <v>2145203.1</v>
      </c>
      <c r="E18" s="642">
        <f t="shared" si="3"/>
        <v>7150.68</v>
      </c>
      <c r="F18" s="642">
        <f t="shared" si="4"/>
        <v>0</v>
      </c>
      <c r="G18" s="642">
        <f t="shared" si="5"/>
        <v>0</v>
      </c>
      <c r="H18" s="642">
        <f t="shared" si="6"/>
        <v>7150.68</v>
      </c>
      <c r="J18" s="644"/>
      <c r="K18" s="644"/>
      <c r="L18" s="644"/>
      <c r="M18" s="644"/>
    </row>
    <row r="19" spans="2:13" s="639" customFormat="1" x14ac:dyDescent="0.2">
      <c r="B19" s="640">
        <f t="shared" si="0"/>
        <v>8</v>
      </c>
      <c r="C19" s="641">
        <f t="shared" ca="1" si="1"/>
        <v>42429</v>
      </c>
      <c r="D19" s="642">
        <f t="shared" si="2"/>
        <v>2145203.1</v>
      </c>
      <c r="E19" s="642">
        <f t="shared" si="3"/>
        <v>7150.68</v>
      </c>
      <c r="F19" s="642">
        <f t="shared" si="4"/>
        <v>0</v>
      </c>
      <c r="G19" s="642">
        <f t="shared" si="5"/>
        <v>0</v>
      </c>
      <c r="H19" s="642">
        <f t="shared" si="6"/>
        <v>7150.68</v>
      </c>
      <c r="J19" s="644"/>
      <c r="K19" s="644"/>
      <c r="L19" s="644"/>
      <c r="M19" s="644"/>
    </row>
    <row r="20" spans="2:13" s="639" customFormat="1" x14ac:dyDescent="0.2">
      <c r="B20" s="640">
        <f t="shared" si="0"/>
        <v>9</v>
      </c>
      <c r="C20" s="641">
        <f t="shared" ca="1" si="1"/>
        <v>42459</v>
      </c>
      <c r="D20" s="642">
        <f t="shared" si="2"/>
        <v>2145203.1</v>
      </c>
      <c r="E20" s="642">
        <f t="shared" si="3"/>
        <v>7150.68</v>
      </c>
      <c r="F20" s="642">
        <f t="shared" si="4"/>
        <v>0</v>
      </c>
      <c r="G20" s="642">
        <f t="shared" si="5"/>
        <v>0</v>
      </c>
      <c r="H20" s="642">
        <f t="shared" si="6"/>
        <v>7150.68</v>
      </c>
      <c r="J20" s="642"/>
      <c r="K20" s="642"/>
      <c r="L20" s="642"/>
    </row>
    <row r="21" spans="2:13" s="639" customFormat="1" x14ac:dyDescent="0.2">
      <c r="B21" s="640">
        <f t="shared" si="0"/>
        <v>10</v>
      </c>
      <c r="C21" s="641">
        <f t="shared" ca="1" si="1"/>
        <v>42490</v>
      </c>
      <c r="D21" s="642">
        <f t="shared" si="2"/>
        <v>2145203.1</v>
      </c>
      <c r="E21" s="642">
        <f t="shared" si="3"/>
        <v>7150.68</v>
      </c>
      <c r="F21" s="642">
        <f t="shared" si="4"/>
        <v>0</v>
      </c>
      <c r="G21" s="642">
        <f t="shared" si="5"/>
        <v>0</v>
      </c>
      <c r="H21" s="642">
        <f t="shared" si="6"/>
        <v>7150.68</v>
      </c>
      <c r="J21" s="642"/>
      <c r="K21" s="642"/>
      <c r="L21" s="642"/>
    </row>
    <row r="22" spans="2:13" s="639" customFormat="1" x14ac:dyDescent="0.2">
      <c r="B22" s="640">
        <f t="shared" si="0"/>
        <v>11</v>
      </c>
      <c r="C22" s="641">
        <f t="shared" ca="1" si="1"/>
        <v>42520</v>
      </c>
      <c r="D22" s="642">
        <f t="shared" si="2"/>
        <v>2145203.1</v>
      </c>
      <c r="E22" s="642">
        <f t="shared" si="3"/>
        <v>7150.68</v>
      </c>
      <c r="F22" s="642">
        <f t="shared" si="4"/>
        <v>0</v>
      </c>
      <c r="G22" s="642">
        <f t="shared" si="5"/>
        <v>0</v>
      </c>
      <c r="H22" s="642">
        <f t="shared" si="6"/>
        <v>7150.68</v>
      </c>
      <c r="J22" s="642"/>
      <c r="K22" s="642"/>
      <c r="L22" s="642"/>
    </row>
    <row r="23" spans="2:13" s="639" customFormat="1" x14ac:dyDescent="0.2">
      <c r="B23" s="640">
        <f t="shared" si="0"/>
        <v>12</v>
      </c>
      <c r="C23" s="641">
        <f t="shared" ca="1" si="1"/>
        <v>42551</v>
      </c>
      <c r="D23" s="642">
        <f t="shared" si="2"/>
        <v>2145203.1</v>
      </c>
      <c r="E23" s="642">
        <f t="shared" si="3"/>
        <v>7150.68</v>
      </c>
      <c r="F23" s="642">
        <f t="shared" si="4"/>
        <v>0</v>
      </c>
      <c r="G23" s="642">
        <f t="shared" si="5"/>
        <v>0</v>
      </c>
      <c r="H23" s="642">
        <f t="shared" si="6"/>
        <v>7150.68</v>
      </c>
      <c r="J23" s="642">
        <f>D11-D23</f>
        <v>0</v>
      </c>
      <c r="K23" s="642"/>
      <c r="L23" s="642"/>
    </row>
    <row r="24" spans="2:13" s="646" customFormat="1" x14ac:dyDescent="0.2">
      <c r="B24" s="647">
        <f t="shared" si="0"/>
        <v>13</v>
      </c>
      <c r="C24" s="648">
        <f t="shared" ca="1" si="1"/>
        <v>42581</v>
      </c>
      <c r="D24" s="649">
        <f t="shared" si="2"/>
        <v>2145203.1</v>
      </c>
      <c r="E24" s="649">
        <f t="shared" si="3"/>
        <v>7150.68</v>
      </c>
      <c r="F24" s="649">
        <f t="shared" si="4"/>
        <v>0</v>
      </c>
      <c r="G24" s="649">
        <f t="shared" si="5"/>
        <v>0</v>
      </c>
      <c r="H24" s="649">
        <f t="shared" si="6"/>
        <v>7150.68</v>
      </c>
      <c r="J24" s="649"/>
      <c r="K24" s="649"/>
      <c r="L24" s="649"/>
    </row>
    <row r="25" spans="2:13" s="646" customFormat="1" x14ac:dyDescent="0.2">
      <c r="B25" s="647">
        <f t="shared" si="0"/>
        <v>14</v>
      </c>
      <c r="C25" s="648">
        <f t="shared" ca="1" si="1"/>
        <v>42612</v>
      </c>
      <c r="D25" s="649">
        <f t="shared" si="2"/>
        <v>2145203.1</v>
      </c>
      <c r="E25" s="649">
        <f t="shared" si="3"/>
        <v>7150.68</v>
      </c>
      <c r="F25" s="649">
        <f t="shared" si="4"/>
        <v>0</v>
      </c>
      <c r="G25" s="649">
        <f t="shared" si="5"/>
        <v>0</v>
      </c>
      <c r="H25" s="649">
        <f t="shared" si="6"/>
        <v>7150.68</v>
      </c>
      <c r="J25" s="649"/>
      <c r="K25" s="649"/>
      <c r="L25" s="649"/>
    </row>
    <row r="26" spans="2:13" s="646" customFormat="1" x14ac:dyDescent="0.2">
      <c r="B26" s="647">
        <f t="shared" si="0"/>
        <v>15</v>
      </c>
      <c r="C26" s="648">
        <f t="shared" ca="1" si="1"/>
        <v>42643</v>
      </c>
      <c r="D26" s="649">
        <f t="shared" si="2"/>
        <v>2145203.1</v>
      </c>
      <c r="E26" s="649">
        <f t="shared" si="3"/>
        <v>7150.68</v>
      </c>
      <c r="F26" s="649">
        <f t="shared" si="4"/>
        <v>0</v>
      </c>
      <c r="G26" s="649">
        <f t="shared" si="5"/>
        <v>0</v>
      </c>
      <c r="H26" s="649">
        <f t="shared" si="6"/>
        <v>7150.68</v>
      </c>
      <c r="J26" s="649"/>
      <c r="K26" s="649"/>
      <c r="L26" s="649"/>
    </row>
    <row r="27" spans="2:13" s="646" customFormat="1" x14ac:dyDescent="0.2">
      <c r="B27" s="647">
        <f t="shared" si="0"/>
        <v>16</v>
      </c>
      <c r="C27" s="648">
        <f t="shared" ca="1" si="1"/>
        <v>42673</v>
      </c>
      <c r="D27" s="649">
        <f t="shared" si="2"/>
        <v>2145203.1</v>
      </c>
      <c r="E27" s="649">
        <f t="shared" si="3"/>
        <v>7150.68</v>
      </c>
      <c r="F27" s="649">
        <f t="shared" si="4"/>
        <v>0</v>
      </c>
      <c r="G27" s="649">
        <f t="shared" si="5"/>
        <v>0</v>
      </c>
      <c r="H27" s="649">
        <f t="shared" si="6"/>
        <v>7150.68</v>
      </c>
      <c r="J27" s="649"/>
      <c r="K27" s="649"/>
      <c r="L27" s="649"/>
    </row>
    <row r="28" spans="2:13" s="646" customFormat="1" x14ac:dyDescent="0.2">
      <c r="B28" s="647">
        <f t="shared" si="0"/>
        <v>17</v>
      </c>
      <c r="C28" s="648">
        <f t="shared" ca="1" si="1"/>
        <v>42704</v>
      </c>
      <c r="D28" s="649">
        <f t="shared" si="2"/>
        <v>2145203.1</v>
      </c>
      <c r="E28" s="649">
        <f t="shared" si="3"/>
        <v>7150.68</v>
      </c>
      <c r="F28" s="649">
        <f t="shared" si="4"/>
        <v>0</v>
      </c>
      <c r="G28" s="649">
        <f t="shared" si="5"/>
        <v>0</v>
      </c>
      <c r="H28" s="649">
        <f t="shared" si="6"/>
        <v>7150.68</v>
      </c>
      <c r="J28" s="649"/>
      <c r="K28" s="649"/>
      <c r="L28" s="649"/>
    </row>
    <row r="29" spans="2:13" s="646" customFormat="1" x14ac:dyDescent="0.2">
      <c r="B29" s="647">
        <f t="shared" si="0"/>
        <v>18</v>
      </c>
      <c r="C29" s="648">
        <f t="shared" ca="1" si="1"/>
        <v>42734</v>
      </c>
      <c r="D29" s="649">
        <f t="shared" si="2"/>
        <v>2145203.1</v>
      </c>
      <c r="E29" s="649">
        <f t="shared" si="3"/>
        <v>7150.68</v>
      </c>
      <c r="F29" s="649">
        <f t="shared" si="4"/>
        <v>0</v>
      </c>
      <c r="G29" s="649">
        <f t="shared" si="5"/>
        <v>0</v>
      </c>
      <c r="H29" s="649">
        <f t="shared" si="6"/>
        <v>7150.68</v>
      </c>
      <c r="J29" s="649"/>
      <c r="K29" s="649"/>
      <c r="L29" s="649"/>
    </row>
    <row r="30" spans="2:13" s="646" customFormat="1" x14ac:dyDescent="0.2">
      <c r="B30" s="647">
        <f t="shared" si="0"/>
        <v>19</v>
      </c>
      <c r="C30" s="648">
        <f t="shared" ca="1" si="1"/>
        <v>42765</v>
      </c>
      <c r="D30" s="649">
        <f t="shared" si="2"/>
        <v>2145203.1</v>
      </c>
      <c r="E30" s="649">
        <f t="shared" si="3"/>
        <v>7150.68</v>
      </c>
      <c r="F30" s="649">
        <f t="shared" si="4"/>
        <v>0</v>
      </c>
      <c r="G30" s="649">
        <f t="shared" si="5"/>
        <v>0</v>
      </c>
      <c r="H30" s="649">
        <f t="shared" si="6"/>
        <v>7150.68</v>
      </c>
      <c r="J30" s="649"/>
      <c r="K30" s="649"/>
      <c r="L30" s="649"/>
    </row>
    <row r="31" spans="2:13" s="646" customFormat="1" x14ac:dyDescent="0.2">
      <c r="B31" s="647">
        <f t="shared" si="0"/>
        <v>20</v>
      </c>
      <c r="C31" s="648">
        <f t="shared" ca="1" si="1"/>
        <v>42794</v>
      </c>
      <c r="D31" s="649">
        <f t="shared" si="2"/>
        <v>2145203.1</v>
      </c>
      <c r="E31" s="649">
        <f t="shared" si="3"/>
        <v>7150.68</v>
      </c>
      <c r="F31" s="649">
        <f t="shared" si="4"/>
        <v>0</v>
      </c>
      <c r="G31" s="649">
        <f t="shared" si="5"/>
        <v>0</v>
      </c>
      <c r="H31" s="649">
        <f t="shared" si="6"/>
        <v>7150.68</v>
      </c>
      <c r="J31" s="649"/>
      <c r="K31" s="649"/>
      <c r="L31" s="649"/>
    </row>
    <row r="32" spans="2:13" s="646" customFormat="1" x14ac:dyDescent="0.2">
      <c r="B32" s="647">
        <f t="shared" si="0"/>
        <v>21</v>
      </c>
      <c r="C32" s="648">
        <f t="shared" ca="1" si="1"/>
        <v>42824</v>
      </c>
      <c r="D32" s="649">
        <f t="shared" si="2"/>
        <v>2145203.1</v>
      </c>
      <c r="E32" s="649">
        <f t="shared" si="3"/>
        <v>7150.68</v>
      </c>
      <c r="F32" s="649">
        <f t="shared" si="4"/>
        <v>0</v>
      </c>
      <c r="G32" s="649">
        <f t="shared" si="5"/>
        <v>0</v>
      </c>
      <c r="H32" s="649">
        <f t="shared" si="6"/>
        <v>7150.68</v>
      </c>
      <c r="J32" s="649"/>
      <c r="K32" s="649"/>
      <c r="L32" s="649"/>
    </row>
    <row r="33" spans="1:12" s="646" customFormat="1" x14ac:dyDescent="0.2">
      <c r="B33" s="647">
        <f t="shared" si="0"/>
        <v>22</v>
      </c>
      <c r="C33" s="648">
        <f t="shared" ca="1" si="1"/>
        <v>42855</v>
      </c>
      <c r="D33" s="649">
        <f t="shared" si="2"/>
        <v>2145203.1</v>
      </c>
      <c r="E33" s="649">
        <f t="shared" si="3"/>
        <v>7150.68</v>
      </c>
      <c r="F33" s="649">
        <f t="shared" si="4"/>
        <v>0</v>
      </c>
      <c r="G33" s="649">
        <f t="shared" si="5"/>
        <v>0</v>
      </c>
      <c r="H33" s="649">
        <f t="shared" si="6"/>
        <v>7150.68</v>
      </c>
      <c r="J33" s="649"/>
      <c r="K33" s="649"/>
      <c r="L33" s="649"/>
    </row>
    <row r="34" spans="1:12" s="646" customFormat="1" x14ac:dyDescent="0.2">
      <c r="B34" s="647">
        <f t="shared" si="0"/>
        <v>23</v>
      </c>
      <c r="C34" s="648">
        <f t="shared" ca="1" si="1"/>
        <v>42885</v>
      </c>
      <c r="D34" s="649">
        <f t="shared" si="2"/>
        <v>2145203.1</v>
      </c>
      <c r="E34" s="649">
        <f t="shared" si="3"/>
        <v>7150.68</v>
      </c>
      <c r="F34" s="649">
        <f t="shared" si="4"/>
        <v>0</v>
      </c>
      <c r="G34" s="649">
        <f t="shared" si="5"/>
        <v>0</v>
      </c>
      <c r="H34" s="649">
        <f t="shared" si="6"/>
        <v>7150.68</v>
      </c>
      <c r="J34" s="649"/>
      <c r="K34" s="649"/>
      <c r="L34" s="649"/>
    </row>
    <row r="35" spans="1:12" s="646" customFormat="1" x14ac:dyDescent="0.2">
      <c r="B35" s="647">
        <f t="shared" si="0"/>
        <v>24</v>
      </c>
      <c r="C35" s="648">
        <f t="shared" ca="1" si="1"/>
        <v>42916</v>
      </c>
      <c r="D35" s="649">
        <f t="shared" si="2"/>
        <v>2145203.1</v>
      </c>
      <c r="E35" s="649">
        <f t="shared" si="3"/>
        <v>7150.68</v>
      </c>
      <c r="F35" s="649">
        <f t="shared" si="4"/>
        <v>0</v>
      </c>
      <c r="G35" s="649">
        <f t="shared" si="5"/>
        <v>0</v>
      </c>
      <c r="H35" s="649">
        <f t="shared" si="6"/>
        <v>7150.68</v>
      </c>
      <c r="J35" s="642">
        <f>D23-D35</f>
        <v>0</v>
      </c>
      <c r="K35" s="649"/>
      <c r="L35" s="649"/>
    </row>
    <row r="36" spans="1:12" x14ac:dyDescent="0.2">
      <c r="A36" s="639"/>
      <c r="B36" s="640">
        <f t="shared" si="0"/>
        <v>25</v>
      </c>
      <c r="C36" s="641">
        <f t="shared" ca="1" si="1"/>
        <v>42946</v>
      </c>
      <c r="D36" s="642">
        <f t="shared" si="2"/>
        <v>2145203.1</v>
      </c>
      <c r="E36" s="642">
        <f t="shared" si="3"/>
        <v>7150.68</v>
      </c>
      <c r="F36" s="642">
        <f t="shared" si="4"/>
        <v>18997.79</v>
      </c>
      <c r="G36" s="642">
        <f t="shared" si="5"/>
        <v>0</v>
      </c>
      <c r="H36" s="642">
        <f t="shared" si="6"/>
        <v>26148.47</v>
      </c>
      <c r="J36" s="650"/>
      <c r="K36" s="650"/>
      <c r="L36" s="650"/>
    </row>
    <row r="37" spans="1:12" x14ac:dyDescent="0.2">
      <c r="A37" s="639"/>
      <c r="B37" s="640">
        <f t="shared" si="0"/>
        <v>26</v>
      </c>
      <c r="C37" s="641">
        <f t="shared" ca="1" si="1"/>
        <v>42977</v>
      </c>
      <c r="D37" s="642">
        <f t="shared" si="2"/>
        <v>2126205.31</v>
      </c>
      <c r="E37" s="642">
        <f t="shared" si="3"/>
        <v>7087.35</v>
      </c>
      <c r="F37" s="642">
        <f t="shared" si="4"/>
        <v>19061.120000000003</v>
      </c>
      <c r="G37" s="642">
        <f t="shared" si="5"/>
        <v>0</v>
      </c>
      <c r="H37" s="642">
        <f t="shared" si="6"/>
        <v>26148.47</v>
      </c>
      <c r="J37" s="650"/>
      <c r="K37" s="650"/>
      <c r="L37" s="650"/>
    </row>
    <row r="38" spans="1:12" x14ac:dyDescent="0.2">
      <c r="A38" s="639"/>
      <c r="B38" s="640">
        <f t="shared" si="0"/>
        <v>27</v>
      </c>
      <c r="C38" s="641">
        <f t="shared" ca="1" si="1"/>
        <v>43008</v>
      </c>
      <c r="D38" s="642">
        <f t="shared" si="2"/>
        <v>2107144.19</v>
      </c>
      <c r="E38" s="642">
        <f t="shared" si="3"/>
        <v>7023.81</v>
      </c>
      <c r="F38" s="642">
        <f t="shared" si="4"/>
        <v>19124.66</v>
      </c>
      <c r="G38" s="642">
        <f t="shared" si="5"/>
        <v>0</v>
      </c>
      <c r="H38" s="642">
        <f t="shared" si="6"/>
        <v>26148.47</v>
      </c>
      <c r="J38" s="650"/>
      <c r="K38" s="650"/>
      <c r="L38" s="650"/>
    </row>
    <row r="39" spans="1:12" x14ac:dyDescent="0.2">
      <c r="A39" s="639"/>
      <c r="B39" s="640">
        <f t="shared" si="0"/>
        <v>28</v>
      </c>
      <c r="C39" s="641">
        <f t="shared" ca="1" si="1"/>
        <v>43038</v>
      </c>
      <c r="D39" s="642">
        <f t="shared" si="2"/>
        <v>2088019.53</v>
      </c>
      <c r="E39" s="642">
        <f t="shared" si="3"/>
        <v>6960.07</v>
      </c>
      <c r="F39" s="642">
        <f t="shared" si="4"/>
        <v>19188.400000000001</v>
      </c>
      <c r="G39" s="642">
        <f t="shared" si="5"/>
        <v>0</v>
      </c>
      <c r="H39" s="642">
        <f t="shared" si="6"/>
        <v>26148.47</v>
      </c>
      <c r="J39" s="650"/>
      <c r="K39" s="650"/>
      <c r="L39" s="650"/>
    </row>
    <row r="40" spans="1:12" x14ac:dyDescent="0.2">
      <c r="A40" s="639"/>
      <c r="B40" s="640">
        <f t="shared" si="0"/>
        <v>29</v>
      </c>
      <c r="C40" s="641">
        <f t="shared" ca="1" si="1"/>
        <v>43069</v>
      </c>
      <c r="D40" s="642">
        <f t="shared" si="2"/>
        <v>2068831.1300000001</v>
      </c>
      <c r="E40" s="642">
        <f t="shared" si="3"/>
        <v>6896.1</v>
      </c>
      <c r="F40" s="642">
        <f t="shared" si="4"/>
        <v>19252.370000000003</v>
      </c>
      <c r="G40" s="642">
        <f t="shared" si="5"/>
        <v>0</v>
      </c>
      <c r="H40" s="642">
        <f t="shared" si="6"/>
        <v>26148.47</v>
      </c>
      <c r="J40" s="650"/>
      <c r="K40" s="650"/>
      <c r="L40" s="650"/>
    </row>
    <row r="41" spans="1:12" x14ac:dyDescent="0.2">
      <c r="A41" s="639"/>
      <c r="B41" s="640">
        <f t="shared" si="0"/>
        <v>30</v>
      </c>
      <c r="C41" s="641">
        <f t="shared" ca="1" si="1"/>
        <v>43099</v>
      </c>
      <c r="D41" s="642">
        <f t="shared" si="2"/>
        <v>2049578.76</v>
      </c>
      <c r="E41" s="642">
        <f t="shared" si="3"/>
        <v>6831.93</v>
      </c>
      <c r="F41" s="642">
        <f t="shared" si="4"/>
        <v>19316.54</v>
      </c>
      <c r="G41" s="642">
        <f t="shared" si="5"/>
        <v>0</v>
      </c>
      <c r="H41" s="642">
        <f t="shared" si="6"/>
        <v>26148.47</v>
      </c>
      <c r="J41" s="650"/>
      <c r="K41" s="650"/>
      <c r="L41" s="650"/>
    </row>
    <row r="42" spans="1:12" x14ac:dyDescent="0.2">
      <c r="A42" s="639"/>
      <c r="B42" s="640">
        <f t="shared" si="0"/>
        <v>31</v>
      </c>
      <c r="C42" s="641">
        <f t="shared" ca="1" si="1"/>
        <v>43130</v>
      </c>
      <c r="D42" s="642">
        <f t="shared" si="2"/>
        <v>2030262.22</v>
      </c>
      <c r="E42" s="642">
        <f t="shared" si="3"/>
        <v>6767.54</v>
      </c>
      <c r="F42" s="642">
        <f t="shared" si="4"/>
        <v>19380.93</v>
      </c>
      <c r="G42" s="642">
        <f t="shared" si="5"/>
        <v>0</v>
      </c>
      <c r="H42" s="642">
        <f t="shared" si="6"/>
        <v>26148.47</v>
      </c>
      <c r="J42" s="650"/>
      <c r="K42" s="650"/>
      <c r="L42" s="650"/>
    </row>
    <row r="43" spans="1:12" x14ac:dyDescent="0.2">
      <c r="A43" s="639"/>
      <c r="B43" s="640">
        <f t="shared" si="0"/>
        <v>32</v>
      </c>
      <c r="C43" s="641">
        <f t="shared" ca="1" si="1"/>
        <v>43159</v>
      </c>
      <c r="D43" s="642">
        <f t="shared" si="2"/>
        <v>2010881.29</v>
      </c>
      <c r="E43" s="642">
        <f t="shared" si="3"/>
        <v>6702.94</v>
      </c>
      <c r="F43" s="642">
        <f t="shared" si="4"/>
        <v>19445.530000000002</v>
      </c>
      <c r="G43" s="642">
        <f t="shared" si="5"/>
        <v>0</v>
      </c>
      <c r="H43" s="642">
        <f t="shared" si="6"/>
        <v>26148.47</v>
      </c>
      <c r="J43" s="650"/>
      <c r="K43" s="650"/>
      <c r="L43" s="650"/>
    </row>
    <row r="44" spans="1:12" x14ac:dyDescent="0.2">
      <c r="A44" s="639"/>
      <c r="B44" s="640">
        <f t="shared" si="0"/>
        <v>33</v>
      </c>
      <c r="C44" s="641">
        <f t="shared" ca="1" si="1"/>
        <v>43189</v>
      </c>
      <c r="D44" s="642">
        <f t="shared" si="2"/>
        <v>1991435.76</v>
      </c>
      <c r="E44" s="642">
        <f t="shared" si="3"/>
        <v>6638.12</v>
      </c>
      <c r="F44" s="642">
        <f t="shared" si="4"/>
        <v>19510.350000000002</v>
      </c>
      <c r="G44" s="642">
        <f t="shared" si="5"/>
        <v>0</v>
      </c>
      <c r="H44" s="642">
        <f t="shared" si="6"/>
        <v>26148.47</v>
      </c>
      <c r="J44" s="650"/>
      <c r="K44" s="650"/>
      <c r="L44" s="650"/>
    </row>
    <row r="45" spans="1:12" x14ac:dyDescent="0.2">
      <c r="A45" s="639"/>
      <c r="B45" s="640">
        <f t="shared" si="0"/>
        <v>34</v>
      </c>
      <c r="C45" s="641">
        <f t="shared" ca="1" si="1"/>
        <v>43220</v>
      </c>
      <c r="D45" s="642">
        <f t="shared" si="2"/>
        <v>1971925.41</v>
      </c>
      <c r="E45" s="642">
        <f t="shared" si="3"/>
        <v>6573.08</v>
      </c>
      <c r="F45" s="642">
        <f t="shared" si="4"/>
        <v>19575.39</v>
      </c>
      <c r="G45" s="642">
        <f t="shared" si="5"/>
        <v>0</v>
      </c>
      <c r="H45" s="642">
        <f t="shared" si="6"/>
        <v>26148.47</v>
      </c>
      <c r="J45" s="650"/>
      <c r="K45" s="650"/>
      <c r="L45" s="650"/>
    </row>
    <row r="46" spans="1:12" x14ac:dyDescent="0.2">
      <c r="A46" s="639"/>
      <c r="B46" s="640">
        <f t="shared" si="0"/>
        <v>35</v>
      </c>
      <c r="C46" s="641">
        <f t="shared" ca="1" si="1"/>
        <v>43250</v>
      </c>
      <c r="D46" s="642">
        <f t="shared" si="2"/>
        <v>1952350.02</v>
      </c>
      <c r="E46" s="642">
        <f t="shared" si="3"/>
        <v>6507.83</v>
      </c>
      <c r="F46" s="642">
        <f t="shared" si="4"/>
        <v>19640.64</v>
      </c>
      <c r="G46" s="642">
        <f t="shared" si="5"/>
        <v>0</v>
      </c>
      <c r="H46" s="642">
        <f t="shared" si="6"/>
        <v>26148.47</v>
      </c>
      <c r="J46" s="650"/>
      <c r="K46" s="650"/>
      <c r="L46" s="650"/>
    </row>
    <row r="47" spans="1:12" x14ac:dyDescent="0.2">
      <c r="A47" s="639"/>
      <c r="B47" s="640">
        <f t="shared" si="0"/>
        <v>36</v>
      </c>
      <c r="C47" s="641">
        <f t="shared" ca="1" si="1"/>
        <v>43281</v>
      </c>
      <c r="D47" s="642">
        <f t="shared" si="2"/>
        <v>1932709.3800000001</v>
      </c>
      <c r="E47" s="642">
        <f t="shared" si="3"/>
        <v>6442.36</v>
      </c>
      <c r="F47" s="642">
        <f t="shared" si="4"/>
        <v>19706.11</v>
      </c>
      <c r="G47" s="642">
        <f t="shared" si="5"/>
        <v>0</v>
      </c>
      <c r="H47" s="642">
        <f t="shared" si="6"/>
        <v>26148.47</v>
      </c>
      <c r="J47" s="642">
        <f>D35-D47</f>
        <v>212493.71999999997</v>
      </c>
      <c r="K47" s="650"/>
      <c r="L47" s="650"/>
    </row>
    <row r="48" spans="1:12" x14ac:dyDescent="0.2">
      <c r="B48" s="647">
        <f t="shared" si="0"/>
        <v>37</v>
      </c>
      <c r="C48" s="648">
        <f t="shared" ca="1" si="1"/>
        <v>43311</v>
      </c>
      <c r="D48" s="649">
        <f t="shared" si="2"/>
        <v>1913003.27</v>
      </c>
      <c r="E48" s="649">
        <f t="shared" si="3"/>
        <v>6376.68</v>
      </c>
      <c r="F48" s="649">
        <f t="shared" si="4"/>
        <v>19771.79</v>
      </c>
      <c r="G48" s="649">
        <f t="shared" si="5"/>
        <v>0</v>
      </c>
      <c r="H48" s="649">
        <f t="shared" si="6"/>
        <v>26148.47</v>
      </c>
      <c r="J48" s="650"/>
      <c r="K48" s="650"/>
      <c r="L48" s="650"/>
    </row>
    <row r="49" spans="2:12" x14ac:dyDescent="0.2">
      <c r="B49" s="647">
        <f t="shared" si="0"/>
        <v>38</v>
      </c>
      <c r="C49" s="648">
        <f t="shared" ca="1" si="1"/>
        <v>43342</v>
      </c>
      <c r="D49" s="649">
        <f t="shared" si="2"/>
        <v>1893231.48</v>
      </c>
      <c r="E49" s="649">
        <f t="shared" si="3"/>
        <v>6310.77</v>
      </c>
      <c r="F49" s="649">
        <f t="shared" si="4"/>
        <v>19837.7</v>
      </c>
      <c r="G49" s="649">
        <f t="shared" si="5"/>
        <v>0</v>
      </c>
      <c r="H49" s="649">
        <f t="shared" si="6"/>
        <v>26148.47</v>
      </c>
      <c r="J49" s="650"/>
      <c r="K49" s="650"/>
      <c r="L49" s="650"/>
    </row>
    <row r="50" spans="2:12" x14ac:dyDescent="0.2">
      <c r="B50" s="647">
        <f t="shared" si="0"/>
        <v>39</v>
      </c>
      <c r="C50" s="648">
        <f t="shared" ca="1" si="1"/>
        <v>43373</v>
      </c>
      <c r="D50" s="649">
        <f t="shared" si="2"/>
        <v>1873393.78</v>
      </c>
      <c r="E50" s="649">
        <f t="shared" si="3"/>
        <v>6244.65</v>
      </c>
      <c r="F50" s="649">
        <f t="shared" si="4"/>
        <v>19903.82</v>
      </c>
      <c r="G50" s="649">
        <f t="shared" si="5"/>
        <v>0</v>
      </c>
      <c r="H50" s="649">
        <f t="shared" si="6"/>
        <v>26148.47</v>
      </c>
      <c r="J50" s="650"/>
      <c r="K50" s="650"/>
      <c r="L50" s="650"/>
    </row>
    <row r="51" spans="2:12" x14ac:dyDescent="0.2">
      <c r="B51" s="647">
        <f t="shared" si="0"/>
        <v>40</v>
      </c>
      <c r="C51" s="648">
        <f t="shared" ca="1" si="1"/>
        <v>43403</v>
      </c>
      <c r="D51" s="649">
        <f t="shared" si="2"/>
        <v>1853489.96</v>
      </c>
      <c r="E51" s="649">
        <f t="shared" si="3"/>
        <v>6178.3</v>
      </c>
      <c r="F51" s="649">
        <f t="shared" si="4"/>
        <v>19970.170000000002</v>
      </c>
      <c r="G51" s="649">
        <f t="shared" si="5"/>
        <v>0</v>
      </c>
      <c r="H51" s="649">
        <f t="shared" si="6"/>
        <v>26148.47</v>
      </c>
      <c r="J51" s="650"/>
      <c r="K51" s="650"/>
      <c r="L51" s="650"/>
    </row>
    <row r="52" spans="2:12" x14ac:dyDescent="0.2">
      <c r="B52" s="647">
        <f t="shared" si="0"/>
        <v>41</v>
      </c>
      <c r="C52" s="648">
        <f t="shared" ca="1" si="1"/>
        <v>43434</v>
      </c>
      <c r="D52" s="649">
        <f t="shared" si="2"/>
        <v>1833519.79</v>
      </c>
      <c r="E52" s="649">
        <f t="shared" si="3"/>
        <v>6111.73</v>
      </c>
      <c r="F52" s="649">
        <f t="shared" si="4"/>
        <v>20036.740000000002</v>
      </c>
      <c r="G52" s="649">
        <f t="shared" si="5"/>
        <v>0</v>
      </c>
      <c r="H52" s="649">
        <f t="shared" si="6"/>
        <v>26148.47</v>
      </c>
      <c r="J52" s="650"/>
      <c r="K52" s="650"/>
      <c r="L52" s="650"/>
    </row>
    <row r="53" spans="2:12" x14ac:dyDescent="0.2">
      <c r="B53" s="647">
        <f t="shared" si="0"/>
        <v>42</v>
      </c>
      <c r="C53" s="648">
        <f t="shared" ca="1" si="1"/>
        <v>43464</v>
      </c>
      <c r="D53" s="649">
        <f t="shared" si="2"/>
        <v>1813483.05</v>
      </c>
      <c r="E53" s="649">
        <f t="shared" si="3"/>
        <v>6044.94</v>
      </c>
      <c r="F53" s="649">
        <f t="shared" si="4"/>
        <v>20103.530000000002</v>
      </c>
      <c r="G53" s="649">
        <f t="shared" si="5"/>
        <v>0</v>
      </c>
      <c r="H53" s="649">
        <f t="shared" si="6"/>
        <v>26148.47</v>
      </c>
      <c r="J53" s="650"/>
      <c r="K53" s="650"/>
      <c r="L53" s="650"/>
    </row>
    <row r="54" spans="2:12" x14ac:dyDescent="0.2">
      <c r="B54" s="647">
        <f t="shared" si="0"/>
        <v>43</v>
      </c>
      <c r="C54" s="648">
        <f t="shared" ca="1" si="1"/>
        <v>43495</v>
      </c>
      <c r="D54" s="649">
        <f t="shared" si="2"/>
        <v>1793379.52</v>
      </c>
      <c r="E54" s="649">
        <f t="shared" si="3"/>
        <v>5977.93</v>
      </c>
      <c r="F54" s="649">
        <f t="shared" si="4"/>
        <v>20170.54</v>
      </c>
      <c r="G54" s="649">
        <f t="shared" si="5"/>
        <v>0</v>
      </c>
      <c r="H54" s="649">
        <f t="shared" si="6"/>
        <v>26148.47</v>
      </c>
      <c r="J54" s="650"/>
      <c r="K54" s="650"/>
      <c r="L54" s="650"/>
    </row>
    <row r="55" spans="2:12" x14ac:dyDescent="0.2">
      <c r="B55" s="647">
        <f t="shared" si="0"/>
        <v>44</v>
      </c>
      <c r="C55" s="648">
        <f t="shared" ca="1" si="1"/>
        <v>43524</v>
      </c>
      <c r="D55" s="649">
        <f t="shared" si="2"/>
        <v>1773208.98</v>
      </c>
      <c r="E55" s="649">
        <f t="shared" si="3"/>
        <v>5910.7</v>
      </c>
      <c r="F55" s="649">
        <f t="shared" si="4"/>
        <v>20237.77</v>
      </c>
      <c r="G55" s="649">
        <f t="shared" si="5"/>
        <v>0</v>
      </c>
      <c r="H55" s="649">
        <f t="shared" si="6"/>
        <v>26148.47</v>
      </c>
      <c r="J55" s="650"/>
      <c r="K55" s="650"/>
      <c r="L55" s="650"/>
    </row>
    <row r="56" spans="2:12" x14ac:dyDescent="0.2">
      <c r="B56" s="647">
        <f t="shared" si="0"/>
        <v>45</v>
      </c>
      <c r="C56" s="648">
        <f t="shared" ca="1" si="1"/>
        <v>43554</v>
      </c>
      <c r="D56" s="649">
        <f t="shared" si="2"/>
        <v>1752971.21</v>
      </c>
      <c r="E56" s="649">
        <f t="shared" si="3"/>
        <v>5843.24</v>
      </c>
      <c r="F56" s="649">
        <f t="shared" si="4"/>
        <v>20305.230000000003</v>
      </c>
      <c r="G56" s="649">
        <f t="shared" si="5"/>
        <v>0</v>
      </c>
      <c r="H56" s="649">
        <f t="shared" si="6"/>
        <v>26148.47</v>
      </c>
      <c r="J56" s="650"/>
      <c r="K56" s="650"/>
      <c r="L56" s="650"/>
    </row>
    <row r="57" spans="2:12" x14ac:dyDescent="0.2">
      <c r="B57" s="647">
        <f t="shared" si="0"/>
        <v>46</v>
      </c>
      <c r="C57" s="648">
        <f t="shared" ca="1" si="1"/>
        <v>43585</v>
      </c>
      <c r="D57" s="649">
        <f t="shared" si="2"/>
        <v>1732665.98</v>
      </c>
      <c r="E57" s="649">
        <f t="shared" si="3"/>
        <v>5775.55</v>
      </c>
      <c r="F57" s="649">
        <f t="shared" si="4"/>
        <v>20372.920000000002</v>
      </c>
      <c r="G57" s="649">
        <f t="shared" si="5"/>
        <v>0</v>
      </c>
      <c r="H57" s="649">
        <f t="shared" si="6"/>
        <v>26148.47</v>
      </c>
      <c r="J57" s="650"/>
      <c r="K57" s="650"/>
      <c r="L57" s="650"/>
    </row>
    <row r="58" spans="2:12" x14ac:dyDescent="0.2">
      <c r="B58" s="647">
        <f t="shared" si="0"/>
        <v>47</v>
      </c>
      <c r="C58" s="648">
        <f t="shared" ca="1" si="1"/>
        <v>43615</v>
      </c>
      <c r="D58" s="649">
        <f t="shared" si="2"/>
        <v>1712293.06</v>
      </c>
      <c r="E58" s="649">
        <f t="shared" si="3"/>
        <v>5707.64</v>
      </c>
      <c r="F58" s="649">
        <f t="shared" si="4"/>
        <v>20440.830000000002</v>
      </c>
      <c r="G58" s="649">
        <f t="shared" si="5"/>
        <v>0</v>
      </c>
      <c r="H58" s="649">
        <f t="shared" si="6"/>
        <v>26148.47</v>
      </c>
      <c r="J58" s="650"/>
      <c r="K58" s="650"/>
      <c r="L58" s="650"/>
    </row>
    <row r="59" spans="2:12" x14ac:dyDescent="0.2">
      <c r="B59" s="647">
        <f t="shared" si="0"/>
        <v>48</v>
      </c>
      <c r="C59" s="648">
        <f t="shared" ca="1" si="1"/>
        <v>43646</v>
      </c>
      <c r="D59" s="649">
        <f t="shared" si="2"/>
        <v>1691852.23</v>
      </c>
      <c r="E59" s="649">
        <f t="shared" si="3"/>
        <v>5639.51</v>
      </c>
      <c r="F59" s="649">
        <f t="shared" si="4"/>
        <v>20508.96</v>
      </c>
      <c r="G59" s="649">
        <f t="shared" si="5"/>
        <v>0</v>
      </c>
      <c r="H59" s="649">
        <f t="shared" si="6"/>
        <v>26148.47</v>
      </c>
      <c r="J59" s="642">
        <f>D47-D59</f>
        <v>240857.15000000014</v>
      </c>
      <c r="K59" s="650"/>
      <c r="L59" s="650"/>
    </row>
    <row r="60" spans="2:12" x14ac:dyDescent="0.2">
      <c r="B60" s="640">
        <f t="shared" si="0"/>
        <v>49</v>
      </c>
      <c r="C60" s="641">
        <f t="shared" ca="1" si="1"/>
        <v>43676</v>
      </c>
      <c r="D60" s="642">
        <f t="shared" si="2"/>
        <v>1671343.27</v>
      </c>
      <c r="E60" s="642">
        <f t="shared" si="3"/>
        <v>5571.14</v>
      </c>
      <c r="F60" s="642">
        <f t="shared" si="4"/>
        <v>20577.330000000002</v>
      </c>
      <c r="G60" s="642">
        <f t="shared" si="5"/>
        <v>0</v>
      </c>
      <c r="H60" s="642">
        <f t="shared" si="6"/>
        <v>26148.47</v>
      </c>
      <c r="J60" s="650"/>
      <c r="K60" s="650"/>
      <c r="L60" s="650"/>
    </row>
    <row r="61" spans="2:12" x14ac:dyDescent="0.2">
      <c r="B61" s="640">
        <f t="shared" si="0"/>
        <v>50</v>
      </c>
      <c r="C61" s="641">
        <f t="shared" ca="1" si="1"/>
        <v>43707</v>
      </c>
      <c r="D61" s="642">
        <f t="shared" si="2"/>
        <v>1650765.94</v>
      </c>
      <c r="E61" s="642">
        <f t="shared" si="3"/>
        <v>5502.55</v>
      </c>
      <c r="F61" s="642">
        <f t="shared" si="4"/>
        <v>20645.920000000002</v>
      </c>
      <c r="G61" s="642">
        <f t="shared" si="5"/>
        <v>0</v>
      </c>
      <c r="H61" s="642">
        <f t="shared" si="6"/>
        <v>26148.47</v>
      </c>
      <c r="J61" s="650"/>
      <c r="K61" s="650"/>
      <c r="L61" s="650"/>
    </row>
    <row r="62" spans="2:12" x14ac:dyDescent="0.2">
      <c r="B62" s="640">
        <f t="shared" si="0"/>
        <v>51</v>
      </c>
      <c r="C62" s="641">
        <f t="shared" ca="1" si="1"/>
        <v>43738</v>
      </c>
      <c r="D62" s="642">
        <f t="shared" si="2"/>
        <v>1630120.02</v>
      </c>
      <c r="E62" s="642">
        <f t="shared" si="3"/>
        <v>5433.73</v>
      </c>
      <c r="F62" s="642">
        <f t="shared" si="4"/>
        <v>20714.740000000002</v>
      </c>
      <c r="G62" s="642">
        <f t="shared" si="5"/>
        <v>0</v>
      </c>
      <c r="H62" s="642">
        <f t="shared" si="6"/>
        <v>26148.47</v>
      </c>
      <c r="J62" s="650"/>
      <c r="K62" s="650"/>
      <c r="L62" s="650"/>
    </row>
    <row r="63" spans="2:12" x14ac:dyDescent="0.2">
      <c r="B63" s="640">
        <f t="shared" si="0"/>
        <v>52</v>
      </c>
      <c r="C63" s="641">
        <f t="shared" ca="1" si="1"/>
        <v>43768</v>
      </c>
      <c r="D63" s="642">
        <f t="shared" si="2"/>
        <v>1609405.28</v>
      </c>
      <c r="E63" s="642">
        <f t="shared" si="3"/>
        <v>5364.68</v>
      </c>
      <c r="F63" s="642">
        <f t="shared" si="4"/>
        <v>20783.79</v>
      </c>
      <c r="G63" s="642">
        <f t="shared" si="5"/>
        <v>0</v>
      </c>
      <c r="H63" s="642">
        <f t="shared" si="6"/>
        <v>26148.47</v>
      </c>
      <c r="J63" s="650"/>
      <c r="K63" s="650"/>
      <c r="L63" s="650"/>
    </row>
    <row r="64" spans="2:12" x14ac:dyDescent="0.2">
      <c r="B64" s="640">
        <f t="shared" si="0"/>
        <v>53</v>
      </c>
      <c r="C64" s="641">
        <f t="shared" ca="1" si="1"/>
        <v>43799</v>
      </c>
      <c r="D64" s="642">
        <f t="shared" si="2"/>
        <v>1588621.49</v>
      </c>
      <c r="E64" s="642">
        <f t="shared" si="3"/>
        <v>5295.4</v>
      </c>
      <c r="F64" s="642">
        <f t="shared" si="4"/>
        <v>20853.07</v>
      </c>
      <c r="G64" s="642">
        <f t="shared" si="5"/>
        <v>0</v>
      </c>
      <c r="H64" s="642">
        <f t="shared" si="6"/>
        <v>26148.47</v>
      </c>
      <c r="J64" s="650"/>
      <c r="K64" s="650"/>
      <c r="L64" s="650"/>
    </row>
    <row r="65" spans="2:12" x14ac:dyDescent="0.2">
      <c r="B65" s="640">
        <f t="shared" si="0"/>
        <v>54</v>
      </c>
      <c r="C65" s="641">
        <f t="shared" ca="1" si="1"/>
        <v>43829</v>
      </c>
      <c r="D65" s="642">
        <f t="shared" si="2"/>
        <v>1567768.42</v>
      </c>
      <c r="E65" s="642">
        <f t="shared" si="3"/>
        <v>5225.8900000000003</v>
      </c>
      <c r="F65" s="642">
        <f t="shared" si="4"/>
        <v>20922.580000000002</v>
      </c>
      <c r="G65" s="642">
        <f t="shared" si="5"/>
        <v>0</v>
      </c>
      <c r="H65" s="642">
        <f t="shared" si="6"/>
        <v>26148.47</v>
      </c>
      <c r="J65" s="650"/>
      <c r="K65" s="650"/>
      <c r="L65" s="650"/>
    </row>
    <row r="66" spans="2:12" x14ac:dyDescent="0.2">
      <c r="B66" s="640">
        <f t="shared" si="0"/>
        <v>55</v>
      </c>
      <c r="C66" s="641">
        <f t="shared" ca="1" si="1"/>
        <v>43860</v>
      </c>
      <c r="D66" s="642">
        <f t="shared" si="2"/>
        <v>1546845.8399999999</v>
      </c>
      <c r="E66" s="642">
        <f t="shared" si="3"/>
        <v>5156.1499999999996</v>
      </c>
      <c r="F66" s="642">
        <f t="shared" si="4"/>
        <v>20992.32</v>
      </c>
      <c r="G66" s="642">
        <f t="shared" si="5"/>
        <v>0</v>
      </c>
      <c r="H66" s="642">
        <f t="shared" si="6"/>
        <v>26148.47</v>
      </c>
      <c r="J66" s="650"/>
      <c r="K66" s="650"/>
      <c r="L66" s="650"/>
    </row>
    <row r="67" spans="2:12" x14ac:dyDescent="0.2">
      <c r="B67" s="640">
        <f t="shared" si="0"/>
        <v>56</v>
      </c>
      <c r="C67" s="641">
        <f t="shared" ca="1" si="1"/>
        <v>43890</v>
      </c>
      <c r="D67" s="642">
        <f t="shared" si="2"/>
        <v>1525853.5199999998</v>
      </c>
      <c r="E67" s="642">
        <f t="shared" si="3"/>
        <v>5086.18</v>
      </c>
      <c r="F67" s="642">
        <f t="shared" si="4"/>
        <v>21062.29</v>
      </c>
      <c r="G67" s="642">
        <f t="shared" si="5"/>
        <v>0</v>
      </c>
      <c r="H67" s="642">
        <f t="shared" si="6"/>
        <v>26148.47</v>
      </c>
      <c r="J67" s="650"/>
      <c r="K67" s="650"/>
      <c r="L67" s="650"/>
    </row>
    <row r="68" spans="2:12" x14ac:dyDescent="0.2">
      <c r="B68" s="640">
        <f t="shared" si="0"/>
        <v>57</v>
      </c>
      <c r="C68" s="641">
        <f t="shared" ca="1" si="1"/>
        <v>43920</v>
      </c>
      <c r="D68" s="642">
        <f t="shared" si="2"/>
        <v>1504791.2299999997</v>
      </c>
      <c r="E68" s="642">
        <f t="shared" si="3"/>
        <v>5015.97</v>
      </c>
      <c r="F68" s="642">
        <f t="shared" si="4"/>
        <v>21132.5</v>
      </c>
      <c r="G68" s="642">
        <f t="shared" si="5"/>
        <v>0</v>
      </c>
      <c r="H68" s="642">
        <f t="shared" si="6"/>
        <v>26148.47</v>
      </c>
      <c r="J68" s="650"/>
      <c r="K68" s="650"/>
      <c r="L68" s="650"/>
    </row>
    <row r="69" spans="2:12" x14ac:dyDescent="0.2">
      <c r="B69" s="640">
        <f t="shared" si="0"/>
        <v>58</v>
      </c>
      <c r="C69" s="641">
        <f t="shared" ca="1" si="1"/>
        <v>43951</v>
      </c>
      <c r="D69" s="642">
        <f t="shared" si="2"/>
        <v>1483658.7299999997</v>
      </c>
      <c r="E69" s="642">
        <f t="shared" si="3"/>
        <v>4945.53</v>
      </c>
      <c r="F69" s="642">
        <f t="shared" si="4"/>
        <v>21202.940000000002</v>
      </c>
      <c r="G69" s="642">
        <f t="shared" si="5"/>
        <v>0</v>
      </c>
      <c r="H69" s="642">
        <f t="shared" si="6"/>
        <v>26148.47</v>
      </c>
      <c r="J69" s="650"/>
      <c r="K69" s="650"/>
      <c r="L69" s="650"/>
    </row>
    <row r="70" spans="2:12" x14ac:dyDescent="0.2">
      <c r="B70" s="640">
        <f t="shared" si="0"/>
        <v>59</v>
      </c>
      <c r="C70" s="641">
        <f t="shared" ca="1" si="1"/>
        <v>43981</v>
      </c>
      <c r="D70" s="642">
        <f t="shared" si="2"/>
        <v>1462455.7899999998</v>
      </c>
      <c r="E70" s="642">
        <f t="shared" si="3"/>
        <v>4874.8500000000004</v>
      </c>
      <c r="F70" s="642">
        <f t="shared" si="4"/>
        <v>21273.620000000003</v>
      </c>
      <c r="G70" s="642">
        <f t="shared" si="5"/>
        <v>0</v>
      </c>
      <c r="H70" s="642">
        <f t="shared" si="6"/>
        <v>26148.47</v>
      </c>
      <c r="J70" s="650"/>
      <c r="K70" s="650"/>
      <c r="L70" s="650"/>
    </row>
    <row r="71" spans="2:12" x14ac:dyDescent="0.2">
      <c r="B71" s="640">
        <f t="shared" si="0"/>
        <v>60</v>
      </c>
      <c r="C71" s="641">
        <f t="shared" ca="1" si="1"/>
        <v>44012</v>
      </c>
      <c r="D71" s="642">
        <f t="shared" si="2"/>
        <v>1441182.1699999997</v>
      </c>
      <c r="E71" s="642">
        <f t="shared" si="3"/>
        <v>4803.9399999999996</v>
      </c>
      <c r="F71" s="642">
        <f t="shared" si="4"/>
        <v>21344.530000000002</v>
      </c>
      <c r="G71" s="642">
        <f t="shared" si="5"/>
        <v>0</v>
      </c>
      <c r="H71" s="642">
        <f t="shared" si="6"/>
        <v>26148.47</v>
      </c>
      <c r="J71" s="642">
        <f>D59-D71</f>
        <v>250670.06000000029</v>
      </c>
      <c r="K71" s="650"/>
      <c r="L71" s="650"/>
    </row>
    <row r="72" spans="2:12" x14ac:dyDescent="0.2">
      <c r="B72" s="647">
        <f t="shared" si="0"/>
        <v>61</v>
      </c>
      <c r="C72" s="648">
        <f t="shared" ca="1" si="1"/>
        <v>44042</v>
      </c>
      <c r="D72" s="649">
        <f t="shared" si="2"/>
        <v>1419837.6399999997</v>
      </c>
      <c r="E72" s="649">
        <f t="shared" si="3"/>
        <v>4732.79</v>
      </c>
      <c r="F72" s="649">
        <f t="shared" si="4"/>
        <v>21415.68</v>
      </c>
      <c r="G72" s="649">
        <f t="shared" si="5"/>
        <v>0</v>
      </c>
      <c r="H72" s="649">
        <f t="shared" si="6"/>
        <v>26148.47</v>
      </c>
      <c r="J72" s="650"/>
      <c r="K72" s="650"/>
      <c r="L72" s="650"/>
    </row>
    <row r="73" spans="2:12" x14ac:dyDescent="0.2">
      <c r="B73" s="647">
        <f t="shared" si="0"/>
        <v>62</v>
      </c>
      <c r="C73" s="648">
        <f t="shared" ca="1" si="1"/>
        <v>44073</v>
      </c>
      <c r="D73" s="649">
        <f t="shared" si="2"/>
        <v>1398421.9599999997</v>
      </c>
      <c r="E73" s="649">
        <f t="shared" si="3"/>
        <v>4661.41</v>
      </c>
      <c r="F73" s="649">
        <f t="shared" si="4"/>
        <v>21487.06</v>
      </c>
      <c r="G73" s="649">
        <f t="shared" si="5"/>
        <v>0</v>
      </c>
      <c r="H73" s="649">
        <f t="shared" si="6"/>
        <v>26148.47</v>
      </c>
      <c r="J73" s="650"/>
      <c r="K73" s="650"/>
      <c r="L73" s="650"/>
    </row>
    <row r="74" spans="2:12" x14ac:dyDescent="0.2">
      <c r="B74" s="647">
        <f t="shared" si="0"/>
        <v>63</v>
      </c>
      <c r="C74" s="648">
        <f t="shared" ca="1" si="1"/>
        <v>44104</v>
      </c>
      <c r="D74" s="649">
        <f t="shared" si="2"/>
        <v>1376934.8999999997</v>
      </c>
      <c r="E74" s="649">
        <f t="shared" si="3"/>
        <v>4589.78</v>
      </c>
      <c r="F74" s="649">
        <f t="shared" si="4"/>
        <v>21558.690000000002</v>
      </c>
      <c r="G74" s="649">
        <f t="shared" si="5"/>
        <v>0</v>
      </c>
      <c r="H74" s="649">
        <f t="shared" si="6"/>
        <v>26148.47</v>
      </c>
      <c r="J74" s="650"/>
      <c r="K74" s="650"/>
      <c r="L74" s="650"/>
    </row>
    <row r="75" spans="2:12" x14ac:dyDescent="0.2">
      <c r="B75" s="647">
        <f t="shared" si="0"/>
        <v>64</v>
      </c>
      <c r="C75" s="648">
        <f t="shared" ca="1" si="1"/>
        <v>44134</v>
      </c>
      <c r="D75" s="649">
        <f t="shared" si="2"/>
        <v>1355376.2099999997</v>
      </c>
      <c r="E75" s="649">
        <f t="shared" si="3"/>
        <v>4517.92</v>
      </c>
      <c r="F75" s="649">
        <f t="shared" si="4"/>
        <v>21630.550000000003</v>
      </c>
      <c r="G75" s="649">
        <f t="shared" si="5"/>
        <v>0</v>
      </c>
      <c r="H75" s="649">
        <f t="shared" si="6"/>
        <v>26148.47</v>
      </c>
      <c r="J75" s="650"/>
      <c r="K75" s="650"/>
      <c r="L75" s="650"/>
    </row>
    <row r="76" spans="2:12" x14ac:dyDescent="0.2">
      <c r="B76" s="647">
        <f t="shared" ref="B76:B139" si="7">IF(B75&lt;$L$3,B75+1,"-")</f>
        <v>65</v>
      </c>
      <c r="C76" s="648">
        <f t="shared" ref="C76:C139" ca="1" si="8">IF(ISNUMBER(B76),MIN(DATE(YEAR($C$11),MONTH($C$11)+B76*12/$P$5,DAY($C$11)),DATE(YEAR($C$11),MONTH($C$11)+1+B76*12/$P$5,1)-1),"")</f>
        <v>44165</v>
      </c>
      <c r="D76" s="649">
        <f t="shared" ref="D76:D131" si="9">IF(ISNUMBER(B76),D75-F75,"")</f>
        <v>1333745.6599999997</v>
      </c>
      <c r="E76" s="649">
        <f t="shared" ref="E76:E139" si="10">IF(ISNUMBER(B76),ROUND(D76*$L$7,$R$6),"")</f>
        <v>4445.82</v>
      </c>
      <c r="F76" s="649">
        <f t="shared" ref="F76:F139" si="11">IF(ISNUMBER(B76),IF(B76=$L$3,D76,IF(B76&gt;$L$4,$H$3-E76,0)),"")</f>
        <v>21702.65</v>
      </c>
      <c r="G76" s="649">
        <f t="shared" ref="G76:G139" si="12">IF(ISNUMBER(B76),$H$4,"")</f>
        <v>0</v>
      </c>
      <c r="H76" s="649">
        <f t="shared" ref="H76:H139" si="13">IF(ISNUMBER(B76),E76+F76+G76,"")</f>
        <v>26148.47</v>
      </c>
      <c r="J76" s="650"/>
      <c r="K76" s="650"/>
      <c r="L76" s="650"/>
    </row>
    <row r="77" spans="2:12" x14ac:dyDescent="0.2">
      <c r="B77" s="647">
        <f t="shared" si="7"/>
        <v>66</v>
      </c>
      <c r="C77" s="648">
        <f t="shared" ca="1" si="8"/>
        <v>44195</v>
      </c>
      <c r="D77" s="649">
        <f t="shared" si="9"/>
        <v>1312043.0099999998</v>
      </c>
      <c r="E77" s="649">
        <f t="shared" si="10"/>
        <v>4373.4799999999996</v>
      </c>
      <c r="F77" s="649">
        <f t="shared" si="11"/>
        <v>21774.99</v>
      </c>
      <c r="G77" s="649">
        <f t="shared" si="12"/>
        <v>0</v>
      </c>
      <c r="H77" s="649">
        <f t="shared" si="13"/>
        <v>26148.47</v>
      </c>
      <c r="J77" s="650"/>
      <c r="K77" s="650"/>
      <c r="L77" s="650"/>
    </row>
    <row r="78" spans="2:12" x14ac:dyDescent="0.2">
      <c r="B78" s="647">
        <f t="shared" si="7"/>
        <v>67</v>
      </c>
      <c r="C78" s="648">
        <f t="shared" ca="1" si="8"/>
        <v>44226</v>
      </c>
      <c r="D78" s="649">
        <f t="shared" si="9"/>
        <v>1290268.0199999998</v>
      </c>
      <c r="E78" s="649">
        <f t="shared" si="10"/>
        <v>4300.8900000000003</v>
      </c>
      <c r="F78" s="649">
        <f t="shared" si="11"/>
        <v>21847.58</v>
      </c>
      <c r="G78" s="649">
        <f t="shared" si="12"/>
        <v>0</v>
      </c>
      <c r="H78" s="649">
        <f t="shared" si="13"/>
        <v>26148.47</v>
      </c>
      <c r="J78" s="650"/>
      <c r="K78" s="650"/>
      <c r="L78" s="650"/>
    </row>
    <row r="79" spans="2:12" x14ac:dyDescent="0.2">
      <c r="B79" s="647">
        <f t="shared" si="7"/>
        <v>68</v>
      </c>
      <c r="C79" s="648">
        <f t="shared" ca="1" si="8"/>
        <v>44255</v>
      </c>
      <c r="D79" s="649">
        <f t="shared" si="9"/>
        <v>1268420.4399999997</v>
      </c>
      <c r="E79" s="649">
        <f t="shared" si="10"/>
        <v>4228.07</v>
      </c>
      <c r="F79" s="649">
        <f t="shared" si="11"/>
        <v>21920.400000000001</v>
      </c>
      <c r="G79" s="649">
        <f t="shared" si="12"/>
        <v>0</v>
      </c>
      <c r="H79" s="649">
        <f t="shared" si="13"/>
        <v>26148.47</v>
      </c>
      <c r="J79" s="650"/>
      <c r="K79" s="650"/>
      <c r="L79" s="650"/>
    </row>
    <row r="80" spans="2:12" x14ac:dyDescent="0.2">
      <c r="B80" s="647">
        <f t="shared" si="7"/>
        <v>69</v>
      </c>
      <c r="C80" s="648">
        <f t="shared" ca="1" si="8"/>
        <v>44285</v>
      </c>
      <c r="D80" s="649">
        <f t="shared" si="9"/>
        <v>1246500.0399999998</v>
      </c>
      <c r="E80" s="649">
        <f t="shared" si="10"/>
        <v>4155</v>
      </c>
      <c r="F80" s="649">
        <f t="shared" si="11"/>
        <v>21993.47</v>
      </c>
      <c r="G80" s="649">
        <f t="shared" si="12"/>
        <v>0</v>
      </c>
      <c r="H80" s="649">
        <f t="shared" si="13"/>
        <v>26148.47</v>
      </c>
      <c r="J80" s="650"/>
      <c r="K80" s="650"/>
      <c r="L80" s="650"/>
    </row>
    <row r="81" spans="2:12" x14ac:dyDescent="0.2">
      <c r="B81" s="647">
        <f t="shared" si="7"/>
        <v>70</v>
      </c>
      <c r="C81" s="648">
        <f t="shared" ca="1" si="8"/>
        <v>44316</v>
      </c>
      <c r="D81" s="649">
        <f t="shared" si="9"/>
        <v>1224506.5699999998</v>
      </c>
      <c r="E81" s="649">
        <f t="shared" si="10"/>
        <v>4081.69</v>
      </c>
      <c r="F81" s="649">
        <f t="shared" si="11"/>
        <v>22066.780000000002</v>
      </c>
      <c r="G81" s="649">
        <f t="shared" si="12"/>
        <v>0</v>
      </c>
      <c r="H81" s="649">
        <f t="shared" si="13"/>
        <v>26148.47</v>
      </c>
      <c r="J81" s="650"/>
      <c r="K81" s="650"/>
      <c r="L81" s="650"/>
    </row>
    <row r="82" spans="2:12" x14ac:dyDescent="0.2">
      <c r="B82" s="647">
        <f t="shared" si="7"/>
        <v>71</v>
      </c>
      <c r="C82" s="648">
        <f t="shared" ca="1" si="8"/>
        <v>44346</v>
      </c>
      <c r="D82" s="649">
        <f t="shared" si="9"/>
        <v>1202439.7899999998</v>
      </c>
      <c r="E82" s="649">
        <f t="shared" si="10"/>
        <v>4008.13</v>
      </c>
      <c r="F82" s="649">
        <f t="shared" si="11"/>
        <v>22140.34</v>
      </c>
      <c r="G82" s="649">
        <f t="shared" si="12"/>
        <v>0</v>
      </c>
      <c r="H82" s="649">
        <f t="shared" si="13"/>
        <v>26148.47</v>
      </c>
      <c r="J82" s="650"/>
      <c r="K82" s="650"/>
      <c r="L82" s="650"/>
    </row>
    <row r="83" spans="2:12" x14ac:dyDescent="0.2">
      <c r="B83" s="647">
        <f t="shared" si="7"/>
        <v>72</v>
      </c>
      <c r="C83" s="648">
        <f t="shared" ca="1" si="8"/>
        <v>44377</v>
      </c>
      <c r="D83" s="649">
        <f t="shared" si="9"/>
        <v>1180299.4499999997</v>
      </c>
      <c r="E83" s="649">
        <f t="shared" si="10"/>
        <v>3934.33</v>
      </c>
      <c r="F83" s="649">
        <f t="shared" si="11"/>
        <v>22214.14</v>
      </c>
      <c r="G83" s="649">
        <f t="shared" si="12"/>
        <v>0</v>
      </c>
      <c r="H83" s="649">
        <f t="shared" si="13"/>
        <v>26148.47</v>
      </c>
      <c r="J83" s="642">
        <f>D71-D83</f>
        <v>260882.71999999997</v>
      </c>
      <c r="K83" s="650"/>
      <c r="L83" s="650"/>
    </row>
    <row r="84" spans="2:12" x14ac:dyDescent="0.2">
      <c r="B84" s="651">
        <f t="shared" si="7"/>
        <v>73</v>
      </c>
      <c r="C84" s="652">
        <f t="shared" ca="1" si="8"/>
        <v>44407</v>
      </c>
      <c r="D84" s="653">
        <f t="shared" si="9"/>
        <v>1158085.3099999998</v>
      </c>
      <c r="E84" s="653">
        <f t="shared" si="10"/>
        <v>3860.28</v>
      </c>
      <c r="F84" s="653">
        <f t="shared" si="11"/>
        <v>22288.190000000002</v>
      </c>
      <c r="G84" s="653">
        <f t="shared" si="12"/>
        <v>0</v>
      </c>
      <c r="H84" s="653">
        <f t="shared" si="13"/>
        <v>26148.47</v>
      </c>
      <c r="J84" s="650"/>
      <c r="K84" s="650"/>
      <c r="L84" s="650"/>
    </row>
    <row r="85" spans="2:12" x14ac:dyDescent="0.2">
      <c r="B85" s="651">
        <f t="shared" si="7"/>
        <v>74</v>
      </c>
      <c r="C85" s="652">
        <f t="shared" ca="1" si="8"/>
        <v>44438</v>
      </c>
      <c r="D85" s="653">
        <f t="shared" si="9"/>
        <v>1135797.1199999999</v>
      </c>
      <c r="E85" s="653">
        <f t="shared" si="10"/>
        <v>3785.99</v>
      </c>
      <c r="F85" s="653">
        <f t="shared" si="11"/>
        <v>22362.480000000003</v>
      </c>
      <c r="G85" s="653">
        <f t="shared" si="12"/>
        <v>0</v>
      </c>
      <c r="H85" s="653">
        <f t="shared" si="13"/>
        <v>26148.47</v>
      </c>
      <c r="J85" s="650"/>
      <c r="K85" s="650"/>
      <c r="L85" s="650"/>
    </row>
    <row r="86" spans="2:12" x14ac:dyDescent="0.2">
      <c r="B86" s="651">
        <f t="shared" si="7"/>
        <v>75</v>
      </c>
      <c r="C86" s="652">
        <f t="shared" ca="1" si="8"/>
        <v>44469</v>
      </c>
      <c r="D86" s="653">
        <f t="shared" si="9"/>
        <v>1113434.6399999999</v>
      </c>
      <c r="E86" s="653">
        <f t="shared" si="10"/>
        <v>3711.45</v>
      </c>
      <c r="F86" s="653">
        <f t="shared" si="11"/>
        <v>22437.02</v>
      </c>
      <c r="G86" s="653">
        <f t="shared" si="12"/>
        <v>0</v>
      </c>
      <c r="H86" s="653">
        <f t="shared" si="13"/>
        <v>26148.47</v>
      </c>
      <c r="J86" s="650"/>
      <c r="K86" s="650"/>
      <c r="L86" s="650"/>
    </row>
    <row r="87" spans="2:12" x14ac:dyDescent="0.2">
      <c r="B87" s="651">
        <f t="shared" si="7"/>
        <v>76</v>
      </c>
      <c r="C87" s="652">
        <f t="shared" ca="1" si="8"/>
        <v>44499</v>
      </c>
      <c r="D87" s="653">
        <f t="shared" si="9"/>
        <v>1090997.6199999999</v>
      </c>
      <c r="E87" s="653">
        <f t="shared" si="10"/>
        <v>3636.66</v>
      </c>
      <c r="F87" s="653">
        <f t="shared" si="11"/>
        <v>22511.81</v>
      </c>
      <c r="G87" s="653">
        <f t="shared" si="12"/>
        <v>0</v>
      </c>
      <c r="H87" s="653">
        <f t="shared" si="13"/>
        <v>26148.47</v>
      </c>
      <c r="J87" s="650"/>
      <c r="K87" s="650"/>
      <c r="L87" s="650"/>
    </row>
    <row r="88" spans="2:12" x14ac:dyDescent="0.2">
      <c r="B88" s="651">
        <f t="shared" si="7"/>
        <v>77</v>
      </c>
      <c r="C88" s="652">
        <f t="shared" ca="1" si="8"/>
        <v>44530</v>
      </c>
      <c r="D88" s="653">
        <f t="shared" si="9"/>
        <v>1068485.8099999998</v>
      </c>
      <c r="E88" s="653">
        <f t="shared" si="10"/>
        <v>3561.62</v>
      </c>
      <c r="F88" s="653">
        <f t="shared" si="11"/>
        <v>22586.850000000002</v>
      </c>
      <c r="G88" s="653">
        <f t="shared" si="12"/>
        <v>0</v>
      </c>
      <c r="H88" s="653">
        <f t="shared" si="13"/>
        <v>26148.47</v>
      </c>
      <c r="J88" s="650"/>
      <c r="K88" s="650"/>
      <c r="L88" s="650"/>
    </row>
    <row r="89" spans="2:12" x14ac:dyDescent="0.2">
      <c r="B89" s="651">
        <f t="shared" si="7"/>
        <v>78</v>
      </c>
      <c r="C89" s="652">
        <f t="shared" ca="1" si="8"/>
        <v>44560</v>
      </c>
      <c r="D89" s="653">
        <f t="shared" si="9"/>
        <v>1045898.9599999998</v>
      </c>
      <c r="E89" s="653">
        <f t="shared" si="10"/>
        <v>3486.33</v>
      </c>
      <c r="F89" s="653">
        <f t="shared" si="11"/>
        <v>22662.14</v>
      </c>
      <c r="G89" s="653">
        <f t="shared" si="12"/>
        <v>0</v>
      </c>
      <c r="H89" s="653">
        <f t="shared" si="13"/>
        <v>26148.47</v>
      </c>
      <c r="J89" s="650"/>
      <c r="K89" s="650"/>
      <c r="L89" s="650"/>
    </row>
    <row r="90" spans="2:12" x14ac:dyDescent="0.2">
      <c r="B90" s="651">
        <f t="shared" si="7"/>
        <v>79</v>
      </c>
      <c r="C90" s="652">
        <f t="shared" ca="1" si="8"/>
        <v>44591</v>
      </c>
      <c r="D90" s="653">
        <f t="shared" si="9"/>
        <v>1023236.8199999998</v>
      </c>
      <c r="E90" s="653">
        <f t="shared" si="10"/>
        <v>3410.79</v>
      </c>
      <c r="F90" s="653">
        <f t="shared" si="11"/>
        <v>22737.68</v>
      </c>
      <c r="G90" s="653">
        <f t="shared" si="12"/>
        <v>0</v>
      </c>
      <c r="H90" s="653">
        <f t="shared" si="13"/>
        <v>26148.47</v>
      </c>
      <c r="J90" s="650"/>
      <c r="K90" s="650"/>
      <c r="L90" s="650"/>
    </row>
    <row r="91" spans="2:12" x14ac:dyDescent="0.2">
      <c r="B91" s="651">
        <f t="shared" si="7"/>
        <v>80</v>
      </c>
      <c r="C91" s="652">
        <f t="shared" ca="1" si="8"/>
        <v>44620</v>
      </c>
      <c r="D91" s="653">
        <f t="shared" si="9"/>
        <v>1000499.1399999998</v>
      </c>
      <c r="E91" s="653">
        <f t="shared" si="10"/>
        <v>3335</v>
      </c>
      <c r="F91" s="653">
        <f t="shared" si="11"/>
        <v>22813.47</v>
      </c>
      <c r="G91" s="653">
        <f t="shared" si="12"/>
        <v>0</v>
      </c>
      <c r="H91" s="653">
        <f t="shared" si="13"/>
        <v>26148.47</v>
      </c>
      <c r="J91" s="650"/>
      <c r="K91" s="650"/>
      <c r="L91" s="650"/>
    </row>
    <row r="92" spans="2:12" x14ac:dyDescent="0.2">
      <c r="B92" s="651">
        <f t="shared" si="7"/>
        <v>81</v>
      </c>
      <c r="C92" s="652">
        <f t="shared" ca="1" si="8"/>
        <v>44650</v>
      </c>
      <c r="D92" s="653">
        <f t="shared" si="9"/>
        <v>977685.66999999981</v>
      </c>
      <c r="E92" s="653">
        <f t="shared" si="10"/>
        <v>3258.95</v>
      </c>
      <c r="F92" s="653">
        <f t="shared" si="11"/>
        <v>22889.52</v>
      </c>
      <c r="G92" s="653">
        <f t="shared" si="12"/>
        <v>0</v>
      </c>
      <c r="H92" s="653">
        <f t="shared" si="13"/>
        <v>26148.47</v>
      </c>
      <c r="J92" s="650"/>
      <c r="K92" s="650"/>
      <c r="L92" s="650"/>
    </row>
    <row r="93" spans="2:12" x14ac:dyDescent="0.2">
      <c r="B93" s="651">
        <f t="shared" si="7"/>
        <v>82</v>
      </c>
      <c r="C93" s="652">
        <f t="shared" ca="1" si="8"/>
        <v>44681</v>
      </c>
      <c r="D93" s="653">
        <f t="shared" si="9"/>
        <v>954796.14999999979</v>
      </c>
      <c r="E93" s="653">
        <f t="shared" si="10"/>
        <v>3182.65</v>
      </c>
      <c r="F93" s="653">
        <f t="shared" si="11"/>
        <v>22965.82</v>
      </c>
      <c r="G93" s="653">
        <f t="shared" si="12"/>
        <v>0</v>
      </c>
      <c r="H93" s="653">
        <f t="shared" si="13"/>
        <v>26148.47</v>
      </c>
      <c r="J93" s="650"/>
      <c r="K93" s="650"/>
      <c r="L93" s="650"/>
    </row>
    <row r="94" spans="2:12" x14ac:dyDescent="0.2">
      <c r="B94" s="651">
        <f t="shared" si="7"/>
        <v>83</v>
      </c>
      <c r="C94" s="652">
        <f t="shared" ca="1" si="8"/>
        <v>44711</v>
      </c>
      <c r="D94" s="653">
        <f t="shared" si="9"/>
        <v>931830.32999999984</v>
      </c>
      <c r="E94" s="653">
        <f t="shared" si="10"/>
        <v>3106.1</v>
      </c>
      <c r="F94" s="653">
        <f t="shared" si="11"/>
        <v>23042.370000000003</v>
      </c>
      <c r="G94" s="653">
        <f t="shared" si="12"/>
        <v>0</v>
      </c>
      <c r="H94" s="653">
        <f t="shared" si="13"/>
        <v>26148.47</v>
      </c>
      <c r="J94" s="650"/>
      <c r="K94" s="650"/>
      <c r="L94" s="650"/>
    </row>
    <row r="95" spans="2:12" x14ac:dyDescent="0.2">
      <c r="B95" s="651">
        <f t="shared" si="7"/>
        <v>84</v>
      </c>
      <c r="C95" s="652">
        <f t="shared" ca="1" si="8"/>
        <v>44742</v>
      </c>
      <c r="D95" s="653">
        <f t="shared" si="9"/>
        <v>908787.95999999985</v>
      </c>
      <c r="E95" s="653">
        <f t="shared" si="10"/>
        <v>3029.29</v>
      </c>
      <c r="F95" s="653">
        <f t="shared" si="11"/>
        <v>23119.18</v>
      </c>
      <c r="G95" s="653">
        <f t="shared" si="12"/>
        <v>0</v>
      </c>
      <c r="H95" s="653">
        <f t="shared" si="13"/>
        <v>26148.47</v>
      </c>
      <c r="J95" s="642">
        <f>D83-D95</f>
        <v>271511.48999999987</v>
      </c>
      <c r="K95" s="650"/>
      <c r="L95" s="650"/>
    </row>
    <row r="96" spans="2:12" x14ac:dyDescent="0.2">
      <c r="B96" s="647">
        <f t="shared" si="7"/>
        <v>85</v>
      </c>
      <c r="C96" s="648">
        <f t="shared" ca="1" si="8"/>
        <v>44772</v>
      </c>
      <c r="D96" s="649">
        <f t="shared" si="9"/>
        <v>885668.7799999998</v>
      </c>
      <c r="E96" s="649">
        <f t="shared" si="10"/>
        <v>2952.23</v>
      </c>
      <c r="F96" s="649">
        <f t="shared" si="11"/>
        <v>23196.240000000002</v>
      </c>
      <c r="G96" s="649">
        <f t="shared" si="12"/>
        <v>0</v>
      </c>
      <c r="H96" s="649">
        <f t="shared" si="13"/>
        <v>26148.47</v>
      </c>
      <c r="J96" s="650"/>
      <c r="K96" s="650"/>
      <c r="L96" s="650"/>
    </row>
    <row r="97" spans="2:12" x14ac:dyDescent="0.2">
      <c r="B97" s="647">
        <f t="shared" si="7"/>
        <v>86</v>
      </c>
      <c r="C97" s="648">
        <f t="shared" ca="1" si="8"/>
        <v>44803</v>
      </c>
      <c r="D97" s="649">
        <f t="shared" si="9"/>
        <v>862472.5399999998</v>
      </c>
      <c r="E97" s="649">
        <f t="shared" si="10"/>
        <v>2874.91</v>
      </c>
      <c r="F97" s="649">
        <f t="shared" si="11"/>
        <v>23273.56</v>
      </c>
      <c r="G97" s="649">
        <f t="shared" si="12"/>
        <v>0</v>
      </c>
      <c r="H97" s="649">
        <f t="shared" si="13"/>
        <v>26148.47</v>
      </c>
      <c r="J97" s="650"/>
      <c r="K97" s="650"/>
      <c r="L97" s="650"/>
    </row>
    <row r="98" spans="2:12" x14ac:dyDescent="0.2">
      <c r="B98" s="647">
        <f t="shared" si="7"/>
        <v>87</v>
      </c>
      <c r="C98" s="648">
        <f t="shared" ca="1" si="8"/>
        <v>44834</v>
      </c>
      <c r="D98" s="649">
        <f t="shared" si="9"/>
        <v>839198.97999999975</v>
      </c>
      <c r="E98" s="649">
        <f t="shared" si="10"/>
        <v>2797.33</v>
      </c>
      <c r="F98" s="649">
        <f t="shared" si="11"/>
        <v>23351.14</v>
      </c>
      <c r="G98" s="649">
        <f t="shared" si="12"/>
        <v>0</v>
      </c>
      <c r="H98" s="649">
        <f t="shared" si="13"/>
        <v>26148.47</v>
      </c>
      <c r="J98" s="650"/>
      <c r="K98" s="650"/>
      <c r="L98" s="650"/>
    </row>
    <row r="99" spans="2:12" x14ac:dyDescent="0.2">
      <c r="B99" s="647">
        <f t="shared" si="7"/>
        <v>88</v>
      </c>
      <c r="C99" s="648">
        <f t="shared" ca="1" si="8"/>
        <v>44864</v>
      </c>
      <c r="D99" s="649">
        <f t="shared" si="9"/>
        <v>815847.83999999973</v>
      </c>
      <c r="E99" s="649">
        <f t="shared" si="10"/>
        <v>2719.49</v>
      </c>
      <c r="F99" s="649">
        <f t="shared" si="11"/>
        <v>23428.980000000003</v>
      </c>
      <c r="G99" s="649">
        <f t="shared" si="12"/>
        <v>0</v>
      </c>
      <c r="H99" s="649">
        <f t="shared" si="13"/>
        <v>26148.47</v>
      </c>
      <c r="J99" s="650"/>
      <c r="K99" s="650"/>
      <c r="L99" s="650"/>
    </row>
    <row r="100" spans="2:12" x14ac:dyDescent="0.2">
      <c r="B100" s="647">
        <f t="shared" si="7"/>
        <v>89</v>
      </c>
      <c r="C100" s="648">
        <f t="shared" ca="1" si="8"/>
        <v>44895</v>
      </c>
      <c r="D100" s="649">
        <f t="shared" si="9"/>
        <v>792418.85999999975</v>
      </c>
      <c r="E100" s="649">
        <f t="shared" si="10"/>
        <v>2641.4</v>
      </c>
      <c r="F100" s="649">
        <f t="shared" si="11"/>
        <v>23507.07</v>
      </c>
      <c r="G100" s="649">
        <f t="shared" si="12"/>
        <v>0</v>
      </c>
      <c r="H100" s="649">
        <f t="shared" si="13"/>
        <v>26148.47</v>
      </c>
      <c r="J100" s="650"/>
      <c r="K100" s="650"/>
      <c r="L100" s="650"/>
    </row>
    <row r="101" spans="2:12" x14ac:dyDescent="0.2">
      <c r="B101" s="647">
        <f t="shared" si="7"/>
        <v>90</v>
      </c>
      <c r="C101" s="648">
        <f t="shared" ca="1" si="8"/>
        <v>44925</v>
      </c>
      <c r="D101" s="649">
        <f t="shared" si="9"/>
        <v>768911.7899999998</v>
      </c>
      <c r="E101" s="649">
        <f t="shared" si="10"/>
        <v>2563.04</v>
      </c>
      <c r="F101" s="649">
        <f t="shared" si="11"/>
        <v>23585.43</v>
      </c>
      <c r="G101" s="649">
        <f t="shared" si="12"/>
        <v>0</v>
      </c>
      <c r="H101" s="649">
        <f t="shared" si="13"/>
        <v>26148.47</v>
      </c>
      <c r="J101" s="650"/>
      <c r="K101" s="650"/>
      <c r="L101" s="650"/>
    </row>
    <row r="102" spans="2:12" x14ac:dyDescent="0.2">
      <c r="B102" s="647">
        <f t="shared" si="7"/>
        <v>91</v>
      </c>
      <c r="C102" s="648">
        <f t="shared" ca="1" si="8"/>
        <v>44956</v>
      </c>
      <c r="D102" s="649">
        <f t="shared" si="9"/>
        <v>745326.35999999975</v>
      </c>
      <c r="E102" s="649">
        <f t="shared" si="10"/>
        <v>2484.42</v>
      </c>
      <c r="F102" s="649">
        <f t="shared" si="11"/>
        <v>23664.050000000003</v>
      </c>
      <c r="G102" s="649">
        <f t="shared" si="12"/>
        <v>0</v>
      </c>
      <c r="H102" s="649">
        <f t="shared" si="13"/>
        <v>26148.47</v>
      </c>
      <c r="J102" s="650"/>
      <c r="K102" s="650"/>
      <c r="L102" s="650"/>
    </row>
    <row r="103" spans="2:12" x14ac:dyDescent="0.2">
      <c r="B103" s="647">
        <f t="shared" si="7"/>
        <v>92</v>
      </c>
      <c r="C103" s="648">
        <f t="shared" ca="1" si="8"/>
        <v>44985</v>
      </c>
      <c r="D103" s="649">
        <f t="shared" si="9"/>
        <v>721662.30999999971</v>
      </c>
      <c r="E103" s="649">
        <f t="shared" si="10"/>
        <v>2405.54</v>
      </c>
      <c r="F103" s="649">
        <f t="shared" si="11"/>
        <v>23742.93</v>
      </c>
      <c r="G103" s="649">
        <f t="shared" si="12"/>
        <v>0</v>
      </c>
      <c r="H103" s="649">
        <f t="shared" si="13"/>
        <v>26148.47</v>
      </c>
      <c r="J103" s="650"/>
      <c r="K103" s="650"/>
      <c r="L103" s="650"/>
    </row>
    <row r="104" spans="2:12" x14ac:dyDescent="0.2">
      <c r="B104" s="647">
        <f t="shared" si="7"/>
        <v>93</v>
      </c>
      <c r="C104" s="648">
        <f t="shared" ca="1" si="8"/>
        <v>45015</v>
      </c>
      <c r="D104" s="649">
        <f t="shared" si="9"/>
        <v>697919.37999999966</v>
      </c>
      <c r="E104" s="649">
        <f t="shared" si="10"/>
        <v>2326.4</v>
      </c>
      <c r="F104" s="649">
        <f t="shared" si="11"/>
        <v>23822.07</v>
      </c>
      <c r="G104" s="649">
        <f t="shared" si="12"/>
        <v>0</v>
      </c>
      <c r="H104" s="649">
        <f t="shared" si="13"/>
        <v>26148.47</v>
      </c>
      <c r="J104" s="650"/>
      <c r="K104" s="650"/>
      <c r="L104" s="650"/>
    </row>
    <row r="105" spans="2:12" x14ac:dyDescent="0.2">
      <c r="B105" s="647">
        <f t="shared" si="7"/>
        <v>94</v>
      </c>
      <c r="C105" s="648">
        <f t="shared" ca="1" si="8"/>
        <v>45046</v>
      </c>
      <c r="D105" s="649">
        <f t="shared" si="9"/>
        <v>674097.30999999971</v>
      </c>
      <c r="E105" s="649">
        <f t="shared" si="10"/>
        <v>2246.9899999999998</v>
      </c>
      <c r="F105" s="649">
        <f t="shared" si="11"/>
        <v>23901.480000000003</v>
      </c>
      <c r="G105" s="649">
        <f t="shared" si="12"/>
        <v>0</v>
      </c>
      <c r="H105" s="649">
        <f t="shared" si="13"/>
        <v>26148.47</v>
      </c>
      <c r="J105" s="650"/>
      <c r="K105" s="650"/>
      <c r="L105" s="650"/>
    </row>
    <row r="106" spans="2:12" x14ac:dyDescent="0.2">
      <c r="B106" s="647">
        <f t="shared" si="7"/>
        <v>95</v>
      </c>
      <c r="C106" s="648">
        <f t="shared" ca="1" si="8"/>
        <v>45076</v>
      </c>
      <c r="D106" s="649">
        <f t="shared" si="9"/>
        <v>650195.82999999973</v>
      </c>
      <c r="E106" s="649">
        <f t="shared" si="10"/>
        <v>2167.3200000000002</v>
      </c>
      <c r="F106" s="649">
        <f t="shared" si="11"/>
        <v>23981.15</v>
      </c>
      <c r="G106" s="649">
        <f t="shared" si="12"/>
        <v>0</v>
      </c>
      <c r="H106" s="649">
        <f t="shared" si="13"/>
        <v>26148.47</v>
      </c>
      <c r="J106" s="650"/>
      <c r="K106" s="650"/>
      <c r="L106" s="650"/>
    </row>
    <row r="107" spans="2:12" x14ac:dyDescent="0.2">
      <c r="B107" s="647">
        <f t="shared" si="7"/>
        <v>96</v>
      </c>
      <c r="C107" s="648">
        <f t="shared" ca="1" si="8"/>
        <v>45107</v>
      </c>
      <c r="D107" s="649">
        <f t="shared" si="9"/>
        <v>626214.6799999997</v>
      </c>
      <c r="E107" s="649">
        <f t="shared" si="10"/>
        <v>2087.38</v>
      </c>
      <c r="F107" s="649">
        <f t="shared" si="11"/>
        <v>24061.09</v>
      </c>
      <c r="G107" s="649">
        <f t="shared" si="12"/>
        <v>0</v>
      </c>
      <c r="H107" s="649">
        <f t="shared" si="13"/>
        <v>26148.47</v>
      </c>
      <c r="J107" s="642">
        <f>D95-D107</f>
        <v>282573.28000000014</v>
      </c>
      <c r="K107" s="650"/>
      <c r="L107" s="650"/>
    </row>
    <row r="108" spans="2:12" x14ac:dyDescent="0.2">
      <c r="B108" s="651">
        <f t="shared" si="7"/>
        <v>97</v>
      </c>
      <c r="C108" s="652">
        <f t="shared" ca="1" si="8"/>
        <v>45137</v>
      </c>
      <c r="D108" s="653">
        <f t="shared" si="9"/>
        <v>602153.58999999973</v>
      </c>
      <c r="E108" s="653">
        <f t="shared" si="10"/>
        <v>2007.18</v>
      </c>
      <c r="F108" s="653">
        <f t="shared" si="11"/>
        <v>24141.29</v>
      </c>
      <c r="G108" s="653">
        <f t="shared" si="12"/>
        <v>0</v>
      </c>
      <c r="H108" s="653">
        <f t="shared" si="13"/>
        <v>26148.47</v>
      </c>
      <c r="J108" s="650"/>
      <c r="K108" s="650"/>
      <c r="L108" s="650"/>
    </row>
    <row r="109" spans="2:12" x14ac:dyDescent="0.2">
      <c r="B109" s="651">
        <f t="shared" si="7"/>
        <v>98</v>
      </c>
      <c r="C109" s="652">
        <f t="shared" ca="1" si="8"/>
        <v>45168</v>
      </c>
      <c r="D109" s="653">
        <f t="shared" si="9"/>
        <v>578012.2999999997</v>
      </c>
      <c r="E109" s="653">
        <f t="shared" si="10"/>
        <v>1926.71</v>
      </c>
      <c r="F109" s="653">
        <f t="shared" si="11"/>
        <v>24221.760000000002</v>
      </c>
      <c r="G109" s="653">
        <f t="shared" si="12"/>
        <v>0</v>
      </c>
      <c r="H109" s="653">
        <f t="shared" si="13"/>
        <v>26148.47</v>
      </c>
      <c r="J109" s="650"/>
      <c r="K109" s="650"/>
      <c r="L109" s="650"/>
    </row>
    <row r="110" spans="2:12" x14ac:dyDescent="0.2">
      <c r="B110" s="651">
        <f t="shared" si="7"/>
        <v>99</v>
      </c>
      <c r="C110" s="652">
        <f t="shared" ca="1" si="8"/>
        <v>45199</v>
      </c>
      <c r="D110" s="653">
        <f t="shared" si="9"/>
        <v>553790.53999999969</v>
      </c>
      <c r="E110" s="653">
        <f t="shared" si="10"/>
        <v>1845.97</v>
      </c>
      <c r="F110" s="653">
        <f t="shared" si="11"/>
        <v>24302.5</v>
      </c>
      <c r="G110" s="653">
        <f t="shared" si="12"/>
        <v>0</v>
      </c>
      <c r="H110" s="653">
        <f t="shared" si="13"/>
        <v>26148.47</v>
      </c>
      <c r="J110" s="650"/>
      <c r="K110" s="650"/>
      <c r="L110" s="650"/>
    </row>
    <row r="111" spans="2:12" x14ac:dyDescent="0.2">
      <c r="B111" s="651">
        <f t="shared" si="7"/>
        <v>100</v>
      </c>
      <c r="C111" s="652">
        <f t="shared" ca="1" si="8"/>
        <v>45229</v>
      </c>
      <c r="D111" s="653">
        <f t="shared" si="9"/>
        <v>529488.03999999969</v>
      </c>
      <c r="E111" s="653">
        <f t="shared" si="10"/>
        <v>1764.96</v>
      </c>
      <c r="F111" s="653">
        <f t="shared" si="11"/>
        <v>24383.510000000002</v>
      </c>
      <c r="G111" s="653">
        <f t="shared" si="12"/>
        <v>0</v>
      </c>
      <c r="H111" s="653">
        <f t="shared" si="13"/>
        <v>26148.47</v>
      </c>
      <c r="J111" s="650"/>
      <c r="K111" s="650"/>
      <c r="L111" s="650"/>
    </row>
    <row r="112" spans="2:12" x14ac:dyDescent="0.2">
      <c r="B112" s="651">
        <f t="shared" si="7"/>
        <v>101</v>
      </c>
      <c r="C112" s="652">
        <f t="shared" ca="1" si="8"/>
        <v>45260</v>
      </c>
      <c r="D112" s="653">
        <f t="shared" si="9"/>
        <v>505104.52999999968</v>
      </c>
      <c r="E112" s="653">
        <f t="shared" si="10"/>
        <v>1683.68</v>
      </c>
      <c r="F112" s="653">
        <f t="shared" si="11"/>
        <v>24464.79</v>
      </c>
      <c r="G112" s="653">
        <f t="shared" si="12"/>
        <v>0</v>
      </c>
      <c r="H112" s="653">
        <f t="shared" si="13"/>
        <v>26148.47</v>
      </c>
      <c r="J112" s="650"/>
      <c r="K112" s="650"/>
      <c r="L112" s="650"/>
    </row>
    <row r="113" spans="2:12" x14ac:dyDescent="0.2">
      <c r="B113" s="651">
        <f t="shared" si="7"/>
        <v>102</v>
      </c>
      <c r="C113" s="652">
        <f t="shared" ca="1" si="8"/>
        <v>45290</v>
      </c>
      <c r="D113" s="653">
        <f t="shared" si="9"/>
        <v>480639.7399999997</v>
      </c>
      <c r="E113" s="653">
        <f t="shared" si="10"/>
        <v>1602.13</v>
      </c>
      <c r="F113" s="653">
        <f t="shared" si="11"/>
        <v>24546.34</v>
      </c>
      <c r="G113" s="653">
        <f t="shared" si="12"/>
        <v>0</v>
      </c>
      <c r="H113" s="653">
        <f t="shared" si="13"/>
        <v>26148.47</v>
      </c>
      <c r="J113" s="650"/>
      <c r="K113" s="650"/>
      <c r="L113" s="650"/>
    </row>
    <row r="114" spans="2:12" x14ac:dyDescent="0.2">
      <c r="B114" s="651">
        <f t="shared" si="7"/>
        <v>103</v>
      </c>
      <c r="C114" s="652">
        <f t="shared" ca="1" si="8"/>
        <v>45321</v>
      </c>
      <c r="D114" s="653">
        <f t="shared" si="9"/>
        <v>456093.39999999967</v>
      </c>
      <c r="E114" s="653">
        <f t="shared" si="10"/>
        <v>1520.31</v>
      </c>
      <c r="F114" s="653">
        <f t="shared" si="11"/>
        <v>24628.16</v>
      </c>
      <c r="G114" s="653">
        <f t="shared" si="12"/>
        <v>0</v>
      </c>
      <c r="H114" s="653">
        <f t="shared" si="13"/>
        <v>26148.47</v>
      </c>
      <c r="J114" s="650"/>
      <c r="K114" s="650"/>
      <c r="L114" s="650"/>
    </row>
    <row r="115" spans="2:12" x14ac:dyDescent="0.2">
      <c r="B115" s="651">
        <f t="shared" si="7"/>
        <v>104</v>
      </c>
      <c r="C115" s="652">
        <f t="shared" ca="1" si="8"/>
        <v>45351</v>
      </c>
      <c r="D115" s="653">
        <f t="shared" si="9"/>
        <v>431465.2399999997</v>
      </c>
      <c r="E115" s="653">
        <f t="shared" si="10"/>
        <v>1438.22</v>
      </c>
      <c r="F115" s="653">
        <f t="shared" si="11"/>
        <v>24710.25</v>
      </c>
      <c r="G115" s="653">
        <f t="shared" si="12"/>
        <v>0</v>
      </c>
      <c r="H115" s="653">
        <f t="shared" si="13"/>
        <v>26148.47</v>
      </c>
      <c r="J115" s="650"/>
      <c r="K115" s="650"/>
      <c r="L115" s="650"/>
    </row>
    <row r="116" spans="2:12" x14ac:dyDescent="0.2">
      <c r="B116" s="651">
        <f t="shared" si="7"/>
        <v>105</v>
      </c>
      <c r="C116" s="652">
        <f t="shared" ca="1" si="8"/>
        <v>45381</v>
      </c>
      <c r="D116" s="653">
        <f t="shared" si="9"/>
        <v>406754.9899999997</v>
      </c>
      <c r="E116" s="653">
        <f t="shared" si="10"/>
        <v>1355.85</v>
      </c>
      <c r="F116" s="653">
        <f t="shared" si="11"/>
        <v>24792.620000000003</v>
      </c>
      <c r="G116" s="653">
        <f t="shared" si="12"/>
        <v>0</v>
      </c>
      <c r="H116" s="653">
        <f t="shared" si="13"/>
        <v>26148.47</v>
      </c>
      <c r="J116" s="650"/>
      <c r="K116" s="650"/>
      <c r="L116" s="650"/>
    </row>
    <row r="117" spans="2:12" x14ac:dyDescent="0.2">
      <c r="B117" s="651">
        <f t="shared" si="7"/>
        <v>106</v>
      </c>
      <c r="C117" s="652">
        <f t="shared" ca="1" si="8"/>
        <v>45412</v>
      </c>
      <c r="D117" s="653">
        <f t="shared" si="9"/>
        <v>381962.3699999997</v>
      </c>
      <c r="E117" s="653">
        <f t="shared" si="10"/>
        <v>1273.21</v>
      </c>
      <c r="F117" s="653">
        <f t="shared" si="11"/>
        <v>24875.260000000002</v>
      </c>
      <c r="G117" s="653">
        <f t="shared" si="12"/>
        <v>0</v>
      </c>
      <c r="H117" s="653">
        <f t="shared" si="13"/>
        <v>26148.47</v>
      </c>
      <c r="J117" s="650"/>
      <c r="K117" s="650"/>
      <c r="L117" s="650"/>
    </row>
    <row r="118" spans="2:12" x14ac:dyDescent="0.2">
      <c r="B118" s="651">
        <f t="shared" si="7"/>
        <v>107</v>
      </c>
      <c r="C118" s="652">
        <f t="shared" ca="1" si="8"/>
        <v>45442</v>
      </c>
      <c r="D118" s="653">
        <f t="shared" si="9"/>
        <v>357087.10999999969</v>
      </c>
      <c r="E118" s="653">
        <f t="shared" si="10"/>
        <v>1190.29</v>
      </c>
      <c r="F118" s="653">
        <f t="shared" si="11"/>
        <v>24958.18</v>
      </c>
      <c r="G118" s="653">
        <f t="shared" si="12"/>
        <v>0</v>
      </c>
      <c r="H118" s="653">
        <f t="shared" si="13"/>
        <v>26148.47</v>
      </c>
      <c r="J118" s="650"/>
      <c r="K118" s="650"/>
      <c r="L118" s="650"/>
    </row>
    <row r="119" spans="2:12" x14ac:dyDescent="0.2">
      <c r="B119" s="651">
        <f t="shared" si="7"/>
        <v>108</v>
      </c>
      <c r="C119" s="652">
        <f t="shared" ca="1" si="8"/>
        <v>45473</v>
      </c>
      <c r="D119" s="653">
        <f t="shared" si="9"/>
        <v>332128.9299999997</v>
      </c>
      <c r="E119" s="653">
        <f t="shared" si="10"/>
        <v>1107.0999999999999</v>
      </c>
      <c r="F119" s="653">
        <f t="shared" si="11"/>
        <v>25041.370000000003</v>
      </c>
      <c r="G119" s="653">
        <f t="shared" si="12"/>
        <v>0</v>
      </c>
      <c r="H119" s="653">
        <f t="shared" si="13"/>
        <v>26148.47</v>
      </c>
      <c r="J119" s="642">
        <f>D107-D119</f>
        <v>294085.75</v>
      </c>
      <c r="K119" s="650"/>
      <c r="L119" s="650"/>
    </row>
    <row r="120" spans="2:12" x14ac:dyDescent="0.2">
      <c r="B120" s="647">
        <f t="shared" si="7"/>
        <v>109</v>
      </c>
      <c r="C120" s="648">
        <f t="shared" ca="1" si="8"/>
        <v>45503</v>
      </c>
      <c r="D120" s="649">
        <f t="shared" si="9"/>
        <v>307087.55999999971</v>
      </c>
      <c r="E120" s="649">
        <f t="shared" si="10"/>
        <v>1023.63</v>
      </c>
      <c r="F120" s="649">
        <f t="shared" si="11"/>
        <v>25124.84</v>
      </c>
      <c r="G120" s="649">
        <f t="shared" si="12"/>
        <v>0</v>
      </c>
      <c r="H120" s="649">
        <f t="shared" si="13"/>
        <v>26148.47</v>
      </c>
      <c r="J120" s="650"/>
      <c r="K120" s="650"/>
      <c r="L120" s="650"/>
    </row>
    <row r="121" spans="2:12" x14ac:dyDescent="0.2">
      <c r="B121" s="647">
        <f t="shared" si="7"/>
        <v>110</v>
      </c>
      <c r="C121" s="648">
        <f t="shared" ca="1" si="8"/>
        <v>45534</v>
      </c>
      <c r="D121" s="649">
        <f t="shared" si="9"/>
        <v>281962.71999999968</v>
      </c>
      <c r="E121" s="649">
        <f t="shared" si="10"/>
        <v>939.88</v>
      </c>
      <c r="F121" s="649">
        <f t="shared" si="11"/>
        <v>25208.59</v>
      </c>
      <c r="G121" s="649">
        <f t="shared" si="12"/>
        <v>0</v>
      </c>
      <c r="H121" s="649">
        <f t="shared" si="13"/>
        <v>26148.47</v>
      </c>
      <c r="J121" s="650"/>
      <c r="K121" s="650"/>
      <c r="L121" s="650"/>
    </row>
    <row r="122" spans="2:12" x14ac:dyDescent="0.2">
      <c r="B122" s="647">
        <f t="shared" si="7"/>
        <v>111</v>
      </c>
      <c r="C122" s="648">
        <f t="shared" ca="1" si="8"/>
        <v>45565</v>
      </c>
      <c r="D122" s="649">
        <f t="shared" si="9"/>
        <v>256754.12999999968</v>
      </c>
      <c r="E122" s="649">
        <f t="shared" si="10"/>
        <v>855.85</v>
      </c>
      <c r="F122" s="649">
        <f t="shared" si="11"/>
        <v>25292.620000000003</v>
      </c>
      <c r="G122" s="649">
        <f t="shared" si="12"/>
        <v>0</v>
      </c>
      <c r="H122" s="649">
        <f t="shared" si="13"/>
        <v>26148.47</v>
      </c>
      <c r="J122" s="650"/>
      <c r="K122" s="650"/>
      <c r="L122" s="650"/>
    </row>
    <row r="123" spans="2:12" x14ac:dyDescent="0.2">
      <c r="B123" s="647">
        <f t="shared" si="7"/>
        <v>112</v>
      </c>
      <c r="C123" s="648">
        <f t="shared" ca="1" si="8"/>
        <v>45595</v>
      </c>
      <c r="D123" s="649">
        <f t="shared" si="9"/>
        <v>231461.50999999969</v>
      </c>
      <c r="E123" s="649">
        <f t="shared" si="10"/>
        <v>771.54</v>
      </c>
      <c r="F123" s="649">
        <f t="shared" si="11"/>
        <v>25376.93</v>
      </c>
      <c r="G123" s="649">
        <f t="shared" si="12"/>
        <v>0</v>
      </c>
      <c r="H123" s="649">
        <f t="shared" si="13"/>
        <v>26148.47</v>
      </c>
      <c r="J123" s="650"/>
      <c r="K123" s="650"/>
      <c r="L123" s="650"/>
    </row>
    <row r="124" spans="2:12" x14ac:dyDescent="0.2">
      <c r="B124" s="647">
        <f t="shared" si="7"/>
        <v>113</v>
      </c>
      <c r="C124" s="648">
        <f t="shared" ca="1" si="8"/>
        <v>45626</v>
      </c>
      <c r="D124" s="649">
        <f t="shared" si="9"/>
        <v>206084.5799999997</v>
      </c>
      <c r="E124" s="649">
        <f t="shared" si="10"/>
        <v>686.95</v>
      </c>
      <c r="F124" s="649">
        <f t="shared" si="11"/>
        <v>25461.52</v>
      </c>
      <c r="G124" s="649">
        <f t="shared" si="12"/>
        <v>0</v>
      </c>
      <c r="H124" s="649">
        <f t="shared" si="13"/>
        <v>26148.47</v>
      </c>
      <c r="J124" s="650"/>
      <c r="K124" s="650"/>
      <c r="L124" s="650"/>
    </row>
    <row r="125" spans="2:12" x14ac:dyDescent="0.2">
      <c r="B125" s="647">
        <f t="shared" si="7"/>
        <v>114</v>
      </c>
      <c r="C125" s="648">
        <f t="shared" ca="1" si="8"/>
        <v>45656</v>
      </c>
      <c r="D125" s="649">
        <f t="shared" si="9"/>
        <v>180623.05999999971</v>
      </c>
      <c r="E125" s="649">
        <f t="shared" si="10"/>
        <v>602.08000000000004</v>
      </c>
      <c r="F125" s="649">
        <f t="shared" si="11"/>
        <v>25546.39</v>
      </c>
      <c r="G125" s="649">
        <f t="shared" si="12"/>
        <v>0</v>
      </c>
      <c r="H125" s="649">
        <f t="shared" si="13"/>
        <v>26148.47</v>
      </c>
      <c r="J125" s="650"/>
      <c r="K125" s="650"/>
      <c r="L125" s="650"/>
    </row>
    <row r="126" spans="2:12" x14ac:dyDescent="0.2">
      <c r="B126" s="647">
        <f t="shared" si="7"/>
        <v>115</v>
      </c>
      <c r="C126" s="648">
        <f t="shared" ca="1" si="8"/>
        <v>45687</v>
      </c>
      <c r="D126" s="649">
        <f t="shared" si="9"/>
        <v>155076.66999999969</v>
      </c>
      <c r="E126" s="649">
        <f t="shared" si="10"/>
        <v>516.91999999999996</v>
      </c>
      <c r="F126" s="649">
        <f t="shared" si="11"/>
        <v>25631.550000000003</v>
      </c>
      <c r="G126" s="649">
        <f t="shared" si="12"/>
        <v>0</v>
      </c>
      <c r="H126" s="649">
        <f t="shared" si="13"/>
        <v>26148.47</v>
      </c>
      <c r="J126" s="650"/>
      <c r="K126" s="650"/>
      <c r="L126" s="650"/>
    </row>
    <row r="127" spans="2:12" x14ac:dyDescent="0.2">
      <c r="B127" s="647">
        <f t="shared" si="7"/>
        <v>116</v>
      </c>
      <c r="C127" s="648">
        <f t="shared" ca="1" si="8"/>
        <v>45716</v>
      </c>
      <c r="D127" s="649">
        <f t="shared" si="9"/>
        <v>129445.11999999969</v>
      </c>
      <c r="E127" s="649">
        <f t="shared" si="10"/>
        <v>431.48</v>
      </c>
      <c r="F127" s="649">
        <f t="shared" si="11"/>
        <v>25716.99</v>
      </c>
      <c r="G127" s="649">
        <f t="shared" si="12"/>
        <v>0</v>
      </c>
      <c r="H127" s="649">
        <f t="shared" si="13"/>
        <v>26148.47</v>
      </c>
      <c r="J127" s="650"/>
      <c r="K127" s="650"/>
      <c r="L127" s="650"/>
    </row>
    <row r="128" spans="2:12" x14ac:dyDescent="0.2">
      <c r="B128" s="647">
        <f t="shared" si="7"/>
        <v>117</v>
      </c>
      <c r="C128" s="648">
        <f t="shared" ca="1" si="8"/>
        <v>45746</v>
      </c>
      <c r="D128" s="649">
        <f t="shared" si="9"/>
        <v>103728.12999999968</v>
      </c>
      <c r="E128" s="649">
        <f t="shared" si="10"/>
        <v>345.76</v>
      </c>
      <c r="F128" s="649">
        <f t="shared" si="11"/>
        <v>25802.710000000003</v>
      </c>
      <c r="G128" s="649">
        <f t="shared" si="12"/>
        <v>0</v>
      </c>
      <c r="H128" s="649">
        <f t="shared" si="13"/>
        <v>26148.47</v>
      </c>
      <c r="J128" s="650"/>
      <c r="K128" s="650"/>
      <c r="L128" s="650"/>
    </row>
    <row r="129" spans="2:12" x14ac:dyDescent="0.2">
      <c r="B129" s="647">
        <f t="shared" si="7"/>
        <v>118</v>
      </c>
      <c r="C129" s="648">
        <f t="shared" ca="1" si="8"/>
        <v>45777</v>
      </c>
      <c r="D129" s="649">
        <f t="shared" si="9"/>
        <v>77925.419999999678</v>
      </c>
      <c r="E129" s="649">
        <f t="shared" si="10"/>
        <v>259.75</v>
      </c>
      <c r="F129" s="649">
        <f t="shared" si="11"/>
        <v>25888.720000000001</v>
      </c>
      <c r="G129" s="649">
        <f t="shared" si="12"/>
        <v>0</v>
      </c>
      <c r="H129" s="649">
        <f t="shared" si="13"/>
        <v>26148.47</v>
      </c>
      <c r="J129" s="650"/>
      <c r="K129" s="650"/>
      <c r="L129" s="650"/>
    </row>
    <row r="130" spans="2:12" x14ac:dyDescent="0.2">
      <c r="B130" s="647">
        <f t="shared" si="7"/>
        <v>119</v>
      </c>
      <c r="C130" s="648">
        <f t="shared" ca="1" si="8"/>
        <v>45807</v>
      </c>
      <c r="D130" s="649">
        <f t="shared" si="9"/>
        <v>52036.699999999677</v>
      </c>
      <c r="E130" s="649">
        <f t="shared" si="10"/>
        <v>173.46</v>
      </c>
      <c r="F130" s="649">
        <f t="shared" si="11"/>
        <v>25975.010000000002</v>
      </c>
      <c r="G130" s="649">
        <f t="shared" si="12"/>
        <v>0</v>
      </c>
      <c r="H130" s="649">
        <f t="shared" si="13"/>
        <v>26148.47</v>
      </c>
      <c r="J130" s="650"/>
      <c r="K130" s="650"/>
      <c r="L130" s="650"/>
    </row>
    <row r="131" spans="2:12" x14ac:dyDescent="0.2">
      <c r="B131" s="647">
        <f t="shared" si="7"/>
        <v>120</v>
      </c>
      <c r="C131" s="648">
        <f t="shared" ca="1" si="8"/>
        <v>45838</v>
      </c>
      <c r="D131" s="649">
        <f t="shared" si="9"/>
        <v>26061.689999999675</v>
      </c>
      <c r="E131" s="649">
        <f t="shared" si="10"/>
        <v>86.87</v>
      </c>
      <c r="F131" s="649">
        <f t="shared" si="11"/>
        <v>26061.689999999675</v>
      </c>
      <c r="G131" s="649">
        <f t="shared" si="12"/>
        <v>0</v>
      </c>
      <c r="H131" s="649">
        <f t="shared" si="13"/>
        <v>26148.559999999674</v>
      </c>
      <c r="J131" s="642">
        <f>D119</f>
        <v>332128.9299999997</v>
      </c>
      <c r="K131" s="650"/>
      <c r="L131" s="650"/>
    </row>
    <row r="132" spans="2:12" x14ac:dyDescent="0.2">
      <c r="B132" s="660" t="str">
        <f t="shared" si="7"/>
        <v>-</v>
      </c>
      <c r="C132" s="661" t="str">
        <f t="shared" si="8"/>
        <v/>
      </c>
      <c r="D132" s="650"/>
      <c r="E132" s="650" t="str">
        <f t="shared" si="10"/>
        <v/>
      </c>
      <c r="F132" s="650" t="str">
        <f t="shared" si="11"/>
        <v/>
      </c>
      <c r="G132" s="650" t="str">
        <f t="shared" si="12"/>
        <v/>
      </c>
      <c r="H132" s="650" t="str">
        <f t="shared" si="13"/>
        <v/>
      </c>
      <c r="J132" s="650"/>
      <c r="K132" s="650"/>
      <c r="L132" s="650"/>
    </row>
    <row r="133" spans="2:12" x14ac:dyDescent="0.2">
      <c r="B133" s="660" t="str">
        <f t="shared" si="7"/>
        <v>-</v>
      </c>
      <c r="C133" s="661" t="str">
        <f t="shared" si="8"/>
        <v/>
      </c>
      <c r="D133" s="650"/>
      <c r="E133" s="650">
        <f>SUM(E11:E131)</f>
        <v>536666.4299999997</v>
      </c>
      <c r="F133" s="650" t="str">
        <f t="shared" si="11"/>
        <v/>
      </c>
      <c r="G133" s="650" t="str">
        <f t="shared" si="12"/>
        <v/>
      </c>
      <c r="H133" s="650" t="str">
        <f t="shared" si="13"/>
        <v/>
      </c>
      <c r="J133" s="650"/>
      <c r="K133" s="650"/>
      <c r="L133" s="650"/>
    </row>
    <row r="134" spans="2:12" x14ac:dyDescent="0.2">
      <c r="B134" s="660" t="str">
        <f t="shared" si="7"/>
        <v>-</v>
      </c>
      <c r="C134" s="661" t="str">
        <f t="shared" si="8"/>
        <v/>
      </c>
      <c r="D134" s="650" t="str">
        <f t="shared" ref="D134:D197" si="14">IF(ISNUMBER(B134),D133-F133,"")</f>
        <v/>
      </c>
      <c r="E134" s="650" t="str">
        <f t="shared" si="10"/>
        <v/>
      </c>
      <c r="F134" s="650" t="str">
        <f t="shared" si="11"/>
        <v/>
      </c>
      <c r="G134" s="650" t="str">
        <f t="shared" si="12"/>
        <v/>
      </c>
      <c r="H134" s="650" t="str">
        <f t="shared" si="13"/>
        <v/>
      </c>
      <c r="J134" s="650"/>
      <c r="K134" s="650"/>
      <c r="L134" s="650"/>
    </row>
    <row r="135" spans="2:12" x14ac:dyDescent="0.2">
      <c r="B135" s="660" t="str">
        <f t="shared" si="7"/>
        <v>-</v>
      </c>
      <c r="C135" s="661" t="str">
        <f t="shared" si="8"/>
        <v/>
      </c>
      <c r="D135" s="650" t="str">
        <f t="shared" si="14"/>
        <v/>
      </c>
      <c r="E135" s="650" t="str">
        <f t="shared" si="10"/>
        <v/>
      </c>
      <c r="F135" s="650" t="str">
        <f t="shared" si="11"/>
        <v/>
      </c>
      <c r="G135" s="650" t="str">
        <f t="shared" si="12"/>
        <v/>
      </c>
      <c r="H135" s="650" t="str">
        <f t="shared" si="13"/>
        <v/>
      </c>
      <c r="J135" s="650"/>
      <c r="K135" s="650"/>
      <c r="L135" s="650"/>
    </row>
    <row r="136" spans="2:12" x14ac:dyDescent="0.2">
      <c r="B136" s="660" t="str">
        <f t="shared" si="7"/>
        <v>-</v>
      </c>
      <c r="C136" s="661" t="str">
        <f t="shared" si="8"/>
        <v/>
      </c>
      <c r="D136" s="650" t="str">
        <f t="shared" si="14"/>
        <v/>
      </c>
      <c r="E136" s="650" t="str">
        <f t="shared" si="10"/>
        <v/>
      </c>
      <c r="F136" s="650" t="str">
        <f t="shared" si="11"/>
        <v/>
      </c>
      <c r="G136" s="650" t="str">
        <f t="shared" si="12"/>
        <v/>
      </c>
      <c r="H136" s="650" t="str">
        <f t="shared" si="13"/>
        <v/>
      </c>
      <c r="J136" s="650"/>
      <c r="K136" s="650"/>
      <c r="L136" s="650"/>
    </row>
    <row r="137" spans="2:12" x14ac:dyDescent="0.2">
      <c r="B137" s="660" t="str">
        <f t="shared" si="7"/>
        <v>-</v>
      </c>
      <c r="C137" s="661" t="str">
        <f t="shared" si="8"/>
        <v/>
      </c>
      <c r="D137" s="650" t="str">
        <f t="shared" si="14"/>
        <v/>
      </c>
      <c r="E137" s="650">
        <f>E133+'Emprunt 2017'!E133+'Emprunt 2016'!E133</f>
        <v>8133379.8299999982</v>
      </c>
      <c r="F137" s="650" t="str">
        <f t="shared" si="11"/>
        <v/>
      </c>
      <c r="G137" s="650" t="str">
        <f t="shared" si="12"/>
        <v/>
      </c>
      <c r="H137" s="650" t="str">
        <f t="shared" si="13"/>
        <v/>
      </c>
      <c r="J137" s="650"/>
      <c r="K137" s="650"/>
      <c r="L137" s="650"/>
    </row>
    <row r="138" spans="2:12" x14ac:dyDescent="0.2">
      <c r="B138" s="660" t="str">
        <f t="shared" si="7"/>
        <v>-</v>
      </c>
      <c r="C138" s="661" t="str">
        <f t="shared" si="8"/>
        <v/>
      </c>
      <c r="D138" s="650" t="str">
        <f t="shared" si="14"/>
        <v/>
      </c>
      <c r="E138" s="650" t="str">
        <f t="shared" si="10"/>
        <v/>
      </c>
      <c r="F138" s="650" t="str">
        <f t="shared" si="11"/>
        <v/>
      </c>
      <c r="G138" s="650" t="str">
        <f t="shared" si="12"/>
        <v/>
      </c>
      <c r="H138" s="650" t="str">
        <f t="shared" si="13"/>
        <v/>
      </c>
      <c r="J138" s="650"/>
      <c r="K138" s="650"/>
      <c r="L138" s="650"/>
    </row>
    <row r="139" spans="2:12" x14ac:dyDescent="0.2">
      <c r="B139" s="660" t="str">
        <f t="shared" si="7"/>
        <v>-</v>
      </c>
      <c r="C139" s="661" t="str">
        <f t="shared" si="8"/>
        <v/>
      </c>
      <c r="D139" s="650" t="str">
        <f t="shared" si="14"/>
        <v/>
      </c>
      <c r="E139" s="650" t="str">
        <f t="shared" si="10"/>
        <v/>
      </c>
      <c r="F139" s="650" t="str">
        <f t="shared" si="11"/>
        <v/>
      </c>
      <c r="G139" s="650" t="str">
        <f t="shared" si="12"/>
        <v/>
      </c>
      <c r="H139" s="650" t="str">
        <f t="shared" si="13"/>
        <v/>
      </c>
      <c r="J139" s="650"/>
      <c r="K139" s="650"/>
      <c r="L139" s="650"/>
    </row>
    <row r="140" spans="2:12" x14ac:dyDescent="0.2">
      <c r="B140" s="660" t="str">
        <f t="shared" ref="B140:B203" si="15">IF(B139&lt;$L$3,B139+1,"-")</f>
        <v>-</v>
      </c>
      <c r="C140" s="661" t="str">
        <f t="shared" ref="C140:C203" si="16">IF(ISNUMBER(B140),MIN(DATE(YEAR($C$11),MONTH($C$11)+B140*12/$P$5,DAY($C$11)),DATE(YEAR($C$11),MONTH($C$11)+1+B140*12/$P$5,1)-1),"")</f>
        <v/>
      </c>
      <c r="D140" s="650" t="str">
        <f t="shared" si="14"/>
        <v/>
      </c>
      <c r="E140" s="650" t="str">
        <f t="shared" ref="E140:E203" si="17">IF(ISNUMBER(B140),ROUND(D140*$L$7,$R$6),"")</f>
        <v/>
      </c>
      <c r="F140" s="650" t="str">
        <f t="shared" ref="F140:F203" si="18">IF(ISNUMBER(B140),IF(B140=$L$3,D140,IF(B140&gt;$L$4,$H$3-E140,0)),"")</f>
        <v/>
      </c>
      <c r="G140" s="650" t="str">
        <f t="shared" ref="G140:G203" si="19">IF(ISNUMBER(B140),$H$4,"")</f>
        <v/>
      </c>
      <c r="H140" s="650" t="str">
        <f t="shared" ref="H140:H203" si="20">IF(ISNUMBER(B140),E140+F140+G140,"")</f>
        <v/>
      </c>
      <c r="J140" s="650"/>
      <c r="K140" s="650"/>
      <c r="L140" s="650"/>
    </row>
    <row r="141" spans="2:12" x14ac:dyDescent="0.2">
      <c r="B141" s="660" t="str">
        <f t="shared" si="15"/>
        <v>-</v>
      </c>
      <c r="C141" s="661" t="str">
        <f t="shared" si="16"/>
        <v/>
      </c>
      <c r="D141" s="650" t="str">
        <f t="shared" si="14"/>
        <v/>
      </c>
      <c r="E141" s="650" t="str">
        <f t="shared" si="17"/>
        <v/>
      </c>
      <c r="F141" s="650" t="str">
        <f t="shared" si="18"/>
        <v/>
      </c>
      <c r="G141" s="650" t="str">
        <f t="shared" si="19"/>
        <v/>
      </c>
      <c r="H141" s="650" t="str">
        <f t="shared" si="20"/>
        <v/>
      </c>
      <c r="J141" s="650"/>
      <c r="K141" s="650"/>
      <c r="L141" s="650"/>
    </row>
    <row r="142" spans="2:12" x14ac:dyDescent="0.2">
      <c r="B142" s="660" t="str">
        <f t="shared" si="15"/>
        <v>-</v>
      </c>
      <c r="C142" s="661" t="str">
        <f t="shared" si="16"/>
        <v/>
      </c>
      <c r="D142" s="650" t="str">
        <f t="shared" si="14"/>
        <v/>
      </c>
      <c r="E142" s="650" t="str">
        <f t="shared" si="17"/>
        <v/>
      </c>
      <c r="F142" s="650" t="str">
        <f t="shared" si="18"/>
        <v/>
      </c>
      <c r="G142" s="650" t="str">
        <f t="shared" si="19"/>
        <v/>
      </c>
      <c r="H142" s="650" t="str">
        <f t="shared" si="20"/>
        <v/>
      </c>
      <c r="J142" s="650"/>
      <c r="K142" s="650"/>
      <c r="L142" s="650"/>
    </row>
    <row r="143" spans="2:12" x14ac:dyDescent="0.2">
      <c r="B143" s="660" t="str">
        <f t="shared" si="15"/>
        <v>-</v>
      </c>
      <c r="C143" s="661" t="str">
        <f t="shared" si="16"/>
        <v/>
      </c>
      <c r="D143" s="650" t="str">
        <f t="shared" si="14"/>
        <v/>
      </c>
      <c r="E143" s="650" t="str">
        <f t="shared" si="17"/>
        <v/>
      </c>
      <c r="F143" s="650" t="str">
        <f t="shared" si="18"/>
        <v/>
      </c>
      <c r="G143" s="650" t="str">
        <f t="shared" si="19"/>
        <v/>
      </c>
      <c r="H143" s="650" t="str">
        <f t="shared" si="20"/>
        <v/>
      </c>
      <c r="J143" s="650"/>
      <c r="K143" s="650"/>
      <c r="L143" s="650"/>
    </row>
    <row r="144" spans="2:12" x14ac:dyDescent="0.2">
      <c r="B144" s="660" t="str">
        <f t="shared" si="15"/>
        <v>-</v>
      </c>
      <c r="C144" s="661" t="str">
        <f t="shared" si="16"/>
        <v/>
      </c>
      <c r="D144" s="650" t="str">
        <f t="shared" si="14"/>
        <v/>
      </c>
      <c r="E144" s="650" t="str">
        <f t="shared" si="17"/>
        <v/>
      </c>
      <c r="F144" s="650" t="str">
        <f t="shared" si="18"/>
        <v/>
      </c>
      <c r="G144" s="650" t="str">
        <f t="shared" si="19"/>
        <v/>
      </c>
      <c r="H144" s="650" t="str">
        <f t="shared" si="20"/>
        <v/>
      </c>
      <c r="J144" s="650"/>
      <c r="K144" s="650"/>
      <c r="L144" s="650"/>
    </row>
    <row r="145" spans="2:12" x14ac:dyDescent="0.2">
      <c r="B145" s="660" t="str">
        <f t="shared" si="15"/>
        <v>-</v>
      </c>
      <c r="C145" s="661" t="str">
        <f t="shared" si="16"/>
        <v/>
      </c>
      <c r="D145" s="650" t="str">
        <f t="shared" si="14"/>
        <v/>
      </c>
      <c r="E145" s="650" t="str">
        <f t="shared" si="17"/>
        <v/>
      </c>
      <c r="F145" s="650" t="str">
        <f t="shared" si="18"/>
        <v/>
      </c>
      <c r="G145" s="650" t="str">
        <f t="shared" si="19"/>
        <v/>
      </c>
      <c r="H145" s="650" t="str">
        <f t="shared" si="20"/>
        <v/>
      </c>
      <c r="J145" s="650"/>
      <c r="K145" s="650"/>
      <c r="L145" s="650"/>
    </row>
    <row r="146" spans="2:12" x14ac:dyDescent="0.2">
      <c r="B146" s="660" t="str">
        <f t="shared" si="15"/>
        <v>-</v>
      </c>
      <c r="C146" s="661" t="str">
        <f t="shared" si="16"/>
        <v/>
      </c>
      <c r="D146" s="650" t="str">
        <f t="shared" si="14"/>
        <v/>
      </c>
      <c r="E146" s="650" t="str">
        <f t="shared" si="17"/>
        <v/>
      </c>
      <c r="F146" s="650" t="str">
        <f t="shared" si="18"/>
        <v/>
      </c>
      <c r="G146" s="650" t="str">
        <f t="shared" si="19"/>
        <v/>
      </c>
      <c r="H146" s="650" t="str">
        <f t="shared" si="20"/>
        <v/>
      </c>
      <c r="J146" s="650"/>
      <c r="K146" s="650"/>
      <c r="L146" s="650"/>
    </row>
    <row r="147" spans="2:12" x14ac:dyDescent="0.2">
      <c r="B147" s="660" t="str">
        <f t="shared" si="15"/>
        <v>-</v>
      </c>
      <c r="C147" s="661" t="str">
        <f t="shared" si="16"/>
        <v/>
      </c>
      <c r="D147" s="650" t="str">
        <f t="shared" si="14"/>
        <v/>
      </c>
      <c r="E147" s="650" t="str">
        <f t="shared" si="17"/>
        <v/>
      </c>
      <c r="F147" s="650" t="str">
        <f t="shared" si="18"/>
        <v/>
      </c>
      <c r="G147" s="650" t="str">
        <f t="shared" si="19"/>
        <v/>
      </c>
      <c r="H147" s="650" t="str">
        <f t="shared" si="20"/>
        <v/>
      </c>
      <c r="J147" s="650"/>
      <c r="K147" s="650"/>
      <c r="L147" s="650"/>
    </row>
    <row r="148" spans="2:12" x14ac:dyDescent="0.2">
      <c r="B148" s="660" t="str">
        <f t="shared" si="15"/>
        <v>-</v>
      </c>
      <c r="C148" s="661" t="str">
        <f t="shared" si="16"/>
        <v/>
      </c>
      <c r="D148" s="650" t="str">
        <f t="shared" si="14"/>
        <v/>
      </c>
      <c r="E148" s="650" t="str">
        <f t="shared" si="17"/>
        <v/>
      </c>
      <c r="F148" s="650" t="str">
        <f t="shared" si="18"/>
        <v/>
      </c>
      <c r="G148" s="650" t="str">
        <f t="shared" si="19"/>
        <v/>
      </c>
      <c r="H148" s="650" t="str">
        <f t="shared" si="20"/>
        <v/>
      </c>
      <c r="J148" s="650"/>
      <c r="K148" s="650"/>
      <c r="L148" s="650"/>
    </row>
    <row r="149" spans="2:12" x14ac:dyDescent="0.2">
      <c r="B149" s="660" t="str">
        <f t="shared" si="15"/>
        <v>-</v>
      </c>
      <c r="C149" s="661" t="str">
        <f t="shared" si="16"/>
        <v/>
      </c>
      <c r="D149" s="650" t="str">
        <f t="shared" si="14"/>
        <v/>
      </c>
      <c r="E149" s="650" t="str">
        <f t="shared" si="17"/>
        <v/>
      </c>
      <c r="F149" s="650" t="str">
        <f t="shared" si="18"/>
        <v/>
      </c>
      <c r="G149" s="650" t="str">
        <f t="shared" si="19"/>
        <v/>
      </c>
      <c r="H149" s="650" t="str">
        <f t="shared" si="20"/>
        <v/>
      </c>
      <c r="J149" s="650"/>
      <c r="K149" s="650"/>
      <c r="L149" s="650"/>
    </row>
    <row r="150" spans="2:12" x14ac:dyDescent="0.2">
      <c r="B150" s="660" t="str">
        <f t="shared" si="15"/>
        <v>-</v>
      </c>
      <c r="C150" s="661" t="str">
        <f t="shared" si="16"/>
        <v/>
      </c>
      <c r="D150" s="650" t="str">
        <f t="shared" si="14"/>
        <v/>
      </c>
      <c r="E150" s="650" t="str">
        <f t="shared" si="17"/>
        <v/>
      </c>
      <c r="F150" s="650" t="str">
        <f t="shared" si="18"/>
        <v/>
      </c>
      <c r="G150" s="650" t="str">
        <f t="shared" si="19"/>
        <v/>
      </c>
      <c r="H150" s="650" t="str">
        <f t="shared" si="20"/>
        <v/>
      </c>
      <c r="J150" s="650"/>
      <c r="K150" s="650"/>
      <c r="L150" s="650"/>
    </row>
    <row r="151" spans="2:12" x14ac:dyDescent="0.2">
      <c r="B151" s="660" t="str">
        <f t="shared" si="15"/>
        <v>-</v>
      </c>
      <c r="C151" s="661" t="str">
        <f t="shared" si="16"/>
        <v/>
      </c>
      <c r="D151" s="650" t="str">
        <f t="shared" si="14"/>
        <v/>
      </c>
      <c r="E151" s="650" t="str">
        <f t="shared" si="17"/>
        <v/>
      </c>
      <c r="F151" s="650" t="str">
        <f t="shared" si="18"/>
        <v/>
      </c>
      <c r="G151" s="650" t="str">
        <f t="shared" si="19"/>
        <v/>
      </c>
      <c r="H151" s="650" t="str">
        <f t="shared" si="20"/>
        <v/>
      </c>
      <c r="J151" s="650"/>
      <c r="K151" s="650"/>
      <c r="L151" s="650"/>
    </row>
    <row r="152" spans="2:12" x14ac:dyDescent="0.2">
      <c r="B152" s="660" t="str">
        <f t="shared" si="15"/>
        <v>-</v>
      </c>
      <c r="C152" s="661" t="str">
        <f t="shared" si="16"/>
        <v/>
      </c>
      <c r="D152" s="650" t="str">
        <f t="shared" si="14"/>
        <v/>
      </c>
      <c r="E152" s="650" t="str">
        <f t="shared" si="17"/>
        <v/>
      </c>
      <c r="F152" s="650" t="str">
        <f t="shared" si="18"/>
        <v/>
      </c>
      <c r="G152" s="650" t="str">
        <f t="shared" si="19"/>
        <v/>
      </c>
      <c r="H152" s="650" t="str">
        <f t="shared" si="20"/>
        <v/>
      </c>
      <c r="J152" s="650"/>
      <c r="K152" s="650"/>
      <c r="L152" s="650"/>
    </row>
    <row r="153" spans="2:12" x14ac:dyDescent="0.2">
      <c r="B153" s="660" t="str">
        <f t="shared" si="15"/>
        <v>-</v>
      </c>
      <c r="C153" s="661" t="str">
        <f t="shared" si="16"/>
        <v/>
      </c>
      <c r="D153" s="650" t="str">
        <f t="shared" si="14"/>
        <v/>
      </c>
      <c r="E153" s="650" t="str">
        <f t="shared" si="17"/>
        <v/>
      </c>
      <c r="F153" s="650" t="str">
        <f t="shared" si="18"/>
        <v/>
      </c>
      <c r="G153" s="650" t="str">
        <f t="shared" si="19"/>
        <v/>
      </c>
      <c r="H153" s="650" t="str">
        <f t="shared" si="20"/>
        <v/>
      </c>
      <c r="J153" s="650"/>
      <c r="K153" s="650"/>
      <c r="L153" s="650"/>
    </row>
    <row r="154" spans="2:12" x14ac:dyDescent="0.2">
      <c r="B154" s="660" t="str">
        <f t="shared" si="15"/>
        <v>-</v>
      </c>
      <c r="C154" s="661" t="str">
        <f t="shared" si="16"/>
        <v/>
      </c>
      <c r="D154" s="650" t="str">
        <f t="shared" si="14"/>
        <v/>
      </c>
      <c r="E154" s="650" t="str">
        <f t="shared" si="17"/>
        <v/>
      </c>
      <c r="F154" s="650" t="str">
        <f t="shared" si="18"/>
        <v/>
      </c>
      <c r="G154" s="650" t="str">
        <f t="shared" si="19"/>
        <v/>
      </c>
      <c r="H154" s="650" t="str">
        <f t="shared" si="20"/>
        <v/>
      </c>
      <c r="J154" s="650"/>
      <c r="K154" s="650"/>
      <c r="L154" s="650"/>
    </row>
    <row r="155" spans="2:12" x14ac:dyDescent="0.2">
      <c r="B155" s="660" t="str">
        <f t="shared" si="15"/>
        <v>-</v>
      </c>
      <c r="C155" s="661" t="str">
        <f t="shared" si="16"/>
        <v/>
      </c>
      <c r="D155" s="650" t="str">
        <f t="shared" si="14"/>
        <v/>
      </c>
      <c r="E155" s="650" t="str">
        <f t="shared" si="17"/>
        <v/>
      </c>
      <c r="F155" s="650" t="str">
        <f t="shared" si="18"/>
        <v/>
      </c>
      <c r="G155" s="650" t="str">
        <f t="shared" si="19"/>
        <v/>
      </c>
      <c r="H155" s="650" t="str">
        <f t="shared" si="20"/>
        <v/>
      </c>
      <c r="J155" s="650"/>
      <c r="K155" s="650"/>
      <c r="L155" s="650"/>
    </row>
    <row r="156" spans="2:12" x14ac:dyDescent="0.2">
      <c r="B156" s="660" t="str">
        <f t="shared" si="15"/>
        <v>-</v>
      </c>
      <c r="C156" s="661" t="str">
        <f t="shared" si="16"/>
        <v/>
      </c>
      <c r="D156" s="650" t="str">
        <f t="shared" si="14"/>
        <v/>
      </c>
      <c r="E156" s="650" t="str">
        <f t="shared" si="17"/>
        <v/>
      </c>
      <c r="F156" s="650" t="str">
        <f t="shared" si="18"/>
        <v/>
      </c>
      <c r="G156" s="650" t="str">
        <f t="shared" si="19"/>
        <v/>
      </c>
      <c r="H156" s="650" t="str">
        <f t="shared" si="20"/>
        <v/>
      </c>
      <c r="J156" s="650"/>
      <c r="K156" s="650"/>
      <c r="L156" s="650"/>
    </row>
    <row r="157" spans="2:12" x14ac:dyDescent="0.2">
      <c r="B157" s="660" t="str">
        <f t="shared" si="15"/>
        <v>-</v>
      </c>
      <c r="C157" s="661" t="str">
        <f t="shared" si="16"/>
        <v/>
      </c>
      <c r="D157" s="650" t="str">
        <f t="shared" si="14"/>
        <v/>
      </c>
      <c r="E157" s="650" t="str">
        <f t="shared" si="17"/>
        <v/>
      </c>
      <c r="F157" s="650" t="str">
        <f t="shared" si="18"/>
        <v/>
      </c>
      <c r="G157" s="650" t="str">
        <f t="shared" si="19"/>
        <v/>
      </c>
      <c r="H157" s="650" t="str">
        <f t="shared" si="20"/>
        <v/>
      </c>
      <c r="J157" s="650"/>
      <c r="K157" s="650"/>
      <c r="L157" s="650"/>
    </row>
    <row r="158" spans="2:12" x14ac:dyDescent="0.2">
      <c r="B158" s="660" t="str">
        <f t="shared" si="15"/>
        <v>-</v>
      </c>
      <c r="C158" s="661" t="str">
        <f t="shared" si="16"/>
        <v/>
      </c>
      <c r="D158" s="650" t="str">
        <f t="shared" si="14"/>
        <v/>
      </c>
      <c r="E158" s="650" t="str">
        <f t="shared" si="17"/>
        <v/>
      </c>
      <c r="F158" s="650" t="str">
        <f t="shared" si="18"/>
        <v/>
      </c>
      <c r="G158" s="650" t="str">
        <f t="shared" si="19"/>
        <v/>
      </c>
      <c r="H158" s="650" t="str">
        <f t="shared" si="20"/>
        <v/>
      </c>
      <c r="J158" s="650"/>
      <c r="K158" s="650"/>
      <c r="L158" s="650"/>
    </row>
    <row r="159" spans="2:12" x14ac:dyDescent="0.2">
      <c r="B159" s="660" t="str">
        <f t="shared" si="15"/>
        <v>-</v>
      </c>
      <c r="C159" s="661" t="str">
        <f t="shared" si="16"/>
        <v/>
      </c>
      <c r="D159" s="650" t="str">
        <f t="shared" si="14"/>
        <v/>
      </c>
      <c r="E159" s="650" t="str">
        <f t="shared" si="17"/>
        <v/>
      </c>
      <c r="F159" s="650" t="str">
        <f t="shared" si="18"/>
        <v/>
      </c>
      <c r="G159" s="650" t="str">
        <f t="shared" si="19"/>
        <v/>
      </c>
      <c r="H159" s="650" t="str">
        <f t="shared" si="20"/>
        <v/>
      </c>
      <c r="J159" s="650"/>
      <c r="K159" s="650"/>
      <c r="L159" s="650"/>
    </row>
    <row r="160" spans="2:12" x14ac:dyDescent="0.2">
      <c r="B160" s="660" t="str">
        <f t="shared" si="15"/>
        <v>-</v>
      </c>
      <c r="C160" s="661" t="str">
        <f t="shared" si="16"/>
        <v/>
      </c>
      <c r="D160" s="650" t="str">
        <f t="shared" si="14"/>
        <v/>
      </c>
      <c r="E160" s="650" t="str">
        <f t="shared" si="17"/>
        <v/>
      </c>
      <c r="F160" s="650" t="str">
        <f t="shared" si="18"/>
        <v/>
      </c>
      <c r="G160" s="650" t="str">
        <f t="shared" si="19"/>
        <v/>
      </c>
      <c r="H160" s="650" t="str">
        <f t="shared" si="20"/>
        <v/>
      </c>
      <c r="J160" s="650"/>
      <c r="K160" s="650"/>
      <c r="L160" s="650"/>
    </row>
    <row r="161" spans="2:12" x14ac:dyDescent="0.2">
      <c r="B161" s="660" t="str">
        <f t="shared" si="15"/>
        <v>-</v>
      </c>
      <c r="C161" s="661" t="str">
        <f t="shared" si="16"/>
        <v/>
      </c>
      <c r="D161" s="650" t="str">
        <f t="shared" si="14"/>
        <v/>
      </c>
      <c r="E161" s="650" t="str">
        <f t="shared" si="17"/>
        <v/>
      </c>
      <c r="F161" s="650" t="str">
        <f t="shared" si="18"/>
        <v/>
      </c>
      <c r="G161" s="650" t="str">
        <f t="shared" si="19"/>
        <v/>
      </c>
      <c r="H161" s="650" t="str">
        <f t="shared" si="20"/>
        <v/>
      </c>
      <c r="J161" s="650"/>
      <c r="K161" s="650"/>
      <c r="L161" s="650"/>
    </row>
    <row r="162" spans="2:12" x14ac:dyDescent="0.2">
      <c r="B162" s="660" t="str">
        <f t="shared" si="15"/>
        <v>-</v>
      </c>
      <c r="C162" s="661" t="str">
        <f t="shared" si="16"/>
        <v/>
      </c>
      <c r="D162" s="650" t="str">
        <f t="shared" si="14"/>
        <v/>
      </c>
      <c r="E162" s="650" t="str">
        <f t="shared" si="17"/>
        <v/>
      </c>
      <c r="F162" s="650" t="str">
        <f t="shared" si="18"/>
        <v/>
      </c>
      <c r="G162" s="650" t="str">
        <f t="shared" si="19"/>
        <v/>
      </c>
      <c r="H162" s="650" t="str">
        <f t="shared" si="20"/>
        <v/>
      </c>
      <c r="J162" s="650"/>
      <c r="K162" s="650"/>
      <c r="L162" s="650"/>
    </row>
    <row r="163" spans="2:12" x14ac:dyDescent="0.2">
      <c r="B163" s="660" t="str">
        <f t="shared" si="15"/>
        <v>-</v>
      </c>
      <c r="C163" s="661" t="str">
        <f t="shared" si="16"/>
        <v/>
      </c>
      <c r="D163" s="650" t="str">
        <f t="shared" si="14"/>
        <v/>
      </c>
      <c r="E163" s="650" t="str">
        <f t="shared" si="17"/>
        <v/>
      </c>
      <c r="F163" s="650" t="str">
        <f t="shared" si="18"/>
        <v/>
      </c>
      <c r="G163" s="650" t="str">
        <f t="shared" si="19"/>
        <v/>
      </c>
      <c r="H163" s="650" t="str">
        <f t="shared" si="20"/>
        <v/>
      </c>
      <c r="J163" s="650"/>
      <c r="K163" s="650"/>
      <c r="L163" s="650"/>
    </row>
    <row r="164" spans="2:12" x14ac:dyDescent="0.2">
      <c r="B164" s="660" t="str">
        <f t="shared" si="15"/>
        <v>-</v>
      </c>
      <c r="C164" s="661" t="str">
        <f t="shared" si="16"/>
        <v/>
      </c>
      <c r="D164" s="650" t="str">
        <f t="shared" si="14"/>
        <v/>
      </c>
      <c r="E164" s="650" t="str">
        <f t="shared" si="17"/>
        <v/>
      </c>
      <c r="F164" s="650" t="str">
        <f t="shared" si="18"/>
        <v/>
      </c>
      <c r="G164" s="650" t="str">
        <f t="shared" si="19"/>
        <v/>
      </c>
      <c r="H164" s="650" t="str">
        <f t="shared" si="20"/>
        <v/>
      </c>
      <c r="J164" s="650"/>
      <c r="K164" s="650"/>
      <c r="L164" s="650"/>
    </row>
    <row r="165" spans="2:12" x14ac:dyDescent="0.2">
      <c r="B165" s="660" t="str">
        <f t="shared" si="15"/>
        <v>-</v>
      </c>
      <c r="C165" s="661" t="str">
        <f t="shared" si="16"/>
        <v/>
      </c>
      <c r="D165" s="650" t="str">
        <f t="shared" si="14"/>
        <v/>
      </c>
      <c r="E165" s="650" t="str">
        <f t="shared" si="17"/>
        <v/>
      </c>
      <c r="F165" s="650" t="str">
        <f t="shared" si="18"/>
        <v/>
      </c>
      <c r="G165" s="650" t="str">
        <f t="shared" si="19"/>
        <v/>
      </c>
      <c r="H165" s="650" t="str">
        <f t="shared" si="20"/>
        <v/>
      </c>
      <c r="J165" s="650"/>
      <c r="K165" s="650"/>
      <c r="L165" s="650"/>
    </row>
    <row r="166" spans="2:12" x14ac:dyDescent="0.2">
      <c r="B166" s="660" t="str">
        <f t="shared" si="15"/>
        <v>-</v>
      </c>
      <c r="C166" s="661" t="str">
        <f t="shared" si="16"/>
        <v/>
      </c>
      <c r="D166" s="650" t="str">
        <f t="shared" si="14"/>
        <v/>
      </c>
      <c r="E166" s="650" t="str">
        <f t="shared" si="17"/>
        <v/>
      </c>
      <c r="F166" s="650" t="str">
        <f t="shared" si="18"/>
        <v/>
      </c>
      <c r="G166" s="650" t="str">
        <f t="shared" si="19"/>
        <v/>
      </c>
      <c r="H166" s="650" t="str">
        <f t="shared" si="20"/>
        <v/>
      </c>
      <c r="J166" s="650"/>
      <c r="K166" s="650"/>
      <c r="L166" s="650"/>
    </row>
    <row r="167" spans="2:12" x14ac:dyDescent="0.2">
      <c r="B167" s="660" t="str">
        <f t="shared" si="15"/>
        <v>-</v>
      </c>
      <c r="C167" s="661" t="str">
        <f t="shared" si="16"/>
        <v/>
      </c>
      <c r="D167" s="650" t="str">
        <f t="shared" si="14"/>
        <v/>
      </c>
      <c r="E167" s="650" t="str">
        <f t="shared" si="17"/>
        <v/>
      </c>
      <c r="F167" s="650" t="str">
        <f t="shared" si="18"/>
        <v/>
      </c>
      <c r="G167" s="650" t="str">
        <f t="shared" si="19"/>
        <v/>
      </c>
      <c r="H167" s="650" t="str">
        <f t="shared" si="20"/>
        <v/>
      </c>
      <c r="J167" s="650"/>
      <c r="K167" s="650"/>
      <c r="L167" s="650"/>
    </row>
    <row r="168" spans="2:12" x14ac:dyDescent="0.2">
      <c r="B168" s="660" t="str">
        <f t="shared" si="15"/>
        <v>-</v>
      </c>
      <c r="C168" s="661" t="str">
        <f t="shared" si="16"/>
        <v/>
      </c>
      <c r="D168" s="650" t="str">
        <f t="shared" si="14"/>
        <v/>
      </c>
      <c r="E168" s="650" t="str">
        <f t="shared" si="17"/>
        <v/>
      </c>
      <c r="F168" s="650" t="str">
        <f t="shared" si="18"/>
        <v/>
      </c>
      <c r="G168" s="650" t="str">
        <f t="shared" si="19"/>
        <v/>
      </c>
      <c r="H168" s="650" t="str">
        <f t="shared" si="20"/>
        <v/>
      </c>
      <c r="J168" s="650"/>
      <c r="K168" s="650"/>
      <c r="L168" s="650"/>
    </row>
    <row r="169" spans="2:12" x14ac:dyDescent="0.2">
      <c r="B169" s="660" t="str">
        <f t="shared" si="15"/>
        <v>-</v>
      </c>
      <c r="C169" s="661" t="str">
        <f t="shared" si="16"/>
        <v/>
      </c>
      <c r="D169" s="650" t="str">
        <f t="shared" si="14"/>
        <v/>
      </c>
      <c r="E169" s="650" t="str">
        <f t="shared" si="17"/>
        <v/>
      </c>
      <c r="F169" s="650" t="str">
        <f t="shared" si="18"/>
        <v/>
      </c>
      <c r="G169" s="650" t="str">
        <f t="shared" si="19"/>
        <v/>
      </c>
      <c r="H169" s="650" t="str">
        <f t="shared" si="20"/>
        <v/>
      </c>
      <c r="J169" s="650"/>
      <c r="K169" s="650"/>
      <c r="L169" s="650"/>
    </row>
    <row r="170" spans="2:12" x14ac:dyDescent="0.2">
      <c r="B170" s="660" t="str">
        <f t="shared" si="15"/>
        <v>-</v>
      </c>
      <c r="C170" s="661" t="str">
        <f t="shared" si="16"/>
        <v/>
      </c>
      <c r="D170" s="650" t="str">
        <f t="shared" si="14"/>
        <v/>
      </c>
      <c r="E170" s="650" t="str">
        <f t="shared" si="17"/>
        <v/>
      </c>
      <c r="F170" s="650" t="str">
        <f t="shared" si="18"/>
        <v/>
      </c>
      <c r="G170" s="650" t="str">
        <f t="shared" si="19"/>
        <v/>
      </c>
      <c r="H170" s="650" t="str">
        <f t="shared" si="20"/>
        <v/>
      </c>
      <c r="J170" s="650"/>
      <c r="K170" s="650"/>
      <c r="L170" s="650"/>
    </row>
    <row r="171" spans="2:12" x14ac:dyDescent="0.2">
      <c r="B171" s="660" t="str">
        <f t="shared" si="15"/>
        <v>-</v>
      </c>
      <c r="C171" s="661" t="str">
        <f t="shared" si="16"/>
        <v/>
      </c>
      <c r="D171" s="650" t="str">
        <f t="shared" si="14"/>
        <v/>
      </c>
      <c r="E171" s="650" t="str">
        <f t="shared" si="17"/>
        <v/>
      </c>
      <c r="F171" s="650" t="str">
        <f t="shared" si="18"/>
        <v/>
      </c>
      <c r="G171" s="650" t="str">
        <f t="shared" si="19"/>
        <v/>
      </c>
      <c r="H171" s="650" t="str">
        <f t="shared" si="20"/>
        <v/>
      </c>
      <c r="J171" s="650"/>
      <c r="K171" s="650"/>
      <c r="L171" s="650"/>
    </row>
    <row r="172" spans="2:12" x14ac:dyDescent="0.2">
      <c r="B172" s="660" t="str">
        <f t="shared" si="15"/>
        <v>-</v>
      </c>
      <c r="C172" s="661" t="str">
        <f t="shared" si="16"/>
        <v/>
      </c>
      <c r="D172" s="650" t="str">
        <f t="shared" si="14"/>
        <v/>
      </c>
      <c r="E172" s="650" t="str">
        <f t="shared" si="17"/>
        <v/>
      </c>
      <c r="F172" s="650" t="str">
        <f t="shared" si="18"/>
        <v/>
      </c>
      <c r="G172" s="650" t="str">
        <f t="shared" si="19"/>
        <v/>
      </c>
      <c r="H172" s="650" t="str">
        <f t="shared" si="20"/>
        <v/>
      </c>
      <c r="J172" s="650"/>
      <c r="K172" s="650"/>
      <c r="L172" s="650"/>
    </row>
    <row r="173" spans="2:12" x14ac:dyDescent="0.2">
      <c r="B173" s="660" t="str">
        <f t="shared" si="15"/>
        <v>-</v>
      </c>
      <c r="C173" s="661" t="str">
        <f t="shared" si="16"/>
        <v/>
      </c>
      <c r="D173" s="650" t="str">
        <f t="shared" si="14"/>
        <v/>
      </c>
      <c r="E173" s="650" t="str">
        <f t="shared" si="17"/>
        <v/>
      </c>
      <c r="F173" s="650" t="str">
        <f t="shared" si="18"/>
        <v/>
      </c>
      <c r="G173" s="650" t="str">
        <f t="shared" si="19"/>
        <v/>
      </c>
      <c r="H173" s="650" t="str">
        <f t="shared" si="20"/>
        <v/>
      </c>
      <c r="J173" s="650"/>
      <c r="K173" s="650"/>
      <c r="L173" s="650"/>
    </row>
    <row r="174" spans="2:12" x14ac:dyDescent="0.2">
      <c r="B174" s="660" t="str">
        <f t="shared" si="15"/>
        <v>-</v>
      </c>
      <c r="C174" s="661" t="str">
        <f t="shared" si="16"/>
        <v/>
      </c>
      <c r="D174" s="650" t="str">
        <f t="shared" si="14"/>
        <v/>
      </c>
      <c r="E174" s="650" t="str">
        <f t="shared" si="17"/>
        <v/>
      </c>
      <c r="F174" s="650" t="str">
        <f t="shared" si="18"/>
        <v/>
      </c>
      <c r="G174" s="650" t="str">
        <f t="shared" si="19"/>
        <v/>
      </c>
      <c r="H174" s="650" t="str">
        <f t="shared" si="20"/>
        <v/>
      </c>
      <c r="J174" s="650"/>
      <c r="K174" s="650"/>
      <c r="L174" s="650"/>
    </row>
    <row r="175" spans="2:12" x14ac:dyDescent="0.2">
      <c r="B175" s="660" t="str">
        <f t="shared" si="15"/>
        <v>-</v>
      </c>
      <c r="C175" s="661" t="str">
        <f t="shared" si="16"/>
        <v/>
      </c>
      <c r="D175" s="650" t="str">
        <f t="shared" si="14"/>
        <v/>
      </c>
      <c r="E175" s="650" t="str">
        <f t="shared" si="17"/>
        <v/>
      </c>
      <c r="F175" s="650" t="str">
        <f t="shared" si="18"/>
        <v/>
      </c>
      <c r="G175" s="650" t="str">
        <f t="shared" si="19"/>
        <v/>
      </c>
      <c r="H175" s="650" t="str">
        <f t="shared" si="20"/>
        <v/>
      </c>
      <c r="J175" s="650"/>
      <c r="K175" s="650"/>
      <c r="L175" s="650"/>
    </row>
    <row r="176" spans="2:12" x14ac:dyDescent="0.2">
      <c r="B176" s="660" t="str">
        <f t="shared" si="15"/>
        <v>-</v>
      </c>
      <c r="C176" s="661" t="str">
        <f t="shared" si="16"/>
        <v/>
      </c>
      <c r="D176" s="650" t="str">
        <f t="shared" si="14"/>
        <v/>
      </c>
      <c r="E176" s="650" t="str">
        <f t="shared" si="17"/>
        <v/>
      </c>
      <c r="F176" s="650" t="str">
        <f t="shared" si="18"/>
        <v/>
      </c>
      <c r="G176" s="650" t="str">
        <f t="shared" si="19"/>
        <v/>
      </c>
      <c r="H176" s="650" t="str">
        <f t="shared" si="20"/>
        <v/>
      </c>
      <c r="J176" s="650"/>
      <c r="K176" s="650"/>
      <c r="L176" s="650"/>
    </row>
    <row r="177" spans="2:12" x14ac:dyDescent="0.2">
      <c r="B177" s="660" t="str">
        <f t="shared" si="15"/>
        <v>-</v>
      </c>
      <c r="C177" s="661" t="str">
        <f t="shared" si="16"/>
        <v/>
      </c>
      <c r="D177" s="650" t="str">
        <f t="shared" si="14"/>
        <v/>
      </c>
      <c r="E177" s="650" t="str">
        <f t="shared" si="17"/>
        <v/>
      </c>
      <c r="F177" s="650" t="str">
        <f t="shared" si="18"/>
        <v/>
      </c>
      <c r="G177" s="650" t="str">
        <f t="shared" si="19"/>
        <v/>
      </c>
      <c r="H177" s="650" t="str">
        <f t="shared" si="20"/>
        <v/>
      </c>
      <c r="J177" s="650"/>
      <c r="K177" s="650"/>
      <c r="L177" s="650"/>
    </row>
    <row r="178" spans="2:12" x14ac:dyDescent="0.2">
      <c r="B178" s="660" t="str">
        <f t="shared" si="15"/>
        <v>-</v>
      </c>
      <c r="C178" s="661" t="str">
        <f t="shared" si="16"/>
        <v/>
      </c>
      <c r="D178" s="650" t="str">
        <f t="shared" si="14"/>
        <v/>
      </c>
      <c r="E178" s="650" t="str">
        <f t="shared" si="17"/>
        <v/>
      </c>
      <c r="F178" s="650" t="str">
        <f t="shared" si="18"/>
        <v/>
      </c>
      <c r="G178" s="650" t="str">
        <f t="shared" si="19"/>
        <v/>
      </c>
      <c r="H178" s="650" t="str">
        <f t="shared" si="20"/>
        <v/>
      </c>
      <c r="J178" s="650"/>
      <c r="K178" s="650"/>
      <c r="L178" s="650"/>
    </row>
    <row r="179" spans="2:12" x14ac:dyDescent="0.2">
      <c r="B179" s="660" t="str">
        <f t="shared" si="15"/>
        <v>-</v>
      </c>
      <c r="C179" s="661" t="str">
        <f t="shared" si="16"/>
        <v/>
      </c>
      <c r="D179" s="650" t="str">
        <f t="shared" si="14"/>
        <v/>
      </c>
      <c r="E179" s="650" t="str">
        <f t="shared" si="17"/>
        <v/>
      </c>
      <c r="F179" s="650" t="str">
        <f t="shared" si="18"/>
        <v/>
      </c>
      <c r="G179" s="650" t="str">
        <f t="shared" si="19"/>
        <v/>
      </c>
      <c r="H179" s="650" t="str">
        <f t="shared" si="20"/>
        <v/>
      </c>
      <c r="J179" s="650"/>
      <c r="K179" s="650"/>
      <c r="L179" s="650"/>
    </row>
    <row r="180" spans="2:12" x14ac:dyDescent="0.2">
      <c r="B180" s="660" t="str">
        <f t="shared" si="15"/>
        <v>-</v>
      </c>
      <c r="C180" s="661" t="str">
        <f t="shared" si="16"/>
        <v/>
      </c>
      <c r="D180" s="650" t="str">
        <f t="shared" si="14"/>
        <v/>
      </c>
      <c r="E180" s="650" t="str">
        <f t="shared" si="17"/>
        <v/>
      </c>
      <c r="F180" s="650" t="str">
        <f t="shared" si="18"/>
        <v/>
      </c>
      <c r="G180" s="650" t="str">
        <f t="shared" si="19"/>
        <v/>
      </c>
      <c r="H180" s="650" t="str">
        <f t="shared" si="20"/>
        <v/>
      </c>
      <c r="J180" s="650"/>
      <c r="K180" s="650"/>
      <c r="L180" s="650"/>
    </row>
    <row r="181" spans="2:12" x14ac:dyDescent="0.2">
      <c r="B181" s="660" t="str">
        <f t="shared" si="15"/>
        <v>-</v>
      </c>
      <c r="C181" s="661" t="str">
        <f t="shared" si="16"/>
        <v/>
      </c>
      <c r="D181" s="650" t="str">
        <f t="shared" si="14"/>
        <v/>
      </c>
      <c r="E181" s="650" t="str">
        <f t="shared" si="17"/>
        <v/>
      </c>
      <c r="F181" s="650" t="str">
        <f t="shared" si="18"/>
        <v/>
      </c>
      <c r="G181" s="650" t="str">
        <f t="shared" si="19"/>
        <v/>
      </c>
      <c r="H181" s="650" t="str">
        <f t="shared" si="20"/>
        <v/>
      </c>
      <c r="J181" s="650"/>
      <c r="K181" s="650"/>
      <c r="L181" s="650"/>
    </row>
    <row r="182" spans="2:12" x14ac:dyDescent="0.2">
      <c r="B182" s="660" t="str">
        <f t="shared" si="15"/>
        <v>-</v>
      </c>
      <c r="C182" s="661" t="str">
        <f t="shared" si="16"/>
        <v/>
      </c>
      <c r="D182" s="650" t="str">
        <f t="shared" si="14"/>
        <v/>
      </c>
      <c r="E182" s="650" t="str">
        <f t="shared" si="17"/>
        <v/>
      </c>
      <c r="F182" s="650" t="str">
        <f t="shared" si="18"/>
        <v/>
      </c>
      <c r="G182" s="650" t="str">
        <f t="shared" si="19"/>
        <v/>
      </c>
      <c r="H182" s="650" t="str">
        <f t="shared" si="20"/>
        <v/>
      </c>
      <c r="J182" s="650"/>
      <c r="K182" s="650"/>
      <c r="L182" s="650"/>
    </row>
    <row r="183" spans="2:12" x14ac:dyDescent="0.2">
      <c r="B183" s="660" t="str">
        <f t="shared" si="15"/>
        <v>-</v>
      </c>
      <c r="C183" s="661" t="str">
        <f t="shared" si="16"/>
        <v/>
      </c>
      <c r="D183" s="650" t="str">
        <f t="shared" si="14"/>
        <v/>
      </c>
      <c r="E183" s="650" t="str">
        <f t="shared" si="17"/>
        <v/>
      </c>
      <c r="F183" s="650" t="str">
        <f t="shared" si="18"/>
        <v/>
      </c>
      <c r="G183" s="650" t="str">
        <f t="shared" si="19"/>
        <v/>
      </c>
      <c r="H183" s="650" t="str">
        <f t="shared" si="20"/>
        <v/>
      </c>
      <c r="J183" s="650"/>
      <c r="K183" s="650"/>
      <c r="L183" s="650"/>
    </row>
    <row r="184" spans="2:12" x14ac:dyDescent="0.2">
      <c r="B184" s="660" t="str">
        <f t="shared" si="15"/>
        <v>-</v>
      </c>
      <c r="C184" s="661" t="str">
        <f t="shared" si="16"/>
        <v/>
      </c>
      <c r="D184" s="650" t="str">
        <f t="shared" si="14"/>
        <v/>
      </c>
      <c r="E184" s="650" t="str">
        <f t="shared" si="17"/>
        <v/>
      </c>
      <c r="F184" s="650" t="str">
        <f t="shared" si="18"/>
        <v/>
      </c>
      <c r="G184" s="650" t="str">
        <f t="shared" si="19"/>
        <v/>
      </c>
      <c r="H184" s="650" t="str">
        <f t="shared" si="20"/>
        <v/>
      </c>
      <c r="J184" s="650"/>
      <c r="K184" s="650"/>
      <c r="L184" s="650"/>
    </row>
    <row r="185" spans="2:12" x14ac:dyDescent="0.2">
      <c r="B185" s="660" t="str">
        <f t="shared" si="15"/>
        <v>-</v>
      </c>
      <c r="C185" s="661" t="str">
        <f t="shared" si="16"/>
        <v/>
      </c>
      <c r="D185" s="650" t="str">
        <f t="shared" si="14"/>
        <v/>
      </c>
      <c r="E185" s="650" t="str">
        <f t="shared" si="17"/>
        <v/>
      </c>
      <c r="F185" s="650" t="str">
        <f t="shared" si="18"/>
        <v/>
      </c>
      <c r="G185" s="650" t="str">
        <f t="shared" si="19"/>
        <v/>
      </c>
      <c r="H185" s="650" t="str">
        <f t="shared" si="20"/>
        <v/>
      </c>
      <c r="J185" s="650"/>
      <c r="K185" s="650"/>
      <c r="L185" s="650"/>
    </row>
    <row r="186" spans="2:12" x14ac:dyDescent="0.2">
      <c r="B186" s="660" t="str">
        <f t="shared" si="15"/>
        <v>-</v>
      </c>
      <c r="C186" s="661" t="str">
        <f t="shared" si="16"/>
        <v/>
      </c>
      <c r="D186" s="650" t="str">
        <f t="shared" si="14"/>
        <v/>
      </c>
      <c r="E186" s="650" t="str">
        <f t="shared" si="17"/>
        <v/>
      </c>
      <c r="F186" s="650" t="str">
        <f t="shared" si="18"/>
        <v/>
      </c>
      <c r="G186" s="650" t="str">
        <f t="shared" si="19"/>
        <v/>
      </c>
      <c r="H186" s="650" t="str">
        <f t="shared" si="20"/>
        <v/>
      </c>
      <c r="J186" s="650"/>
      <c r="K186" s="650"/>
      <c r="L186" s="650"/>
    </row>
    <row r="187" spans="2:12" x14ac:dyDescent="0.2">
      <c r="B187" s="660" t="str">
        <f t="shared" si="15"/>
        <v>-</v>
      </c>
      <c r="C187" s="661" t="str">
        <f t="shared" si="16"/>
        <v/>
      </c>
      <c r="D187" s="650" t="str">
        <f t="shared" si="14"/>
        <v/>
      </c>
      <c r="E187" s="650" t="str">
        <f t="shared" si="17"/>
        <v/>
      </c>
      <c r="F187" s="650" t="str">
        <f t="shared" si="18"/>
        <v/>
      </c>
      <c r="G187" s="650" t="str">
        <f t="shared" si="19"/>
        <v/>
      </c>
      <c r="H187" s="650" t="str">
        <f t="shared" si="20"/>
        <v/>
      </c>
      <c r="J187" s="650"/>
      <c r="K187" s="650"/>
      <c r="L187" s="650"/>
    </row>
    <row r="188" spans="2:12" x14ac:dyDescent="0.2">
      <c r="B188" s="660" t="str">
        <f t="shared" si="15"/>
        <v>-</v>
      </c>
      <c r="C188" s="661" t="str">
        <f t="shared" si="16"/>
        <v/>
      </c>
      <c r="D188" s="650" t="str">
        <f t="shared" si="14"/>
        <v/>
      </c>
      <c r="E188" s="650" t="str">
        <f t="shared" si="17"/>
        <v/>
      </c>
      <c r="F188" s="650" t="str">
        <f t="shared" si="18"/>
        <v/>
      </c>
      <c r="G188" s="650" t="str">
        <f t="shared" si="19"/>
        <v/>
      </c>
      <c r="H188" s="650" t="str">
        <f t="shared" si="20"/>
        <v/>
      </c>
      <c r="J188" s="650"/>
      <c r="K188" s="650"/>
      <c r="L188" s="650"/>
    </row>
    <row r="189" spans="2:12" x14ac:dyDescent="0.2">
      <c r="B189" s="660" t="str">
        <f t="shared" si="15"/>
        <v>-</v>
      </c>
      <c r="C189" s="661" t="str">
        <f t="shared" si="16"/>
        <v/>
      </c>
      <c r="D189" s="650" t="str">
        <f t="shared" si="14"/>
        <v/>
      </c>
      <c r="E189" s="650" t="str">
        <f t="shared" si="17"/>
        <v/>
      </c>
      <c r="F189" s="650" t="str">
        <f t="shared" si="18"/>
        <v/>
      </c>
      <c r="G189" s="650" t="str">
        <f t="shared" si="19"/>
        <v/>
      </c>
      <c r="H189" s="650" t="str">
        <f t="shared" si="20"/>
        <v/>
      </c>
      <c r="J189" s="650"/>
      <c r="K189" s="650"/>
      <c r="L189" s="650"/>
    </row>
    <row r="190" spans="2:12" x14ac:dyDescent="0.2">
      <c r="B190" s="660" t="str">
        <f t="shared" si="15"/>
        <v>-</v>
      </c>
      <c r="C190" s="661" t="str">
        <f t="shared" si="16"/>
        <v/>
      </c>
      <c r="D190" s="650" t="str">
        <f t="shared" si="14"/>
        <v/>
      </c>
      <c r="E190" s="650" t="str">
        <f t="shared" si="17"/>
        <v/>
      </c>
      <c r="F190" s="650" t="str">
        <f t="shared" si="18"/>
        <v/>
      </c>
      <c r="G190" s="650" t="str">
        <f t="shared" si="19"/>
        <v/>
      </c>
      <c r="H190" s="650" t="str">
        <f t="shared" si="20"/>
        <v/>
      </c>
      <c r="J190" s="650"/>
      <c r="K190" s="650"/>
      <c r="L190" s="650"/>
    </row>
    <row r="191" spans="2:12" x14ac:dyDescent="0.2">
      <c r="B191" s="660" t="str">
        <f t="shared" si="15"/>
        <v>-</v>
      </c>
      <c r="C191" s="661" t="str">
        <f t="shared" si="16"/>
        <v/>
      </c>
      <c r="D191" s="650" t="str">
        <f t="shared" si="14"/>
        <v/>
      </c>
      <c r="E191" s="650" t="str">
        <f t="shared" si="17"/>
        <v/>
      </c>
      <c r="F191" s="650" t="str">
        <f t="shared" si="18"/>
        <v/>
      </c>
      <c r="G191" s="650" t="str">
        <f t="shared" si="19"/>
        <v/>
      </c>
      <c r="H191" s="650" t="str">
        <f t="shared" si="20"/>
        <v/>
      </c>
      <c r="J191" s="650"/>
      <c r="K191" s="650"/>
      <c r="L191" s="650"/>
    </row>
    <row r="192" spans="2:12" x14ac:dyDescent="0.2">
      <c r="B192" s="660" t="str">
        <f t="shared" si="15"/>
        <v>-</v>
      </c>
      <c r="C192" s="661" t="str">
        <f t="shared" si="16"/>
        <v/>
      </c>
      <c r="D192" s="650" t="str">
        <f t="shared" si="14"/>
        <v/>
      </c>
      <c r="E192" s="650" t="str">
        <f t="shared" si="17"/>
        <v/>
      </c>
      <c r="F192" s="650" t="str">
        <f t="shared" si="18"/>
        <v/>
      </c>
      <c r="G192" s="650" t="str">
        <f t="shared" si="19"/>
        <v/>
      </c>
      <c r="H192" s="650" t="str">
        <f t="shared" si="20"/>
        <v/>
      </c>
      <c r="J192" s="650"/>
      <c r="K192" s="650"/>
      <c r="L192" s="650"/>
    </row>
    <row r="193" spans="2:12" x14ac:dyDescent="0.2">
      <c r="B193" s="660" t="str">
        <f t="shared" si="15"/>
        <v>-</v>
      </c>
      <c r="C193" s="661" t="str">
        <f t="shared" si="16"/>
        <v/>
      </c>
      <c r="D193" s="650" t="str">
        <f t="shared" si="14"/>
        <v/>
      </c>
      <c r="E193" s="650" t="str">
        <f t="shared" si="17"/>
        <v/>
      </c>
      <c r="F193" s="650" t="str">
        <f t="shared" si="18"/>
        <v/>
      </c>
      <c r="G193" s="650" t="str">
        <f t="shared" si="19"/>
        <v/>
      </c>
      <c r="H193" s="650" t="str">
        <f t="shared" si="20"/>
        <v/>
      </c>
      <c r="J193" s="650"/>
      <c r="K193" s="650"/>
      <c r="L193" s="650"/>
    </row>
    <row r="194" spans="2:12" x14ac:dyDescent="0.2">
      <c r="B194" s="660" t="str">
        <f t="shared" si="15"/>
        <v>-</v>
      </c>
      <c r="C194" s="661" t="str">
        <f t="shared" si="16"/>
        <v/>
      </c>
      <c r="D194" s="650" t="str">
        <f t="shared" si="14"/>
        <v/>
      </c>
      <c r="E194" s="650" t="str">
        <f t="shared" si="17"/>
        <v/>
      </c>
      <c r="F194" s="650" t="str">
        <f t="shared" si="18"/>
        <v/>
      </c>
      <c r="G194" s="650" t="str">
        <f t="shared" si="19"/>
        <v/>
      </c>
      <c r="H194" s="650" t="str">
        <f t="shared" si="20"/>
        <v/>
      </c>
      <c r="J194" s="650"/>
      <c r="K194" s="650"/>
      <c r="L194" s="650"/>
    </row>
    <row r="195" spans="2:12" x14ac:dyDescent="0.2">
      <c r="B195" s="660" t="str">
        <f t="shared" si="15"/>
        <v>-</v>
      </c>
      <c r="C195" s="661" t="str">
        <f t="shared" si="16"/>
        <v/>
      </c>
      <c r="D195" s="650" t="str">
        <f t="shared" si="14"/>
        <v/>
      </c>
      <c r="E195" s="650" t="str">
        <f t="shared" si="17"/>
        <v/>
      </c>
      <c r="F195" s="650" t="str">
        <f t="shared" si="18"/>
        <v/>
      </c>
      <c r="G195" s="650" t="str">
        <f t="shared" si="19"/>
        <v/>
      </c>
      <c r="H195" s="650" t="str">
        <f t="shared" si="20"/>
        <v/>
      </c>
      <c r="J195" s="650"/>
      <c r="K195" s="650"/>
      <c r="L195" s="650"/>
    </row>
    <row r="196" spans="2:12" x14ac:dyDescent="0.2">
      <c r="B196" s="660" t="str">
        <f t="shared" si="15"/>
        <v>-</v>
      </c>
      <c r="C196" s="661" t="str">
        <f t="shared" si="16"/>
        <v/>
      </c>
      <c r="D196" s="650" t="str">
        <f t="shared" si="14"/>
        <v/>
      </c>
      <c r="E196" s="650" t="str">
        <f t="shared" si="17"/>
        <v/>
      </c>
      <c r="F196" s="650" t="str">
        <f t="shared" si="18"/>
        <v/>
      </c>
      <c r="G196" s="650" t="str">
        <f t="shared" si="19"/>
        <v/>
      </c>
      <c r="H196" s="650" t="str">
        <f t="shared" si="20"/>
        <v/>
      </c>
      <c r="J196" s="650"/>
      <c r="K196" s="650"/>
      <c r="L196" s="650"/>
    </row>
    <row r="197" spans="2:12" x14ac:dyDescent="0.2">
      <c r="B197" s="660" t="str">
        <f t="shared" si="15"/>
        <v>-</v>
      </c>
      <c r="C197" s="661" t="str">
        <f t="shared" si="16"/>
        <v/>
      </c>
      <c r="D197" s="650" t="str">
        <f t="shared" si="14"/>
        <v/>
      </c>
      <c r="E197" s="650" t="str">
        <f t="shared" si="17"/>
        <v/>
      </c>
      <c r="F197" s="650" t="str">
        <f t="shared" si="18"/>
        <v/>
      </c>
      <c r="G197" s="650" t="str">
        <f t="shared" si="19"/>
        <v/>
      </c>
      <c r="H197" s="650" t="str">
        <f t="shared" si="20"/>
        <v/>
      </c>
      <c r="J197" s="650"/>
      <c r="K197" s="650"/>
      <c r="L197" s="650"/>
    </row>
    <row r="198" spans="2:12" x14ac:dyDescent="0.2">
      <c r="B198" s="660" t="str">
        <f t="shared" si="15"/>
        <v>-</v>
      </c>
      <c r="C198" s="661" t="str">
        <f t="shared" si="16"/>
        <v/>
      </c>
      <c r="D198" s="650" t="str">
        <f t="shared" ref="D198:D261" si="21">IF(ISNUMBER(B198),D197-F197,"")</f>
        <v/>
      </c>
      <c r="E198" s="650" t="str">
        <f t="shared" si="17"/>
        <v/>
      </c>
      <c r="F198" s="650" t="str">
        <f t="shared" si="18"/>
        <v/>
      </c>
      <c r="G198" s="650" t="str">
        <f t="shared" si="19"/>
        <v/>
      </c>
      <c r="H198" s="650" t="str">
        <f t="shared" si="20"/>
        <v/>
      </c>
      <c r="J198" s="650"/>
      <c r="K198" s="650"/>
      <c r="L198" s="650"/>
    </row>
    <row r="199" spans="2:12" x14ac:dyDescent="0.2">
      <c r="B199" s="660" t="str">
        <f t="shared" si="15"/>
        <v>-</v>
      </c>
      <c r="C199" s="661" t="str">
        <f t="shared" si="16"/>
        <v/>
      </c>
      <c r="D199" s="650" t="str">
        <f t="shared" si="21"/>
        <v/>
      </c>
      <c r="E199" s="650" t="str">
        <f t="shared" si="17"/>
        <v/>
      </c>
      <c r="F199" s="650" t="str">
        <f t="shared" si="18"/>
        <v/>
      </c>
      <c r="G199" s="650" t="str">
        <f t="shared" si="19"/>
        <v/>
      </c>
      <c r="H199" s="650" t="str">
        <f t="shared" si="20"/>
        <v/>
      </c>
      <c r="J199" s="650"/>
      <c r="K199" s="650"/>
      <c r="L199" s="650"/>
    </row>
    <row r="200" spans="2:12" x14ac:dyDescent="0.2">
      <c r="B200" s="660" t="str">
        <f t="shared" si="15"/>
        <v>-</v>
      </c>
      <c r="C200" s="661" t="str">
        <f t="shared" si="16"/>
        <v/>
      </c>
      <c r="D200" s="650" t="str">
        <f t="shared" si="21"/>
        <v/>
      </c>
      <c r="E200" s="650" t="str">
        <f t="shared" si="17"/>
        <v/>
      </c>
      <c r="F200" s="650" t="str">
        <f t="shared" si="18"/>
        <v/>
      </c>
      <c r="G200" s="650" t="str">
        <f t="shared" si="19"/>
        <v/>
      </c>
      <c r="H200" s="650" t="str">
        <f t="shared" si="20"/>
        <v/>
      </c>
      <c r="J200" s="650"/>
      <c r="K200" s="650"/>
      <c r="L200" s="650"/>
    </row>
    <row r="201" spans="2:12" x14ac:dyDescent="0.2">
      <c r="B201" s="660" t="str">
        <f t="shared" si="15"/>
        <v>-</v>
      </c>
      <c r="C201" s="661" t="str">
        <f t="shared" si="16"/>
        <v/>
      </c>
      <c r="D201" s="650" t="str">
        <f t="shared" si="21"/>
        <v/>
      </c>
      <c r="E201" s="650" t="str">
        <f t="shared" si="17"/>
        <v/>
      </c>
      <c r="F201" s="650" t="str">
        <f t="shared" si="18"/>
        <v/>
      </c>
      <c r="G201" s="650" t="str">
        <f t="shared" si="19"/>
        <v/>
      </c>
      <c r="H201" s="650" t="str">
        <f t="shared" si="20"/>
        <v/>
      </c>
      <c r="J201" s="650"/>
      <c r="K201" s="650"/>
      <c r="L201" s="650"/>
    </row>
    <row r="202" spans="2:12" x14ac:dyDescent="0.2">
      <c r="B202" s="660" t="str">
        <f t="shared" si="15"/>
        <v>-</v>
      </c>
      <c r="C202" s="661" t="str">
        <f t="shared" si="16"/>
        <v/>
      </c>
      <c r="D202" s="650" t="str">
        <f t="shared" si="21"/>
        <v/>
      </c>
      <c r="E202" s="650" t="str">
        <f t="shared" si="17"/>
        <v/>
      </c>
      <c r="F202" s="650" t="str">
        <f t="shared" si="18"/>
        <v/>
      </c>
      <c r="G202" s="650" t="str">
        <f t="shared" si="19"/>
        <v/>
      </c>
      <c r="H202" s="650" t="str">
        <f t="shared" si="20"/>
        <v/>
      </c>
      <c r="J202" s="650"/>
      <c r="K202" s="650"/>
      <c r="L202" s="650"/>
    </row>
    <row r="203" spans="2:12" x14ac:dyDescent="0.2">
      <c r="B203" s="660" t="str">
        <f t="shared" si="15"/>
        <v>-</v>
      </c>
      <c r="C203" s="661" t="str">
        <f t="shared" si="16"/>
        <v/>
      </c>
      <c r="D203" s="650" t="str">
        <f t="shared" si="21"/>
        <v/>
      </c>
      <c r="E203" s="650" t="str">
        <f t="shared" si="17"/>
        <v/>
      </c>
      <c r="F203" s="650" t="str">
        <f t="shared" si="18"/>
        <v/>
      </c>
      <c r="G203" s="650" t="str">
        <f t="shared" si="19"/>
        <v/>
      </c>
      <c r="H203" s="650" t="str">
        <f t="shared" si="20"/>
        <v/>
      </c>
      <c r="J203" s="650"/>
      <c r="K203" s="650"/>
      <c r="L203" s="650"/>
    </row>
    <row r="204" spans="2:12" x14ac:dyDescent="0.2">
      <c r="B204" s="660" t="str">
        <f t="shared" ref="B204:B267" si="22">IF(B203&lt;$L$3,B203+1,"-")</f>
        <v>-</v>
      </c>
      <c r="C204" s="661" t="str">
        <f t="shared" ref="C204:C267" si="23">IF(ISNUMBER(B204),MIN(DATE(YEAR($C$11),MONTH($C$11)+B204*12/$P$5,DAY($C$11)),DATE(YEAR($C$11),MONTH($C$11)+1+B204*12/$P$5,1)-1),"")</f>
        <v/>
      </c>
      <c r="D204" s="650" t="str">
        <f t="shared" si="21"/>
        <v/>
      </c>
      <c r="E204" s="650" t="str">
        <f t="shared" ref="E204:E267" si="24">IF(ISNUMBER(B204),ROUND(D204*$L$7,$R$6),"")</f>
        <v/>
      </c>
      <c r="F204" s="650" t="str">
        <f t="shared" ref="F204:F267" si="25">IF(ISNUMBER(B204),IF(B204=$L$3,D204,IF(B204&gt;$L$4,$H$3-E204,0)),"")</f>
        <v/>
      </c>
      <c r="G204" s="650" t="str">
        <f t="shared" ref="G204:G267" si="26">IF(ISNUMBER(B204),$H$4,"")</f>
        <v/>
      </c>
      <c r="H204" s="650" t="str">
        <f t="shared" ref="H204:H267" si="27">IF(ISNUMBER(B204),E204+F204+G204,"")</f>
        <v/>
      </c>
      <c r="J204" s="650"/>
      <c r="K204" s="650"/>
      <c r="L204" s="650"/>
    </row>
    <row r="205" spans="2:12" x14ac:dyDescent="0.2">
      <c r="B205" s="660" t="str">
        <f t="shared" si="22"/>
        <v>-</v>
      </c>
      <c r="C205" s="661" t="str">
        <f t="shared" si="23"/>
        <v/>
      </c>
      <c r="D205" s="650" t="str">
        <f t="shared" si="21"/>
        <v/>
      </c>
      <c r="E205" s="650" t="str">
        <f t="shared" si="24"/>
        <v/>
      </c>
      <c r="F205" s="650" t="str">
        <f t="shared" si="25"/>
        <v/>
      </c>
      <c r="G205" s="650" t="str">
        <f t="shared" si="26"/>
        <v/>
      </c>
      <c r="H205" s="650" t="str">
        <f t="shared" si="27"/>
        <v/>
      </c>
      <c r="J205" s="650"/>
      <c r="K205" s="650"/>
      <c r="L205" s="650"/>
    </row>
    <row r="206" spans="2:12" x14ac:dyDescent="0.2">
      <c r="B206" s="660" t="str">
        <f t="shared" si="22"/>
        <v>-</v>
      </c>
      <c r="C206" s="661" t="str">
        <f t="shared" si="23"/>
        <v/>
      </c>
      <c r="D206" s="650" t="str">
        <f t="shared" si="21"/>
        <v/>
      </c>
      <c r="E206" s="650" t="str">
        <f t="shared" si="24"/>
        <v/>
      </c>
      <c r="F206" s="650" t="str">
        <f t="shared" si="25"/>
        <v/>
      </c>
      <c r="G206" s="650" t="str">
        <f t="shared" si="26"/>
        <v/>
      </c>
      <c r="H206" s="650" t="str">
        <f t="shared" si="27"/>
        <v/>
      </c>
      <c r="J206" s="650"/>
      <c r="K206" s="650"/>
      <c r="L206" s="650"/>
    </row>
    <row r="207" spans="2:12" x14ac:dyDescent="0.2">
      <c r="B207" s="660" t="str">
        <f t="shared" si="22"/>
        <v>-</v>
      </c>
      <c r="C207" s="661" t="str">
        <f t="shared" si="23"/>
        <v/>
      </c>
      <c r="D207" s="650" t="str">
        <f t="shared" si="21"/>
        <v/>
      </c>
      <c r="E207" s="650" t="str">
        <f t="shared" si="24"/>
        <v/>
      </c>
      <c r="F207" s="650" t="str">
        <f t="shared" si="25"/>
        <v/>
      </c>
      <c r="G207" s="650" t="str">
        <f t="shared" si="26"/>
        <v/>
      </c>
      <c r="H207" s="650" t="str">
        <f t="shared" si="27"/>
        <v/>
      </c>
      <c r="J207" s="650"/>
      <c r="K207" s="650"/>
      <c r="L207" s="650"/>
    </row>
    <row r="208" spans="2:12" x14ac:dyDescent="0.2">
      <c r="B208" s="660" t="str">
        <f t="shared" si="22"/>
        <v>-</v>
      </c>
      <c r="C208" s="661" t="str">
        <f t="shared" si="23"/>
        <v/>
      </c>
      <c r="D208" s="650" t="str">
        <f t="shared" si="21"/>
        <v/>
      </c>
      <c r="E208" s="650" t="str">
        <f t="shared" si="24"/>
        <v/>
      </c>
      <c r="F208" s="650" t="str">
        <f t="shared" si="25"/>
        <v/>
      </c>
      <c r="G208" s="650" t="str">
        <f t="shared" si="26"/>
        <v/>
      </c>
      <c r="H208" s="650" t="str">
        <f t="shared" si="27"/>
        <v/>
      </c>
      <c r="J208" s="650"/>
      <c r="K208" s="650"/>
      <c r="L208" s="650"/>
    </row>
    <row r="209" spans="2:12" x14ac:dyDescent="0.2">
      <c r="B209" s="660" t="str">
        <f t="shared" si="22"/>
        <v>-</v>
      </c>
      <c r="C209" s="661" t="str">
        <f t="shared" si="23"/>
        <v/>
      </c>
      <c r="D209" s="650" t="str">
        <f t="shared" si="21"/>
        <v/>
      </c>
      <c r="E209" s="650" t="str">
        <f t="shared" si="24"/>
        <v/>
      </c>
      <c r="F209" s="650" t="str">
        <f t="shared" si="25"/>
        <v/>
      </c>
      <c r="G209" s="650" t="str">
        <f t="shared" si="26"/>
        <v/>
      </c>
      <c r="H209" s="650" t="str">
        <f t="shared" si="27"/>
        <v/>
      </c>
      <c r="J209" s="650"/>
      <c r="K209" s="650"/>
      <c r="L209" s="650"/>
    </row>
    <row r="210" spans="2:12" x14ac:dyDescent="0.2">
      <c r="B210" s="660" t="str">
        <f t="shared" si="22"/>
        <v>-</v>
      </c>
      <c r="C210" s="661" t="str">
        <f t="shared" si="23"/>
        <v/>
      </c>
      <c r="D210" s="650" t="str">
        <f t="shared" si="21"/>
        <v/>
      </c>
      <c r="E210" s="650" t="str">
        <f t="shared" si="24"/>
        <v/>
      </c>
      <c r="F210" s="650" t="str">
        <f t="shared" si="25"/>
        <v/>
      </c>
      <c r="G210" s="650" t="str">
        <f t="shared" si="26"/>
        <v/>
      </c>
      <c r="H210" s="650" t="str">
        <f t="shared" si="27"/>
        <v/>
      </c>
      <c r="J210" s="650"/>
      <c r="K210" s="650"/>
      <c r="L210" s="650"/>
    </row>
    <row r="211" spans="2:12" x14ac:dyDescent="0.2">
      <c r="B211" s="660" t="str">
        <f t="shared" si="22"/>
        <v>-</v>
      </c>
      <c r="C211" s="661" t="str">
        <f t="shared" si="23"/>
        <v/>
      </c>
      <c r="D211" s="650" t="str">
        <f t="shared" si="21"/>
        <v/>
      </c>
      <c r="E211" s="650" t="str">
        <f t="shared" si="24"/>
        <v/>
      </c>
      <c r="F211" s="650" t="str">
        <f t="shared" si="25"/>
        <v/>
      </c>
      <c r="G211" s="650" t="str">
        <f t="shared" si="26"/>
        <v/>
      </c>
      <c r="H211" s="650" t="str">
        <f t="shared" si="27"/>
        <v/>
      </c>
      <c r="J211" s="650"/>
      <c r="K211" s="650"/>
      <c r="L211" s="650"/>
    </row>
    <row r="212" spans="2:12" x14ac:dyDescent="0.2">
      <c r="B212" s="660" t="str">
        <f t="shared" si="22"/>
        <v>-</v>
      </c>
      <c r="C212" s="661" t="str">
        <f t="shared" si="23"/>
        <v/>
      </c>
      <c r="D212" s="650" t="str">
        <f t="shared" si="21"/>
        <v/>
      </c>
      <c r="E212" s="650" t="str">
        <f t="shared" si="24"/>
        <v/>
      </c>
      <c r="F212" s="650" t="str">
        <f t="shared" si="25"/>
        <v/>
      </c>
      <c r="G212" s="650" t="str">
        <f t="shared" si="26"/>
        <v/>
      </c>
      <c r="H212" s="650" t="str">
        <f t="shared" si="27"/>
        <v/>
      </c>
      <c r="J212" s="650"/>
      <c r="K212" s="650"/>
      <c r="L212" s="650"/>
    </row>
    <row r="213" spans="2:12" x14ac:dyDescent="0.2">
      <c r="B213" s="660" t="str">
        <f t="shared" si="22"/>
        <v>-</v>
      </c>
      <c r="C213" s="661" t="str">
        <f t="shared" si="23"/>
        <v/>
      </c>
      <c r="D213" s="650" t="str">
        <f t="shared" si="21"/>
        <v/>
      </c>
      <c r="E213" s="650" t="str">
        <f t="shared" si="24"/>
        <v/>
      </c>
      <c r="F213" s="650" t="str">
        <f t="shared" si="25"/>
        <v/>
      </c>
      <c r="G213" s="650" t="str">
        <f t="shared" si="26"/>
        <v/>
      </c>
      <c r="H213" s="650" t="str">
        <f t="shared" si="27"/>
        <v/>
      </c>
      <c r="J213" s="650"/>
      <c r="K213" s="650"/>
      <c r="L213" s="650"/>
    </row>
    <row r="214" spans="2:12" x14ac:dyDescent="0.2">
      <c r="B214" s="660" t="str">
        <f t="shared" si="22"/>
        <v>-</v>
      </c>
      <c r="C214" s="661" t="str">
        <f t="shared" si="23"/>
        <v/>
      </c>
      <c r="D214" s="650" t="str">
        <f t="shared" si="21"/>
        <v/>
      </c>
      <c r="E214" s="650" t="str">
        <f t="shared" si="24"/>
        <v/>
      </c>
      <c r="F214" s="650" t="str">
        <f t="shared" si="25"/>
        <v/>
      </c>
      <c r="G214" s="650" t="str">
        <f t="shared" si="26"/>
        <v/>
      </c>
      <c r="H214" s="650" t="str">
        <f t="shared" si="27"/>
        <v/>
      </c>
      <c r="J214" s="650"/>
      <c r="K214" s="650"/>
      <c r="L214" s="650"/>
    </row>
    <row r="215" spans="2:12" x14ac:dyDescent="0.2">
      <c r="B215" s="660" t="str">
        <f t="shared" si="22"/>
        <v>-</v>
      </c>
      <c r="C215" s="661" t="str">
        <f t="shared" si="23"/>
        <v/>
      </c>
      <c r="D215" s="650" t="str">
        <f t="shared" si="21"/>
        <v/>
      </c>
      <c r="E215" s="650" t="str">
        <f t="shared" si="24"/>
        <v/>
      </c>
      <c r="F215" s="650" t="str">
        <f t="shared" si="25"/>
        <v/>
      </c>
      <c r="G215" s="650" t="str">
        <f t="shared" si="26"/>
        <v/>
      </c>
      <c r="H215" s="650" t="str">
        <f t="shared" si="27"/>
        <v/>
      </c>
      <c r="J215" s="650"/>
      <c r="K215" s="650"/>
      <c r="L215" s="650"/>
    </row>
    <row r="216" spans="2:12" x14ac:dyDescent="0.2">
      <c r="B216" s="660" t="str">
        <f t="shared" si="22"/>
        <v>-</v>
      </c>
      <c r="C216" s="661" t="str">
        <f t="shared" si="23"/>
        <v/>
      </c>
      <c r="D216" s="650" t="str">
        <f t="shared" si="21"/>
        <v/>
      </c>
      <c r="E216" s="650" t="str">
        <f t="shared" si="24"/>
        <v/>
      </c>
      <c r="F216" s="650" t="str">
        <f t="shared" si="25"/>
        <v/>
      </c>
      <c r="G216" s="650" t="str">
        <f t="shared" si="26"/>
        <v/>
      </c>
      <c r="H216" s="650" t="str">
        <f t="shared" si="27"/>
        <v/>
      </c>
      <c r="J216" s="650"/>
      <c r="K216" s="650"/>
      <c r="L216" s="650"/>
    </row>
    <row r="217" spans="2:12" x14ac:dyDescent="0.2">
      <c r="B217" s="660" t="str">
        <f t="shared" si="22"/>
        <v>-</v>
      </c>
      <c r="C217" s="661" t="str">
        <f t="shared" si="23"/>
        <v/>
      </c>
      <c r="D217" s="650" t="str">
        <f t="shared" si="21"/>
        <v/>
      </c>
      <c r="E217" s="650" t="str">
        <f t="shared" si="24"/>
        <v/>
      </c>
      <c r="F217" s="650" t="str">
        <f t="shared" si="25"/>
        <v/>
      </c>
      <c r="G217" s="650" t="str">
        <f t="shared" si="26"/>
        <v/>
      </c>
      <c r="H217" s="650" t="str">
        <f t="shared" si="27"/>
        <v/>
      </c>
      <c r="J217" s="650"/>
      <c r="K217" s="650"/>
      <c r="L217" s="650"/>
    </row>
    <row r="218" spans="2:12" x14ac:dyDescent="0.2">
      <c r="B218" s="660" t="str">
        <f t="shared" si="22"/>
        <v>-</v>
      </c>
      <c r="C218" s="661" t="str">
        <f t="shared" si="23"/>
        <v/>
      </c>
      <c r="D218" s="650" t="str">
        <f t="shared" si="21"/>
        <v/>
      </c>
      <c r="E218" s="650" t="str">
        <f t="shared" si="24"/>
        <v/>
      </c>
      <c r="F218" s="650" t="str">
        <f t="shared" si="25"/>
        <v/>
      </c>
      <c r="G218" s="650" t="str">
        <f t="shared" si="26"/>
        <v/>
      </c>
      <c r="H218" s="650" t="str">
        <f t="shared" si="27"/>
        <v/>
      </c>
      <c r="J218" s="650"/>
      <c r="K218" s="650"/>
      <c r="L218" s="650"/>
    </row>
    <row r="219" spans="2:12" x14ac:dyDescent="0.2">
      <c r="B219" s="660" t="str">
        <f t="shared" si="22"/>
        <v>-</v>
      </c>
      <c r="C219" s="661" t="str">
        <f t="shared" si="23"/>
        <v/>
      </c>
      <c r="D219" s="650" t="str">
        <f t="shared" si="21"/>
        <v/>
      </c>
      <c r="E219" s="650" t="str">
        <f t="shared" si="24"/>
        <v/>
      </c>
      <c r="F219" s="650" t="str">
        <f t="shared" si="25"/>
        <v/>
      </c>
      <c r="G219" s="650" t="str">
        <f t="shared" si="26"/>
        <v/>
      </c>
      <c r="H219" s="650" t="str">
        <f t="shared" si="27"/>
        <v/>
      </c>
      <c r="J219" s="650"/>
      <c r="K219" s="650"/>
      <c r="L219" s="650"/>
    </row>
    <row r="220" spans="2:12" x14ac:dyDescent="0.2">
      <c r="B220" s="660" t="str">
        <f t="shared" si="22"/>
        <v>-</v>
      </c>
      <c r="C220" s="661" t="str">
        <f t="shared" si="23"/>
        <v/>
      </c>
      <c r="D220" s="650" t="str">
        <f t="shared" si="21"/>
        <v/>
      </c>
      <c r="E220" s="650" t="str">
        <f t="shared" si="24"/>
        <v/>
      </c>
      <c r="F220" s="650" t="str">
        <f t="shared" si="25"/>
        <v/>
      </c>
      <c r="G220" s="650" t="str">
        <f t="shared" si="26"/>
        <v/>
      </c>
      <c r="H220" s="650" t="str">
        <f t="shared" si="27"/>
        <v/>
      </c>
      <c r="J220" s="650"/>
      <c r="K220" s="650"/>
      <c r="L220" s="650"/>
    </row>
    <row r="221" spans="2:12" x14ac:dyDescent="0.2">
      <c r="B221" s="660" t="str">
        <f t="shared" si="22"/>
        <v>-</v>
      </c>
      <c r="C221" s="661" t="str">
        <f t="shared" si="23"/>
        <v/>
      </c>
      <c r="D221" s="650" t="str">
        <f t="shared" si="21"/>
        <v/>
      </c>
      <c r="E221" s="650" t="str">
        <f t="shared" si="24"/>
        <v/>
      </c>
      <c r="F221" s="650" t="str">
        <f t="shared" si="25"/>
        <v/>
      </c>
      <c r="G221" s="650" t="str">
        <f t="shared" si="26"/>
        <v/>
      </c>
      <c r="H221" s="650" t="str">
        <f t="shared" si="27"/>
        <v/>
      </c>
      <c r="J221" s="650"/>
      <c r="K221" s="650"/>
      <c r="L221" s="650"/>
    </row>
    <row r="222" spans="2:12" x14ac:dyDescent="0.2">
      <c r="B222" s="660" t="str">
        <f t="shared" si="22"/>
        <v>-</v>
      </c>
      <c r="C222" s="661" t="str">
        <f t="shared" si="23"/>
        <v/>
      </c>
      <c r="D222" s="650" t="str">
        <f t="shared" si="21"/>
        <v/>
      </c>
      <c r="E222" s="650" t="str">
        <f t="shared" si="24"/>
        <v/>
      </c>
      <c r="F222" s="650" t="str">
        <f t="shared" si="25"/>
        <v/>
      </c>
      <c r="G222" s="650" t="str">
        <f t="shared" si="26"/>
        <v/>
      </c>
      <c r="H222" s="650" t="str">
        <f t="shared" si="27"/>
        <v/>
      </c>
      <c r="J222" s="650"/>
      <c r="K222" s="650"/>
      <c r="L222" s="650"/>
    </row>
    <row r="223" spans="2:12" x14ac:dyDescent="0.2">
      <c r="B223" s="660" t="str">
        <f t="shared" si="22"/>
        <v>-</v>
      </c>
      <c r="C223" s="661" t="str">
        <f t="shared" si="23"/>
        <v/>
      </c>
      <c r="D223" s="650" t="str">
        <f t="shared" si="21"/>
        <v/>
      </c>
      <c r="E223" s="650" t="str">
        <f t="shared" si="24"/>
        <v/>
      </c>
      <c r="F223" s="650" t="str">
        <f t="shared" si="25"/>
        <v/>
      </c>
      <c r="G223" s="650" t="str">
        <f t="shared" si="26"/>
        <v/>
      </c>
      <c r="H223" s="650" t="str">
        <f t="shared" si="27"/>
        <v/>
      </c>
      <c r="J223" s="650"/>
      <c r="K223" s="650"/>
      <c r="L223" s="650"/>
    </row>
    <row r="224" spans="2:12" x14ac:dyDescent="0.2">
      <c r="B224" s="660" t="str">
        <f t="shared" si="22"/>
        <v>-</v>
      </c>
      <c r="C224" s="661" t="str">
        <f t="shared" si="23"/>
        <v/>
      </c>
      <c r="D224" s="650" t="str">
        <f t="shared" si="21"/>
        <v/>
      </c>
      <c r="E224" s="650" t="str">
        <f t="shared" si="24"/>
        <v/>
      </c>
      <c r="F224" s="650" t="str">
        <f t="shared" si="25"/>
        <v/>
      </c>
      <c r="G224" s="650" t="str">
        <f t="shared" si="26"/>
        <v/>
      </c>
      <c r="H224" s="650" t="str">
        <f t="shared" si="27"/>
        <v/>
      </c>
      <c r="J224" s="650"/>
      <c r="K224" s="650"/>
      <c r="L224" s="650"/>
    </row>
    <row r="225" spans="2:12" x14ac:dyDescent="0.2">
      <c r="B225" s="660" t="str">
        <f t="shared" si="22"/>
        <v>-</v>
      </c>
      <c r="C225" s="661" t="str">
        <f t="shared" si="23"/>
        <v/>
      </c>
      <c r="D225" s="650" t="str">
        <f t="shared" si="21"/>
        <v/>
      </c>
      <c r="E225" s="650" t="str">
        <f t="shared" si="24"/>
        <v/>
      </c>
      <c r="F225" s="650" t="str">
        <f t="shared" si="25"/>
        <v/>
      </c>
      <c r="G225" s="650" t="str">
        <f t="shared" si="26"/>
        <v/>
      </c>
      <c r="H225" s="650" t="str">
        <f t="shared" si="27"/>
        <v/>
      </c>
      <c r="J225" s="650"/>
      <c r="K225" s="650"/>
      <c r="L225" s="650"/>
    </row>
    <row r="226" spans="2:12" x14ac:dyDescent="0.2">
      <c r="B226" s="660" t="str">
        <f t="shared" si="22"/>
        <v>-</v>
      </c>
      <c r="C226" s="661" t="str">
        <f t="shared" si="23"/>
        <v/>
      </c>
      <c r="D226" s="650" t="str">
        <f t="shared" si="21"/>
        <v/>
      </c>
      <c r="E226" s="650" t="str">
        <f t="shared" si="24"/>
        <v/>
      </c>
      <c r="F226" s="650" t="str">
        <f t="shared" si="25"/>
        <v/>
      </c>
      <c r="G226" s="650" t="str">
        <f t="shared" si="26"/>
        <v/>
      </c>
      <c r="H226" s="650" t="str">
        <f t="shared" si="27"/>
        <v/>
      </c>
      <c r="J226" s="650"/>
      <c r="K226" s="650"/>
      <c r="L226" s="650"/>
    </row>
    <row r="227" spans="2:12" x14ac:dyDescent="0.2">
      <c r="B227" s="660" t="str">
        <f t="shared" si="22"/>
        <v>-</v>
      </c>
      <c r="C227" s="661" t="str">
        <f t="shared" si="23"/>
        <v/>
      </c>
      <c r="D227" s="650" t="str">
        <f t="shared" si="21"/>
        <v/>
      </c>
      <c r="E227" s="650" t="str">
        <f t="shared" si="24"/>
        <v/>
      </c>
      <c r="F227" s="650" t="str">
        <f t="shared" si="25"/>
        <v/>
      </c>
      <c r="G227" s="650" t="str">
        <f t="shared" si="26"/>
        <v/>
      </c>
      <c r="H227" s="650" t="str">
        <f t="shared" si="27"/>
        <v/>
      </c>
      <c r="J227" s="650"/>
      <c r="K227" s="650"/>
      <c r="L227" s="650"/>
    </row>
    <row r="228" spans="2:12" x14ac:dyDescent="0.2">
      <c r="B228" s="660" t="str">
        <f t="shared" si="22"/>
        <v>-</v>
      </c>
      <c r="C228" s="661" t="str">
        <f t="shared" si="23"/>
        <v/>
      </c>
      <c r="D228" s="650" t="str">
        <f t="shared" si="21"/>
        <v/>
      </c>
      <c r="E228" s="650" t="str">
        <f t="shared" si="24"/>
        <v/>
      </c>
      <c r="F228" s="650" t="str">
        <f t="shared" si="25"/>
        <v/>
      </c>
      <c r="G228" s="650" t="str">
        <f t="shared" si="26"/>
        <v/>
      </c>
      <c r="H228" s="650" t="str">
        <f t="shared" si="27"/>
        <v/>
      </c>
      <c r="J228" s="650"/>
      <c r="K228" s="650"/>
      <c r="L228" s="650"/>
    </row>
    <row r="229" spans="2:12" x14ac:dyDescent="0.2">
      <c r="B229" s="660" t="str">
        <f t="shared" si="22"/>
        <v>-</v>
      </c>
      <c r="C229" s="661" t="str">
        <f t="shared" si="23"/>
        <v/>
      </c>
      <c r="D229" s="650" t="str">
        <f t="shared" si="21"/>
        <v/>
      </c>
      <c r="E229" s="650" t="str">
        <f t="shared" si="24"/>
        <v/>
      </c>
      <c r="F229" s="650" t="str">
        <f t="shared" si="25"/>
        <v/>
      </c>
      <c r="G229" s="650" t="str">
        <f t="shared" si="26"/>
        <v/>
      </c>
      <c r="H229" s="650" t="str">
        <f t="shared" si="27"/>
        <v/>
      </c>
      <c r="J229" s="650"/>
      <c r="K229" s="650"/>
      <c r="L229" s="650"/>
    </row>
    <row r="230" spans="2:12" x14ac:dyDescent="0.2">
      <c r="B230" s="660" t="str">
        <f t="shared" si="22"/>
        <v>-</v>
      </c>
      <c r="C230" s="661" t="str">
        <f t="shared" si="23"/>
        <v/>
      </c>
      <c r="D230" s="650" t="str">
        <f t="shared" si="21"/>
        <v/>
      </c>
      <c r="E230" s="650" t="str">
        <f t="shared" si="24"/>
        <v/>
      </c>
      <c r="F230" s="650" t="str">
        <f t="shared" si="25"/>
        <v/>
      </c>
      <c r="G230" s="650" t="str">
        <f t="shared" si="26"/>
        <v/>
      </c>
      <c r="H230" s="650" t="str">
        <f t="shared" si="27"/>
        <v/>
      </c>
      <c r="J230" s="650"/>
      <c r="K230" s="650"/>
      <c r="L230" s="650"/>
    </row>
    <row r="231" spans="2:12" x14ac:dyDescent="0.2">
      <c r="B231" s="660" t="str">
        <f t="shared" si="22"/>
        <v>-</v>
      </c>
      <c r="C231" s="661" t="str">
        <f t="shared" si="23"/>
        <v/>
      </c>
      <c r="D231" s="650" t="str">
        <f t="shared" si="21"/>
        <v/>
      </c>
      <c r="E231" s="650" t="str">
        <f t="shared" si="24"/>
        <v/>
      </c>
      <c r="F231" s="650" t="str">
        <f t="shared" si="25"/>
        <v/>
      </c>
      <c r="G231" s="650" t="str">
        <f t="shared" si="26"/>
        <v/>
      </c>
      <c r="H231" s="650" t="str">
        <f t="shared" si="27"/>
        <v/>
      </c>
      <c r="J231" s="650"/>
      <c r="K231" s="650"/>
      <c r="L231" s="650"/>
    </row>
    <row r="232" spans="2:12" x14ac:dyDescent="0.2">
      <c r="B232" s="660" t="str">
        <f t="shared" si="22"/>
        <v>-</v>
      </c>
      <c r="C232" s="661" t="str">
        <f t="shared" si="23"/>
        <v/>
      </c>
      <c r="D232" s="650" t="str">
        <f t="shared" si="21"/>
        <v/>
      </c>
      <c r="E232" s="650" t="str">
        <f t="shared" si="24"/>
        <v/>
      </c>
      <c r="F232" s="650" t="str">
        <f t="shared" si="25"/>
        <v/>
      </c>
      <c r="G232" s="650" t="str">
        <f t="shared" si="26"/>
        <v/>
      </c>
      <c r="H232" s="650" t="str">
        <f t="shared" si="27"/>
        <v/>
      </c>
      <c r="J232" s="650"/>
      <c r="K232" s="650"/>
      <c r="L232" s="650"/>
    </row>
    <row r="233" spans="2:12" x14ac:dyDescent="0.2">
      <c r="B233" s="660" t="str">
        <f t="shared" si="22"/>
        <v>-</v>
      </c>
      <c r="C233" s="661" t="str">
        <f t="shared" si="23"/>
        <v/>
      </c>
      <c r="D233" s="650" t="str">
        <f t="shared" si="21"/>
        <v/>
      </c>
      <c r="E233" s="650" t="str">
        <f t="shared" si="24"/>
        <v/>
      </c>
      <c r="F233" s="650" t="str">
        <f t="shared" si="25"/>
        <v/>
      </c>
      <c r="G233" s="650" t="str">
        <f t="shared" si="26"/>
        <v/>
      </c>
      <c r="H233" s="650" t="str">
        <f t="shared" si="27"/>
        <v/>
      </c>
      <c r="J233" s="650"/>
      <c r="K233" s="650"/>
      <c r="L233" s="650"/>
    </row>
    <row r="234" spans="2:12" x14ac:dyDescent="0.2">
      <c r="B234" s="660" t="str">
        <f t="shared" si="22"/>
        <v>-</v>
      </c>
      <c r="C234" s="661" t="str">
        <f t="shared" si="23"/>
        <v/>
      </c>
      <c r="D234" s="650" t="str">
        <f t="shared" si="21"/>
        <v/>
      </c>
      <c r="E234" s="650" t="str">
        <f t="shared" si="24"/>
        <v/>
      </c>
      <c r="F234" s="650" t="str">
        <f t="shared" si="25"/>
        <v/>
      </c>
      <c r="G234" s="650" t="str">
        <f t="shared" si="26"/>
        <v/>
      </c>
      <c r="H234" s="650" t="str">
        <f t="shared" si="27"/>
        <v/>
      </c>
      <c r="J234" s="650"/>
      <c r="K234" s="650"/>
      <c r="L234" s="650"/>
    </row>
    <row r="235" spans="2:12" x14ac:dyDescent="0.2">
      <c r="B235" s="660" t="str">
        <f t="shared" si="22"/>
        <v>-</v>
      </c>
      <c r="C235" s="661" t="str">
        <f t="shared" si="23"/>
        <v/>
      </c>
      <c r="D235" s="650" t="str">
        <f t="shared" si="21"/>
        <v/>
      </c>
      <c r="E235" s="650" t="str">
        <f t="shared" si="24"/>
        <v/>
      </c>
      <c r="F235" s="650" t="str">
        <f t="shared" si="25"/>
        <v/>
      </c>
      <c r="G235" s="650" t="str">
        <f t="shared" si="26"/>
        <v/>
      </c>
      <c r="H235" s="650" t="str">
        <f t="shared" si="27"/>
        <v/>
      </c>
      <c r="J235" s="650"/>
      <c r="K235" s="650"/>
      <c r="L235" s="650"/>
    </row>
    <row r="236" spans="2:12" x14ac:dyDescent="0.2">
      <c r="B236" s="660" t="str">
        <f t="shared" si="22"/>
        <v>-</v>
      </c>
      <c r="C236" s="661" t="str">
        <f t="shared" si="23"/>
        <v/>
      </c>
      <c r="D236" s="650" t="str">
        <f t="shared" si="21"/>
        <v/>
      </c>
      <c r="E236" s="650" t="str">
        <f t="shared" si="24"/>
        <v/>
      </c>
      <c r="F236" s="650" t="str">
        <f t="shared" si="25"/>
        <v/>
      </c>
      <c r="G236" s="650" t="str">
        <f t="shared" si="26"/>
        <v/>
      </c>
      <c r="H236" s="650" t="str">
        <f t="shared" si="27"/>
        <v/>
      </c>
      <c r="J236" s="650"/>
      <c r="K236" s="650"/>
      <c r="L236" s="650"/>
    </row>
    <row r="237" spans="2:12" x14ac:dyDescent="0.2">
      <c r="B237" s="660" t="str">
        <f t="shared" si="22"/>
        <v>-</v>
      </c>
      <c r="C237" s="661" t="str">
        <f t="shared" si="23"/>
        <v/>
      </c>
      <c r="D237" s="650" t="str">
        <f t="shared" si="21"/>
        <v/>
      </c>
      <c r="E237" s="650" t="str">
        <f t="shared" si="24"/>
        <v/>
      </c>
      <c r="F237" s="650" t="str">
        <f t="shared" si="25"/>
        <v/>
      </c>
      <c r="G237" s="650" t="str">
        <f t="shared" si="26"/>
        <v/>
      </c>
      <c r="H237" s="650" t="str">
        <f t="shared" si="27"/>
        <v/>
      </c>
      <c r="J237" s="650"/>
      <c r="K237" s="650"/>
      <c r="L237" s="650"/>
    </row>
    <row r="238" spans="2:12" x14ac:dyDescent="0.2">
      <c r="B238" s="660" t="str">
        <f t="shared" si="22"/>
        <v>-</v>
      </c>
      <c r="C238" s="661" t="str">
        <f t="shared" si="23"/>
        <v/>
      </c>
      <c r="D238" s="650" t="str">
        <f t="shared" si="21"/>
        <v/>
      </c>
      <c r="E238" s="650" t="str">
        <f t="shared" si="24"/>
        <v/>
      </c>
      <c r="F238" s="650" t="str">
        <f t="shared" si="25"/>
        <v/>
      </c>
      <c r="G238" s="650" t="str">
        <f t="shared" si="26"/>
        <v/>
      </c>
      <c r="H238" s="650" t="str">
        <f t="shared" si="27"/>
        <v/>
      </c>
      <c r="J238" s="650"/>
      <c r="K238" s="650"/>
      <c r="L238" s="650"/>
    </row>
    <row r="239" spans="2:12" x14ac:dyDescent="0.2">
      <c r="B239" s="660" t="str">
        <f t="shared" si="22"/>
        <v>-</v>
      </c>
      <c r="C239" s="661" t="str">
        <f t="shared" si="23"/>
        <v/>
      </c>
      <c r="D239" s="650" t="str">
        <f t="shared" si="21"/>
        <v/>
      </c>
      <c r="E239" s="650" t="str">
        <f t="shared" si="24"/>
        <v/>
      </c>
      <c r="F239" s="650" t="str">
        <f t="shared" si="25"/>
        <v/>
      </c>
      <c r="G239" s="650" t="str">
        <f t="shared" si="26"/>
        <v/>
      </c>
      <c r="H239" s="650" t="str">
        <f t="shared" si="27"/>
        <v/>
      </c>
      <c r="J239" s="650"/>
      <c r="K239" s="650"/>
      <c r="L239" s="650"/>
    </row>
    <row r="240" spans="2:12" x14ac:dyDescent="0.2">
      <c r="B240" s="660" t="str">
        <f t="shared" si="22"/>
        <v>-</v>
      </c>
      <c r="C240" s="661" t="str">
        <f t="shared" si="23"/>
        <v/>
      </c>
      <c r="D240" s="650" t="str">
        <f t="shared" si="21"/>
        <v/>
      </c>
      <c r="E240" s="650" t="str">
        <f t="shared" si="24"/>
        <v/>
      </c>
      <c r="F240" s="650" t="str">
        <f t="shared" si="25"/>
        <v/>
      </c>
      <c r="G240" s="650" t="str">
        <f t="shared" si="26"/>
        <v/>
      </c>
      <c r="H240" s="650" t="str">
        <f t="shared" si="27"/>
        <v/>
      </c>
      <c r="J240" s="650"/>
      <c r="K240" s="650"/>
      <c r="L240" s="650"/>
    </row>
    <row r="241" spans="2:12" x14ac:dyDescent="0.2">
      <c r="B241" s="660" t="str">
        <f t="shared" si="22"/>
        <v>-</v>
      </c>
      <c r="C241" s="661" t="str">
        <f t="shared" si="23"/>
        <v/>
      </c>
      <c r="D241" s="650" t="str">
        <f t="shared" si="21"/>
        <v/>
      </c>
      <c r="E241" s="650" t="str">
        <f t="shared" si="24"/>
        <v/>
      </c>
      <c r="F241" s="650" t="str">
        <f t="shared" si="25"/>
        <v/>
      </c>
      <c r="G241" s="650" t="str">
        <f t="shared" si="26"/>
        <v/>
      </c>
      <c r="H241" s="650" t="str">
        <f t="shared" si="27"/>
        <v/>
      </c>
      <c r="J241" s="650"/>
      <c r="K241" s="650"/>
      <c r="L241" s="650"/>
    </row>
    <row r="242" spans="2:12" x14ac:dyDescent="0.2">
      <c r="B242" s="660" t="str">
        <f t="shared" si="22"/>
        <v>-</v>
      </c>
      <c r="C242" s="661" t="str">
        <f t="shared" si="23"/>
        <v/>
      </c>
      <c r="D242" s="650" t="str">
        <f t="shared" si="21"/>
        <v/>
      </c>
      <c r="E242" s="650" t="str">
        <f t="shared" si="24"/>
        <v/>
      </c>
      <c r="F242" s="650" t="str">
        <f t="shared" si="25"/>
        <v/>
      </c>
      <c r="G242" s="650" t="str">
        <f t="shared" si="26"/>
        <v/>
      </c>
      <c r="H242" s="650" t="str">
        <f t="shared" si="27"/>
        <v/>
      </c>
      <c r="J242" s="650"/>
      <c r="K242" s="650"/>
      <c r="L242" s="650"/>
    </row>
    <row r="243" spans="2:12" x14ac:dyDescent="0.2">
      <c r="B243" s="660" t="str">
        <f t="shared" si="22"/>
        <v>-</v>
      </c>
      <c r="C243" s="661" t="str">
        <f t="shared" si="23"/>
        <v/>
      </c>
      <c r="D243" s="650" t="str">
        <f t="shared" si="21"/>
        <v/>
      </c>
      <c r="E243" s="650" t="str">
        <f t="shared" si="24"/>
        <v/>
      </c>
      <c r="F243" s="650" t="str">
        <f t="shared" si="25"/>
        <v/>
      </c>
      <c r="G243" s="650" t="str">
        <f t="shared" si="26"/>
        <v/>
      </c>
      <c r="H243" s="650" t="str">
        <f t="shared" si="27"/>
        <v/>
      </c>
      <c r="J243" s="650"/>
      <c r="K243" s="650"/>
      <c r="L243" s="650"/>
    </row>
    <row r="244" spans="2:12" x14ac:dyDescent="0.2">
      <c r="B244" s="660" t="str">
        <f t="shared" si="22"/>
        <v>-</v>
      </c>
      <c r="C244" s="661" t="str">
        <f t="shared" si="23"/>
        <v/>
      </c>
      <c r="D244" s="650" t="str">
        <f t="shared" si="21"/>
        <v/>
      </c>
      <c r="E244" s="650" t="str">
        <f t="shared" si="24"/>
        <v/>
      </c>
      <c r="F244" s="650" t="str">
        <f t="shared" si="25"/>
        <v/>
      </c>
      <c r="G244" s="650" t="str">
        <f t="shared" si="26"/>
        <v/>
      </c>
      <c r="H244" s="650" t="str">
        <f t="shared" si="27"/>
        <v/>
      </c>
      <c r="J244" s="650"/>
      <c r="K244" s="650"/>
      <c r="L244" s="650"/>
    </row>
    <row r="245" spans="2:12" x14ac:dyDescent="0.2">
      <c r="B245" s="660" t="str">
        <f t="shared" si="22"/>
        <v>-</v>
      </c>
      <c r="C245" s="661" t="str">
        <f t="shared" si="23"/>
        <v/>
      </c>
      <c r="D245" s="650" t="str">
        <f t="shared" si="21"/>
        <v/>
      </c>
      <c r="E245" s="650" t="str">
        <f t="shared" si="24"/>
        <v/>
      </c>
      <c r="F245" s="650" t="str">
        <f t="shared" si="25"/>
        <v/>
      </c>
      <c r="G245" s="650" t="str">
        <f t="shared" si="26"/>
        <v/>
      </c>
      <c r="H245" s="650" t="str">
        <f t="shared" si="27"/>
        <v/>
      </c>
      <c r="J245" s="650"/>
      <c r="K245" s="650"/>
      <c r="L245" s="650"/>
    </row>
    <row r="246" spans="2:12" x14ac:dyDescent="0.2">
      <c r="B246" s="660" t="str">
        <f t="shared" si="22"/>
        <v>-</v>
      </c>
      <c r="C246" s="661" t="str">
        <f t="shared" si="23"/>
        <v/>
      </c>
      <c r="D246" s="650" t="str">
        <f t="shared" si="21"/>
        <v/>
      </c>
      <c r="E246" s="650" t="str">
        <f t="shared" si="24"/>
        <v/>
      </c>
      <c r="F246" s="650" t="str">
        <f t="shared" si="25"/>
        <v/>
      </c>
      <c r="G246" s="650" t="str">
        <f t="shared" si="26"/>
        <v/>
      </c>
      <c r="H246" s="650" t="str">
        <f t="shared" si="27"/>
        <v/>
      </c>
      <c r="J246" s="650"/>
      <c r="K246" s="650"/>
      <c r="L246" s="650"/>
    </row>
    <row r="247" spans="2:12" x14ac:dyDescent="0.2">
      <c r="B247" s="660" t="str">
        <f t="shared" si="22"/>
        <v>-</v>
      </c>
      <c r="C247" s="661" t="str">
        <f t="shared" si="23"/>
        <v/>
      </c>
      <c r="D247" s="650" t="str">
        <f t="shared" si="21"/>
        <v/>
      </c>
      <c r="E247" s="650" t="str">
        <f t="shared" si="24"/>
        <v/>
      </c>
      <c r="F247" s="650" t="str">
        <f t="shared" si="25"/>
        <v/>
      </c>
      <c r="G247" s="650" t="str">
        <f t="shared" si="26"/>
        <v/>
      </c>
      <c r="H247" s="650" t="str">
        <f t="shared" si="27"/>
        <v/>
      </c>
      <c r="J247" s="650"/>
      <c r="K247" s="650"/>
      <c r="L247" s="650"/>
    </row>
    <row r="248" spans="2:12" x14ac:dyDescent="0.2">
      <c r="B248" s="660" t="str">
        <f t="shared" si="22"/>
        <v>-</v>
      </c>
      <c r="C248" s="661" t="str">
        <f t="shared" si="23"/>
        <v/>
      </c>
      <c r="D248" s="650" t="str">
        <f t="shared" si="21"/>
        <v/>
      </c>
      <c r="E248" s="650" t="str">
        <f t="shared" si="24"/>
        <v/>
      </c>
      <c r="F248" s="650" t="str">
        <f t="shared" si="25"/>
        <v/>
      </c>
      <c r="G248" s="650" t="str">
        <f t="shared" si="26"/>
        <v/>
      </c>
      <c r="H248" s="650" t="str">
        <f t="shared" si="27"/>
        <v/>
      </c>
      <c r="J248" s="650"/>
      <c r="K248" s="650"/>
      <c r="L248" s="650"/>
    </row>
    <row r="249" spans="2:12" x14ac:dyDescent="0.2">
      <c r="B249" s="660" t="str">
        <f t="shared" si="22"/>
        <v>-</v>
      </c>
      <c r="C249" s="661" t="str">
        <f t="shared" si="23"/>
        <v/>
      </c>
      <c r="D249" s="650" t="str">
        <f t="shared" si="21"/>
        <v/>
      </c>
      <c r="E249" s="650" t="str">
        <f t="shared" si="24"/>
        <v/>
      </c>
      <c r="F249" s="650" t="str">
        <f t="shared" si="25"/>
        <v/>
      </c>
      <c r="G249" s="650" t="str">
        <f t="shared" si="26"/>
        <v/>
      </c>
      <c r="H249" s="650" t="str">
        <f t="shared" si="27"/>
        <v/>
      </c>
      <c r="J249" s="650"/>
      <c r="K249" s="650"/>
      <c r="L249" s="650"/>
    </row>
    <row r="250" spans="2:12" x14ac:dyDescent="0.2">
      <c r="B250" s="660" t="str">
        <f t="shared" si="22"/>
        <v>-</v>
      </c>
      <c r="C250" s="661" t="str">
        <f t="shared" si="23"/>
        <v/>
      </c>
      <c r="D250" s="650" t="str">
        <f t="shared" si="21"/>
        <v/>
      </c>
      <c r="E250" s="650" t="str">
        <f t="shared" si="24"/>
        <v/>
      </c>
      <c r="F250" s="650" t="str">
        <f t="shared" si="25"/>
        <v/>
      </c>
      <c r="G250" s="650" t="str">
        <f t="shared" si="26"/>
        <v/>
      </c>
      <c r="H250" s="650" t="str">
        <f t="shared" si="27"/>
        <v/>
      </c>
      <c r="J250" s="650"/>
      <c r="K250" s="650"/>
      <c r="L250" s="650"/>
    </row>
    <row r="251" spans="2:12" x14ac:dyDescent="0.2">
      <c r="B251" s="660" t="str">
        <f t="shared" si="22"/>
        <v>-</v>
      </c>
      <c r="C251" s="661" t="str">
        <f t="shared" si="23"/>
        <v/>
      </c>
      <c r="D251" s="650" t="str">
        <f t="shared" si="21"/>
        <v/>
      </c>
      <c r="E251" s="650" t="str">
        <f t="shared" si="24"/>
        <v/>
      </c>
      <c r="F251" s="650" t="str">
        <f t="shared" si="25"/>
        <v/>
      </c>
      <c r="G251" s="650" t="str">
        <f t="shared" si="26"/>
        <v/>
      </c>
      <c r="H251" s="650" t="str">
        <f t="shared" si="27"/>
        <v/>
      </c>
      <c r="J251" s="650"/>
      <c r="K251" s="650"/>
      <c r="L251" s="650"/>
    </row>
    <row r="252" spans="2:12" x14ac:dyDescent="0.2">
      <c r="B252" s="660" t="str">
        <f t="shared" si="22"/>
        <v>-</v>
      </c>
      <c r="C252" s="661" t="str">
        <f t="shared" si="23"/>
        <v/>
      </c>
      <c r="D252" s="650" t="str">
        <f t="shared" si="21"/>
        <v/>
      </c>
      <c r="E252" s="650" t="str">
        <f t="shared" si="24"/>
        <v/>
      </c>
      <c r="F252" s="650" t="str">
        <f t="shared" si="25"/>
        <v/>
      </c>
      <c r="G252" s="650" t="str">
        <f t="shared" si="26"/>
        <v/>
      </c>
      <c r="H252" s="650" t="str">
        <f t="shared" si="27"/>
        <v/>
      </c>
      <c r="J252" s="650"/>
      <c r="K252" s="650"/>
      <c r="L252" s="650"/>
    </row>
    <row r="253" spans="2:12" x14ac:dyDescent="0.2">
      <c r="B253" s="660" t="str">
        <f t="shared" si="22"/>
        <v>-</v>
      </c>
      <c r="C253" s="661" t="str">
        <f t="shared" si="23"/>
        <v/>
      </c>
      <c r="D253" s="650" t="str">
        <f t="shared" si="21"/>
        <v/>
      </c>
      <c r="E253" s="650" t="str">
        <f t="shared" si="24"/>
        <v/>
      </c>
      <c r="F253" s="650" t="str">
        <f t="shared" si="25"/>
        <v/>
      </c>
      <c r="G253" s="650" t="str">
        <f t="shared" si="26"/>
        <v/>
      </c>
      <c r="H253" s="650" t="str">
        <f t="shared" si="27"/>
        <v/>
      </c>
      <c r="J253" s="650"/>
      <c r="K253" s="650"/>
      <c r="L253" s="650"/>
    </row>
    <row r="254" spans="2:12" x14ac:dyDescent="0.2">
      <c r="B254" s="660" t="str">
        <f t="shared" si="22"/>
        <v>-</v>
      </c>
      <c r="C254" s="661" t="str">
        <f t="shared" si="23"/>
        <v/>
      </c>
      <c r="D254" s="650" t="str">
        <f t="shared" si="21"/>
        <v/>
      </c>
      <c r="E254" s="650" t="str">
        <f t="shared" si="24"/>
        <v/>
      </c>
      <c r="F254" s="650" t="str">
        <f t="shared" si="25"/>
        <v/>
      </c>
      <c r="G254" s="650" t="str">
        <f t="shared" si="26"/>
        <v/>
      </c>
      <c r="H254" s="650" t="str">
        <f t="shared" si="27"/>
        <v/>
      </c>
      <c r="J254" s="650"/>
      <c r="K254" s="650"/>
      <c r="L254" s="650"/>
    </row>
    <row r="255" spans="2:12" x14ac:dyDescent="0.2">
      <c r="B255" s="660" t="str">
        <f t="shared" si="22"/>
        <v>-</v>
      </c>
      <c r="C255" s="661" t="str">
        <f t="shared" si="23"/>
        <v/>
      </c>
      <c r="D255" s="650" t="str">
        <f t="shared" si="21"/>
        <v/>
      </c>
      <c r="E255" s="650" t="str">
        <f t="shared" si="24"/>
        <v/>
      </c>
      <c r="F255" s="650" t="str">
        <f t="shared" si="25"/>
        <v/>
      </c>
      <c r="G255" s="650" t="str">
        <f t="shared" si="26"/>
        <v/>
      </c>
      <c r="H255" s="650" t="str">
        <f t="shared" si="27"/>
        <v/>
      </c>
      <c r="J255" s="650"/>
      <c r="K255" s="650"/>
      <c r="L255" s="650"/>
    </row>
    <row r="256" spans="2:12" x14ac:dyDescent="0.2">
      <c r="B256" s="660" t="str">
        <f t="shared" si="22"/>
        <v>-</v>
      </c>
      <c r="C256" s="661" t="str">
        <f t="shared" si="23"/>
        <v/>
      </c>
      <c r="D256" s="650" t="str">
        <f t="shared" si="21"/>
        <v/>
      </c>
      <c r="E256" s="650" t="str">
        <f t="shared" si="24"/>
        <v/>
      </c>
      <c r="F256" s="650" t="str">
        <f t="shared" si="25"/>
        <v/>
      </c>
      <c r="G256" s="650" t="str">
        <f t="shared" si="26"/>
        <v/>
      </c>
      <c r="H256" s="650" t="str">
        <f t="shared" si="27"/>
        <v/>
      </c>
      <c r="J256" s="650"/>
      <c r="K256" s="650"/>
      <c r="L256" s="650"/>
    </row>
    <row r="257" spans="2:12" x14ac:dyDescent="0.2">
      <c r="B257" s="660" t="str">
        <f t="shared" si="22"/>
        <v>-</v>
      </c>
      <c r="C257" s="661" t="str">
        <f t="shared" si="23"/>
        <v/>
      </c>
      <c r="D257" s="650" t="str">
        <f t="shared" si="21"/>
        <v/>
      </c>
      <c r="E257" s="650" t="str">
        <f t="shared" si="24"/>
        <v/>
      </c>
      <c r="F257" s="650" t="str">
        <f t="shared" si="25"/>
        <v/>
      </c>
      <c r="G257" s="650" t="str">
        <f t="shared" si="26"/>
        <v/>
      </c>
      <c r="H257" s="650" t="str">
        <f t="shared" si="27"/>
        <v/>
      </c>
      <c r="J257" s="650"/>
      <c r="K257" s="650"/>
      <c r="L257" s="650"/>
    </row>
    <row r="258" spans="2:12" x14ac:dyDescent="0.2">
      <c r="B258" s="660" t="str">
        <f t="shared" si="22"/>
        <v>-</v>
      </c>
      <c r="C258" s="661" t="str">
        <f t="shared" si="23"/>
        <v/>
      </c>
      <c r="D258" s="650" t="str">
        <f t="shared" si="21"/>
        <v/>
      </c>
      <c r="E258" s="650" t="str">
        <f t="shared" si="24"/>
        <v/>
      </c>
      <c r="F258" s="650" t="str">
        <f t="shared" si="25"/>
        <v/>
      </c>
      <c r="G258" s="650" t="str">
        <f t="shared" si="26"/>
        <v/>
      </c>
      <c r="H258" s="650" t="str">
        <f t="shared" si="27"/>
        <v/>
      </c>
      <c r="J258" s="650"/>
      <c r="K258" s="650"/>
      <c r="L258" s="650"/>
    </row>
    <row r="259" spans="2:12" x14ac:dyDescent="0.2">
      <c r="B259" s="660" t="str">
        <f t="shared" si="22"/>
        <v>-</v>
      </c>
      <c r="C259" s="661" t="str">
        <f t="shared" si="23"/>
        <v/>
      </c>
      <c r="D259" s="650" t="str">
        <f t="shared" si="21"/>
        <v/>
      </c>
      <c r="E259" s="650" t="str">
        <f t="shared" si="24"/>
        <v/>
      </c>
      <c r="F259" s="650" t="str">
        <f t="shared" si="25"/>
        <v/>
      </c>
      <c r="G259" s="650" t="str">
        <f t="shared" si="26"/>
        <v/>
      </c>
      <c r="H259" s="650" t="str">
        <f t="shared" si="27"/>
        <v/>
      </c>
      <c r="J259" s="650"/>
      <c r="K259" s="650"/>
      <c r="L259" s="650"/>
    </row>
    <row r="260" spans="2:12" x14ac:dyDescent="0.2">
      <c r="B260" s="660" t="str">
        <f t="shared" si="22"/>
        <v>-</v>
      </c>
      <c r="C260" s="661" t="str">
        <f t="shared" si="23"/>
        <v/>
      </c>
      <c r="D260" s="650" t="str">
        <f t="shared" si="21"/>
        <v/>
      </c>
      <c r="E260" s="650" t="str">
        <f t="shared" si="24"/>
        <v/>
      </c>
      <c r="F260" s="650" t="str">
        <f t="shared" si="25"/>
        <v/>
      </c>
      <c r="G260" s="650" t="str">
        <f t="shared" si="26"/>
        <v/>
      </c>
      <c r="H260" s="650" t="str">
        <f t="shared" si="27"/>
        <v/>
      </c>
      <c r="J260" s="650"/>
      <c r="K260" s="650"/>
      <c r="L260" s="650"/>
    </row>
    <row r="261" spans="2:12" x14ac:dyDescent="0.2">
      <c r="B261" s="660" t="str">
        <f t="shared" si="22"/>
        <v>-</v>
      </c>
      <c r="C261" s="661" t="str">
        <f t="shared" si="23"/>
        <v/>
      </c>
      <c r="D261" s="650" t="str">
        <f t="shared" si="21"/>
        <v/>
      </c>
      <c r="E261" s="650" t="str">
        <f t="shared" si="24"/>
        <v/>
      </c>
      <c r="F261" s="650" t="str">
        <f t="shared" si="25"/>
        <v/>
      </c>
      <c r="G261" s="650" t="str">
        <f t="shared" si="26"/>
        <v/>
      </c>
      <c r="H261" s="650" t="str">
        <f t="shared" si="27"/>
        <v/>
      </c>
      <c r="J261" s="650"/>
      <c r="K261" s="650"/>
      <c r="L261" s="650"/>
    </row>
    <row r="262" spans="2:12" x14ac:dyDescent="0.2">
      <c r="B262" s="660" t="str">
        <f t="shared" si="22"/>
        <v>-</v>
      </c>
      <c r="C262" s="661" t="str">
        <f t="shared" si="23"/>
        <v/>
      </c>
      <c r="D262" s="650" t="str">
        <f t="shared" ref="D262:D325" si="28">IF(ISNUMBER(B262),D261-F261,"")</f>
        <v/>
      </c>
      <c r="E262" s="650" t="str">
        <f t="shared" si="24"/>
        <v/>
      </c>
      <c r="F262" s="650" t="str">
        <f t="shared" si="25"/>
        <v/>
      </c>
      <c r="G262" s="650" t="str">
        <f t="shared" si="26"/>
        <v/>
      </c>
      <c r="H262" s="650" t="str">
        <f t="shared" si="27"/>
        <v/>
      </c>
      <c r="J262" s="650"/>
      <c r="K262" s="650"/>
      <c r="L262" s="650"/>
    </row>
    <row r="263" spans="2:12" x14ac:dyDescent="0.2">
      <c r="B263" s="660" t="str">
        <f t="shared" si="22"/>
        <v>-</v>
      </c>
      <c r="C263" s="661" t="str">
        <f t="shared" si="23"/>
        <v/>
      </c>
      <c r="D263" s="650" t="str">
        <f t="shared" si="28"/>
        <v/>
      </c>
      <c r="E263" s="650" t="str">
        <f t="shared" si="24"/>
        <v/>
      </c>
      <c r="F263" s="650" t="str">
        <f t="shared" si="25"/>
        <v/>
      </c>
      <c r="G263" s="650" t="str">
        <f t="shared" si="26"/>
        <v/>
      </c>
      <c r="H263" s="650" t="str">
        <f t="shared" si="27"/>
        <v/>
      </c>
      <c r="J263" s="650"/>
      <c r="K263" s="650"/>
      <c r="L263" s="650"/>
    </row>
    <row r="264" spans="2:12" x14ac:dyDescent="0.2">
      <c r="B264" s="660" t="str">
        <f t="shared" si="22"/>
        <v>-</v>
      </c>
      <c r="C264" s="661" t="str">
        <f t="shared" si="23"/>
        <v/>
      </c>
      <c r="D264" s="650" t="str">
        <f t="shared" si="28"/>
        <v/>
      </c>
      <c r="E264" s="650" t="str">
        <f t="shared" si="24"/>
        <v/>
      </c>
      <c r="F264" s="650" t="str">
        <f t="shared" si="25"/>
        <v/>
      </c>
      <c r="G264" s="650" t="str">
        <f t="shared" si="26"/>
        <v/>
      </c>
      <c r="H264" s="650" t="str">
        <f t="shared" si="27"/>
        <v/>
      </c>
      <c r="J264" s="650"/>
      <c r="K264" s="650"/>
      <c r="L264" s="650"/>
    </row>
    <row r="265" spans="2:12" x14ac:dyDescent="0.2">
      <c r="B265" s="660" t="str">
        <f t="shared" si="22"/>
        <v>-</v>
      </c>
      <c r="C265" s="661" t="str">
        <f t="shared" si="23"/>
        <v/>
      </c>
      <c r="D265" s="650" t="str">
        <f t="shared" si="28"/>
        <v/>
      </c>
      <c r="E265" s="650" t="str">
        <f t="shared" si="24"/>
        <v/>
      </c>
      <c r="F265" s="650" t="str">
        <f t="shared" si="25"/>
        <v/>
      </c>
      <c r="G265" s="650" t="str">
        <f t="shared" si="26"/>
        <v/>
      </c>
      <c r="H265" s="650" t="str">
        <f t="shared" si="27"/>
        <v/>
      </c>
      <c r="J265" s="650"/>
      <c r="K265" s="650"/>
      <c r="L265" s="650"/>
    </row>
    <row r="266" spans="2:12" x14ac:dyDescent="0.2">
      <c r="B266" s="660" t="str">
        <f t="shared" si="22"/>
        <v>-</v>
      </c>
      <c r="C266" s="661" t="str">
        <f t="shared" si="23"/>
        <v/>
      </c>
      <c r="D266" s="650" t="str">
        <f t="shared" si="28"/>
        <v/>
      </c>
      <c r="E266" s="650" t="str">
        <f t="shared" si="24"/>
        <v/>
      </c>
      <c r="F266" s="650" t="str">
        <f t="shared" si="25"/>
        <v/>
      </c>
      <c r="G266" s="650" t="str">
        <f t="shared" si="26"/>
        <v/>
      </c>
      <c r="H266" s="650" t="str">
        <f t="shared" si="27"/>
        <v/>
      </c>
      <c r="J266" s="650"/>
      <c r="K266" s="650"/>
      <c r="L266" s="650"/>
    </row>
    <row r="267" spans="2:12" x14ac:dyDescent="0.2">
      <c r="B267" s="660" t="str">
        <f t="shared" si="22"/>
        <v>-</v>
      </c>
      <c r="C267" s="661" t="str">
        <f t="shared" si="23"/>
        <v/>
      </c>
      <c r="D267" s="650" t="str">
        <f t="shared" si="28"/>
        <v/>
      </c>
      <c r="E267" s="650" t="str">
        <f t="shared" si="24"/>
        <v/>
      </c>
      <c r="F267" s="650" t="str">
        <f t="shared" si="25"/>
        <v/>
      </c>
      <c r="G267" s="650" t="str">
        <f t="shared" si="26"/>
        <v/>
      </c>
      <c r="H267" s="650" t="str">
        <f t="shared" si="27"/>
        <v/>
      </c>
      <c r="J267" s="650"/>
      <c r="K267" s="650"/>
      <c r="L267" s="650"/>
    </row>
    <row r="268" spans="2:12" x14ac:dyDescent="0.2">
      <c r="B268" s="660" t="str">
        <f t="shared" ref="B268:B331" si="29">IF(B267&lt;$L$3,B267+1,"-")</f>
        <v>-</v>
      </c>
      <c r="C268" s="661" t="str">
        <f t="shared" ref="C268:C331" si="30">IF(ISNUMBER(B268),MIN(DATE(YEAR($C$11),MONTH($C$11)+B268*12/$P$5,DAY($C$11)),DATE(YEAR($C$11),MONTH($C$11)+1+B268*12/$P$5,1)-1),"")</f>
        <v/>
      </c>
      <c r="D268" s="650" t="str">
        <f t="shared" si="28"/>
        <v/>
      </c>
      <c r="E268" s="650" t="str">
        <f t="shared" ref="E268:E331" si="31">IF(ISNUMBER(B268),ROUND(D268*$L$7,$R$6),"")</f>
        <v/>
      </c>
      <c r="F268" s="650" t="str">
        <f t="shared" ref="F268:F331" si="32">IF(ISNUMBER(B268),IF(B268=$L$3,D268,IF(B268&gt;$L$4,$H$3-E268,0)),"")</f>
        <v/>
      </c>
      <c r="G268" s="650" t="str">
        <f t="shared" ref="G268:G331" si="33">IF(ISNUMBER(B268),$H$4,"")</f>
        <v/>
      </c>
      <c r="H268" s="650" t="str">
        <f t="shared" ref="H268:H331" si="34">IF(ISNUMBER(B268),E268+F268+G268,"")</f>
        <v/>
      </c>
      <c r="J268" s="650"/>
      <c r="K268" s="650"/>
      <c r="L268" s="650"/>
    </row>
    <row r="269" spans="2:12" x14ac:dyDescent="0.2">
      <c r="B269" s="660" t="str">
        <f t="shared" si="29"/>
        <v>-</v>
      </c>
      <c r="C269" s="661" t="str">
        <f t="shared" si="30"/>
        <v/>
      </c>
      <c r="D269" s="650" t="str">
        <f t="shared" si="28"/>
        <v/>
      </c>
      <c r="E269" s="650" t="str">
        <f t="shared" si="31"/>
        <v/>
      </c>
      <c r="F269" s="650" t="str">
        <f t="shared" si="32"/>
        <v/>
      </c>
      <c r="G269" s="650" t="str">
        <f t="shared" si="33"/>
        <v/>
      </c>
      <c r="H269" s="650" t="str">
        <f t="shared" si="34"/>
        <v/>
      </c>
      <c r="J269" s="650"/>
      <c r="K269" s="650"/>
      <c r="L269" s="650"/>
    </row>
    <row r="270" spans="2:12" x14ac:dyDescent="0.2">
      <c r="B270" s="660" t="str">
        <f t="shared" si="29"/>
        <v>-</v>
      </c>
      <c r="C270" s="661" t="str">
        <f t="shared" si="30"/>
        <v/>
      </c>
      <c r="D270" s="650" t="str">
        <f t="shared" si="28"/>
        <v/>
      </c>
      <c r="E270" s="650" t="str">
        <f t="shared" si="31"/>
        <v/>
      </c>
      <c r="F270" s="650" t="str">
        <f t="shared" si="32"/>
        <v/>
      </c>
      <c r="G270" s="650" t="str">
        <f t="shared" si="33"/>
        <v/>
      </c>
      <c r="H270" s="650" t="str">
        <f t="shared" si="34"/>
        <v/>
      </c>
      <c r="J270" s="650"/>
      <c r="K270" s="650"/>
      <c r="L270" s="650"/>
    </row>
    <row r="271" spans="2:12" x14ac:dyDescent="0.2">
      <c r="B271" s="660" t="str">
        <f t="shared" si="29"/>
        <v>-</v>
      </c>
      <c r="C271" s="661" t="str">
        <f t="shared" si="30"/>
        <v/>
      </c>
      <c r="D271" s="650" t="str">
        <f t="shared" si="28"/>
        <v/>
      </c>
      <c r="E271" s="650" t="str">
        <f t="shared" si="31"/>
        <v/>
      </c>
      <c r="F271" s="650" t="str">
        <f t="shared" si="32"/>
        <v/>
      </c>
      <c r="G271" s="650" t="str">
        <f t="shared" si="33"/>
        <v/>
      </c>
      <c r="H271" s="650" t="str">
        <f t="shared" si="34"/>
        <v/>
      </c>
      <c r="J271" s="650"/>
      <c r="K271" s="650"/>
      <c r="L271" s="650"/>
    </row>
    <row r="272" spans="2:12" x14ac:dyDescent="0.2">
      <c r="B272" s="660" t="str">
        <f t="shared" si="29"/>
        <v>-</v>
      </c>
      <c r="C272" s="661" t="str">
        <f t="shared" si="30"/>
        <v/>
      </c>
      <c r="D272" s="650" t="str">
        <f t="shared" si="28"/>
        <v/>
      </c>
      <c r="E272" s="650" t="str">
        <f t="shared" si="31"/>
        <v/>
      </c>
      <c r="F272" s="650" t="str">
        <f t="shared" si="32"/>
        <v/>
      </c>
      <c r="G272" s="650" t="str">
        <f t="shared" si="33"/>
        <v/>
      </c>
      <c r="H272" s="650" t="str">
        <f t="shared" si="34"/>
        <v/>
      </c>
      <c r="J272" s="650"/>
      <c r="K272" s="650"/>
      <c r="L272" s="650"/>
    </row>
    <row r="273" spans="2:12" x14ac:dyDescent="0.2">
      <c r="B273" s="660" t="str">
        <f t="shared" si="29"/>
        <v>-</v>
      </c>
      <c r="C273" s="661" t="str">
        <f t="shared" si="30"/>
        <v/>
      </c>
      <c r="D273" s="650" t="str">
        <f t="shared" si="28"/>
        <v/>
      </c>
      <c r="E273" s="650" t="str">
        <f t="shared" si="31"/>
        <v/>
      </c>
      <c r="F273" s="650" t="str">
        <f t="shared" si="32"/>
        <v/>
      </c>
      <c r="G273" s="650" t="str">
        <f t="shared" si="33"/>
        <v/>
      </c>
      <c r="H273" s="650" t="str">
        <f t="shared" si="34"/>
        <v/>
      </c>
      <c r="J273" s="650"/>
      <c r="K273" s="650"/>
      <c r="L273" s="650"/>
    </row>
    <row r="274" spans="2:12" x14ac:dyDescent="0.2">
      <c r="B274" s="660" t="str">
        <f t="shared" si="29"/>
        <v>-</v>
      </c>
      <c r="C274" s="661" t="str">
        <f t="shared" si="30"/>
        <v/>
      </c>
      <c r="D274" s="650" t="str">
        <f t="shared" si="28"/>
        <v/>
      </c>
      <c r="E274" s="650" t="str">
        <f t="shared" si="31"/>
        <v/>
      </c>
      <c r="F274" s="650" t="str">
        <f t="shared" si="32"/>
        <v/>
      </c>
      <c r="G274" s="650" t="str">
        <f t="shared" si="33"/>
        <v/>
      </c>
      <c r="H274" s="650" t="str">
        <f t="shared" si="34"/>
        <v/>
      </c>
      <c r="J274" s="650"/>
      <c r="K274" s="650"/>
      <c r="L274" s="650"/>
    </row>
    <row r="275" spans="2:12" x14ac:dyDescent="0.2">
      <c r="B275" s="660" t="str">
        <f t="shared" si="29"/>
        <v>-</v>
      </c>
      <c r="C275" s="661" t="str">
        <f t="shared" si="30"/>
        <v/>
      </c>
      <c r="D275" s="650" t="str">
        <f t="shared" si="28"/>
        <v/>
      </c>
      <c r="E275" s="650" t="str">
        <f t="shared" si="31"/>
        <v/>
      </c>
      <c r="F275" s="650" t="str">
        <f t="shared" si="32"/>
        <v/>
      </c>
      <c r="G275" s="650" t="str">
        <f t="shared" si="33"/>
        <v/>
      </c>
      <c r="H275" s="650" t="str">
        <f t="shared" si="34"/>
        <v/>
      </c>
      <c r="J275" s="650"/>
      <c r="K275" s="650"/>
      <c r="L275" s="650"/>
    </row>
    <row r="276" spans="2:12" x14ac:dyDescent="0.2">
      <c r="B276" s="660" t="str">
        <f t="shared" si="29"/>
        <v>-</v>
      </c>
      <c r="C276" s="661" t="str">
        <f t="shared" si="30"/>
        <v/>
      </c>
      <c r="D276" s="650" t="str">
        <f t="shared" si="28"/>
        <v/>
      </c>
      <c r="E276" s="650" t="str">
        <f t="shared" si="31"/>
        <v/>
      </c>
      <c r="F276" s="650" t="str">
        <f t="shared" si="32"/>
        <v/>
      </c>
      <c r="G276" s="650" t="str">
        <f t="shared" si="33"/>
        <v/>
      </c>
      <c r="H276" s="650" t="str">
        <f t="shared" si="34"/>
        <v/>
      </c>
      <c r="J276" s="650"/>
      <c r="K276" s="650"/>
      <c r="L276" s="650"/>
    </row>
    <row r="277" spans="2:12" x14ac:dyDescent="0.2">
      <c r="B277" s="660" t="str">
        <f t="shared" si="29"/>
        <v>-</v>
      </c>
      <c r="C277" s="661" t="str">
        <f t="shared" si="30"/>
        <v/>
      </c>
      <c r="D277" s="650" t="str">
        <f t="shared" si="28"/>
        <v/>
      </c>
      <c r="E277" s="650" t="str">
        <f t="shared" si="31"/>
        <v/>
      </c>
      <c r="F277" s="650" t="str">
        <f t="shared" si="32"/>
        <v/>
      </c>
      <c r="G277" s="650" t="str">
        <f t="shared" si="33"/>
        <v/>
      </c>
      <c r="H277" s="650" t="str">
        <f t="shared" si="34"/>
        <v/>
      </c>
      <c r="J277" s="650"/>
      <c r="K277" s="650"/>
      <c r="L277" s="650"/>
    </row>
    <row r="278" spans="2:12" x14ac:dyDescent="0.2">
      <c r="B278" s="660" t="str">
        <f t="shared" si="29"/>
        <v>-</v>
      </c>
      <c r="C278" s="661" t="str">
        <f t="shared" si="30"/>
        <v/>
      </c>
      <c r="D278" s="650" t="str">
        <f t="shared" si="28"/>
        <v/>
      </c>
      <c r="E278" s="650" t="str">
        <f t="shared" si="31"/>
        <v/>
      </c>
      <c r="F278" s="650" t="str">
        <f t="shared" si="32"/>
        <v/>
      </c>
      <c r="G278" s="650" t="str">
        <f t="shared" si="33"/>
        <v/>
      </c>
      <c r="H278" s="650" t="str">
        <f t="shared" si="34"/>
        <v/>
      </c>
      <c r="J278" s="650"/>
      <c r="K278" s="650"/>
      <c r="L278" s="650"/>
    </row>
    <row r="279" spans="2:12" x14ac:dyDescent="0.2">
      <c r="B279" s="660" t="str">
        <f t="shared" si="29"/>
        <v>-</v>
      </c>
      <c r="C279" s="661" t="str">
        <f t="shared" si="30"/>
        <v/>
      </c>
      <c r="D279" s="650" t="str">
        <f t="shared" si="28"/>
        <v/>
      </c>
      <c r="E279" s="650" t="str">
        <f t="shared" si="31"/>
        <v/>
      </c>
      <c r="F279" s="650" t="str">
        <f t="shared" si="32"/>
        <v/>
      </c>
      <c r="G279" s="650" t="str">
        <f t="shared" si="33"/>
        <v/>
      </c>
      <c r="H279" s="650" t="str">
        <f t="shared" si="34"/>
        <v/>
      </c>
      <c r="J279" s="650"/>
      <c r="K279" s="650"/>
      <c r="L279" s="650"/>
    </row>
    <row r="280" spans="2:12" x14ac:dyDescent="0.2">
      <c r="B280" s="660" t="str">
        <f t="shared" si="29"/>
        <v>-</v>
      </c>
      <c r="C280" s="661" t="str">
        <f t="shared" si="30"/>
        <v/>
      </c>
      <c r="D280" s="650" t="str">
        <f t="shared" si="28"/>
        <v/>
      </c>
      <c r="E280" s="650" t="str">
        <f t="shared" si="31"/>
        <v/>
      </c>
      <c r="F280" s="650" t="str">
        <f t="shared" si="32"/>
        <v/>
      </c>
      <c r="G280" s="650" t="str">
        <f t="shared" si="33"/>
        <v/>
      </c>
      <c r="H280" s="650" t="str">
        <f t="shared" si="34"/>
        <v/>
      </c>
      <c r="J280" s="650"/>
      <c r="K280" s="650"/>
      <c r="L280" s="650"/>
    </row>
    <row r="281" spans="2:12" x14ac:dyDescent="0.2">
      <c r="B281" s="660" t="str">
        <f t="shared" si="29"/>
        <v>-</v>
      </c>
      <c r="C281" s="661" t="str">
        <f t="shared" si="30"/>
        <v/>
      </c>
      <c r="D281" s="650" t="str">
        <f t="shared" si="28"/>
        <v/>
      </c>
      <c r="E281" s="650" t="str">
        <f t="shared" si="31"/>
        <v/>
      </c>
      <c r="F281" s="650" t="str">
        <f t="shared" si="32"/>
        <v/>
      </c>
      <c r="G281" s="650" t="str">
        <f t="shared" si="33"/>
        <v/>
      </c>
      <c r="H281" s="650" t="str">
        <f t="shared" si="34"/>
        <v/>
      </c>
      <c r="J281" s="650"/>
      <c r="K281" s="650"/>
      <c r="L281" s="650"/>
    </row>
    <row r="282" spans="2:12" x14ac:dyDescent="0.2">
      <c r="B282" s="660" t="str">
        <f t="shared" si="29"/>
        <v>-</v>
      </c>
      <c r="C282" s="661" t="str">
        <f t="shared" si="30"/>
        <v/>
      </c>
      <c r="D282" s="650" t="str">
        <f t="shared" si="28"/>
        <v/>
      </c>
      <c r="E282" s="650" t="str">
        <f t="shared" si="31"/>
        <v/>
      </c>
      <c r="F282" s="650" t="str">
        <f t="shared" si="32"/>
        <v/>
      </c>
      <c r="G282" s="650" t="str">
        <f t="shared" si="33"/>
        <v/>
      </c>
      <c r="H282" s="650" t="str">
        <f t="shared" si="34"/>
        <v/>
      </c>
      <c r="J282" s="650"/>
      <c r="K282" s="650"/>
      <c r="L282" s="650"/>
    </row>
    <row r="283" spans="2:12" x14ac:dyDescent="0.2">
      <c r="B283" s="660" t="str">
        <f t="shared" si="29"/>
        <v>-</v>
      </c>
      <c r="C283" s="661" t="str">
        <f t="shared" si="30"/>
        <v/>
      </c>
      <c r="D283" s="650" t="str">
        <f t="shared" si="28"/>
        <v/>
      </c>
      <c r="E283" s="650" t="str">
        <f t="shared" si="31"/>
        <v/>
      </c>
      <c r="F283" s="650" t="str">
        <f t="shared" si="32"/>
        <v/>
      </c>
      <c r="G283" s="650" t="str">
        <f t="shared" si="33"/>
        <v/>
      </c>
      <c r="H283" s="650" t="str">
        <f t="shared" si="34"/>
        <v/>
      </c>
      <c r="J283" s="650"/>
      <c r="K283" s="650"/>
      <c r="L283" s="650"/>
    </row>
    <row r="284" spans="2:12" x14ac:dyDescent="0.2">
      <c r="B284" s="660" t="str">
        <f t="shared" si="29"/>
        <v>-</v>
      </c>
      <c r="C284" s="661" t="str">
        <f t="shared" si="30"/>
        <v/>
      </c>
      <c r="D284" s="650" t="str">
        <f t="shared" si="28"/>
        <v/>
      </c>
      <c r="E284" s="650" t="str">
        <f t="shared" si="31"/>
        <v/>
      </c>
      <c r="F284" s="650" t="str">
        <f t="shared" si="32"/>
        <v/>
      </c>
      <c r="G284" s="650" t="str">
        <f t="shared" si="33"/>
        <v/>
      </c>
      <c r="H284" s="650" t="str">
        <f t="shared" si="34"/>
        <v/>
      </c>
      <c r="J284" s="650"/>
      <c r="K284" s="650"/>
      <c r="L284" s="650"/>
    </row>
    <row r="285" spans="2:12" x14ac:dyDescent="0.2">
      <c r="B285" s="660" t="str">
        <f t="shared" si="29"/>
        <v>-</v>
      </c>
      <c r="C285" s="661" t="str">
        <f t="shared" si="30"/>
        <v/>
      </c>
      <c r="D285" s="650" t="str">
        <f t="shared" si="28"/>
        <v/>
      </c>
      <c r="E285" s="650" t="str">
        <f t="shared" si="31"/>
        <v/>
      </c>
      <c r="F285" s="650" t="str">
        <f t="shared" si="32"/>
        <v/>
      </c>
      <c r="G285" s="650" t="str">
        <f t="shared" si="33"/>
        <v/>
      </c>
      <c r="H285" s="650" t="str">
        <f t="shared" si="34"/>
        <v/>
      </c>
      <c r="J285" s="650"/>
      <c r="K285" s="650"/>
      <c r="L285" s="650"/>
    </row>
    <row r="286" spans="2:12" x14ac:dyDescent="0.2">
      <c r="B286" s="660" t="str">
        <f t="shared" si="29"/>
        <v>-</v>
      </c>
      <c r="C286" s="661" t="str">
        <f t="shared" si="30"/>
        <v/>
      </c>
      <c r="D286" s="650" t="str">
        <f t="shared" si="28"/>
        <v/>
      </c>
      <c r="E286" s="650" t="str">
        <f t="shared" si="31"/>
        <v/>
      </c>
      <c r="F286" s="650" t="str">
        <f t="shared" si="32"/>
        <v/>
      </c>
      <c r="G286" s="650" t="str">
        <f t="shared" si="33"/>
        <v/>
      </c>
      <c r="H286" s="650" t="str">
        <f t="shared" si="34"/>
        <v/>
      </c>
      <c r="J286" s="650"/>
      <c r="K286" s="650"/>
      <c r="L286" s="650"/>
    </row>
    <row r="287" spans="2:12" x14ac:dyDescent="0.2">
      <c r="B287" s="660" t="str">
        <f t="shared" si="29"/>
        <v>-</v>
      </c>
      <c r="C287" s="661" t="str">
        <f t="shared" si="30"/>
        <v/>
      </c>
      <c r="D287" s="650" t="str">
        <f t="shared" si="28"/>
        <v/>
      </c>
      <c r="E287" s="650" t="str">
        <f t="shared" si="31"/>
        <v/>
      </c>
      <c r="F287" s="650" t="str">
        <f t="shared" si="32"/>
        <v/>
      </c>
      <c r="G287" s="650" t="str">
        <f t="shared" si="33"/>
        <v/>
      </c>
      <c r="H287" s="650" t="str">
        <f t="shared" si="34"/>
        <v/>
      </c>
      <c r="J287" s="650"/>
      <c r="K287" s="650"/>
      <c r="L287" s="650"/>
    </row>
    <row r="288" spans="2:12" x14ac:dyDescent="0.2">
      <c r="B288" s="660" t="str">
        <f t="shared" si="29"/>
        <v>-</v>
      </c>
      <c r="C288" s="661" t="str">
        <f t="shared" si="30"/>
        <v/>
      </c>
      <c r="D288" s="650" t="str">
        <f t="shared" si="28"/>
        <v/>
      </c>
      <c r="E288" s="650" t="str">
        <f t="shared" si="31"/>
        <v/>
      </c>
      <c r="F288" s="650" t="str">
        <f t="shared" si="32"/>
        <v/>
      </c>
      <c r="G288" s="650" t="str">
        <f t="shared" si="33"/>
        <v/>
      </c>
      <c r="H288" s="650" t="str">
        <f t="shared" si="34"/>
        <v/>
      </c>
      <c r="J288" s="650"/>
      <c r="K288" s="650"/>
      <c r="L288" s="650"/>
    </row>
    <row r="289" spans="2:12" x14ac:dyDescent="0.2">
      <c r="B289" s="660" t="str">
        <f t="shared" si="29"/>
        <v>-</v>
      </c>
      <c r="C289" s="661" t="str">
        <f t="shared" si="30"/>
        <v/>
      </c>
      <c r="D289" s="650" t="str">
        <f t="shared" si="28"/>
        <v/>
      </c>
      <c r="E289" s="650" t="str">
        <f t="shared" si="31"/>
        <v/>
      </c>
      <c r="F289" s="650" t="str">
        <f t="shared" si="32"/>
        <v/>
      </c>
      <c r="G289" s="650" t="str">
        <f t="shared" si="33"/>
        <v/>
      </c>
      <c r="H289" s="650" t="str">
        <f t="shared" si="34"/>
        <v/>
      </c>
      <c r="J289" s="650"/>
      <c r="K289" s="650"/>
      <c r="L289" s="650"/>
    </row>
    <row r="290" spans="2:12" x14ac:dyDescent="0.2">
      <c r="B290" s="660" t="str">
        <f t="shared" si="29"/>
        <v>-</v>
      </c>
      <c r="C290" s="661" t="str">
        <f t="shared" si="30"/>
        <v/>
      </c>
      <c r="D290" s="650" t="str">
        <f t="shared" si="28"/>
        <v/>
      </c>
      <c r="E290" s="650" t="str">
        <f t="shared" si="31"/>
        <v/>
      </c>
      <c r="F290" s="650" t="str">
        <f t="shared" si="32"/>
        <v/>
      </c>
      <c r="G290" s="650" t="str">
        <f t="shared" si="33"/>
        <v/>
      </c>
      <c r="H290" s="650" t="str">
        <f t="shared" si="34"/>
        <v/>
      </c>
      <c r="J290" s="650"/>
      <c r="K290" s="650"/>
      <c r="L290" s="650"/>
    </row>
    <row r="291" spans="2:12" x14ac:dyDescent="0.2">
      <c r="B291" s="660" t="str">
        <f t="shared" si="29"/>
        <v>-</v>
      </c>
      <c r="C291" s="661" t="str">
        <f t="shared" si="30"/>
        <v/>
      </c>
      <c r="D291" s="650" t="str">
        <f t="shared" si="28"/>
        <v/>
      </c>
      <c r="E291" s="650" t="str">
        <f t="shared" si="31"/>
        <v/>
      </c>
      <c r="F291" s="650" t="str">
        <f t="shared" si="32"/>
        <v/>
      </c>
      <c r="G291" s="650" t="str">
        <f t="shared" si="33"/>
        <v/>
      </c>
      <c r="H291" s="650" t="str">
        <f t="shared" si="34"/>
        <v/>
      </c>
      <c r="J291" s="650"/>
      <c r="K291" s="650"/>
      <c r="L291" s="650"/>
    </row>
    <row r="292" spans="2:12" x14ac:dyDescent="0.2">
      <c r="B292" s="660" t="str">
        <f t="shared" si="29"/>
        <v>-</v>
      </c>
      <c r="C292" s="661" t="str">
        <f t="shared" si="30"/>
        <v/>
      </c>
      <c r="D292" s="650" t="str">
        <f t="shared" si="28"/>
        <v/>
      </c>
      <c r="E292" s="650" t="str">
        <f t="shared" si="31"/>
        <v/>
      </c>
      <c r="F292" s="650" t="str">
        <f t="shared" si="32"/>
        <v/>
      </c>
      <c r="G292" s="650" t="str">
        <f t="shared" si="33"/>
        <v/>
      </c>
      <c r="H292" s="650" t="str">
        <f t="shared" si="34"/>
        <v/>
      </c>
      <c r="J292" s="650"/>
      <c r="K292" s="650"/>
      <c r="L292" s="650"/>
    </row>
    <row r="293" spans="2:12" x14ac:dyDescent="0.2">
      <c r="B293" s="660" t="str">
        <f t="shared" si="29"/>
        <v>-</v>
      </c>
      <c r="C293" s="661" t="str">
        <f t="shared" si="30"/>
        <v/>
      </c>
      <c r="D293" s="650" t="str">
        <f t="shared" si="28"/>
        <v/>
      </c>
      <c r="E293" s="650" t="str">
        <f t="shared" si="31"/>
        <v/>
      </c>
      <c r="F293" s="650" t="str">
        <f t="shared" si="32"/>
        <v/>
      </c>
      <c r="G293" s="650" t="str">
        <f t="shared" si="33"/>
        <v/>
      </c>
      <c r="H293" s="650" t="str">
        <f t="shared" si="34"/>
        <v/>
      </c>
      <c r="J293" s="650"/>
      <c r="K293" s="650"/>
      <c r="L293" s="650"/>
    </row>
    <row r="294" spans="2:12" x14ac:dyDescent="0.2">
      <c r="B294" s="660" t="str">
        <f t="shared" si="29"/>
        <v>-</v>
      </c>
      <c r="C294" s="661" t="str">
        <f t="shared" si="30"/>
        <v/>
      </c>
      <c r="D294" s="650" t="str">
        <f t="shared" si="28"/>
        <v/>
      </c>
      <c r="E294" s="650" t="str">
        <f t="shared" si="31"/>
        <v/>
      </c>
      <c r="F294" s="650" t="str">
        <f t="shared" si="32"/>
        <v/>
      </c>
      <c r="G294" s="650" t="str">
        <f t="shared" si="33"/>
        <v/>
      </c>
      <c r="H294" s="650" t="str">
        <f t="shared" si="34"/>
        <v/>
      </c>
      <c r="J294" s="650"/>
      <c r="K294" s="650"/>
      <c r="L294" s="650"/>
    </row>
    <row r="295" spans="2:12" x14ac:dyDescent="0.2">
      <c r="B295" s="660" t="str">
        <f t="shared" si="29"/>
        <v>-</v>
      </c>
      <c r="C295" s="661" t="str">
        <f t="shared" si="30"/>
        <v/>
      </c>
      <c r="D295" s="650" t="str">
        <f t="shared" si="28"/>
        <v/>
      </c>
      <c r="E295" s="650" t="str">
        <f t="shared" si="31"/>
        <v/>
      </c>
      <c r="F295" s="650" t="str">
        <f t="shared" si="32"/>
        <v/>
      </c>
      <c r="G295" s="650" t="str">
        <f t="shared" si="33"/>
        <v/>
      </c>
      <c r="H295" s="650" t="str">
        <f t="shared" si="34"/>
        <v/>
      </c>
      <c r="J295" s="650"/>
      <c r="K295" s="650"/>
      <c r="L295" s="650"/>
    </row>
    <row r="296" spans="2:12" x14ac:dyDescent="0.2">
      <c r="B296" s="660" t="str">
        <f t="shared" si="29"/>
        <v>-</v>
      </c>
      <c r="C296" s="661" t="str">
        <f t="shared" si="30"/>
        <v/>
      </c>
      <c r="D296" s="650" t="str">
        <f t="shared" si="28"/>
        <v/>
      </c>
      <c r="E296" s="650" t="str">
        <f t="shared" si="31"/>
        <v/>
      </c>
      <c r="F296" s="650" t="str">
        <f t="shared" si="32"/>
        <v/>
      </c>
      <c r="G296" s="650" t="str">
        <f t="shared" si="33"/>
        <v/>
      </c>
      <c r="H296" s="650" t="str">
        <f t="shared" si="34"/>
        <v/>
      </c>
      <c r="J296" s="650"/>
      <c r="K296" s="650"/>
      <c r="L296" s="650"/>
    </row>
    <row r="297" spans="2:12" x14ac:dyDescent="0.2">
      <c r="B297" s="660" t="str">
        <f t="shared" si="29"/>
        <v>-</v>
      </c>
      <c r="C297" s="661" t="str">
        <f t="shared" si="30"/>
        <v/>
      </c>
      <c r="D297" s="650" t="str">
        <f t="shared" si="28"/>
        <v/>
      </c>
      <c r="E297" s="650" t="str">
        <f t="shared" si="31"/>
        <v/>
      </c>
      <c r="F297" s="650" t="str">
        <f t="shared" si="32"/>
        <v/>
      </c>
      <c r="G297" s="650" t="str">
        <f t="shared" si="33"/>
        <v/>
      </c>
      <c r="H297" s="650" t="str">
        <f t="shared" si="34"/>
        <v/>
      </c>
      <c r="J297" s="650"/>
      <c r="K297" s="650"/>
      <c r="L297" s="650"/>
    </row>
    <row r="298" spans="2:12" x14ac:dyDescent="0.2">
      <c r="B298" s="660" t="str">
        <f t="shared" si="29"/>
        <v>-</v>
      </c>
      <c r="C298" s="661" t="str">
        <f t="shared" si="30"/>
        <v/>
      </c>
      <c r="D298" s="650" t="str">
        <f t="shared" si="28"/>
        <v/>
      </c>
      <c r="E298" s="650" t="str">
        <f t="shared" si="31"/>
        <v/>
      </c>
      <c r="F298" s="650" t="str">
        <f t="shared" si="32"/>
        <v/>
      </c>
      <c r="G298" s="650" t="str">
        <f t="shared" si="33"/>
        <v/>
      </c>
      <c r="H298" s="650" t="str">
        <f t="shared" si="34"/>
        <v/>
      </c>
      <c r="J298" s="650"/>
      <c r="K298" s="650"/>
      <c r="L298" s="650"/>
    </row>
    <row r="299" spans="2:12" x14ac:dyDescent="0.2">
      <c r="B299" s="660" t="str">
        <f t="shared" si="29"/>
        <v>-</v>
      </c>
      <c r="C299" s="661" t="str">
        <f t="shared" si="30"/>
        <v/>
      </c>
      <c r="D299" s="650" t="str">
        <f t="shared" si="28"/>
        <v/>
      </c>
      <c r="E299" s="650" t="str">
        <f t="shared" si="31"/>
        <v/>
      </c>
      <c r="F299" s="650" t="str">
        <f t="shared" si="32"/>
        <v/>
      </c>
      <c r="G299" s="650" t="str">
        <f t="shared" si="33"/>
        <v/>
      </c>
      <c r="H299" s="650" t="str">
        <f t="shared" si="34"/>
        <v/>
      </c>
      <c r="J299" s="650"/>
      <c r="K299" s="650"/>
      <c r="L299" s="650"/>
    </row>
    <row r="300" spans="2:12" x14ac:dyDescent="0.2">
      <c r="B300" s="660" t="str">
        <f t="shared" si="29"/>
        <v>-</v>
      </c>
      <c r="C300" s="661" t="str">
        <f t="shared" si="30"/>
        <v/>
      </c>
      <c r="D300" s="650" t="str">
        <f t="shared" si="28"/>
        <v/>
      </c>
      <c r="E300" s="650" t="str">
        <f t="shared" si="31"/>
        <v/>
      </c>
      <c r="F300" s="650" t="str">
        <f t="shared" si="32"/>
        <v/>
      </c>
      <c r="G300" s="650" t="str">
        <f t="shared" si="33"/>
        <v/>
      </c>
      <c r="H300" s="650" t="str">
        <f t="shared" si="34"/>
        <v/>
      </c>
      <c r="J300" s="650"/>
      <c r="K300" s="650"/>
      <c r="L300" s="650"/>
    </row>
    <row r="301" spans="2:12" x14ac:dyDescent="0.2">
      <c r="B301" s="660" t="str">
        <f t="shared" si="29"/>
        <v>-</v>
      </c>
      <c r="C301" s="661" t="str">
        <f t="shared" si="30"/>
        <v/>
      </c>
      <c r="D301" s="650" t="str">
        <f t="shared" si="28"/>
        <v/>
      </c>
      <c r="E301" s="650" t="str">
        <f t="shared" si="31"/>
        <v/>
      </c>
      <c r="F301" s="650" t="str">
        <f t="shared" si="32"/>
        <v/>
      </c>
      <c r="G301" s="650" t="str">
        <f t="shared" si="33"/>
        <v/>
      </c>
      <c r="H301" s="650" t="str">
        <f t="shared" si="34"/>
        <v/>
      </c>
      <c r="J301" s="650"/>
      <c r="K301" s="650"/>
      <c r="L301" s="650"/>
    </row>
    <row r="302" spans="2:12" x14ac:dyDescent="0.2">
      <c r="B302" s="660" t="str">
        <f t="shared" si="29"/>
        <v>-</v>
      </c>
      <c r="C302" s="661" t="str">
        <f t="shared" si="30"/>
        <v/>
      </c>
      <c r="D302" s="650" t="str">
        <f t="shared" si="28"/>
        <v/>
      </c>
      <c r="E302" s="650" t="str">
        <f t="shared" si="31"/>
        <v/>
      </c>
      <c r="F302" s="650" t="str">
        <f t="shared" si="32"/>
        <v/>
      </c>
      <c r="G302" s="650" t="str">
        <f t="shared" si="33"/>
        <v/>
      </c>
      <c r="H302" s="650" t="str">
        <f t="shared" si="34"/>
        <v/>
      </c>
      <c r="J302" s="650"/>
      <c r="K302" s="650"/>
      <c r="L302" s="650"/>
    </row>
    <row r="303" spans="2:12" x14ac:dyDescent="0.2">
      <c r="B303" s="660" t="str">
        <f t="shared" si="29"/>
        <v>-</v>
      </c>
      <c r="C303" s="661" t="str">
        <f t="shared" si="30"/>
        <v/>
      </c>
      <c r="D303" s="650" t="str">
        <f t="shared" si="28"/>
        <v/>
      </c>
      <c r="E303" s="650" t="str">
        <f t="shared" si="31"/>
        <v/>
      </c>
      <c r="F303" s="650" t="str">
        <f t="shared" si="32"/>
        <v/>
      </c>
      <c r="G303" s="650" t="str">
        <f t="shared" si="33"/>
        <v/>
      </c>
      <c r="H303" s="650" t="str">
        <f t="shared" si="34"/>
        <v/>
      </c>
      <c r="J303" s="650"/>
      <c r="K303" s="650"/>
      <c r="L303" s="650"/>
    </row>
    <row r="304" spans="2:12" x14ac:dyDescent="0.2">
      <c r="B304" s="660" t="str">
        <f t="shared" si="29"/>
        <v>-</v>
      </c>
      <c r="C304" s="661" t="str">
        <f t="shared" si="30"/>
        <v/>
      </c>
      <c r="D304" s="650" t="str">
        <f t="shared" si="28"/>
        <v/>
      </c>
      <c r="E304" s="650" t="str">
        <f t="shared" si="31"/>
        <v/>
      </c>
      <c r="F304" s="650" t="str">
        <f t="shared" si="32"/>
        <v/>
      </c>
      <c r="G304" s="650" t="str">
        <f t="shared" si="33"/>
        <v/>
      </c>
      <c r="H304" s="650" t="str">
        <f t="shared" si="34"/>
        <v/>
      </c>
      <c r="J304" s="650"/>
      <c r="K304" s="650"/>
      <c r="L304" s="650"/>
    </row>
    <row r="305" spans="2:12" x14ac:dyDescent="0.2">
      <c r="B305" s="660" t="str">
        <f t="shared" si="29"/>
        <v>-</v>
      </c>
      <c r="C305" s="661" t="str">
        <f t="shared" si="30"/>
        <v/>
      </c>
      <c r="D305" s="650" t="str">
        <f t="shared" si="28"/>
        <v/>
      </c>
      <c r="E305" s="650" t="str">
        <f t="shared" si="31"/>
        <v/>
      </c>
      <c r="F305" s="650" t="str">
        <f t="shared" si="32"/>
        <v/>
      </c>
      <c r="G305" s="650" t="str">
        <f t="shared" si="33"/>
        <v/>
      </c>
      <c r="H305" s="650" t="str">
        <f t="shared" si="34"/>
        <v/>
      </c>
      <c r="J305" s="650"/>
      <c r="K305" s="650"/>
      <c r="L305" s="650"/>
    </row>
    <row r="306" spans="2:12" x14ac:dyDescent="0.2">
      <c r="B306" s="660" t="str">
        <f t="shared" si="29"/>
        <v>-</v>
      </c>
      <c r="C306" s="661" t="str">
        <f t="shared" si="30"/>
        <v/>
      </c>
      <c r="D306" s="650" t="str">
        <f t="shared" si="28"/>
        <v/>
      </c>
      <c r="E306" s="650" t="str">
        <f t="shared" si="31"/>
        <v/>
      </c>
      <c r="F306" s="650" t="str">
        <f t="shared" si="32"/>
        <v/>
      </c>
      <c r="G306" s="650" t="str">
        <f t="shared" si="33"/>
        <v/>
      </c>
      <c r="H306" s="650" t="str">
        <f t="shared" si="34"/>
        <v/>
      </c>
      <c r="J306" s="650"/>
      <c r="K306" s="650"/>
      <c r="L306" s="650"/>
    </row>
    <row r="307" spans="2:12" x14ac:dyDescent="0.2">
      <c r="B307" s="660" t="str">
        <f t="shared" si="29"/>
        <v>-</v>
      </c>
      <c r="C307" s="661" t="str">
        <f t="shared" si="30"/>
        <v/>
      </c>
      <c r="D307" s="650" t="str">
        <f t="shared" si="28"/>
        <v/>
      </c>
      <c r="E307" s="650" t="str">
        <f t="shared" si="31"/>
        <v/>
      </c>
      <c r="F307" s="650" t="str">
        <f t="shared" si="32"/>
        <v/>
      </c>
      <c r="G307" s="650" t="str">
        <f t="shared" si="33"/>
        <v/>
      </c>
      <c r="H307" s="650" t="str">
        <f t="shared" si="34"/>
        <v/>
      </c>
      <c r="J307" s="650"/>
      <c r="K307" s="650"/>
      <c r="L307" s="650"/>
    </row>
    <row r="308" spans="2:12" x14ac:dyDescent="0.2">
      <c r="B308" s="660" t="str">
        <f t="shared" si="29"/>
        <v>-</v>
      </c>
      <c r="C308" s="661" t="str">
        <f t="shared" si="30"/>
        <v/>
      </c>
      <c r="D308" s="650" t="str">
        <f t="shared" si="28"/>
        <v/>
      </c>
      <c r="E308" s="650" t="str">
        <f t="shared" si="31"/>
        <v/>
      </c>
      <c r="F308" s="650" t="str">
        <f t="shared" si="32"/>
        <v/>
      </c>
      <c r="G308" s="650" t="str">
        <f t="shared" si="33"/>
        <v/>
      </c>
      <c r="H308" s="650" t="str">
        <f t="shared" si="34"/>
        <v/>
      </c>
      <c r="J308" s="650"/>
      <c r="K308" s="650"/>
      <c r="L308" s="650"/>
    </row>
    <row r="309" spans="2:12" x14ac:dyDescent="0.2">
      <c r="B309" s="660" t="str">
        <f t="shared" si="29"/>
        <v>-</v>
      </c>
      <c r="C309" s="661" t="str">
        <f t="shared" si="30"/>
        <v/>
      </c>
      <c r="D309" s="650" t="str">
        <f t="shared" si="28"/>
        <v/>
      </c>
      <c r="E309" s="650" t="str">
        <f t="shared" si="31"/>
        <v/>
      </c>
      <c r="F309" s="650" t="str">
        <f t="shared" si="32"/>
        <v/>
      </c>
      <c r="G309" s="650" t="str">
        <f t="shared" si="33"/>
        <v/>
      </c>
      <c r="H309" s="650" t="str">
        <f t="shared" si="34"/>
        <v/>
      </c>
      <c r="J309" s="650"/>
      <c r="K309" s="650"/>
      <c r="L309" s="650"/>
    </row>
    <row r="310" spans="2:12" x14ac:dyDescent="0.2">
      <c r="B310" s="660" t="str">
        <f t="shared" si="29"/>
        <v>-</v>
      </c>
      <c r="C310" s="661" t="str">
        <f t="shared" si="30"/>
        <v/>
      </c>
      <c r="D310" s="650" t="str">
        <f t="shared" si="28"/>
        <v/>
      </c>
      <c r="E310" s="650" t="str">
        <f t="shared" si="31"/>
        <v/>
      </c>
      <c r="F310" s="650" t="str">
        <f t="shared" si="32"/>
        <v/>
      </c>
      <c r="G310" s="650" t="str">
        <f t="shared" si="33"/>
        <v/>
      </c>
      <c r="H310" s="650" t="str">
        <f t="shared" si="34"/>
        <v/>
      </c>
      <c r="J310" s="650"/>
      <c r="K310" s="650"/>
      <c r="L310" s="650"/>
    </row>
    <row r="311" spans="2:12" x14ac:dyDescent="0.2">
      <c r="B311" s="660" t="str">
        <f t="shared" si="29"/>
        <v>-</v>
      </c>
      <c r="C311" s="661" t="str">
        <f t="shared" si="30"/>
        <v/>
      </c>
      <c r="D311" s="650" t="str">
        <f t="shared" si="28"/>
        <v/>
      </c>
      <c r="E311" s="650" t="str">
        <f t="shared" si="31"/>
        <v/>
      </c>
      <c r="F311" s="650" t="str">
        <f t="shared" si="32"/>
        <v/>
      </c>
      <c r="G311" s="650" t="str">
        <f t="shared" si="33"/>
        <v/>
      </c>
      <c r="H311" s="650" t="str">
        <f t="shared" si="34"/>
        <v/>
      </c>
      <c r="J311" s="650"/>
      <c r="K311" s="650"/>
      <c r="L311" s="650"/>
    </row>
    <row r="312" spans="2:12" x14ac:dyDescent="0.2">
      <c r="B312" s="660" t="str">
        <f t="shared" si="29"/>
        <v>-</v>
      </c>
      <c r="C312" s="661" t="str">
        <f t="shared" si="30"/>
        <v/>
      </c>
      <c r="D312" s="650" t="str">
        <f t="shared" si="28"/>
        <v/>
      </c>
      <c r="E312" s="650" t="str">
        <f t="shared" si="31"/>
        <v/>
      </c>
      <c r="F312" s="650" t="str">
        <f t="shared" si="32"/>
        <v/>
      </c>
      <c r="G312" s="650" t="str">
        <f t="shared" si="33"/>
        <v/>
      </c>
      <c r="H312" s="650" t="str">
        <f t="shared" si="34"/>
        <v/>
      </c>
      <c r="J312" s="650"/>
      <c r="K312" s="650"/>
      <c r="L312" s="650"/>
    </row>
    <row r="313" spans="2:12" x14ac:dyDescent="0.2">
      <c r="B313" s="660" t="str">
        <f t="shared" si="29"/>
        <v>-</v>
      </c>
      <c r="C313" s="661" t="str">
        <f t="shared" si="30"/>
        <v/>
      </c>
      <c r="D313" s="650" t="str">
        <f t="shared" si="28"/>
        <v/>
      </c>
      <c r="E313" s="650" t="str">
        <f t="shared" si="31"/>
        <v/>
      </c>
      <c r="F313" s="650" t="str">
        <f t="shared" si="32"/>
        <v/>
      </c>
      <c r="G313" s="650" t="str">
        <f t="shared" si="33"/>
        <v/>
      </c>
      <c r="H313" s="650" t="str">
        <f t="shared" si="34"/>
        <v/>
      </c>
      <c r="J313" s="650"/>
      <c r="K313" s="650"/>
      <c r="L313" s="650"/>
    </row>
    <row r="314" spans="2:12" x14ac:dyDescent="0.2">
      <c r="B314" s="660" t="str">
        <f t="shared" si="29"/>
        <v>-</v>
      </c>
      <c r="C314" s="661" t="str">
        <f t="shared" si="30"/>
        <v/>
      </c>
      <c r="D314" s="650" t="str">
        <f t="shared" si="28"/>
        <v/>
      </c>
      <c r="E314" s="650" t="str">
        <f t="shared" si="31"/>
        <v/>
      </c>
      <c r="F314" s="650" t="str">
        <f t="shared" si="32"/>
        <v/>
      </c>
      <c r="G314" s="650" t="str">
        <f t="shared" si="33"/>
        <v/>
      </c>
      <c r="H314" s="650" t="str">
        <f t="shared" si="34"/>
        <v/>
      </c>
      <c r="J314" s="650"/>
      <c r="K314" s="650"/>
      <c r="L314" s="650"/>
    </row>
    <row r="315" spans="2:12" x14ac:dyDescent="0.2">
      <c r="B315" s="660" t="str">
        <f t="shared" si="29"/>
        <v>-</v>
      </c>
      <c r="C315" s="661" t="str">
        <f t="shared" si="30"/>
        <v/>
      </c>
      <c r="D315" s="650" t="str">
        <f t="shared" si="28"/>
        <v/>
      </c>
      <c r="E315" s="650" t="str">
        <f t="shared" si="31"/>
        <v/>
      </c>
      <c r="F315" s="650" t="str">
        <f t="shared" si="32"/>
        <v/>
      </c>
      <c r="G315" s="650" t="str">
        <f t="shared" si="33"/>
        <v/>
      </c>
      <c r="H315" s="650" t="str">
        <f t="shared" si="34"/>
        <v/>
      </c>
      <c r="J315" s="650"/>
      <c r="K315" s="650"/>
      <c r="L315" s="650"/>
    </row>
    <row r="316" spans="2:12" x14ac:dyDescent="0.2">
      <c r="B316" s="660" t="str">
        <f t="shared" si="29"/>
        <v>-</v>
      </c>
      <c r="C316" s="661" t="str">
        <f t="shared" si="30"/>
        <v/>
      </c>
      <c r="D316" s="650" t="str">
        <f t="shared" si="28"/>
        <v/>
      </c>
      <c r="E316" s="650" t="str">
        <f t="shared" si="31"/>
        <v/>
      </c>
      <c r="F316" s="650" t="str">
        <f t="shared" si="32"/>
        <v/>
      </c>
      <c r="G316" s="650" t="str">
        <f t="shared" si="33"/>
        <v/>
      </c>
      <c r="H316" s="650" t="str">
        <f t="shared" si="34"/>
        <v/>
      </c>
      <c r="J316" s="650"/>
      <c r="K316" s="650"/>
      <c r="L316" s="650"/>
    </row>
    <row r="317" spans="2:12" x14ac:dyDescent="0.2">
      <c r="B317" s="660" t="str">
        <f t="shared" si="29"/>
        <v>-</v>
      </c>
      <c r="C317" s="661" t="str">
        <f t="shared" si="30"/>
        <v/>
      </c>
      <c r="D317" s="650" t="str">
        <f t="shared" si="28"/>
        <v/>
      </c>
      <c r="E317" s="650" t="str">
        <f t="shared" si="31"/>
        <v/>
      </c>
      <c r="F317" s="650" t="str">
        <f t="shared" si="32"/>
        <v/>
      </c>
      <c r="G317" s="650" t="str">
        <f t="shared" si="33"/>
        <v/>
      </c>
      <c r="H317" s="650" t="str">
        <f t="shared" si="34"/>
        <v/>
      </c>
      <c r="J317" s="650"/>
      <c r="K317" s="650"/>
      <c r="L317" s="650"/>
    </row>
    <row r="318" spans="2:12" x14ac:dyDescent="0.2">
      <c r="B318" s="660" t="str">
        <f t="shared" si="29"/>
        <v>-</v>
      </c>
      <c r="C318" s="661" t="str">
        <f t="shared" si="30"/>
        <v/>
      </c>
      <c r="D318" s="650" t="str">
        <f t="shared" si="28"/>
        <v/>
      </c>
      <c r="E318" s="650" t="str">
        <f t="shared" si="31"/>
        <v/>
      </c>
      <c r="F318" s="650" t="str">
        <f t="shared" si="32"/>
        <v/>
      </c>
      <c r="G318" s="650" t="str">
        <f t="shared" si="33"/>
        <v/>
      </c>
      <c r="H318" s="650" t="str">
        <f t="shared" si="34"/>
        <v/>
      </c>
      <c r="J318" s="650"/>
      <c r="K318" s="650"/>
      <c r="L318" s="650"/>
    </row>
    <row r="319" spans="2:12" x14ac:dyDescent="0.2">
      <c r="B319" s="660" t="str">
        <f t="shared" si="29"/>
        <v>-</v>
      </c>
      <c r="C319" s="661" t="str">
        <f t="shared" si="30"/>
        <v/>
      </c>
      <c r="D319" s="650" t="str">
        <f t="shared" si="28"/>
        <v/>
      </c>
      <c r="E319" s="650" t="str">
        <f t="shared" si="31"/>
        <v/>
      </c>
      <c r="F319" s="650" t="str">
        <f t="shared" si="32"/>
        <v/>
      </c>
      <c r="G319" s="650" t="str">
        <f t="shared" si="33"/>
        <v/>
      </c>
      <c r="H319" s="650" t="str">
        <f t="shared" si="34"/>
        <v/>
      </c>
      <c r="J319" s="650"/>
      <c r="K319" s="650"/>
      <c r="L319" s="650"/>
    </row>
    <row r="320" spans="2:12" x14ac:dyDescent="0.2">
      <c r="B320" s="660" t="str">
        <f t="shared" si="29"/>
        <v>-</v>
      </c>
      <c r="C320" s="661" t="str">
        <f t="shared" si="30"/>
        <v/>
      </c>
      <c r="D320" s="650" t="str">
        <f t="shared" si="28"/>
        <v/>
      </c>
      <c r="E320" s="650" t="str">
        <f t="shared" si="31"/>
        <v/>
      </c>
      <c r="F320" s="650" t="str">
        <f t="shared" si="32"/>
        <v/>
      </c>
      <c r="G320" s="650" t="str">
        <f t="shared" si="33"/>
        <v/>
      </c>
      <c r="H320" s="650" t="str">
        <f t="shared" si="34"/>
        <v/>
      </c>
      <c r="J320" s="650"/>
      <c r="K320" s="650"/>
      <c r="L320" s="650"/>
    </row>
    <row r="321" spans="2:12" x14ac:dyDescent="0.2">
      <c r="B321" s="660" t="str">
        <f t="shared" si="29"/>
        <v>-</v>
      </c>
      <c r="C321" s="661" t="str">
        <f t="shared" si="30"/>
        <v/>
      </c>
      <c r="D321" s="650" t="str">
        <f t="shared" si="28"/>
        <v/>
      </c>
      <c r="E321" s="650" t="str">
        <f t="shared" si="31"/>
        <v/>
      </c>
      <c r="F321" s="650" t="str">
        <f t="shared" si="32"/>
        <v/>
      </c>
      <c r="G321" s="650" t="str">
        <f t="shared" si="33"/>
        <v/>
      </c>
      <c r="H321" s="650" t="str">
        <f t="shared" si="34"/>
        <v/>
      </c>
      <c r="J321" s="650"/>
      <c r="K321" s="650"/>
      <c r="L321" s="650"/>
    </row>
    <row r="322" spans="2:12" x14ac:dyDescent="0.2">
      <c r="B322" s="660" t="str">
        <f t="shared" si="29"/>
        <v>-</v>
      </c>
      <c r="C322" s="661" t="str">
        <f t="shared" si="30"/>
        <v/>
      </c>
      <c r="D322" s="650" t="str">
        <f t="shared" si="28"/>
        <v/>
      </c>
      <c r="E322" s="650" t="str">
        <f t="shared" si="31"/>
        <v/>
      </c>
      <c r="F322" s="650" t="str">
        <f t="shared" si="32"/>
        <v/>
      </c>
      <c r="G322" s="650" t="str">
        <f t="shared" si="33"/>
        <v/>
      </c>
      <c r="H322" s="650" t="str">
        <f t="shared" si="34"/>
        <v/>
      </c>
      <c r="J322" s="650"/>
      <c r="K322" s="650"/>
      <c r="L322" s="650"/>
    </row>
    <row r="323" spans="2:12" x14ac:dyDescent="0.2">
      <c r="B323" s="660" t="str">
        <f t="shared" si="29"/>
        <v>-</v>
      </c>
      <c r="C323" s="661" t="str">
        <f t="shared" si="30"/>
        <v/>
      </c>
      <c r="D323" s="650" t="str">
        <f t="shared" si="28"/>
        <v/>
      </c>
      <c r="E323" s="650" t="str">
        <f t="shared" si="31"/>
        <v/>
      </c>
      <c r="F323" s="650" t="str">
        <f t="shared" si="32"/>
        <v/>
      </c>
      <c r="G323" s="650" t="str">
        <f t="shared" si="33"/>
        <v/>
      </c>
      <c r="H323" s="650" t="str">
        <f t="shared" si="34"/>
        <v/>
      </c>
      <c r="J323" s="650"/>
      <c r="K323" s="650"/>
      <c r="L323" s="650"/>
    </row>
    <row r="324" spans="2:12" x14ac:dyDescent="0.2">
      <c r="B324" s="660" t="str">
        <f t="shared" si="29"/>
        <v>-</v>
      </c>
      <c r="C324" s="661" t="str">
        <f t="shared" si="30"/>
        <v/>
      </c>
      <c r="D324" s="650" t="str">
        <f t="shared" si="28"/>
        <v/>
      </c>
      <c r="E324" s="650" t="str">
        <f t="shared" si="31"/>
        <v/>
      </c>
      <c r="F324" s="650" t="str">
        <f t="shared" si="32"/>
        <v/>
      </c>
      <c r="G324" s="650" t="str">
        <f t="shared" si="33"/>
        <v/>
      </c>
      <c r="H324" s="650" t="str">
        <f t="shared" si="34"/>
        <v/>
      </c>
      <c r="J324" s="650"/>
      <c r="K324" s="650"/>
      <c r="L324" s="650"/>
    </row>
    <row r="325" spans="2:12" x14ac:dyDescent="0.2">
      <c r="B325" s="660" t="str">
        <f t="shared" si="29"/>
        <v>-</v>
      </c>
      <c r="C325" s="661" t="str">
        <f t="shared" si="30"/>
        <v/>
      </c>
      <c r="D325" s="650" t="str">
        <f t="shared" si="28"/>
        <v/>
      </c>
      <c r="E325" s="650" t="str">
        <f t="shared" si="31"/>
        <v/>
      </c>
      <c r="F325" s="650" t="str">
        <f t="shared" si="32"/>
        <v/>
      </c>
      <c r="G325" s="650" t="str">
        <f t="shared" si="33"/>
        <v/>
      </c>
      <c r="H325" s="650" t="str">
        <f t="shared" si="34"/>
        <v/>
      </c>
      <c r="J325" s="650"/>
      <c r="K325" s="650"/>
      <c r="L325" s="650"/>
    </row>
    <row r="326" spans="2:12" x14ac:dyDescent="0.2">
      <c r="B326" s="660" t="str">
        <f t="shared" si="29"/>
        <v>-</v>
      </c>
      <c r="C326" s="661" t="str">
        <f t="shared" si="30"/>
        <v/>
      </c>
      <c r="D326" s="650" t="str">
        <f t="shared" ref="D326:D371" si="35">IF(ISNUMBER(B326),D325-F325,"")</f>
        <v/>
      </c>
      <c r="E326" s="650" t="str">
        <f t="shared" si="31"/>
        <v/>
      </c>
      <c r="F326" s="650" t="str">
        <f t="shared" si="32"/>
        <v/>
      </c>
      <c r="G326" s="650" t="str">
        <f t="shared" si="33"/>
        <v/>
      </c>
      <c r="H326" s="650" t="str">
        <f t="shared" si="34"/>
        <v/>
      </c>
      <c r="J326" s="650"/>
      <c r="K326" s="650"/>
      <c r="L326" s="650"/>
    </row>
    <row r="327" spans="2:12" x14ac:dyDescent="0.2">
      <c r="B327" s="660" t="str">
        <f t="shared" si="29"/>
        <v>-</v>
      </c>
      <c r="C327" s="661" t="str">
        <f t="shared" si="30"/>
        <v/>
      </c>
      <c r="D327" s="650" t="str">
        <f t="shared" si="35"/>
        <v/>
      </c>
      <c r="E327" s="650" t="str">
        <f t="shared" si="31"/>
        <v/>
      </c>
      <c r="F327" s="650" t="str">
        <f t="shared" si="32"/>
        <v/>
      </c>
      <c r="G327" s="650" t="str">
        <f t="shared" si="33"/>
        <v/>
      </c>
      <c r="H327" s="650" t="str">
        <f t="shared" si="34"/>
        <v/>
      </c>
      <c r="J327" s="650"/>
      <c r="K327" s="650"/>
      <c r="L327" s="650"/>
    </row>
    <row r="328" spans="2:12" x14ac:dyDescent="0.2">
      <c r="B328" s="660" t="str">
        <f t="shared" si="29"/>
        <v>-</v>
      </c>
      <c r="C328" s="661" t="str">
        <f t="shared" si="30"/>
        <v/>
      </c>
      <c r="D328" s="650" t="str">
        <f t="shared" si="35"/>
        <v/>
      </c>
      <c r="E328" s="650" t="str">
        <f t="shared" si="31"/>
        <v/>
      </c>
      <c r="F328" s="650" t="str">
        <f t="shared" si="32"/>
        <v/>
      </c>
      <c r="G328" s="650" t="str">
        <f t="shared" si="33"/>
        <v/>
      </c>
      <c r="H328" s="650" t="str">
        <f t="shared" si="34"/>
        <v/>
      </c>
      <c r="J328" s="650"/>
      <c r="K328" s="650"/>
      <c r="L328" s="650"/>
    </row>
    <row r="329" spans="2:12" x14ac:dyDescent="0.2">
      <c r="B329" s="660" t="str">
        <f t="shared" si="29"/>
        <v>-</v>
      </c>
      <c r="C329" s="661" t="str">
        <f t="shared" si="30"/>
        <v/>
      </c>
      <c r="D329" s="650" t="str">
        <f t="shared" si="35"/>
        <v/>
      </c>
      <c r="E329" s="650" t="str">
        <f t="shared" si="31"/>
        <v/>
      </c>
      <c r="F329" s="650" t="str">
        <f t="shared" si="32"/>
        <v/>
      </c>
      <c r="G329" s="650" t="str">
        <f t="shared" si="33"/>
        <v/>
      </c>
      <c r="H329" s="650" t="str">
        <f t="shared" si="34"/>
        <v/>
      </c>
      <c r="J329" s="650"/>
      <c r="K329" s="650"/>
      <c r="L329" s="650"/>
    </row>
    <row r="330" spans="2:12" x14ac:dyDescent="0.2">
      <c r="B330" s="660" t="str">
        <f t="shared" si="29"/>
        <v>-</v>
      </c>
      <c r="C330" s="661" t="str">
        <f t="shared" si="30"/>
        <v/>
      </c>
      <c r="D330" s="650" t="str">
        <f t="shared" si="35"/>
        <v/>
      </c>
      <c r="E330" s="650" t="str">
        <f t="shared" si="31"/>
        <v/>
      </c>
      <c r="F330" s="650" t="str">
        <f t="shared" si="32"/>
        <v/>
      </c>
      <c r="G330" s="650" t="str">
        <f t="shared" si="33"/>
        <v/>
      </c>
      <c r="H330" s="650" t="str">
        <f t="shared" si="34"/>
        <v/>
      </c>
      <c r="J330" s="650"/>
      <c r="K330" s="650"/>
      <c r="L330" s="650"/>
    </row>
    <row r="331" spans="2:12" x14ac:dyDescent="0.2">
      <c r="B331" s="660" t="str">
        <f t="shared" si="29"/>
        <v>-</v>
      </c>
      <c r="C331" s="661" t="str">
        <f t="shared" si="30"/>
        <v/>
      </c>
      <c r="D331" s="650" t="str">
        <f t="shared" si="35"/>
        <v/>
      </c>
      <c r="E331" s="650" t="str">
        <f t="shared" si="31"/>
        <v/>
      </c>
      <c r="F331" s="650" t="str">
        <f t="shared" si="32"/>
        <v/>
      </c>
      <c r="G331" s="650" t="str">
        <f t="shared" si="33"/>
        <v/>
      </c>
      <c r="H331" s="650" t="str">
        <f t="shared" si="34"/>
        <v/>
      </c>
      <c r="J331" s="650"/>
      <c r="K331" s="650"/>
      <c r="L331" s="650"/>
    </row>
    <row r="332" spans="2:12" x14ac:dyDescent="0.2">
      <c r="B332" s="660" t="str">
        <f t="shared" ref="B332:B371" si="36">IF(B331&lt;$L$3,B331+1,"-")</f>
        <v>-</v>
      </c>
      <c r="C332" s="661" t="str">
        <f t="shared" ref="C332:C371" si="37">IF(ISNUMBER(B332),MIN(DATE(YEAR($C$11),MONTH($C$11)+B332*12/$P$5,DAY($C$11)),DATE(YEAR($C$11),MONTH($C$11)+1+B332*12/$P$5,1)-1),"")</f>
        <v/>
      </c>
      <c r="D332" s="650" t="str">
        <f t="shared" si="35"/>
        <v/>
      </c>
      <c r="E332" s="650" t="str">
        <f t="shared" ref="E332:E371" si="38">IF(ISNUMBER(B332),ROUND(D332*$L$7,$R$6),"")</f>
        <v/>
      </c>
      <c r="F332" s="650" t="str">
        <f t="shared" ref="F332:F371" si="39">IF(ISNUMBER(B332),IF(B332=$L$3,D332,IF(B332&gt;$L$4,$H$3-E332,0)),"")</f>
        <v/>
      </c>
      <c r="G332" s="650" t="str">
        <f t="shared" ref="G332:G371" si="40">IF(ISNUMBER(B332),$H$4,"")</f>
        <v/>
      </c>
      <c r="H332" s="650" t="str">
        <f t="shared" ref="H332:H371" si="41">IF(ISNUMBER(B332),E332+F332+G332,"")</f>
        <v/>
      </c>
      <c r="J332" s="650"/>
      <c r="K332" s="650"/>
      <c r="L332" s="650"/>
    </row>
    <row r="333" spans="2:12" x14ac:dyDescent="0.2">
      <c r="B333" s="660" t="str">
        <f t="shared" si="36"/>
        <v>-</v>
      </c>
      <c r="C333" s="661" t="str">
        <f t="shared" si="37"/>
        <v/>
      </c>
      <c r="D333" s="650" t="str">
        <f t="shared" si="35"/>
        <v/>
      </c>
      <c r="E333" s="650" t="str">
        <f t="shared" si="38"/>
        <v/>
      </c>
      <c r="F333" s="650" t="str">
        <f t="shared" si="39"/>
        <v/>
      </c>
      <c r="G333" s="650" t="str">
        <f t="shared" si="40"/>
        <v/>
      </c>
      <c r="H333" s="650" t="str">
        <f t="shared" si="41"/>
        <v/>
      </c>
      <c r="J333" s="650"/>
      <c r="K333" s="650"/>
      <c r="L333" s="650"/>
    </row>
    <row r="334" spans="2:12" x14ac:dyDescent="0.2">
      <c r="B334" s="660" t="str">
        <f t="shared" si="36"/>
        <v>-</v>
      </c>
      <c r="C334" s="661" t="str">
        <f t="shared" si="37"/>
        <v/>
      </c>
      <c r="D334" s="650" t="str">
        <f t="shared" si="35"/>
        <v/>
      </c>
      <c r="E334" s="650" t="str">
        <f t="shared" si="38"/>
        <v/>
      </c>
      <c r="F334" s="650" t="str">
        <f t="shared" si="39"/>
        <v/>
      </c>
      <c r="G334" s="650" t="str">
        <f t="shared" si="40"/>
        <v/>
      </c>
      <c r="H334" s="650" t="str">
        <f t="shared" si="41"/>
        <v/>
      </c>
      <c r="J334" s="650"/>
      <c r="K334" s="650"/>
      <c r="L334" s="650"/>
    </row>
    <row r="335" spans="2:12" x14ac:dyDescent="0.2">
      <c r="B335" s="660" t="str">
        <f t="shared" si="36"/>
        <v>-</v>
      </c>
      <c r="C335" s="661" t="str">
        <f t="shared" si="37"/>
        <v/>
      </c>
      <c r="D335" s="650" t="str">
        <f t="shared" si="35"/>
        <v/>
      </c>
      <c r="E335" s="650" t="str">
        <f t="shared" si="38"/>
        <v/>
      </c>
      <c r="F335" s="650" t="str">
        <f t="shared" si="39"/>
        <v/>
      </c>
      <c r="G335" s="650" t="str">
        <f t="shared" si="40"/>
        <v/>
      </c>
      <c r="H335" s="650" t="str">
        <f t="shared" si="41"/>
        <v/>
      </c>
      <c r="J335" s="650"/>
      <c r="K335" s="650"/>
      <c r="L335" s="650"/>
    </row>
    <row r="336" spans="2:12" x14ac:dyDescent="0.2">
      <c r="B336" s="660" t="str">
        <f t="shared" si="36"/>
        <v>-</v>
      </c>
      <c r="C336" s="661" t="str">
        <f t="shared" si="37"/>
        <v/>
      </c>
      <c r="D336" s="650" t="str">
        <f t="shared" si="35"/>
        <v/>
      </c>
      <c r="E336" s="650" t="str">
        <f t="shared" si="38"/>
        <v/>
      </c>
      <c r="F336" s="650" t="str">
        <f t="shared" si="39"/>
        <v/>
      </c>
      <c r="G336" s="650" t="str">
        <f t="shared" si="40"/>
        <v/>
      </c>
      <c r="H336" s="650" t="str">
        <f t="shared" si="41"/>
        <v/>
      </c>
      <c r="J336" s="650"/>
      <c r="K336" s="650"/>
      <c r="L336" s="650"/>
    </row>
    <row r="337" spans="2:12" x14ac:dyDescent="0.2">
      <c r="B337" s="660" t="str">
        <f t="shared" si="36"/>
        <v>-</v>
      </c>
      <c r="C337" s="661" t="str">
        <f t="shared" si="37"/>
        <v/>
      </c>
      <c r="D337" s="650" t="str">
        <f t="shared" si="35"/>
        <v/>
      </c>
      <c r="E337" s="650" t="str">
        <f t="shared" si="38"/>
        <v/>
      </c>
      <c r="F337" s="650" t="str">
        <f t="shared" si="39"/>
        <v/>
      </c>
      <c r="G337" s="650" t="str">
        <f t="shared" si="40"/>
        <v/>
      </c>
      <c r="H337" s="650" t="str">
        <f t="shared" si="41"/>
        <v/>
      </c>
      <c r="J337" s="650"/>
      <c r="K337" s="650"/>
      <c r="L337" s="650"/>
    </row>
    <row r="338" spans="2:12" x14ac:dyDescent="0.2">
      <c r="B338" s="660" t="str">
        <f t="shared" si="36"/>
        <v>-</v>
      </c>
      <c r="C338" s="661" t="str">
        <f t="shared" si="37"/>
        <v/>
      </c>
      <c r="D338" s="650" t="str">
        <f t="shared" si="35"/>
        <v/>
      </c>
      <c r="E338" s="650" t="str">
        <f t="shared" si="38"/>
        <v/>
      </c>
      <c r="F338" s="650" t="str">
        <f t="shared" si="39"/>
        <v/>
      </c>
      <c r="G338" s="650" t="str">
        <f t="shared" si="40"/>
        <v/>
      </c>
      <c r="H338" s="650" t="str">
        <f t="shared" si="41"/>
        <v/>
      </c>
      <c r="J338" s="650"/>
      <c r="K338" s="650"/>
      <c r="L338" s="650"/>
    </row>
    <row r="339" spans="2:12" x14ac:dyDescent="0.2">
      <c r="B339" s="660" t="str">
        <f t="shared" si="36"/>
        <v>-</v>
      </c>
      <c r="C339" s="661" t="str">
        <f t="shared" si="37"/>
        <v/>
      </c>
      <c r="D339" s="650" t="str">
        <f t="shared" si="35"/>
        <v/>
      </c>
      <c r="E339" s="650" t="str">
        <f t="shared" si="38"/>
        <v/>
      </c>
      <c r="F339" s="650" t="str">
        <f t="shared" si="39"/>
        <v/>
      </c>
      <c r="G339" s="650" t="str">
        <f t="shared" si="40"/>
        <v/>
      </c>
      <c r="H339" s="650" t="str">
        <f t="shared" si="41"/>
        <v/>
      </c>
      <c r="J339" s="650"/>
      <c r="K339" s="650"/>
      <c r="L339" s="650"/>
    </row>
    <row r="340" spans="2:12" x14ac:dyDescent="0.2">
      <c r="B340" s="660" t="str">
        <f t="shared" si="36"/>
        <v>-</v>
      </c>
      <c r="C340" s="661" t="str">
        <f t="shared" si="37"/>
        <v/>
      </c>
      <c r="D340" s="650" t="str">
        <f t="shared" si="35"/>
        <v/>
      </c>
      <c r="E340" s="650" t="str">
        <f t="shared" si="38"/>
        <v/>
      </c>
      <c r="F340" s="650" t="str">
        <f t="shared" si="39"/>
        <v/>
      </c>
      <c r="G340" s="650" t="str">
        <f t="shared" si="40"/>
        <v/>
      </c>
      <c r="H340" s="650" t="str">
        <f t="shared" si="41"/>
        <v/>
      </c>
      <c r="J340" s="650"/>
      <c r="K340" s="650"/>
      <c r="L340" s="650"/>
    </row>
    <row r="341" spans="2:12" x14ac:dyDescent="0.2">
      <c r="B341" s="660" t="str">
        <f t="shared" si="36"/>
        <v>-</v>
      </c>
      <c r="C341" s="661" t="str">
        <f t="shared" si="37"/>
        <v/>
      </c>
      <c r="D341" s="650" t="str">
        <f t="shared" si="35"/>
        <v/>
      </c>
      <c r="E341" s="650" t="str">
        <f t="shared" si="38"/>
        <v/>
      </c>
      <c r="F341" s="650" t="str">
        <f t="shared" si="39"/>
        <v/>
      </c>
      <c r="G341" s="650" t="str">
        <f t="shared" si="40"/>
        <v/>
      </c>
      <c r="H341" s="650" t="str">
        <f t="shared" si="41"/>
        <v/>
      </c>
      <c r="J341" s="650"/>
      <c r="K341" s="650"/>
      <c r="L341" s="650"/>
    </row>
    <row r="342" spans="2:12" x14ac:dyDescent="0.2">
      <c r="B342" s="660" t="str">
        <f t="shared" si="36"/>
        <v>-</v>
      </c>
      <c r="C342" s="661" t="str">
        <f t="shared" si="37"/>
        <v/>
      </c>
      <c r="D342" s="650" t="str">
        <f t="shared" si="35"/>
        <v/>
      </c>
      <c r="E342" s="650" t="str">
        <f t="shared" si="38"/>
        <v/>
      </c>
      <c r="F342" s="650" t="str">
        <f t="shared" si="39"/>
        <v/>
      </c>
      <c r="G342" s="650" t="str">
        <f t="shared" si="40"/>
        <v/>
      </c>
      <c r="H342" s="650" t="str">
        <f t="shared" si="41"/>
        <v/>
      </c>
      <c r="J342" s="650"/>
      <c r="K342" s="650"/>
      <c r="L342" s="650"/>
    </row>
    <row r="343" spans="2:12" x14ac:dyDescent="0.2">
      <c r="B343" s="660" t="str">
        <f t="shared" si="36"/>
        <v>-</v>
      </c>
      <c r="C343" s="661" t="str">
        <f t="shared" si="37"/>
        <v/>
      </c>
      <c r="D343" s="650" t="str">
        <f t="shared" si="35"/>
        <v/>
      </c>
      <c r="E343" s="650" t="str">
        <f t="shared" si="38"/>
        <v/>
      </c>
      <c r="F343" s="650" t="str">
        <f t="shared" si="39"/>
        <v/>
      </c>
      <c r="G343" s="650" t="str">
        <f t="shared" si="40"/>
        <v/>
      </c>
      <c r="H343" s="650" t="str">
        <f t="shared" si="41"/>
        <v/>
      </c>
      <c r="J343" s="650"/>
      <c r="K343" s="650"/>
      <c r="L343" s="650"/>
    </row>
    <row r="344" spans="2:12" x14ac:dyDescent="0.2">
      <c r="B344" s="660" t="str">
        <f t="shared" si="36"/>
        <v>-</v>
      </c>
      <c r="C344" s="661" t="str">
        <f t="shared" si="37"/>
        <v/>
      </c>
      <c r="D344" s="650" t="str">
        <f t="shared" si="35"/>
        <v/>
      </c>
      <c r="E344" s="650" t="str">
        <f t="shared" si="38"/>
        <v/>
      </c>
      <c r="F344" s="650" t="str">
        <f t="shared" si="39"/>
        <v/>
      </c>
      <c r="G344" s="650" t="str">
        <f t="shared" si="40"/>
        <v/>
      </c>
      <c r="H344" s="650" t="str">
        <f t="shared" si="41"/>
        <v/>
      </c>
      <c r="J344" s="650"/>
      <c r="K344" s="650"/>
      <c r="L344" s="650"/>
    </row>
    <row r="345" spans="2:12" x14ac:dyDescent="0.2">
      <c r="B345" s="660" t="str">
        <f t="shared" si="36"/>
        <v>-</v>
      </c>
      <c r="C345" s="661" t="str">
        <f t="shared" si="37"/>
        <v/>
      </c>
      <c r="D345" s="650" t="str">
        <f t="shared" si="35"/>
        <v/>
      </c>
      <c r="E345" s="650" t="str">
        <f t="shared" si="38"/>
        <v/>
      </c>
      <c r="F345" s="650" t="str">
        <f t="shared" si="39"/>
        <v/>
      </c>
      <c r="G345" s="650" t="str">
        <f t="shared" si="40"/>
        <v/>
      </c>
      <c r="H345" s="650" t="str">
        <f t="shared" si="41"/>
        <v/>
      </c>
      <c r="J345" s="650"/>
      <c r="K345" s="650"/>
      <c r="L345" s="650"/>
    </row>
    <row r="346" spans="2:12" x14ac:dyDescent="0.2">
      <c r="B346" s="660" t="str">
        <f t="shared" si="36"/>
        <v>-</v>
      </c>
      <c r="C346" s="661" t="str">
        <f t="shared" si="37"/>
        <v/>
      </c>
      <c r="D346" s="650" t="str">
        <f t="shared" si="35"/>
        <v/>
      </c>
      <c r="E346" s="650" t="str">
        <f t="shared" si="38"/>
        <v/>
      </c>
      <c r="F346" s="650" t="str">
        <f t="shared" si="39"/>
        <v/>
      </c>
      <c r="G346" s="650" t="str">
        <f t="shared" si="40"/>
        <v/>
      </c>
      <c r="H346" s="650" t="str">
        <f t="shared" si="41"/>
        <v/>
      </c>
      <c r="J346" s="650"/>
      <c r="K346" s="650"/>
      <c r="L346" s="650"/>
    </row>
    <row r="347" spans="2:12" x14ac:dyDescent="0.2">
      <c r="B347" s="660" t="str">
        <f t="shared" si="36"/>
        <v>-</v>
      </c>
      <c r="C347" s="661" t="str">
        <f t="shared" si="37"/>
        <v/>
      </c>
      <c r="D347" s="650" t="str">
        <f t="shared" si="35"/>
        <v/>
      </c>
      <c r="E347" s="650" t="str">
        <f t="shared" si="38"/>
        <v/>
      </c>
      <c r="F347" s="650" t="str">
        <f t="shared" si="39"/>
        <v/>
      </c>
      <c r="G347" s="650" t="str">
        <f t="shared" si="40"/>
        <v/>
      </c>
      <c r="H347" s="650" t="str">
        <f t="shared" si="41"/>
        <v/>
      </c>
      <c r="J347" s="650"/>
      <c r="K347" s="650"/>
      <c r="L347" s="650"/>
    </row>
    <row r="348" spans="2:12" x14ac:dyDescent="0.2">
      <c r="B348" s="660" t="str">
        <f t="shared" si="36"/>
        <v>-</v>
      </c>
      <c r="C348" s="661" t="str">
        <f t="shared" si="37"/>
        <v/>
      </c>
      <c r="D348" s="650" t="str">
        <f t="shared" si="35"/>
        <v/>
      </c>
      <c r="E348" s="650" t="str">
        <f t="shared" si="38"/>
        <v/>
      </c>
      <c r="F348" s="650" t="str">
        <f t="shared" si="39"/>
        <v/>
      </c>
      <c r="G348" s="650" t="str">
        <f t="shared" si="40"/>
        <v/>
      </c>
      <c r="H348" s="650" t="str">
        <f t="shared" si="41"/>
        <v/>
      </c>
      <c r="J348" s="650"/>
      <c r="K348" s="650"/>
      <c r="L348" s="650"/>
    </row>
    <row r="349" spans="2:12" x14ac:dyDescent="0.2">
      <c r="B349" s="660" t="str">
        <f t="shared" si="36"/>
        <v>-</v>
      </c>
      <c r="C349" s="661" t="str">
        <f t="shared" si="37"/>
        <v/>
      </c>
      <c r="D349" s="650" t="str">
        <f t="shared" si="35"/>
        <v/>
      </c>
      <c r="E349" s="650" t="str">
        <f t="shared" si="38"/>
        <v/>
      </c>
      <c r="F349" s="650" t="str">
        <f t="shared" si="39"/>
        <v/>
      </c>
      <c r="G349" s="650" t="str">
        <f t="shared" si="40"/>
        <v/>
      </c>
      <c r="H349" s="650" t="str">
        <f t="shared" si="41"/>
        <v/>
      </c>
      <c r="J349" s="650"/>
      <c r="K349" s="650"/>
      <c r="L349" s="650"/>
    </row>
    <row r="350" spans="2:12" x14ac:dyDescent="0.2">
      <c r="B350" s="660" t="str">
        <f t="shared" si="36"/>
        <v>-</v>
      </c>
      <c r="C350" s="661" t="str">
        <f t="shared" si="37"/>
        <v/>
      </c>
      <c r="D350" s="650" t="str">
        <f t="shared" si="35"/>
        <v/>
      </c>
      <c r="E350" s="650" t="str">
        <f t="shared" si="38"/>
        <v/>
      </c>
      <c r="F350" s="650" t="str">
        <f t="shared" si="39"/>
        <v/>
      </c>
      <c r="G350" s="650" t="str">
        <f t="shared" si="40"/>
        <v/>
      </c>
      <c r="H350" s="650" t="str">
        <f t="shared" si="41"/>
        <v/>
      </c>
      <c r="J350" s="650"/>
      <c r="K350" s="650"/>
      <c r="L350" s="650"/>
    </row>
    <row r="351" spans="2:12" x14ac:dyDescent="0.2">
      <c r="B351" s="660" t="str">
        <f t="shared" si="36"/>
        <v>-</v>
      </c>
      <c r="C351" s="661" t="str">
        <f t="shared" si="37"/>
        <v/>
      </c>
      <c r="D351" s="650" t="str">
        <f t="shared" si="35"/>
        <v/>
      </c>
      <c r="E351" s="650" t="str">
        <f t="shared" si="38"/>
        <v/>
      </c>
      <c r="F351" s="650" t="str">
        <f t="shared" si="39"/>
        <v/>
      </c>
      <c r="G351" s="650" t="str">
        <f t="shared" si="40"/>
        <v/>
      </c>
      <c r="H351" s="650" t="str">
        <f t="shared" si="41"/>
        <v/>
      </c>
      <c r="J351" s="650"/>
      <c r="K351" s="650"/>
      <c r="L351" s="650"/>
    </row>
    <row r="352" spans="2:12" x14ac:dyDescent="0.2">
      <c r="B352" s="660" t="str">
        <f t="shared" si="36"/>
        <v>-</v>
      </c>
      <c r="C352" s="661" t="str">
        <f t="shared" si="37"/>
        <v/>
      </c>
      <c r="D352" s="650" t="str">
        <f t="shared" si="35"/>
        <v/>
      </c>
      <c r="E352" s="650" t="str">
        <f t="shared" si="38"/>
        <v/>
      </c>
      <c r="F352" s="650" t="str">
        <f t="shared" si="39"/>
        <v/>
      </c>
      <c r="G352" s="650" t="str">
        <f t="shared" si="40"/>
        <v/>
      </c>
      <c r="H352" s="650" t="str">
        <f t="shared" si="41"/>
        <v/>
      </c>
      <c r="J352" s="650"/>
      <c r="K352" s="650"/>
      <c r="L352" s="650"/>
    </row>
    <row r="353" spans="2:12" x14ac:dyDescent="0.2">
      <c r="B353" s="660" t="str">
        <f t="shared" si="36"/>
        <v>-</v>
      </c>
      <c r="C353" s="661" t="str">
        <f t="shared" si="37"/>
        <v/>
      </c>
      <c r="D353" s="650" t="str">
        <f t="shared" si="35"/>
        <v/>
      </c>
      <c r="E353" s="650" t="str">
        <f t="shared" si="38"/>
        <v/>
      </c>
      <c r="F353" s="650" t="str">
        <f t="shared" si="39"/>
        <v/>
      </c>
      <c r="G353" s="650" t="str">
        <f t="shared" si="40"/>
        <v/>
      </c>
      <c r="H353" s="650" t="str">
        <f t="shared" si="41"/>
        <v/>
      </c>
      <c r="J353" s="650"/>
      <c r="K353" s="650"/>
      <c r="L353" s="650"/>
    </row>
    <row r="354" spans="2:12" x14ac:dyDescent="0.2">
      <c r="B354" s="660" t="str">
        <f t="shared" si="36"/>
        <v>-</v>
      </c>
      <c r="C354" s="661" t="str">
        <f t="shared" si="37"/>
        <v/>
      </c>
      <c r="D354" s="650" t="str">
        <f t="shared" si="35"/>
        <v/>
      </c>
      <c r="E354" s="650" t="str">
        <f t="shared" si="38"/>
        <v/>
      </c>
      <c r="F354" s="650" t="str">
        <f t="shared" si="39"/>
        <v/>
      </c>
      <c r="G354" s="650" t="str">
        <f t="shared" si="40"/>
        <v/>
      </c>
      <c r="H354" s="650" t="str">
        <f t="shared" si="41"/>
        <v/>
      </c>
      <c r="J354" s="650"/>
      <c r="K354" s="650"/>
      <c r="L354" s="650"/>
    </row>
    <row r="355" spans="2:12" x14ac:dyDescent="0.2">
      <c r="B355" s="660" t="str">
        <f t="shared" si="36"/>
        <v>-</v>
      </c>
      <c r="C355" s="661" t="str">
        <f t="shared" si="37"/>
        <v/>
      </c>
      <c r="D355" s="650" t="str">
        <f t="shared" si="35"/>
        <v/>
      </c>
      <c r="E355" s="650" t="str">
        <f t="shared" si="38"/>
        <v/>
      </c>
      <c r="F355" s="650" t="str">
        <f t="shared" si="39"/>
        <v/>
      </c>
      <c r="G355" s="650" t="str">
        <f t="shared" si="40"/>
        <v/>
      </c>
      <c r="H355" s="650" t="str">
        <f t="shared" si="41"/>
        <v/>
      </c>
      <c r="J355" s="650"/>
      <c r="K355" s="650"/>
      <c r="L355" s="650"/>
    </row>
    <row r="356" spans="2:12" x14ac:dyDescent="0.2">
      <c r="B356" s="660" t="str">
        <f t="shared" si="36"/>
        <v>-</v>
      </c>
      <c r="C356" s="661" t="str">
        <f t="shared" si="37"/>
        <v/>
      </c>
      <c r="D356" s="650" t="str">
        <f t="shared" si="35"/>
        <v/>
      </c>
      <c r="E356" s="650" t="str">
        <f t="shared" si="38"/>
        <v/>
      </c>
      <c r="F356" s="650" t="str">
        <f t="shared" si="39"/>
        <v/>
      </c>
      <c r="G356" s="650" t="str">
        <f t="shared" si="40"/>
        <v/>
      </c>
      <c r="H356" s="650" t="str">
        <f t="shared" si="41"/>
        <v/>
      </c>
      <c r="J356" s="650"/>
      <c r="K356" s="650"/>
      <c r="L356" s="650"/>
    </row>
    <row r="357" spans="2:12" x14ac:dyDescent="0.2">
      <c r="B357" s="660" t="str">
        <f t="shared" si="36"/>
        <v>-</v>
      </c>
      <c r="C357" s="661" t="str">
        <f t="shared" si="37"/>
        <v/>
      </c>
      <c r="D357" s="650" t="str">
        <f t="shared" si="35"/>
        <v/>
      </c>
      <c r="E357" s="650" t="str">
        <f t="shared" si="38"/>
        <v/>
      </c>
      <c r="F357" s="650" t="str">
        <f t="shared" si="39"/>
        <v/>
      </c>
      <c r="G357" s="650" t="str">
        <f t="shared" si="40"/>
        <v/>
      </c>
      <c r="H357" s="650" t="str">
        <f t="shared" si="41"/>
        <v/>
      </c>
      <c r="J357" s="650"/>
      <c r="K357" s="650"/>
      <c r="L357" s="650"/>
    </row>
    <row r="358" spans="2:12" x14ac:dyDescent="0.2">
      <c r="B358" s="660" t="str">
        <f t="shared" si="36"/>
        <v>-</v>
      </c>
      <c r="C358" s="661" t="str">
        <f t="shared" si="37"/>
        <v/>
      </c>
      <c r="D358" s="650" t="str">
        <f t="shared" si="35"/>
        <v/>
      </c>
      <c r="E358" s="650" t="str">
        <f t="shared" si="38"/>
        <v/>
      </c>
      <c r="F358" s="650" t="str">
        <f t="shared" si="39"/>
        <v/>
      </c>
      <c r="G358" s="650" t="str">
        <f t="shared" si="40"/>
        <v/>
      </c>
      <c r="H358" s="650" t="str">
        <f t="shared" si="41"/>
        <v/>
      </c>
      <c r="J358" s="650"/>
      <c r="K358" s="650"/>
      <c r="L358" s="650"/>
    </row>
    <row r="359" spans="2:12" x14ac:dyDescent="0.2">
      <c r="B359" s="660" t="str">
        <f t="shared" si="36"/>
        <v>-</v>
      </c>
      <c r="C359" s="661" t="str">
        <f t="shared" si="37"/>
        <v/>
      </c>
      <c r="D359" s="650" t="str">
        <f t="shared" si="35"/>
        <v/>
      </c>
      <c r="E359" s="650" t="str">
        <f t="shared" si="38"/>
        <v/>
      </c>
      <c r="F359" s="650" t="str">
        <f t="shared" si="39"/>
        <v/>
      </c>
      <c r="G359" s="650" t="str">
        <f t="shared" si="40"/>
        <v/>
      </c>
      <c r="H359" s="650" t="str">
        <f t="shared" si="41"/>
        <v/>
      </c>
      <c r="J359" s="650"/>
      <c r="K359" s="650"/>
      <c r="L359" s="650"/>
    </row>
    <row r="360" spans="2:12" x14ac:dyDescent="0.2">
      <c r="B360" s="660" t="str">
        <f t="shared" si="36"/>
        <v>-</v>
      </c>
      <c r="C360" s="661" t="str">
        <f t="shared" si="37"/>
        <v/>
      </c>
      <c r="D360" s="650" t="str">
        <f t="shared" si="35"/>
        <v/>
      </c>
      <c r="E360" s="650" t="str">
        <f t="shared" si="38"/>
        <v/>
      </c>
      <c r="F360" s="650" t="str">
        <f t="shared" si="39"/>
        <v/>
      </c>
      <c r="G360" s="650" t="str">
        <f t="shared" si="40"/>
        <v/>
      </c>
      <c r="H360" s="650" t="str">
        <f t="shared" si="41"/>
        <v/>
      </c>
      <c r="J360" s="650"/>
      <c r="K360" s="650"/>
      <c r="L360" s="650"/>
    </row>
    <row r="361" spans="2:12" x14ac:dyDescent="0.2">
      <c r="B361" s="660" t="str">
        <f t="shared" si="36"/>
        <v>-</v>
      </c>
      <c r="C361" s="661" t="str">
        <f t="shared" si="37"/>
        <v/>
      </c>
      <c r="D361" s="650" t="str">
        <f t="shared" si="35"/>
        <v/>
      </c>
      <c r="E361" s="650" t="str">
        <f t="shared" si="38"/>
        <v/>
      </c>
      <c r="F361" s="650" t="str">
        <f t="shared" si="39"/>
        <v/>
      </c>
      <c r="G361" s="650" t="str">
        <f t="shared" si="40"/>
        <v/>
      </c>
      <c r="H361" s="650" t="str">
        <f t="shared" si="41"/>
        <v/>
      </c>
      <c r="J361" s="650"/>
      <c r="K361" s="650"/>
      <c r="L361" s="650"/>
    </row>
    <row r="362" spans="2:12" x14ac:dyDescent="0.2">
      <c r="B362" s="660" t="str">
        <f t="shared" si="36"/>
        <v>-</v>
      </c>
      <c r="C362" s="661" t="str">
        <f t="shared" si="37"/>
        <v/>
      </c>
      <c r="D362" s="650" t="str">
        <f t="shared" si="35"/>
        <v/>
      </c>
      <c r="E362" s="650" t="str">
        <f t="shared" si="38"/>
        <v/>
      </c>
      <c r="F362" s="650" t="str">
        <f t="shared" si="39"/>
        <v/>
      </c>
      <c r="G362" s="650" t="str">
        <f t="shared" si="40"/>
        <v/>
      </c>
      <c r="H362" s="650" t="str">
        <f t="shared" si="41"/>
        <v/>
      </c>
      <c r="J362" s="650"/>
      <c r="K362" s="650"/>
      <c r="L362" s="650"/>
    </row>
    <row r="363" spans="2:12" x14ac:dyDescent="0.2">
      <c r="B363" s="660" t="str">
        <f t="shared" si="36"/>
        <v>-</v>
      </c>
      <c r="C363" s="661" t="str">
        <f t="shared" si="37"/>
        <v/>
      </c>
      <c r="D363" s="650" t="str">
        <f t="shared" si="35"/>
        <v/>
      </c>
      <c r="E363" s="650" t="str">
        <f t="shared" si="38"/>
        <v/>
      </c>
      <c r="F363" s="650" t="str">
        <f t="shared" si="39"/>
        <v/>
      </c>
      <c r="G363" s="650" t="str">
        <f t="shared" si="40"/>
        <v/>
      </c>
      <c r="H363" s="650" t="str">
        <f t="shared" si="41"/>
        <v/>
      </c>
      <c r="J363" s="650"/>
      <c r="K363" s="650"/>
      <c r="L363" s="650"/>
    </row>
    <row r="364" spans="2:12" x14ac:dyDescent="0.2">
      <c r="B364" s="660" t="str">
        <f t="shared" si="36"/>
        <v>-</v>
      </c>
      <c r="C364" s="661" t="str">
        <f t="shared" si="37"/>
        <v/>
      </c>
      <c r="D364" s="650" t="str">
        <f t="shared" si="35"/>
        <v/>
      </c>
      <c r="E364" s="650" t="str">
        <f t="shared" si="38"/>
        <v/>
      </c>
      <c r="F364" s="650" t="str">
        <f t="shared" si="39"/>
        <v/>
      </c>
      <c r="G364" s="650" t="str">
        <f t="shared" si="40"/>
        <v/>
      </c>
      <c r="H364" s="650" t="str">
        <f t="shared" si="41"/>
        <v/>
      </c>
      <c r="J364" s="650"/>
      <c r="K364" s="650"/>
      <c r="L364" s="650"/>
    </row>
    <row r="365" spans="2:12" x14ac:dyDescent="0.2">
      <c r="B365" s="660" t="str">
        <f t="shared" si="36"/>
        <v>-</v>
      </c>
      <c r="C365" s="661" t="str">
        <f t="shared" si="37"/>
        <v/>
      </c>
      <c r="D365" s="650" t="str">
        <f t="shared" si="35"/>
        <v/>
      </c>
      <c r="E365" s="650" t="str">
        <f t="shared" si="38"/>
        <v/>
      </c>
      <c r="F365" s="650" t="str">
        <f t="shared" si="39"/>
        <v/>
      </c>
      <c r="G365" s="650" t="str">
        <f t="shared" si="40"/>
        <v/>
      </c>
      <c r="H365" s="650" t="str">
        <f t="shared" si="41"/>
        <v/>
      </c>
      <c r="J365" s="650"/>
      <c r="K365" s="650"/>
      <c r="L365" s="650"/>
    </row>
    <row r="366" spans="2:12" x14ac:dyDescent="0.2">
      <c r="B366" s="660" t="str">
        <f t="shared" si="36"/>
        <v>-</v>
      </c>
      <c r="C366" s="661" t="str">
        <f t="shared" si="37"/>
        <v/>
      </c>
      <c r="D366" s="650" t="str">
        <f t="shared" si="35"/>
        <v/>
      </c>
      <c r="E366" s="650" t="str">
        <f t="shared" si="38"/>
        <v/>
      </c>
      <c r="F366" s="650" t="str">
        <f t="shared" si="39"/>
        <v/>
      </c>
      <c r="G366" s="650" t="str">
        <f t="shared" si="40"/>
        <v/>
      </c>
      <c r="H366" s="650" t="str">
        <f t="shared" si="41"/>
        <v/>
      </c>
      <c r="J366" s="650"/>
      <c r="K366" s="650"/>
      <c r="L366" s="650"/>
    </row>
    <row r="367" spans="2:12" x14ac:dyDescent="0.2">
      <c r="B367" s="660" t="str">
        <f t="shared" si="36"/>
        <v>-</v>
      </c>
      <c r="C367" s="661" t="str">
        <f t="shared" si="37"/>
        <v/>
      </c>
      <c r="D367" s="650" t="str">
        <f t="shared" si="35"/>
        <v/>
      </c>
      <c r="E367" s="650" t="str">
        <f t="shared" si="38"/>
        <v/>
      </c>
      <c r="F367" s="650" t="str">
        <f t="shared" si="39"/>
        <v/>
      </c>
      <c r="G367" s="650" t="str">
        <f t="shared" si="40"/>
        <v/>
      </c>
      <c r="H367" s="650" t="str">
        <f t="shared" si="41"/>
        <v/>
      </c>
      <c r="J367" s="650"/>
      <c r="K367" s="650"/>
      <c r="L367" s="650"/>
    </row>
    <row r="368" spans="2:12" x14ac:dyDescent="0.2">
      <c r="B368" s="660" t="str">
        <f t="shared" si="36"/>
        <v>-</v>
      </c>
      <c r="C368" s="661" t="str">
        <f t="shared" si="37"/>
        <v/>
      </c>
      <c r="D368" s="650" t="str">
        <f t="shared" si="35"/>
        <v/>
      </c>
      <c r="E368" s="650" t="str">
        <f t="shared" si="38"/>
        <v/>
      </c>
      <c r="F368" s="650" t="str">
        <f t="shared" si="39"/>
        <v/>
      </c>
      <c r="G368" s="650" t="str">
        <f t="shared" si="40"/>
        <v/>
      </c>
      <c r="H368" s="650" t="str">
        <f t="shared" si="41"/>
        <v/>
      </c>
      <c r="J368" s="650"/>
      <c r="K368" s="650"/>
      <c r="L368" s="650"/>
    </row>
    <row r="369" spans="2:12" x14ac:dyDescent="0.2">
      <c r="B369" s="660" t="str">
        <f t="shared" si="36"/>
        <v>-</v>
      </c>
      <c r="C369" s="661" t="str">
        <f t="shared" si="37"/>
        <v/>
      </c>
      <c r="D369" s="650" t="str">
        <f t="shared" si="35"/>
        <v/>
      </c>
      <c r="E369" s="650" t="str">
        <f t="shared" si="38"/>
        <v/>
      </c>
      <c r="F369" s="650" t="str">
        <f t="shared" si="39"/>
        <v/>
      </c>
      <c r="G369" s="650" t="str">
        <f t="shared" si="40"/>
        <v/>
      </c>
      <c r="H369" s="650" t="str">
        <f t="shared" si="41"/>
        <v/>
      </c>
      <c r="J369" s="650"/>
      <c r="K369" s="650"/>
      <c r="L369" s="650"/>
    </row>
    <row r="370" spans="2:12" x14ac:dyDescent="0.2">
      <c r="B370" s="660" t="str">
        <f t="shared" si="36"/>
        <v>-</v>
      </c>
      <c r="C370" s="661" t="str">
        <f t="shared" si="37"/>
        <v/>
      </c>
      <c r="D370" s="650" t="str">
        <f t="shared" si="35"/>
        <v/>
      </c>
      <c r="E370" s="650" t="str">
        <f t="shared" si="38"/>
        <v/>
      </c>
      <c r="F370" s="650" t="str">
        <f t="shared" si="39"/>
        <v/>
      </c>
      <c r="G370" s="650" t="str">
        <f t="shared" si="40"/>
        <v/>
      </c>
      <c r="H370" s="650" t="str">
        <f t="shared" si="41"/>
        <v/>
      </c>
      <c r="J370" s="650"/>
      <c r="K370" s="650"/>
      <c r="L370" s="650"/>
    </row>
    <row r="371" spans="2:12" x14ac:dyDescent="0.2">
      <c r="B371" s="660" t="str">
        <f t="shared" si="36"/>
        <v>-</v>
      </c>
      <c r="C371" s="661" t="str">
        <f t="shared" si="37"/>
        <v/>
      </c>
      <c r="D371" s="650" t="str">
        <f t="shared" si="35"/>
        <v/>
      </c>
      <c r="E371" s="650" t="str">
        <f t="shared" si="38"/>
        <v/>
      </c>
      <c r="F371" s="650" t="str">
        <f t="shared" si="39"/>
        <v/>
      </c>
      <c r="G371" s="650" t="str">
        <f t="shared" si="40"/>
        <v/>
      </c>
      <c r="H371" s="650" t="str">
        <f t="shared" si="41"/>
        <v/>
      </c>
      <c r="J371" s="650"/>
      <c r="K371" s="650"/>
      <c r="L371" s="650"/>
    </row>
    <row r="372" spans="2:12" x14ac:dyDescent="0.2">
      <c r="B372" s="1252" t="s">
        <v>166</v>
      </c>
      <c r="C372" s="1252"/>
      <c r="D372" s="1252"/>
      <c r="E372" s="1252"/>
      <c r="F372" s="1252"/>
      <c r="G372" s="1252"/>
      <c r="H372" s="1252"/>
    </row>
    <row r="373" spans="2:12" x14ac:dyDescent="0.2">
      <c r="B373" s="662" t="s">
        <v>167</v>
      </c>
      <c r="E373" s="650">
        <f>SUM(E12:E371)</f>
        <v>9206712.6899999976</v>
      </c>
      <c r="F373" s="650">
        <f>SUM(F12:F371)</f>
        <v>2145203.1</v>
      </c>
      <c r="G373" s="650">
        <f>SUM(G12:G371)</f>
        <v>0</v>
      </c>
      <c r="H373" s="650">
        <f>SUM(H12:H371)</f>
        <v>2681869.5300000021</v>
      </c>
    </row>
  </sheetData>
  <mergeCells count="26">
    <mergeCell ref="B1:G1"/>
    <mergeCell ref="J1:L1"/>
    <mergeCell ref="B2:D2"/>
    <mergeCell ref="F2:H2"/>
    <mergeCell ref="J2:L2"/>
    <mergeCell ref="P2:R2"/>
    <mergeCell ref="B3:C3"/>
    <mergeCell ref="F3:G3"/>
    <mergeCell ref="J3:K3"/>
    <mergeCell ref="B4:C4"/>
    <mergeCell ref="F4:G4"/>
    <mergeCell ref="J4:K4"/>
    <mergeCell ref="B5:C5"/>
    <mergeCell ref="F5:G5"/>
    <mergeCell ref="J5:K5"/>
    <mergeCell ref="B6:C6"/>
    <mergeCell ref="F6:G6"/>
    <mergeCell ref="J6:K6"/>
    <mergeCell ref="B9:H9"/>
    <mergeCell ref="B372:H372"/>
    <mergeCell ref="B7:C7"/>
    <mergeCell ref="F7:G7"/>
    <mergeCell ref="J7:K7"/>
    <mergeCell ref="B8:C8"/>
    <mergeCell ref="F8:G8"/>
    <mergeCell ref="J8:K8"/>
  </mergeCells>
  <conditionalFormatting sqref="L8">
    <cfRule type="cellIs" dxfId="2" priority="1" stopIfTrue="1" operator="equal">
      <formula>"KO"</formula>
    </cfRule>
  </conditionalFormatting>
  <hyperlinks>
    <hyperlink ref="J1" r:id="rId1" display="www.cbanque.com"/>
    <hyperlink ref="J1:L1" r:id="rId2" tooltip="Mode d'emploi JxPret sur cbanque.com - site d'information sur les crédits et les placements" display="Lien mode d'emploi"/>
  </hyperlinks>
  <pageMargins left="0.78740157499999996" right="0.78740157499999996" top="0.984251969" bottom="0.984251969" header="0.4921259845" footer="0.4921259845"/>
  <pageSetup paperSize="9" orientation="portrait" horizontalDpi="0" verticalDpi="0"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FF0000"/>
  </sheetPr>
  <dimension ref="A1:T373"/>
  <sheetViews>
    <sheetView showGridLines="0" workbookViewId="0">
      <pane ySplit="10" topLeftCell="A11" activePane="bottomLeft" state="frozen"/>
      <selection activeCell="J137" sqref="J137"/>
      <selection pane="bottomLeft" activeCell="D4" sqref="D4"/>
    </sheetView>
  </sheetViews>
  <sheetFormatPr baseColWidth="10" defaultRowHeight="12.75" x14ac:dyDescent="0.2"/>
  <cols>
    <col min="1" max="1" width="3.7109375" style="624" customWidth="1"/>
    <col min="2" max="2" width="11.42578125" style="660"/>
    <col min="3" max="3" width="11.42578125" style="624"/>
    <col min="4" max="4" width="16.5703125" style="624" customWidth="1"/>
    <col min="5" max="5" width="11.7109375" style="624" bestFit="1" customWidth="1"/>
    <col min="6" max="6" width="12.140625" style="624" bestFit="1" customWidth="1"/>
    <col min="7" max="7" width="11.42578125" style="624"/>
    <col min="8" max="8" width="14.140625" style="624" customWidth="1"/>
    <col min="9" max="9" width="3.7109375" style="624" customWidth="1"/>
    <col min="10" max="10" width="11.7109375" style="624" bestFit="1" customWidth="1"/>
    <col min="11" max="12" width="11.42578125" style="624"/>
    <col min="13" max="13" width="3.7109375" style="624" customWidth="1"/>
    <col min="14" max="14" width="21.28515625" style="624" hidden="1" customWidth="1"/>
    <col min="15" max="15" width="11.42578125" style="624" hidden="1" customWidth="1"/>
    <col min="16" max="16" width="6.140625" style="624" hidden="1" customWidth="1"/>
    <col min="17" max="17" width="11.42578125" style="624" hidden="1" customWidth="1"/>
    <col min="18" max="18" width="17.42578125" style="624" hidden="1" customWidth="1"/>
    <col min="19" max="16384" width="11.42578125" style="624"/>
  </cols>
  <sheetData>
    <row r="1" spans="1:18" x14ac:dyDescent="0.2">
      <c r="A1" s="621"/>
      <c r="B1" s="1264" t="s">
        <v>125</v>
      </c>
      <c r="C1" s="1264"/>
      <c r="D1" s="1264"/>
      <c r="E1" s="1264"/>
      <c r="F1" s="1264"/>
      <c r="G1" s="1264"/>
      <c r="H1" s="622" t="s">
        <v>126</v>
      </c>
      <c r="I1" s="623"/>
      <c r="J1" s="1265" t="s">
        <v>127</v>
      </c>
      <c r="K1" s="1265"/>
      <c r="L1" s="1265"/>
      <c r="M1" s="621"/>
    </row>
    <row r="2" spans="1:18" x14ac:dyDescent="0.2">
      <c r="B2" s="1263" t="s">
        <v>128</v>
      </c>
      <c r="C2" s="1263"/>
      <c r="D2" s="1263"/>
      <c r="E2" s="636">
        <v>2020</v>
      </c>
      <c r="F2" s="1263" t="s">
        <v>129</v>
      </c>
      <c r="G2" s="1263"/>
      <c r="H2" s="1263"/>
      <c r="J2" s="1263" t="s">
        <v>130</v>
      </c>
      <c r="K2" s="1263"/>
      <c r="L2" s="1263"/>
      <c r="P2" s="1263" t="s">
        <v>156</v>
      </c>
      <c r="Q2" s="1263"/>
      <c r="R2" s="1263"/>
    </row>
    <row r="3" spans="1:18" x14ac:dyDescent="0.2">
      <c r="B3" s="1259" t="s">
        <v>131</v>
      </c>
      <c r="C3" s="1259"/>
      <c r="D3" s="625">
        <f>Flux!H42</f>
        <v>2269192.7927520806</v>
      </c>
      <c r="F3" s="1260" t="str">
        <f>"Montant "&amp;R5&amp;" :"</f>
        <v>Montant mensualité :</v>
      </c>
      <c r="G3" s="1261"/>
      <c r="H3" s="626">
        <f>IF(L7=0,ROUND(D3/L5,R6),ROUND(D3*L7/(1-(1+L7)^-L5),R6))</f>
        <v>27659.82</v>
      </c>
      <c r="J3" s="1256" t="s">
        <v>132</v>
      </c>
      <c r="K3" s="1256"/>
      <c r="L3" s="627">
        <f>ROUND(D5*P5,0)</f>
        <v>120</v>
      </c>
      <c r="N3" s="654"/>
      <c r="O3" s="655"/>
      <c r="P3" s="656" t="s">
        <v>157</v>
      </c>
      <c r="Q3" s="656" t="s">
        <v>158</v>
      </c>
      <c r="R3" s="656" t="s">
        <v>1073</v>
      </c>
    </row>
    <row r="4" spans="1:18" x14ac:dyDescent="0.2">
      <c r="B4" s="1259" t="s">
        <v>133</v>
      </c>
      <c r="C4" s="1259"/>
      <c r="D4" s="628">
        <v>0.04</v>
      </c>
      <c r="F4" s="1257" t="s">
        <v>134</v>
      </c>
      <c r="G4" s="1258"/>
      <c r="H4" s="629">
        <f>ROUND(D3*D7/P5,R6)</f>
        <v>0</v>
      </c>
      <c r="J4" s="1262" t="s">
        <v>135</v>
      </c>
      <c r="K4" s="1262"/>
      <c r="L4" s="627">
        <v>24</v>
      </c>
      <c r="N4" s="627" t="s">
        <v>159</v>
      </c>
      <c r="O4" s="627"/>
      <c r="P4" s="657" t="s">
        <v>160</v>
      </c>
      <c r="Q4" s="627" t="s">
        <v>161</v>
      </c>
      <c r="R4" s="658" t="str">
        <f>IF(LEFT(P4,1)="A","Calcul actuariel","Calcul proportionnel")</f>
        <v>Calcul proportionnel</v>
      </c>
    </row>
    <row r="5" spans="1:18" x14ac:dyDescent="0.2">
      <c r="B5" s="1259" t="s">
        <v>136</v>
      </c>
      <c r="C5" s="1259"/>
      <c r="D5" s="630">
        <v>10</v>
      </c>
      <c r="F5" s="1260" t="s">
        <v>137</v>
      </c>
      <c r="G5" s="1261"/>
      <c r="H5" s="626">
        <f>H6+H7</f>
        <v>9299768.2199999988</v>
      </c>
      <c r="J5" s="1262" t="s">
        <v>138</v>
      </c>
      <c r="K5" s="1262"/>
      <c r="L5" s="627">
        <f>L3-L4</f>
        <v>96</v>
      </c>
      <c r="N5" s="627" t="s">
        <v>162</v>
      </c>
      <c r="O5" s="627"/>
      <c r="P5" s="657">
        <v>12</v>
      </c>
      <c r="Q5" s="627" t="s">
        <v>163</v>
      </c>
      <c r="R5" s="658" t="str">
        <f>IF(P5=12,"mensualité",IF(P5=1,"annuité",IF(P5=4,"trimestrialité",IF(P5=2,"semestrialité","ERREUR"))))</f>
        <v>mensualité</v>
      </c>
    </row>
    <row r="6" spans="1:18" x14ac:dyDescent="0.2">
      <c r="B6" s="1253" t="s">
        <v>139</v>
      </c>
      <c r="C6" s="1253"/>
      <c r="D6" s="631"/>
      <c r="F6" s="1254" t="s">
        <v>140</v>
      </c>
      <c r="G6" s="1255"/>
      <c r="H6" s="629">
        <f>E373</f>
        <v>9299768.2199999988</v>
      </c>
      <c r="J6" s="1256" t="s">
        <v>141</v>
      </c>
      <c r="K6" s="1256"/>
      <c r="L6" s="627">
        <f>L3*12/P5</f>
        <v>120</v>
      </c>
      <c r="N6" s="627" t="s">
        <v>164</v>
      </c>
      <c r="O6" s="627"/>
      <c r="P6" s="657">
        <v>2</v>
      </c>
      <c r="Q6" s="627" t="s">
        <v>165</v>
      </c>
      <c r="R6" s="658">
        <f>IF(ISNUMBER(P6),P6,2)</f>
        <v>2</v>
      </c>
    </row>
    <row r="7" spans="1:18" x14ac:dyDescent="0.2">
      <c r="B7" s="1253" t="s">
        <v>142</v>
      </c>
      <c r="C7" s="1253"/>
      <c r="D7" s="632"/>
      <c r="F7" s="1254" t="s">
        <v>143</v>
      </c>
      <c r="G7" s="1255"/>
      <c r="H7" s="629">
        <f>G373</f>
        <v>0</v>
      </c>
      <c r="J7" s="1256" t="s">
        <v>144</v>
      </c>
      <c r="K7" s="1256"/>
      <c r="L7" s="633">
        <f>IF(D4=0,0,IF(LEFT(P4,1)="A",((D4+1)^(1/P5))-1,D4/P5))</f>
        <v>3.3333333333333335E-3</v>
      </c>
      <c r="N7" s="659"/>
    </row>
    <row r="8" spans="1:18" x14ac:dyDescent="0.2">
      <c r="B8" s="1253" t="s">
        <v>145</v>
      </c>
      <c r="C8" s="1253"/>
      <c r="D8" s="634">
        <f ca="1">NOW()</f>
        <v>42185.546445370368</v>
      </c>
      <c r="F8" s="1257" t="s">
        <v>146</v>
      </c>
      <c r="G8" s="1258"/>
      <c r="H8" s="629">
        <f>F373</f>
        <v>2269192.7899999996</v>
      </c>
      <c r="J8" s="1256" t="s">
        <v>147</v>
      </c>
      <c r="K8" s="1256"/>
      <c r="L8" s="635" t="str">
        <f>IF(ABS(H8-D11)&gt;0.01,"KO","Ok")</f>
        <v>Ok</v>
      </c>
    </row>
    <row r="9" spans="1:18" x14ac:dyDescent="0.2">
      <c r="B9" s="1251" t="s">
        <v>148</v>
      </c>
      <c r="C9" s="1251"/>
      <c r="D9" s="1251"/>
      <c r="E9" s="1251"/>
      <c r="F9" s="1251"/>
      <c r="G9" s="1251"/>
      <c r="H9" s="1251"/>
    </row>
    <row r="10" spans="1:18" x14ac:dyDescent="0.2">
      <c r="B10" s="636" t="s">
        <v>149</v>
      </c>
      <c r="C10" s="637" t="s">
        <v>150</v>
      </c>
      <c r="D10" s="637" t="s">
        <v>151</v>
      </c>
      <c r="E10" s="638" t="s">
        <v>152</v>
      </c>
      <c r="F10" s="638" t="s">
        <v>153</v>
      </c>
      <c r="G10" s="638" t="s">
        <v>154</v>
      </c>
      <c r="H10" s="638" t="s">
        <v>155</v>
      </c>
      <c r="J10" s="638"/>
      <c r="K10" s="638"/>
      <c r="L10" s="638"/>
    </row>
    <row r="11" spans="1:18" s="639" customFormat="1" x14ac:dyDescent="0.2">
      <c r="B11" s="640">
        <v>0</v>
      </c>
      <c r="C11" s="641">
        <f ca="1">D8</f>
        <v>42185.546445370368</v>
      </c>
      <c r="D11" s="642">
        <f>ROUND(D3,R6)</f>
        <v>2269192.79</v>
      </c>
      <c r="E11" s="642"/>
      <c r="F11" s="642"/>
      <c r="G11" s="642"/>
      <c r="H11" s="642"/>
    </row>
    <row r="12" spans="1:18" s="639" customFormat="1" x14ac:dyDescent="0.2">
      <c r="B12" s="640">
        <f t="shared" ref="B12:B75" si="0">IF(B11&lt;$L$3,B11+1,"-")</f>
        <v>1</v>
      </c>
      <c r="C12" s="641">
        <f t="shared" ref="C12:C75" ca="1" si="1">IF(ISNUMBER(B12),MIN(DATE(YEAR($C$11),MONTH($C$11)+B12*12/$P$5,DAY($C$11)),DATE(YEAR($C$11),MONTH($C$11)+1+B12*12/$P$5,1)-1),"")</f>
        <v>42215</v>
      </c>
      <c r="D12" s="642">
        <f t="shared" ref="D12:D75" si="2">IF(ISNUMBER(B12),D11-F11,"")</f>
        <v>2269192.79</v>
      </c>
      <c r="E12" s="642">
        <f t="shared" ref="E12:E75" si="3">IF(ISNUMBER(B12),ROUND(D12*$L$7,$R$6),"")</f>
        <v>7563.98</v>
      </c>
      <c r="F12" s="642">
        <f t="shared" ref="F12:F75" si="4">IF(ISNUMBER(B12),IF(B12=$L$3,D12,IF(B12&gt;$L$4,$H$3-E12,0)),"")</f>
        <v>0</v>
      </c>
      <c r="G12" s="642">
        <f t="shared" ref="G12:G75" si="5">IF(ISNUMBER(B12),$H$4,"")</f>
        <v>0</v>
      </c>
      <c r="H12" s="642">
        <f t="shared" ref="H12:H75" si="6">IF(ISNUMBER(B12),E12+F12+G12,"")</f>
        <v>7563.98</v>
      </c>
      <c r="J12" s="663"/>
      <c r="K12" s="643"/>
      <c r="L12" s="643"/>
      <c r="M12" s="644"/>
    </row>
    <row r="13" spans="1:18" s="639" customFormat="1" x14ac:dyDescent="0.2">
      <c r="B13" s="640">
        <f t="shared" si="0"/>
        <v>2</v>
      </c>
      <c r="C13" s="641">
        <f t="shared" ca="1" si="1"/>
        <v>42246</v>
      </c>
      <c r="D13" s="642">
        <f t="shared" si="2"/>
        <v>2269192.79</v>
      </c>
      <c r="E13" s="642">
        <f t="shared" si="3"/>
        <v>7563.98</v>
      </c>
      <c r="F13" s="642">
        <f t="shared" si="4"/>
        <v>0</v>
      </c>
      <c r="G13" s="642">
        <f t="shared" si="5"/>
        <v>0</v>
      </c>
      <c r="H13" s="642">
        <f t="shared" si="6"/>
        <v>7563.98</v>
      </c>
      <c r="J13" s="643"/>
      <c r="K13" s="643"/>
      <c r="L13" s="643"/>
      <c r="M13" s="644"/>
    </row>
    <row r="14" spans="1:18" s="639" customFormat="1" x14ac:dyDescent="0.2">
      <c r="B14" s="640">
        <f t="shared" si="0"/>
        <v>3</v>
      </c>
      <c r="C14" s="641">
        <f t="shared" ca="1" si="1"/>
        <v>42277</v>
      </c>
      <c r="D14" s="642">
        <f t="shared" si="2"/>
        <v>2269192.79</v>
      </c>
      <c r="E14" s="642">
        <f t="shared" si="3"/>
        <v>7563.98</v>
      </c>
      <c r="F14" s="642">
        <f t="shared" si="4"/>
        <v>0</v>
      </c>
      <c r="G14" s="642">
        <f t="shared" si="5"/>
        <v>0</v>
      </c>
      <c r="H14" s="642">
        <f t="shared" si="6"/>
        <v>7563.98</v>
      </c>
      <c r="J14" s="643"/>
      <c r="K14" s="643"/>
      <c r="L14" s="643"/>
      <c r="M14" s="644"/>
    </row>
    <row r="15" spans="1:18" s="639" customFormat="1" x14ac:dyDescent="0.2">
      <c r="B15" s="640">
        <f t="shared" si="0"/>
        <v>4</v>
      </c>
      <c r="C15" s="641">
        <f t="shared" ca="1" si="1"/>
        <v>42307</v>
      </c>
      <c r="D15" s="642">
        <f t="shared" si="2"/>
        <v>2269192.79</v>
      </c>
      <c r="E15" s="642">
        <f t="shared" si="3"/>
        <v>7563.98</v>
      </c>
      <c r="F15" s="642">
        <f t="shared" si="4"/>
        <v>0</v>
      </c>
      <c r="G15" s="642">
        <f t="shared" si="5"/>
        <v>0</v>
      </c>
      <c r="H15" s="642">
        <f t="shared" si="6"/>
        <v>7563.98</v>
      </c>
      <c r="J15" s="643"/>
      <c r="K15" s="643"/>
      <c r="L15" s="643"/>
      <c r="M15" s="644"/>
    </row>
    <row r="16" spans="1:18" s="639" customFormat="1" x14ac:dyDescent="0.2">
      <c r="B16" s="640">
        <f t="shared" si="0"/>
        <v>5</v>
      </c>
      <c r="C16" s="641">
        <f t="shared" ca="1" si="1"/>
        <v>42338</v>
      </c>
      <c r="D16" s="642">
        <f t="shared" si="2"/>
        <v>2269192.79</v>
      </c>
      <c r="E16" s="642">
        <f t="shared" si="3"/>
        <v>7563.98</v>
      </c>
      <c r="F16" s="642">
        <f t="shared" si="4"/>
        <v>0</v>
      </c>
      <c r="G16" s="642">
        <f t="shared" si="5"/>
        <v>0</v>
      </c>
      <c r="H16" s="642">
        <f t="shared" si="6"/>
        <v>7563.98</v>
      </c>
      <c r="J16" s="644"/>
      <c r="K16" s="644"/>
      <c r="L16" s="644"/>
      <c r="M16" s="644"/>
    </row>
    <row r="17" spans="2:13" s="639" customFormat="1" x14ac:dyDescent="0.2">
      <c r="B17" s="640">
        <f t="shared" si="0"/>
        <v>6</v>
      </c>
      <c r="C17" s="641">
        <f t="shared" ca="1" si="1"/>
        <v>42368</v>
      </c>
      <c r="D17" s="642">
        <f t="shared" si="2"/>
        <v>2269192.79</v>
      </c>
      <c r="E17" s="642">
        <f t="shared" si="3"/>
        <v>7563.98</v>
      </c>
      <c r="F17" s="642">
        <f t="shared" si="4"/>
        <v>0</v>
      </c>
      <c r="G17" s="642">
        <f t="shared" si="5"/>
        <v>0</v>
      </c>
      <c r="H17" s="642">
        <f t="shared" si="6"/>
        <v>7563.98</v>
      </c>
      <c r="J17" s="645"/>
      <c r="K17" s="644"/>
      <c r="L17" s="644"/>
      <c r="M17" s="644"/>
    </row>
    <row r="18" spans="2:13" s="639" customFormat="1" x14ac:dyDescent="0.2">
      <c r="B18" s="640">
        <f t="shared" si="0"/>
        <v>7</v>
      </c>
      <c r="C18" s="641">
        <f t="shared" ca="1" si="1"/>
        <v>42399</v>
      </c>
      <c r="D18" s="642">
        <f t="shared" si="2"/>
        <v>2269192.79</v>
      </c>
      <c r="E18" s="642">
        <f t="shared" si="3"/>
        <v>7563.98</v>
      </c>
      <c r="F18" s="642">
        <f t="shared" si="4"/>
        <v>0</v>
      </c>
      <c r="G18" s="642">
        <f t="shared" si="5"/>
        <v>0</v>
      </c>
      <c r="H18" s="642">
        <f t="shared" si="6"/>
        <v>7563.98</v>
      </c>
      <c r="J18" s="644"/>
      <c r="K18" s="644"/>
      <c r="L18" s="644"/>
      <c r="M18" s="644"/>
    </row>
    <row r="19" spans="2:13" s="639" customFormat="1" x14ac:dyDescent="0.2">
      <c r="B19" s="640">
        <f t="shared" si="0"/>
        <v>8</v>
      </c>
      <c r="C19" s="641">
        <f t="shared" ca="1" si="1"/>
        <v>42429</v>
      </c>
      <c r="D19" s="642">
        <f t="shared" si="2"/>
        <v>2269192.79</v>
      </c>
      <c r="E19" s="642">
        <f t="shared" si="3"/>
        <v>7563.98</v>
      </c>
      <c r="F19" s="642">
        <f t="shared" si="4"/>
        <v>0</v>
      </c>
      <c r="G19" s="642">
        <f t="shared" si="5"/>
        <v>0</v>
      </c>
      <c r="H19" s="642">
        <f t="shared" si="6"/>
        <v>7563.98</v>
      </c>
      <c r="J19" s="644"/>
      <c r="K19" s="644"/>
      <c r="L19" s="644"/>
      <c r="M19" s="644"/>
    </row>
    <row r="20" spans="2:13" s="639" customFormat="1" x14ac:dyDescent="0.2">
      <c r="B20" s="640">
        <f t="shared" si="0"/>
        <v>9</v>
      </c>
      <c r="C20" s="641">
        <f t="shared" ca="1" si="1"/>
        <v>42459</v>
      </c>
      <c r="D20" s="642">
        <f t="shared" si="2"/>
        <v>2269192.79</v>
      </c>
      <c r="E20" s="642">
        <f t="shared" si="3"/>
        <v>7563.98</v>
      </c>
      <c r="F20" s="642">
        <f t="shared" si="4"/>
        <v>0</v>
      </c>
      <c r="G20" s="642">
        <f t="shared" si="5"/>
        <v>0</v>
      </c>
      <c r="H20" s="642">
        <f t="shared" si="6"/>
        <v>7563.98</v>
      </c>
      <c r="J20" s="642"/>
      <c r="K20" s="642"/>
      <c r="L20" s="642"/>
    </row>
    <row r="21" spans="2:13" s="639" customFormat="1" x14ac:dyDescent="0.2">
      <c r="B21" s="640">
        <f t="shared" si="0"/>
        <v>10</v>
      </c>
      <c r="C21" s="641">
        <f t="shared" ca="1" si="1"/>
        <v>42490</v>
      </c>
      <c r="D21" s="642">
        <f t="shared" si="2"/>
        <v>2269192.79</v>
      </c>
      <c r="E21" s="642">
        <f t="shared" si="3"/>
        <v>7563.98</v>
      </c>
      <c r="F21" s="642">
        <f t="shared" si="4"/>
        <v>0</v>
      </c>
      <c r="G21" s="642">
        <f t="shared" si="5"/>
        <v>0</v>
      </c>
      <c r="H21" s="642">
        <f t="shared" si="6"/>
        <v>7563.98</v>
      </c>
      <c r="J21" s="642"/>
      <c r="K21" s="642"/>
      <c r="L21" s="642"/>
    </row>
    <row r="22" spans="2:13" s="639" customFormat="1" x14ac:dyDescent="0.2">
      <c r="B22" s="640">
        <f t="shared" si="0"/>
        <v>11</v>
      </c>
      <c r="C22" s="641">
        <f t="shared" ca="1" si="1"/>
        <v>42520</v>
      </c>
      <c r="D22" s="642">
        <f t="shared" si="2"/>
        <v>2269192.79</v>
      </c>
      <c r="E22" s="642">
        <f t="shared" si="3"/>
        <v>7563.98</v>
      </c>
      <c r="F22" s="642">
        <f t="shared" si="4"/>
        <v>0</v>
      </c>
      <c r="G22" s="642">
        <f t="shared" si="5"/>
        <v>0</v>
      </c>
      <c r="H22" s="642">
        <f t="shared" si="6"/>
        <v>7563.98</v>
      </c>
      <c r="J22" s="642"/>
      <c r="K22" s="642"/>
      <c r="L22" s="642"/>
    </row>
    <row r="23" spans="2:13" s="639" customFormat="1" x14ac:dyDescent="0.2">
      <c r="B23" s="640">
        <f t="shared" si="0"/>
        <v>12</v>
      </c>
      <c r="C23" s="641">
        <f t="shared" ca="1" si="1"/>
        <v>42551</v>
      </c>
      <c r="D23" s="642">
        <f t="shared" si="2"/>
        <v>2269192.79</v>
      </c>
      <c r="E23" s="642">
        <f t="shared" si="3"/>
        <v>7563.98</v>
      </c>
      <c r="F23" s="642">
        <f t="shared" si="4"/>
        <v>0</v>
      </c>
      <c r="G23" s="642">
        <f t="shared" si="5"/>
        <v>0</v>
      </c>
      <c r="H23" s="642">
        <f t="shared" si="6"/>
        <v>7563.98</v>
      </c>
      <c r="J23" s="642">
        <f>D11-D23</f>
        <v>0</v>
      </c>
      <c r="K23" s="642"/>
      <c r="L23" s="642"/>
    </row>
    <row r="24" spans="2:13" s="646" customFormat="1" x14ac:dyDescent="0.2">
      <c r="B24" s="647">
        <f t="shared" si="0"/>
        <v>13</v>
      </c>
      <c r="C24" s="648">
        <f t="shared" ca="1" si="1"/>
        <v>42581</v>
      </c>
      <c r="D24" s="649">
        <f t="shared" si="2"/>
        <v>2269192.79</v>
      </c>
      <c r="E24" s="649">
        <f t="shared" si="3"/>
        <v>7563.98</v>
      </c>
      <c r="F24" s="649">
        <f t="shared" si="4"/>
        <v>0</v>
      </c>
      <c r="G24" s="649">
        <f t="shared" si="5"/>
        <v>0</v>
      </c>
      <c r="H24" s="649">
        <f t="shared" si="6"/>
        <v>7563.98</v>
      </c>
      <c r="J24" s="649"/>
      <c r="K24" s="649"/>
      <c r="L24" s="649"/>
    </row>
    <row r="25" spans="2:13" s="646" customFormat="1" x14ac:dyDescent="0.2">
      <c r="B25" s="647">
        <f t="shared" si="0"/>
        <v>14</v>
      </c>
      <c r="C25" s="648">
        <f t="shared" ca="1" si="1"/>
        <v>42612</v>
      </c>
      <c r="D25" s="649">
        <f t="shared" si="2"/>
        <v>2269192.79</v>
      </c>
      <c r="E25" s="649">
        <f t="shared" si="3"/>
        <v>7563.98</v>
      </c>
      <c r="F25" s="649">
        <f t="shared" si="4"/>
        <v>0</v>
      </c>
      <c r="G25" s="649">
        <f t="shared" si="5"/>
        <v>0</v>
      </c>
      <c r="H25" s="649">
        <f t="shared" si="6"/>
        <v>7563.98</v>
      </c>
      <c r="J25" s="649"/>
      <c r="K25" s="649"/>
      <c r="L25" s="649"/>
    </row>
    <row r="26" spans="2:13" s="646" customFormat="1" x14ac:dyDescent="0.2">
      <c r="B26" s="647">
        <f t="shared" si="0"/>
        <v>15</v>
      </c>
      <c r="C26" s="648">
        <f t="shared" ca="1" si="1"/>
        <v>42643</v>
      </c>
      <c r="D26" s="649">
        <f t="shared" si="2"/>
        <v>2269192.79</v>
      </c>
      <c r="E26" s="649">
        <f t="shared" si="3"/>
        <v>7563.98</v>
      </c>
      <c r="F26" s="649">
        <f t="shared" si="4"/>
        <v>0</v>
      </c>
      <c r="G26" s="649">
        <f t="shared" si="5"/>
        <v>0</v>
      </c>
      <c r="H26" s="649">
        <f t="shared" si="6"/>
        <v>7563.98</v>
      </c>
      <c r="J26" s="649"/>
      <c r="K26" s="649"/>
      <c r="L26" s="649"/>
    </row>
    <row r="27" spans="2:13" s="646" customFormat="1" x14ac:dyDescent="0.2">
      <c r="B27" s="647">
        <f t="shared" si="0"/>
        <v>16</v>
      </c>
      <c r="C27" s="648">
        <f t="shared" ca="1" si="1"/>
        <v>42673</v>
      </c>
      <c r="D27" s="649">
        <f t="shared" si="2"/>
        <v>2269192.79</v>
      </c>
      <c r="E27" s="649">
        <f t="shared" si="3"/>
        <v>7563.98</v>
      </c>
      <c r="F27" s="649">
        <f t="shared" si="4"/>
        <v>0</v>
      </c>
      <c r="G27" s="649">
        <f t="shared" si="5"/>
        <v>0</v>
      </c>
      <c r="H27" s="649">
        <f t="shared" si="6"/>
        <v>7563.98</v>
      </c>
      <c r="J27" s="649"/>
      <c r="K27" s="649"/>
      <c r="L27" s="649"/>
    </row>
    <row r="28" spans="2:13" s="646" customFormat="1" x14ac:dyDescent="0.2">
      <c r="B28" s="647">
        <f t="shared" si="0"/>
        <v>17</v>
      </c>
      <c r="C28" s="648">
        <f t="shared" ca="1" si="1"/>
        <v>42704</v>
      </c>
      <c r="D28" s="649">
        <f t="shared" si="2"/>
        <v>2269192.79</v>
      </c>
      <c r="E28" s="649">
        <f t="shared" si="3"/>
        <v>7563.98</v>
      </c>
      <c r="F28" s="649">
        <f t="shared" si="4"/>
        <v>0</v>
      </c>
      <c r="G28" s="649">
        <f t="shared" si="5"/>
        <v>0</v>
      </c>
      <c r="H28" s="649">
        <f t="shared" si="6"/>
        <v>7563.98</v>
      </c>
      <c r="J28" s="649"/>
      <c r="K28" s="649"/>
      <c r="L28" s="649"/>
    </row>
    <row r="29" spans="2:13" s="646" customFormat="1" x14ac:dyDescent="0.2">
      <c r="B29" s="647">
        <f t="shared" si="0"/>
        <v>18</v>
      </c>
      <c r="C29" s="648">
        <f t="shared" ca="1" si="1"/>
        <v>42734</v>
      </c>
      <c r="D29" s="649">
        <f t="shared" si="2"/>
        <v>2269192.79</v>
      </c>
      <c r="E29" s="649">
        <f t="shared" si="3"/>
        <v>7563.98</v>
      </c>
      <c r="F29" s="649">
        <f t="shared" si="4"/>
        <v>0</v>
      </c>
      <c r="G29" s="649">
        <f t="shared" si="5"/>
        <v>0</v>
      </c>
      <c r="H29" s="649">
        <f t="shared" si="6"/>
        <v>7563.98</v>
      </c>
      <c r="J29" s="649"/>
      <c r="K29" s="649"/>
      <c r="L29" s="649"/>
    </row>
    <row r="30" spans="2:13" s="646" customFormat="1" x14ac:dyDescent="0.2">
      <c r="B30" s="647">
        <f t="shared" si="0"/>
        <v>19</v>
      </c>
      <c r="C30" s="648">
        <f t="shared" ca="1" si="1"/>
        <v>42765</v>
      </c>
      <c r="D30" s="649">
        <f t="shared" si="2"/>
        <v>2269192.79</v>
      </c>
      <c r="E30" s="649">
        <f t="shared" si="3"/>
        <v>7563.98</v>
      </c>
      <c r="F30" s="649">
        <f t="shared" si="4"/>
        <v>0</v>
      </c>
      <c r="G30" s="649">
        <f t="shared" si="5"/>
        <v>0</v>
      </c>
      <c r="H30" s="649">
        <f t="shared" si="6"/>
        <v>7563.98</v>
      </c>
      <c r="J30" s="649"/>
      <c r="K30" s="649"/>
      <c r="L30" s="649"/>
    </row>
    <row r="31" spans="2:13" s="646" customFormat="1" x14ac:dyDescent="0.2">
      <c r="B31" s="647">
        <f t="shared" si="0"/>
        <v>20</v>
      </c>
      <c r="C31" s="648">
        <f t="shared" ca="1" si="1"/>
        <v>42794</v>
      </c>
      <c r="D31" s="649">
        <f t="shared" si="2"/>
        <v>2269192.79</v>
      </c>
      <c r="E31" s="649">
        <f t="shared" si="3"/>
        <v>7563.98</v>
      </c>
      <c r="F31" s="649">
        <f t="shared" si="4"/>
        <v>0</v>
      </c>
      <c r="G31" s="649">
        <f t="shared" si="5"/>
        <v>0</v>
      </c>
      <c r="H31" s="649">
        <f t="shared" si="6"/>
        <v>7563.98</v>
      </c>
      <c r="J31" s="649"/>
      <c r="K31" s="649"/>
      <c r="L31" s="649"/>
    </row>
    <row r="32" spans="2:13" s="646" customFormat="1" x14ac:dyDescent="0.2">
      <c r="B32" s="647">
        <f t="shared" si="0"/>
        <v>21</v>
      </c>
      <c r="C32" s="648">
        <f t="shared" ca="1" si="1"/>
        <v>42824</v>
      </c>
      <c r="D32" s="649">
        <f t="shared" si="2"/>
        <v>2269192.79</v>
      </c>
      <c r="E32" s="649">
        <f t="shared" si="3"/>
        <v>7563.98</v>
      </c>
      <c r="F32" s="649">
        <f t="shared" si="4"/>
        <v>0</v>
      </c>
      <c r="G32" s="649">
        <f t="shared" si="5"/>
        <v>0</v>
      </c>
      <c r="H32" s="649">
        <f t="shared" si="6"/>
        <v>7563.98</v>
      </c>
      <c r="J32" s="649"/>
      <c r="K32" s="649"/>
      <c r="L32" s="649"/>
    </row>
    <row r="33" spans="1:20" s="646" customFormat="1" x14ac:dyDescent="0.2">
      <c r="B33" s="647">
        <f t="shared" si="0"/>
        <v>22</v>
      </c>
      <c r="C33" s="648">
        <f t="shared" ca="1" si="1"/>
        <v>42855</v>
      </c>
      <c r="D33" s="649">
        <f t="shared" si="2"/>
        <v>2269192.79</v>
      </c>
      <c r="E33" s="649">
        <f t="shared" si="3"/>
        <v>7563.98</v>
      </c>
      <c r="F33" s="649">
        <f t="shared" si="4"/>
        <v>0</v>
      </c>
      <c r="G33" s="649">
        <f t="shared" si="5"/>
        <v>0</v>
      </c>
      <c r="H33" s="649">
        <f t="shared" si="6"/>
        <v>7563.98</v>
      </c>
      <c r="J33" s="649"/>
      <c r="K33" s="649"/>
      <c r="L33" s="649"/>
    </row>
    <row r="34" spans="1:20" s="646" customFormat="1" x14ac:dyDescent="0.2">
      <c r="B34" s="647">
        <f t="shared" si="0"/>
        <v>23</v>
      </c>
      <c r="C34" s="648">
        <f t="shared" ca="1" si="1"/>
        <v>42885</v>
      </c>
      <c r="D34" s="649">
        <f t="shared" si="2"/>
        <v>2269192.79</v>
      </c>
      <c r="E34" s="649">
        <f t="shared" si="3"/>
        <v>7563.98</v>
      </c>
      <c r="F34" s="649">
        <f t="shared" si="4"/>
        <v>0</v>
      </c>
      <c r="G34" s="649">
        <f t="shared" si="5"/>
        <v>0</v>
      </c>
      <c r="H34" s="649">
        <f t="shared" si="6"/>
        <v>7563.98</v>
      </c>
      <c r="J34" s="649"/>
      <c r="K34" s="649"/>
      <c r="L34" s="649"/>
    </row>
    <row r="35" spans="1:20" s="646" customFormat="1" x14ac:dyDescent="0.2">
      <c r="B35" s="647">
        <f t="shared" si="0"/>
        <v>24</v>
      </c>
      <c r="C35" s="648">
        <f t="shared" ca="1" si="1"/>
        <v>42916</v>
      </c>
      <c r="D35" s="649">
        <f t="shared" si="2"/>
        <v>2269192.79</v>
      </c>
      <c r="E35" s="649">
        <f t="shared" si="3"/>
        <v>7563.98</v>
      </c>
      <c r="F35" s="649">
        <f t="shared" si="4"/>
        <v>0</v>
      </c>
      <c r="G35" s="649">
        <f t="shared" si="5"/>
        <v>0</v>
      </c>
      <c r="H35" s="649">
        <f t="shared" si="6"/>
        <v>7563.98</v>
      </c>
      <c r="J35" s="642">
        <f>D23-D35</f>
        <v>0</v>
      </c>
      <c r="K35" s="649"/>
      <c r="L35" s="649"/>
    </row>
    <row r="36" spans="1:20" x14ac:dyDescent="0.2">
      <c r="A36" s="639"/>
      <c r="B36" s="640">
        <f t="shared" si="0"/>
        <v>25</v>
      </c>
      <c r="C36" s="641">
        <f t="shared" ca="1" si="1"/>
        <v>42946</v>
      </c>
      <c r="D36" s="642">
        <f t="shared" si="2"/>
        <v>2269192.79</v>
      </c>
      <c r="E36" s="642">
        <f t="shared" si="3"/>
        <v>7563.98</v>
      </c>
      <c r="F36" s="642">
        <f t="shared" si="4"/>
        <v>20095.84</v>
      </c>
      <c r="G36" s="642">
        <f t="shared" si="5"/>
        <v>0</v>
      </c>
      <c r="H36" s="642">
        <f t="shared" si="6"/>
        <v>27659.82</v>
      </c>
      <c r="J36" s="650"/>
      <c r="K36" s="650"/>
      <c r="L36" s="650"/>
    </row>
    <row r="37" spans="1:20" x14ac:dyDescent="0.2">
      <c r="A37" s="639"/>
      <c r="B37" s="640">
        <f t="shared" si="0"/>
        <v>26</v>
      </c>
      <c r="C37" s="641">
        <f t="shared" ca="1" si="1"/>
        <v>42977</v>
      </c>
      <c r="D37" s="642">
        <f t="shared" si="2"/>
        <v>2249096.9500000002</v>
      </c>
      <c r="E37" s="642">
        <f t="shared" si="3"/>
        <v>7496.99</v>
      </c>
      <c r="F37" s="642">
        <f t="shared" si="4"/>
        <v>20162.830000000002</v>
      </c>
      <c r="G37" s="642">
        <f t="shared" si="5"/>
        <v>0</v>
      </c>
      <c r="H37" s="642">
        <f t="shared" si="6"/>
        <v>27659.82</v>
      </c>
      <c r="J37" s="650"/>
      <c r="K37" s="650"/>
      <c r="L37" s="650"/>
    </row>
    <row r="38" spans="1:20" x14ac:dyDescent="0.2">
      <c r="A38" s="639"/>
      <c r="B38" s="640">
        <f t="shared" si="0"/>
        <v>27</v>
      </c>
      <c r="C38" s="641">
        <f t="shared" ca="1" si="1"/>
        <v>43008</v>
      </c>
      <c r="D38" s="642">
        <f t="shared" si="2"/>
        <v>2228934.12</v>
      </c>
      <c r="E38" s="642">
        <f t="shared" si="3"/>
        <v>7429.78</v>
      </c>
      <c r="F38" s="642">
        <f t="shared" si="4"/>
        <v>20230.04</v>
      </c>
      <c r="G38" s="642">
        <f t="shared" si="5"/>
        <v>0</v>
      </c>
      <c r="H38" s="642">
        <f t="shared" si="6"/>
        <v>27659.82</v>
      </c>
      <c r="J38" s="650"/>
      <c r="K38" s="650"/>
      <c r="L38" s="650"/>
    </row>
    <row r="39" spans="1:20" x14ac:dyDescent="0.2">
      <c r="A39" s="639"/>
      <c r="B39" s="640">
        <f t="shared" si="0"/>
        <v>28</v>
      </c>
      <c r="C39" s="641">
        <f t="shared" ca="1" si="1"/>
        <v>43038</v>
      </c>
      <c r="D39" s="642">
        <f t="shared" si="2"/>
        <v>2208704.08</v>
      </c>
      <c r="E39" s="642">
        <f t="shared" si="3"/>
        <v>7362.35</v>
      </c>
      <c r="F39" s="642">
        <f t="shared" si="4"/>
        <v>20297.47</v>
      </c>
      <c r="G39" s="642">
        <f t="shared" si="5"/>
        <v>0</v>
      </c>
      <c r="H39" s="642">
        <f t="shared" si="6"/>
        <v>27659.82</v>
      </c>
      <c r="J39" s="650"/>
      <c r="K39" s="650"/>
      <c r="L39" s="650"/>
    </row>
    <row r="40" spans="1:20" x14ac:dyDescent="0.2">
      <c r="A40" s="639"/>
      <c r="B40" s="640">
        <f t="shared" si="0"/>
        <v>29</v>
      </c>
      <c r="C40" s="641">
        <f t="shared" ca="1" si="1"/>
        <v>43069</v>
      </c>
      <c r="D40" s="642">
        <f t="shared" si="2"/>
        <v>2188406.61</v>
      </c>
      <c r="E40" s="642">
        <f t="shared" si="3"/>
        <v>7294.69</v>
      </c>
      <c r="F40" s="642">
        <f t="shared" si="4"/>
        <v>20365.13</v>
      </c>
      <c r="G40" s="642">
        <f t="shared" si="5"/>
        <v>0</v>
      </c>
      <c r="H40" s="642">
        <f t="shared" si="6"/>
        <v>27659.82</v>
      </c>
      <c r="J40" s="650"/>
      <c r="K40" s="650"/>
      <c r="L40" s="650"/>
    </row>
    <row r="41" spans="1:20" x14ac:dyDescent="0.2">
      <c r="A41" s="639"/>
      <c r="B41" s="640">
        <f t="shared" si="0"/>
        <v>30</v>
      </c>
      <c r="C41" s="641">
        <f t="shared" ca="1" si="1"/>
        <v>43099</v>
      </c>
      <c r="D41" s="642">
        <f t="shared" si="2"/>
        <v>2168041.48</v>
      </c>
      <c r="E41" s="642">
        <f t="shared" si="3"/>
        <v>7226.8</v>
      </c>
      <c r="F41" s="642">
        <f t="shared" si="4"/>
        <v>20433.02</v>
      </c>
      <c r="G41" s="642">
        <f t="shared" si="5"/>
        <v>0</v>
      </c>
      <c r="H41" s="642">
        <f t="shared" si="6"/>
        <v>27659.82</v>
      </c>
      <c r="J41" s="650"/>
      <c r="K41" s="650"/>
      <c r="L41" s="650"/>
      <c r="T41" s="624">
        <v>2186050.1135172234</v>
      </c>
    </row>
    <row r="42" spans="1:20" x14ac:dyDescent="0.2">
      <c r="A42" s="639"/>
      <c r="B42" s="640">
        <f t="shared" si="0"/>
        <v>31</v>
      </c>
      <c r="C42" s="641">
        <f t="shared" ca="1" si="1"/>
        <v>43130</v>
      </c>
      <c r="D42" s="642">
        <f t="shared" si="2"/>
        <v>2147608.46</v>
      </c>
      <c r="E42" s="642">
        <f t="shared" si="3"/>
        <v>7158.69</v>
      </c>
      <c r="F42" s="642">
        <f t="shared" si="4"/>
        <v>20501.13</v>
      </c>
      <c r="G42" s="642">
        <f t="shared" si="5"/>
        <v>0</v>
      </c>
      <c r="H42" s="642">
        <f t="shared" si="6"/>
        <v>27659.82</v>
      </c>
      <c r="J42" s="650"/>
      <c r="K42" s="650"/>
      <c r="L42" s="650"/>
      <c r="T42" s="624">
        <v>2186050.1135172234</v>
      </c>
    </row>
    <row r="43" spans="1:20" x14ac:dyDescent="0.2">
      <c r="A43" s="639"/>
      <c r="B43" s="640">
        <f t="shared" si="0"/>
        <v>32</v>
      </c>
      <c r="C43" s="641">
        <f t="shared" ca="1" si="1"/>
        <v>43159</v>
      </c>
      <c r="D43" s="642">
        <f t="shared" si="2"/>
        <v>2127107.33</v>
      </c>
      <c r="E43" s="642">
        <f t="shared" si="3"/>
        <v>7090.36</v>
      </c>
      <c r="F43" s="642">
        <f t="shared" si="4"/>
        <v>20569.46</v>
      </c>
      <c r="G43" s="642">
        <f t="shared" si="5"/>
        <v>0</v>
      </c>
      <c r="H43" s="642">
        <f t="shared" si="6"/>
        <v>27659.82</v>
      </c>
      <c r="J43" s="650"/>
      <c r="K43" s="650"/>
      <c r="L43" s="650"/>
    </row>
    <row r="44" spans="1:20" x14ac:dyDescent="0.2">
      <c r="A44" s="639"/>
      <c r="B44" s="640">
        <f t="shared" si="0"/>
        <v>33</v>
      </c>
      <c r="C44" s="641">
        <f t="shared" ca="1" si="1"/>
        <v>43189</v>
      </c>
      <c r="D44" s="642">
        <f t="shared" si="2"/>
        <v>2106537.87</v>
      </c>
      <c r="E44" s="642">
        <f t="shared" si="3"/>
        <v>7021.79</v>
      </c>
      <c r="F44" s="642">
        <f t="shared" si="4"/>
        <v>20638.03</v>
      </c>
      <c r="G44" s="642">
        <f t="shared" si="5"/>
        <v>0</v>
      </c>
      <c r="H44" s="642">
        <f t="shared" si="6"/>
        <v>27659.82</v>
      </c>
      <c r="J44" s="650"/>
      <c r="K44" s="650"/>
      <c r="L44" s="650"/>
    </row>
    <row r="45" spans="1:20" x14ac:dyDescent="0.2">
      <c r="A45" s="639"/>
      <c r="B45" s="640">
        <f t="shared" si="0"/>
        <v>34</v>
      </c>
      <c r="C45" s="641">
        <f t="shared" ca="1" si="1"/>
        <v>43220</v>
      </c>
      <c r="D45" s="642">
        <f t="shared" si="2"/>
        <v>2085899.84</v>
      </c>
      <c r="E45" s="642">
        <f t="shared" si="3"/>
        <v>6953</v>
      </c>
      <c r="F45" s="642">
        <f t="shared" si="4"/>
        <v>20706.82</v>
      </c>
      <c r="G45" s="642">
        <f t="shared" si="5"/>
        <v>0</v>
      </c>
      <c r="H45" s="642">
        <f t="shared" si="6"/>
        <v>27659.82</v>
      </c>
      <c r="J45" s="650"/>
      <c r="K45" s="650"/>
      <c r="L45" s="650"/>
    </row>
    <row r="46" spans="1:20" x14ac:dyDescent="0.2">
      <c r="A46" s="639"/>
      <c r="B46" s="640">
        <f t="shared" si="0"/>
        <v>35</v>
      </c>
      <c r="C46" s="641">
        <f t="shared" ca="1" si="1"/>
        <v>43250</v>
      </c>
      <c r="D46" s="642">
        <f t="shared" si="2"/>
        <v>2065193.02</v>
      </c>
      <c r="E46" s="642">
        <f t="shared" si="3"/>
        <v>6883.98</v>
      </c>
      <c r="F46" s="642">
        <f t="shared" si="4"/>
        <v>20775.84</v>
      </c>
      <c r="G46" s="642">
        <f t="shared" si="5"/>
        <v>0</v>
      </c>
      <c r="H46" s="642">
        <f t="shared" si="6"/>
        <v>27659.82</v>
      </c>
      <c r="J46" s="650"/>
      <c r="K46" s="650"/>
      <c r="L46" s="650"/>
    </row>
    <row r="47" spans="1:20" x14ac:dyDescent="0.2">
      <c r="A47" s="639"/>
      <c r="B47" s="640">
        <f t="shared" si="0"/>
        <v>36</v>
      </c>
      <c r="C47" s="641">
        <f t="shared" ca="1" si="1"/>
        <v>43281</v>
      </c>
      <c r="D47" s="642">
        <f t="shared" si="2"/>
        <v>2044417.18</v>
      </c>
      <c r="E47" s="642">
        <f t="shared" si="3"/>
        <v>6814.72</v>
      </c>
      <c r="F47" s="642">
        <f t="shared" si="4"/>
        <v>20845.099999999999</v>
      </c>
      <c r="G47" s="642">
        <f t="shared" si="5"/>
        <v>0</v>
      </c>
      <c r="H47" s="642">
        <f t="shared" si="6"/>
        <v>27659.82</v>
      </c>
      <c r="J47" s="642">
        <f>D35-D47</f>
        <v>224775.6100000001</v>
      </c>
      <c r="K47" s="650"/>
      <c r="L47" s="650"/>
    </row>
    <row r="48" spans="1:20" x14ac:dyDescent="0.2">
      <c r="B48" s="647">
        <f t="shared" si="0"/>
        <v>37</v>
      </c>
      <c r="C48" s="648">
        <f t="shared" ca="1" si="1"/>
        <v>43311</v>
      </c>
      <c r="D48" s="649">
        <f t="shared" si="2"/>
        <v>2023572.0799999998</v>
      </c>
      <c r="E48" s="649">
        <f t="shared" si="3"/>
        <v>6745.24</v>
      </c>
      <c r="F48" s="649">
        <f t="shared" si="4"/>
        <v>20914.580000000002</v>
      </c>
      <c r="G48" s="649">
        <f t="shared" si="5"/>
        <v>0</v>
      </c>
      <c r="H48" s="649">
        <f t="shared" si="6"/>
        <v>27659.82</v>
      </c>
      <c r="J48" s="650"/>
      <c r="K48" s="650"/>
      <c r="L48" s="650"/>
    </row>
    <row r="49" spans="2:12" x14ac:dyDescent="0.2">
      <c r="B49" s="647">
        <f t="shared" si="0"/>
        <v>38</v>
      </c>
      <c r="C49" s="648">
        <f t="shared" ca="1" si="1"/>
        <v>43342</v>
      </c>
      <c r="D49" s="649">
        <f t="shared" si="2"/>
        <v>2002657.4999999998</v>
      </c>
      <c r="E49" s="649">
        <f t="shared" si="3"/>
        <v>6675.53</v>
      </c>
      <c r="F49" s="649">
        <f t="shared" si="4"/>
        <v>20984.29</v>
      </c>
      <c r="G49" s="649">
        <f t="shared" si="5"/>
        <v>0</v>
      </c>
      <c r="H49" s="649">
        <f t="shared" si="6"/>
        <v>27659.82</v>
      </c>
      <c r="J49" s="650"/>
      <c r="K49" s="650"/>
      <c r="L49" s="650"/>
    </row>
    <row r="50" spans="2:12" x14ac:dyDescent="0.2">
      <c r="B50" s="647">
        <f t="shared" si="0"/>
        <v>39</v>
      </c>
      <c r="C50" s="648">
        <f t="shared" ca="1" si="1"/>
        <v>43373</v>
      </c>
      <c r="D50" s="649">
        <f t="shared" si="2"/>
        <v>1981673.2099999997</v>
      </c>
      <c r="E50" s="649">
        <f t="shared" si="3"/>
        <v>6605.58</v>
      </c>
      <c r="F50" s="649">
        <f t="shared" si="4"/>
        <v>21054.239999999998</v>
      </c>
      <c r="G50" s="649">
        <f t="shared" si="5"/>
        <v>0</v>
      </c>
      <c r="H50" s="649">
        <f t="shared" si="6"/>
        <v>27659.82</v>
      </c>
      <c r="J50" s="650"/>
      <c r="K50" s="650"/>
      <c r="L50" s="650"/>
    </row>
    <row r="51" spans="2:12" x14ac:dyDescent="0.2">
      <c r="B51" s="647">
        <f t="shared" si="0"/>
        <v>40</v>
      </c>
      <c r="C51" s="648">
        <f t="shared" ca="1" si="1"/>
        <v>43403</v>
      </c>
      <c r="D51" s="649">
        <f t="shared" si="2"/>
        <v>1960618.9699999997</v>
      </c>
      <c r="E51" s="649">
        <f t="shared" si="3"/>
        <v>6535.4</v>
      </c>
      <c r="F51" s="649">
        <f t="shared" si="4"/>
        <v>21124.42</v>
      </c>
      <c r="G51" s="649">
        <f t="shared" si="5"/>
        <v>0</v>
      </c>
      <c r="H51" s="649">
        <f t="shared" si="6"/>
        <v>27659.82</v>
      </c>
      <c r="J51" s="650"/>
      <c r="K51" s="650"/>
      <c r="L51" s="650"/>
    </row>
    <row r="52" spans="2:12" x14ac:dyDescent="0.2">
      <c r="B52" s="647">
        <f t="shared" si="0"/>
        <v>41</v>
      </c>
      <c r="C52" s="648">
        <f t="shared" ca="1" si="1"/>
        <v>43434</v>
      </c>
      <c r="D52" s="649">
        <f t="shared" si="2"/>
        <v>1939494.5499999998</v>
      </c>
      <c r="E52" s="649">
        <f t="shared" si="3"/>
        <v>6464.98</v>
      </c>
      <c r="F52" s="649">
        <f t="shared" si="4"/>
        <v>21194.84</v>
      </c>
      <c r="G52" s="649">
        <f t="shared" si="5"/>
        <v>0</v>
      </c>
      <c r="H52" s="649">
        <f t="shared" si="6"/>
        <v>27659.82</v>
      </c>
      <c r="J52" s="650"/>
      <c r="K52" s="650"/>
      <c r="L52" s="650"/>
    </row>
    <row r="53" spans="2:12" x14ac:dyDescent="0.2">
      <c r="B53" s="647">
        <f t="shared" si="0"/>
        <v>42</v>
      </c>
      <c r="C53" s="648">
        <f t="shared" ca="1" si="1"/>
        <v>43464</v>
      </c>
      <c r="D53" s="649">
        <f t="shared" si="2"/>
        <v>1918299.7099999997</v>
      </c>
      <c r="E53" s="649">
        <f t="shared" si="3"/>
        <v>6394.33</v>
      </c>
      <c r="F53" s="649">
        <f t="shared" si="4"/>
        <v>21265.489999999998</v>
      </c>
      <c r="G53" s="649">
        <f t="shared" si="5"/>
        <v>0</v>
      </c>
      <c r="H53" s="649">
        <f t="shared" si="6"/>
        <v>27659.82</v>
      </c>
      <c r="J53" s="650"/>
      <c r="K53" s="650"/>
      <c r="L53" s="650"/>
    </row>
    <row r="54" spans="2:12" x14ac:dyDescent="0.2">
      <c r="B54" s="647">
        <f t="shared" si="0"/>
        <v>43</v>
      </c>
      <c r="C54" s="648">
        <f t="shared" ca="1" si="1"/>
        <v>43495</v>
      </c>
      <c r="D54" s="649">
        <f t="shared" si="2"/>
        <v>1897034.2199999997</v>
      </c>
      <c r="E54" s="649">
        <f t="shared" si="3"/>
        <v>6323.45</v>
      </c>
      <c r="F54" s="649">
        <f t="shared" si="4"/>
        <v>21336.37</v>
      </c>
      <c r="G54" s="649">
        <f t="shared" si="5"/>
        <v>0</v>
      </c>
      <c r="H54" s="649">
        <f t="shared" si="6"/>
        <v>27659.82</v>
      </c>
      <c r="J54" s="650"/>
      <c r="K54" s="650"/>
      <c r="L54" s="650"/>
    </row>
    <row r="55" spans="2:12" x14ac:dyDescent="0.2">
      <c r="B55" s="647">
        <f t="shared" si="0"/>
        <v>44</v>
      </c>
      <c r="C55" s="648">
        <f t="shared" ca="1" si="1"/>
        <v>43524</v>
      </c>
      <c r="D55" s="649">
        <f t="shared" si="2"/>
        <v>1875697.8499999996</v>
      </c>
      <c r="E55" s="649">
        <f t="shared" si="3"/>
        <v>6252.33</v>
      </c>
      <c r="F55" s="649">
        <f t="shared" si="4"/>
        <v>21407.489999999998</v>
      </c>
      <c r="G55" s="649">
        <f t="shared" si="5"/>
        <v>0</v>
      </c>
      <c r="H55" s="649">
        <f t="shared" si="6"/>
        <v>27659.82</v>
      </c>
      <c r="J55" s="650"/>
      <c r="K55" s="650"/>
      <c r="L55" s="650"/>
    </row>
    <row r="56" spans="2:12" x14ac:dyDescent="0.2">
      <c r="B56" s="647">
        <f t="shared" si="0"/>
        <v>45</v>
      </c>
      <c r="C56" s="648">
        <f t="shared" ca="1" si="1"/>
        <v>43554</v>
      </c>
      <c r="D56" s="649">
        <f t="shared" si="2"/>
        <v>1854290.3599999996</v>
      </c>
      <c r="E56" s="649">
        <f t="shared" si="3"/>
        <v>6180.97</v>
      </c>
      <c r="F56" s="649">
        <f t="shared" si="4"/>
        <v>21478.85</v>
      </c>
      <c r="G56" s="649">
        <f t="shared" si="5"/>
        <v>0</v>
      </c>
      <c r="H56" s="649">
        <f t="shared" si="6"/>
        <v>27659.82</v>
      </c>
      <c r="J56" s="650"/>
      <c r="K56" s="650"/>
      <c r="L56" s="650"/>
    </row>
    <row r="57" spans="2:12" x14ac:dyDescent="0.2">
      <c r="B57" s="647">
        <f t="shared" si="0"/>
        <v>46</v>
      </c>
      <c r="C57" s="648">
        <f t="shared" ca="1" si="1"/>
        <v>43585</v>
      </c>
      <c r="D57" s="649">
        <f t="shared" si="2"/>
        <v>1832811.5099999995</v>
      </c>
      <c r="E57" s="649">
        <f t="shared" si="3"/>
        <v>6109.37</v>
      </c>
      <c r="F57" s="649">
        <f t="shared" si="4"/>
        <v>21550.45</v>
      </c>
      <c r="G57" s="649">
        <f t="shared" si="5"/>
        <v>0</v>
      </c>
      <c r="H57" s="649">
        <f t="shared" si="6"/>
        <v>27659.82</v>
      </c>
      <c r="J57" s="650"/>
      <c r="K57" s="650"/>
      <c r="L57" s="650"/>
    </row>
    <row r="58" spans="2:12" x14ac:dyDescent="0.2">
      <c r="B58" s="647">
        <f t="shared" si="0"/>
        <v>47</v>
      </c>
      <c r="C58" s="648">
        <f t="shared" ca="1" si="1"/>
        <v>43615</v>
      </c>
      <c r="D58" s="649">
        <f t="shared" si="2"/>
        <v>1811261.0599999996</v>
      </c>
      <c r="E58" s="649">
        <f t="shared" si="3"/>
        <v>6037.54</v>
      </c>
      <c r="F58" s="649">
        <f t="shared" si="4"/>
        <v>21622.28</v>
      </c>
      <c r="G58" s="649">
        <f t="shared" si="5"/>
        <v>0</v>
      </c>
      <c r="H58" s="649">
        <f t="shared" si="6"/>
        <v>27659.82</v>
      </c>
      <c r="J58" s="650"/>
      <c r="K58" s="650"/>
      <c r="L58" s="650"/>
    </row>
    <row r="59" spans="2:12" x14ac:dyDescent="0.2">
      <c r="B59" s="647">
        <f t="shared" si="0"/>
        <v>48</v>
      </c>
      <c r="C59" s="648">
        <f t="shared" ca="1" si="1"/>
        <v>43646</v>
      </c>
      <c r="D59" s="649">
        <f t="shared" si="2"/>
        <v>1789638.7799999996</v>
      </c>
      <c r="E59" s="649">
        <f t="shared" si="3"/>
        <v>5965.46</v>
      </c>
      <c r="F59" s="649">
        <f t="shared" si="4"/>
        <v>21694.36</v>
      </c>
      <c r="G59" s="649">
        <f t="shared" si="5"/>
        <v>0</v>
      </c>
      <c r="H59" s="649">
        <f t="shared" si="6"/>
        <v>27659.82</v>
      </c>
      <c r="J59" s="642">
        <f>D47-D59</f>
        <v>254778.40000000037</v>
      </c>
      <c r="K59" s="650"/>
      <c r="L59" s="650"/>
    </row>
    <row r="60" spans="2:12" x14ac:dyDescent="0.2">
      <c r="B60" s="640">
        <f t="shared" si="0"/>
        <v>49</v>
      </c>
      <c r="C60" s="641">
        <f t="shared" ca="1" si="1"/>
        <v>43676</v>
      </c>
      <c r="D60" s="642">
        <f t="shared" si="2"/>
        <v>1767944.4199999995</v>
      </c>
      <c r="E60" s="642">
        <f t="shared" si="3"/>
        <v>5893.15</v>
      </c>
      <c r="F60" s="642">
        <f t="shared" si="4"/>
        <v>21766.67</v>
      </c>
      <c r="G60" s="642">
        <f t="shared" si="5"/>
        <v>0</v>
      </c>
      <c r="H60" s="642">
        <f t="shared" si="6"/>
        <v>27659.82</v>
      </c>
      <c r="J60" s="650"/>
      <c r="K60" s="650"/>
      <c r="L60" s="650"/>
    </row>
    <row r="61" spans="2:12" x14ac:dyDescent="0.2">
      <c r="B61" s="640">
        <f t="shared" si="0"/>
        <v>50</v>
      </c>
      <c r="C61" s="641">
        <f t="shared" ca="1" si="1"/>
        <v>43707</v>
      </c>
      <c r="D61" s="642">
        <f t="shared" si="2"/>
        <v>1746177.7499999995</v>
      </c>
      <c r="E61" s="642">
        <f t="shared" si="3"/>
        <v>5820.59</v>
      </c>
      <c r="F61" s="642">
        <f t="shared" si="4"/>
        <v>21839.23</v>
      </c>
      <c r="G61" s="642">
        <f t="shared" si="5"/>
        <v>0</v>
      </c>
      <c r="H61" s="642">
        <f t="shared" si="6"/>
        <v>27659.82</v>
      </c>
      <c r="J61" s="650"/>
      <c r="K61" s="650"/>
      <c r="L61" s="650"/>
    </row>
    <row r="62" spans="2:12" x14ac:dyDescent="0.2">
      <c r="B62" s="640">
        <f t="shared" si="0"/>
        <v>51</v>
      </c>
      <c r="C62" s="641">
        <f t="shared" ca="1" si="1"/>
        <v>43738</v>
      </c>
      <c r="D62" s="642">
        <f t="shared" si="2"/>
        <v>1724338.5199999996</v>
      </c>
      <c r="E62" s="642">
        <f t="shared" si="3"/>
        <v>5747.8</v>
      </c>
      <c r="F62" s="642">
        <f t="shared" si="4"/>
        <v>21912.02</v>
      </c>
      <c r="G62" s="642">
        <f t="shared" si="5"/>
        <v>0</v>
      </c>
      <c r="H62" s="642">
        <f t="shared" si="6"/>
        <v>27659.82</v>
      </c>
      <c r="J62" s="650"/>
      <c r="K62" s="650"/>
      <c r="L62" s="650"/>
    </row>
    <row r="63" spans="2:12" x14ac:dyDescent="0.2">
      <c r="B63" s="640">
        <f t="shared" si="0"/>
        <v>52</v>
      </c>
      <c r="C63" s="641">
        <f t="shared" ca="1" si="1"/>
        <v>43768</v>
      </c>
      <c r="D63" s="642">
        <f t="shared" si="2"/>
        <v>1702426.4999999995</v>
      </c>
      <c r="E63" s="642">
        <f t="shared" si="3"/>
        <v>5674.76</v>
      </c>
      <c r="F63" s="642">
        <f t="shared" si="4"/>
        <v>21985.059999999998</v>
      </c>
      <c r="G63" s="642">
        <f t="shared" si="5"/>
        <v>0</v>
      </c>
      <c r="H63" s="642">
        <f t="shared" si="6"/>
        <v>27659.82</v>
      </c>
      <c r="J63" s="650"/>
      <c r="K63" s="650"/>
      <c r="L63" s="650"/>
    </row>
    <row r="64" spans="2:12" x14ac:dyDescent="0.2">
      <c r="B64" s="640">
        <f t="shared" si="0"/>
        <v>53</v>
      </c>
      <c r="C64" s="641">
        <f t="shared" ca="1" si="1"/>
        <v>43799</v>
      </c>
      <c r="D64" s="642">
        <f t="shared" si="2"/>
        <v>1680441.4399999995</v>
      </c>
      <c r="E64" s="642">
        <f t="shared" si="3"/>
        <v>5601.47</v>
      </c>
      <c r="F64" s="642">
        <f t="shared" si="4"/>
        <v>22058.35</v>
      </c>
      <c r="G64" s="642">
        <f t="shared" si="5"/>
        <v>0</v>
      </c>
      <c r="H64" s="642">
        <f t="shared" si="6"/>
        <v>27659.82</v>
      </c>
      <c r="J64" s="650"/>
      <c r="K64" s="650"/>
      <c r="L64" s="650"/>
    </row>
    <row r="65" spans="2:12" x14ac:dyDescent="0.2">
      <c r="B65" s="640">
        <f t="shared" si="0"/>
        <v>54</v>
      </c>
      <c r="C65" s="641">
        <f t="shared" ca="1" si="1"/>
        <v>43829</v>
      </c>
      <c r="D65" s="642">
        <f t="shared" si="2"/>
        <v>1658383.0899999994</v>
      </c>
      <c r="E65" s="642">
        <f t="shared" si="3"/>
        <v>5527.94</v>
      </c>
      <c r="F65" s="642">
        <f t="shared" si="4"/>
        <v>22131.88</v>
      </c>
      <c r="G65" s="642">
        <f t="shared" si="5"/>
        <v>0</v>
      </c>
      <c r="H65" s="642">
        <f t="shared" si="6"/>
        <v>27659.82</v>
      </c>
      <c r="J65" s="650"/>
      <c r="K65" s="650"/>
      <c r="L65" s="650"/>
    </row>
    <row r="66" spans="2:12" x14ac:dyDescent="0.2">
      <c r="B66" s="640">
        <f t="shared" si="0"/>
        <v>55</v>
      </c>
      <c r="C66" s="641">
        <f t="shared" ca="1" si="1"/>
        <v>43860</v>
      </c>
      <c r="D66" s="642">
        <f t="shared" si="2"/>
        <v>1636251.2099999995</v>
      </c>
      <c r="E66" s="642">
        <f t="shared" si="3"/>
        <v>5454.17</v>
      </c>
      <c r="F66" s="642">
        <f t="shared" si="4"/>
        <v>22205.65</v>
      </c>
      <c r="G66" s="642">
        <f t="shared" si="5"/>
        <v>0</v>
      </c>
      <c r="H66" s="642">
        <f t="shared" si="6"/>
        <v>27659.82</v>
      </c>
      <c r="J66" s="650"/>
      <c r="K66" s="650"/>
      <c r="L66" s="650"/>
    </row>
    <row r="67" spans="2:12" x14ac:dyDescent="0.2">
      <c r="B67" s="640">
        <f t="shared" si="0"/>
        <v>56</v>
      </c>
      <c r="C67" s="641">
        <f t="shared" ca="1" si="1"/>
        <v>43890</v>
      </c>
      <c r="D67" s="642">
        <f t="shared" si="2"/>
        <v>1614045.5599999996</v>
      </c>
      <c r="E67" s="642">
        <f t="shared" si="3"/>
        <v>5380.15</v>
      </c>
      <c r="F67" s="642">
        <f t="shared" si="4"/>
        <v>22279.67</v>
      </c>
      <c r="G67" s="642">
        <f t="shared" si="5"/>
        <v>0</v>
      </c>
      <c r="H67" s="642">
        <f t="shared" si="6"/>
        <v>27659.82</v>
      </c>
      <c r="J67" s="650"/>
      <c r="K67" s="650"/>
      <c r="L67" s="650"/>
    </row>
    <row r="68" spans="2:12" x14ac:dyDescent="0.2">
      <c r="B68" s="640">
        <f t="shared" si="0"/>
        <v>57</v>
      </c>
      <c r="C68" s="641">
        <f t="shared" ca="1" si="1"/>
        <v>43920</v>
      </c>
      <c r="D68" s="642">
        <f t="shared" si="2"/>
        <v>1591765.8899999997</v>
      </c>
      <c r="E68" s="642">
        <f t="shared" si="3"/>
        <v>5305.89</v>
      </c>
      <c r="F68" s="642">
        <f t="shared" si="4"/>
        <v>22353.93</v>
      </c>
      <c r="G68" s="642">
        <f t="shared" si="5"/>
        <v>0</v>
      </c>
      <c r="H68" s="642">
        <f t="shared" si="6"/>
        <v>27659.82</v>
      </c>
      <c r="J68" s="650"/>
      <c r="K68" s="650"/>
      <c r="L68" s="650"/>
    </row>
    <row r="69" spans="2:12" x14ac:dyDescent="0.2">
      <c r="B69" s="640">
        <f t="shared" si="0"/>
        <v>58</v>
      </c>
      <c r="C69" s="641">
        <f t="shared" ca="1" si="1"/>
        <v>43951</v>
      </c>
      <c r="D69" s="642">
        <f t="shared" si="2"/>
        <v>1569411.9599999997</v>
      </c>
      <c r="E69" s="642">
        <f t="shared" si="3"/>
        <v>5231.37</v>
      </c>
      <c r="F69" s="642">
        <f t="shared" si="4"/>
        <v>22428.45</v>
      </c>
      <c r="G69" s="642">
        <f t="shared" si="5"/>
        <v>0</v>
      </c>
      <c r="H69" s="642">
        <f t="shared" si="6"/>
        <v>27659.82</v>
      </c>
      <c r="J69" s="650"/>
      <c r="K69" s="650"/>
      <c r="L69" s="650"/>
    </row>
    <row r="70" spans="2:12" x14ac:dyDescent="0.2">
      <c r="B70" s="640">
        <f t="shared" si="0"/>
        <v>59</v>
      </c>
      <c r="C70" s="641">
        <f t="shared" ca="1" si="1"/>
        <v>43981</v>
      </c>
      <c r="D70" s="642">
        <f t="shared" si="2"/>
        <v>1546983.5099999998</v>
      </c>
      <c r="E70" s="642">
        <f t="shared" si="3"/>
        <v>5156.6099999999997</v>
      </c>
      <c r="F70" s="642">
        <f t="shared" si="4"/>
        <v>22503.21</v>
      </c>
      <c r="G70" s="642">
        <f t="shared" si="5"/>
        <v>0</v>
      </c>
      <c r="H70" s="642">
        <f t="shared" si="6"/>
        <v>27659.82</v>
      </c>
      <c r="J70" s="650"/>
      <c r="K70" s="650"/>
      <c r="L70" s="650"/>
    </row>
    <row r="71" spans="2:12" x14ac:dyDescent="0.2">
      <c r="B71" s="640">
        <f t="shared" si="0"/>
        <v>60</v>
      </c>
      <c r="C71" s="641">
        <f t="shared" ca="1" si="1"/>
        <v>44012</v>
      </c>
      <c r="D71" s="642">
        <f t="shared" si="2"/>
        <v>1524480.2999999998</v>
      </c>
      <c r="E71" s="642">
        <f t="shared" si="3"/>
        <v>5081.6000000000004</v>
      </c>
      <c r="F71" s="642">
        <f t="shared" si="4"/>
        <v>22578.22</v>
      </c>
      <c r="G71" s="642">
        <f t="shared" si="5"/>
        <v>0</v>
      </c>
      <c r="H71" s="642">
        <f t="shared" si="6"/>
        <v>27659.82</v>
      </c>
      <c r="J71" s="642">
        <f>D59-D71</f>
        <v>265158.47999999975</v>
      </c>
      <c r="K71" s="650"/>
      <c r="L71" s="650"/>
    </row>
    <row r="72" spans="2:12" x14ac:dyDescent="0.2">
      <c r="B72" s="647">
        <f t="shared" si="0"/>
        <v>61</v>
      </c>
      <c r="C72" s="648">
        <f t="shared" ca="1" si="1"/>
        <v>44042</v>
      </c>
      <c r="D72" s="649">
        <f t="shared" si="2"/>
        <v>1501902.0799999998</v>
      </c>
      <c r="E72" s="649">
        <f t="shared" si="3"/>
        <v>5006.34</v>
      </c>
      <c r="F72" s="649">
        <f t="shared" si="4"/>
        <v>22653.48</v>
      </c>
      <c r="G72" s="649">
        <f t="shared" si="5"/>
        <v>0</v>
      </c>
      <c r="H72" s="649">
        <f t="shared" si="6"/>
        <v>27659.82</v>
      </c>
      <c r="J72" s="650"/>
      <c r="K72" s="650"/>
      <c r="L72" s="650"/>
    </row>
    <row r="73" spans="2:12" x14ac:dyDescent="0.2">
      <c r="B73" s="647">
        <f t="shared" si="0"/>
        <v>62</v>
      </c>
      <c r="C73" s="648">
        <f t="shared" ca="1" si="1"/>
        <v>44073</v>
      </c>
      <c r="D73" s="649">
        <f t="shared" si="2"/>
        <v>1479248.5999999999</v>
      </c>
      <c r="E73" s="649">
        <f t="shared" si="3"/>
        <v>4930.83</v>
      </c>
      <c r="F73" s="649">
        <f t="shared" si="4"/>
        <v>22728.989999999998</v>
      </c>
      <c r="G73" s="649">
        <f t="shared" si="5"/>
        <v>0</v>
      </c>
      <c r="H73" s="649">
        <f t="shared" si="6"/>
        <v>27659.82</v>
      </c>
      <c r="J73" s="650"/>
      <c r="K73" s="650"/>
      <c r="L73" s="650"/>
    </row>
    <row r="74" spans="2:12" x14ac:dyDescent="0.2">
      <c r="B74" s="647">
        <f t="shared" si="0"/>
        <v>63</v>
      </c>
      <c r="C74" s="648">
        <f t="shared" ca="1" si="1"/>
        <v>44104</v>
      </c>
      <c r="D74" s="649">
        <f t="shared" si="2"/>
        <v>1456519.6099999999</v>
      </c>
      <c r="E74" s="649">
        <f t="shared" si="3"/>
        <v>4855.07</v>
      </c>
      <c r="F74" s="649">
        <f t="shared" si="4"/>
        <v>22804.75</v>
      </c>
      <c r="G74" s="649">
        <f t="shared" si="5"/>
        <v>0</v>
      </c>
      <c r="H74" s="649">
        <f t="shared" si="6"/>
        <v>27659.82</v>
      </c>
      <c r="J74" s="650"/>
      <c r="K74" s="650"/>
      <c r="L74" s="650"/>
    </row>
    <row r="75" spans="2:12" x14ac:dyDescent="0.2">
      <c r="B75" s="647">
        <f t="shared" si="0"/>
        <v>64</v>
      </c>
      <c r="C75" s="648">
        <f t="shared" ca="1" si="1"/>
        <v>44134</v>
      </c>
      <c r="D75" s="649">
        <f t="shared" si="2"/>
        <v>1433714.8599999999</v>
      </c>
      <c r="E75" s="649">
        <f t="shared" si="3"/>
        <v>4779.05</v>
      </c>
      <c r="F75" s="649">
        <f t="shared" si="4"/>
        <v>22880.77</v>
      </c>
      <c r="G75" s="649">
        <f t="shared" si="5"/>
        <v>0</v>
      </c>
      <c r="H75" s="649">
        <f t="shared" si="6"/>
        <v>27659.82</v>
      </c>
      <c r="J75" s="650"/>
      <c r="K75" s="650"/>
      <c r="L75" s="650"/>
    </row>
    <row r="76" spans="2:12" x14ac:dyDescent="0.2">
      <c r="B76" s="647">
        <f t="shared" ref="B76:B139" si="7">IF(B75&lt;$L$3,B75+1,"-")</f>
        <v>65</v>
      </c>
      <c r="C76" s="648">
        <f t="shared" ref="C76:C139" ca="1" si="8">IF(ISNUMBER(B76),MIN(DATE(YEAR($C$11),MONTH($C$11)+B76*12/$P$5,DAY($C$11)),DATE(YEAR($C$11),MONTH($C$11)+1+B76*12/$P$5,1)-1),"")</f>
        <v>44165</v>
      </c>
      <c r="D76" s="649">
        <f t="shared" ref="D76:D131" si="9">IF(ISNUMBER(B76),D75-F75,"")</f>
        <v>1410834.0899999999</v>
      </c>
      <c r="E76" s="649">
        <f t="shared" ref="E76:E139" si="10">IF(ISNUMBER(B76),ROUND(D76*$L$7,$R$6),"")</f>
        <v>4702.78</v>
      </c>
      <c r="F76" s="649">
        <f t="shared" ref="F76:F139" si="11">IF(ISNUMBER(B76),IF(B76=$L$3,D76,IF(B76&gt;$L$4,$H$3-E76,0)),"")</f>
        <v>22957.040000000001</v>
      </c>
      <c r="G76" s="649">
        <f t="shared" ref="G76:G139" si="12">IF(ISNUMBER(B76),$H$4,"")</f>
        <v>0</v>
      </c>
      <c r="H76" s="649">
        <f t="shared" ref="H76:H139" si="13">IF(ISNUMBER(B76),E76+F76+G76,"")</f>
        <v>27659.82</v>
      </c>
      <c r="J76" s="650"/>
      <c r="K76" s="650"/>
      <c r="L76" s="650"/>
    </row>
    <row r="77" spans="2:12" x14ac:dyDescent="0.2">
      <c r="B77" s="647">
        <f t="shared" si="7"/>
        <v>66</v>
      </c>
      <c r="C77" s="648">
        <f t="shared" ca="1" si="8"/>
        <v>44195</v>
      </c>
      <c r="D77" s="649">
        <f t="shared" si="9"/>
        <v>1387877.0499999998</v>
      </c>
      <c r="E77" s="649">
        <f t="shared" si="10"/>
        <v>4626.26</v>
      </c>
      <c r="F77" s="649">
        <f t="shared" si="11"/>
        <v>23033.559999999998</v>
      </c>
      <c r="G77" s="649">
        <f t="shared" si="12"/>
        <v>0</v>
      </c>
      <c r="H77" s="649">
        <f t="shared" si="13"/>
        <v>27659.82</v>
      </c>
      <c r="J77" s="650"/>
      <c r="K77" s="650"/>
      <c r="L77" s="650"/>
    </row>
    <row r="78" spans="2:12" x14ac:dyDescent="0.2">
      <c r="B78" s="647">
        <f t="shared" si="7"/>
        <v>67</v>
      </c>
      <c r="C78" s="648">
        <f t="shared" ca="1" si="8"/>
        <v>44226</v>
      </c>
      <c r="D78" s="649">
        <f t="shared" si="9"/>
        <v>1364843.4899999998</v>
      </c>
      <c r="E78" s="649">
        <f t="shared" si="10"/>
        <v>4549.4799999999996</v>
      </c>
      <c r="F78" s="649">
        <f t="shared" si="11"/>
        <v>23110.34</v>
      </c>
      <c r="G78" s="649">
        <f t="shared" si="12"/>
        <v>0</v>
      </c>
      <c r="H78" s="649">
        <f t="shared" si="13"/>
        <v>27659.82</v>
      </c>
      <c r="J78" s="650"/>
      <c r="K78" s="650"/>
      <c r="L78" s="650"/>
    </row>
    <row r="79" spans="2:12" x14ac:dyDescent="0.2">
      <c r="B79" s="647">
        <f t="shared" si="7"/>
        <v>68</v>
      </c>
      <c r="C79" s="648">
        <f t="shared" ca="1" si="8"/>
        <v>44255</v>
      </c>
      <c r="D79" s="649">
        <f t="shared" si="9"/>
        <v>1341733.1499999997</v>
      </c>
      <c r="E79" s="649">
        <f t="shared" si="10"/>
        <v>4472.4399999999996</v>
      </c>
      <c r="F79" s="649">
        <f t="shared" si="11"/>
        <v>23187.38</v>
      </c>
      <c r="G79" s="649">
        <f t="shared" si="12"/>
        <v>0</v>
      </c>
      <c r="H79" s="649">
        <f t="shared" si="13"/>
        <v>27659.82</v>
      </c>
      <c r="J79" s="650"/>
      <c r="K79" s="650"/>
      <c r="L79" s="650"/>
    </row>
    <row r="80" spans="2:12" x14ac:dyDescent="0.2">
      <c r="B80" s="647">
        <f t="shared" si="7"/>
        <v>69</v>
      </c>
      <c r="C80" s="648">
        <f t="shared" ca="1" si="8"/>
        <v>44285</v>
      </c>
      <c r="D80" s="649">
        <f t="shared" si="9"/>
        <v>1318545.7699999998</v>
      </c>
      <c r="E80" s="649">
        <f t="shared" si="10"/>
        <v>4395.1499999999996</v>
      </c>
      <c r="F80" s="649">
        <f t="shared" si="11"/>
        <v>23264.67</v>
      </c>
      <c r="G80" s="649">
        <f t="shared" si="12"/>
        <v>0</v>
      </c>
      <c r="H80" s="649">
        <f t="shared" si="13"/>
        <v>27659.82</v>
      </c>
      <c r="J80" s="650"/>
      <c r="K80" s="650"/>
      <c r="L80" s="650"/>
    </row>
    <row r="81" spans="2:12" x14ac:dyDescent="0.2">
      <c r="B81" s="647">
        <f t="shared" si="7"/>
        <v>70</v>
      </c>
      <c r="C81" s="648">
        <f t="shared" ca="1" si="8"/>
        <v>44316</v>
      </c>
      <c r="D81" s="649">
        <f t="shared" si="9"/>
        <v>1295281.0999999999</v>
      </c>
      <c r="E81" s="649">
        <f t="shared" si="10"/>
        <v>4317.6000000000004</v>
      </c>
      <c r="F81" s="649">
        <f t="shared" si="11"/>
        <v>23342.22</v>
      </c>
      <c r="G81" s="649">
        <f t="shared" si="12"/>
        <v>0</v>
      </c>
      <c r="H81" s="649">
        <f t="shared" si="13"/>
        <v>27659.82</v>
      </c>
      <c r="J81" s="650"/>
      <c r="K81" s="650"/>
      <c r="L81" s="650"/>
    </row>
    <row r="82" spans="2:12" x14ac:dyDescent="0.2">
      <c r="B82" s="647">
        <f t="shared" si="7"/>
        <v>71</v>
      </c>
      <c r="C82" s="648">
        <f t="shared" ca="1" si="8"/>
        <v>44346</v>
      </c>
      <c r="D82" s="649">
        <f t="shared" si="9"/>
        <v>1271938.8799999999</v>
      </c>
      <c r="E82" s="649">
        <f t="shared" si="10"/>
        <v>4239.8</v>
      </c>
      <c r="F82" s="649">
        <f t="shared" si="11"/>
        <v>23420.02</v>
      </c>
      <c r="G82" s="649">
        <f t="shared" si="12"/>
        <v>0</v>
      </c>
      <c r="H82" s="649">
        <f t="shared" si="13"/>
        <v>27659.82</v>
      </c>
      <c r="J82" s="650"/>
      <c r="K82" s="650"/>
      <c r="L82" s="650"/>
    </row>
    <row r="83" spans="2:12" x14ac:dyDescent="0.2">
      <c r="B83" s="647">
        <f t="shared" si="7"/>
        <v>72</v>
      </c>
      <c r="C83" s="648">
        <f t="shared" ca="1" si="8"/>
        <v>44377</v>
      </c>
      <c r="D83" s="649">
        <f t="shared" si="9"/>
        <v>1248518.8599999999</v>
      </c>
      <c r="E83" s="649">
        <f t="shared" si="10"/>
        <v>4161.7299999999996</v>
      </c>
      <c r="F83" s="649">
        <f t="shared" si="11"/>
        <v>23498.09</v>
      </c>
      <c r="G83" s="649">
        <f t="shared" si="12"/>
        <v>0</v>
      </c>
      <c r="H83" s="649">
        <f t="shared" si="13"/>
        <v>27659.82</v>
      </c>
      <c r="J83" s="642">
        <f>D71-D83</f>
        <v>275961.43999999994</v>
      </c>
      <c r="K83" s="650"/>
      <c r="L83" s="650"/>
    </row>
    <row r="84" spans="2:12" x14ac:dyDescent="0.2">
      <c r="B84" s="651">
        <f t="shared" si="7"/>
        <v>73</v>
      </c>
      <c r="C84" s="652">
        <f t="shared" ca="1" si="8"/>
        <v>44407</v>
      </c>
      <c r="D84" s="653">
        <f t="shared" si="9"/>
        <v>1225020.7699999998</v>
      </c>
      <c r="E84" s="653">
        <f t="shared" si="10"/>
        <v>4083.4</v>
      </c>
      <c r="F84" s="653">
        <f t="shared" si="11"/>
        <v>23576.42</v>
      </c>
      <c r="G84" s="653">
        <f t="shared" si="12"/>
        <v>0</v>
      </c>
      <c r="H84" s="653">
        <f t="shared" si="13"/>
        <v>27659.82</v>
      </c>
      <c r="J84" s="650"/>
      <c r="K84" s="650"/>
      <c r="L84" s="650"/>
    </row>
    <row r="85" spans="2:12" x14ac:dyDescent="0.2">
      <c r="B85" s="651">
        <f t="shared" si="7"/>
        <v>74</v>
      </c>
      <c r="C85" s="652">
        <f t="shared" ca="1" si="8"/>
        <v>44438</v>
      </c>
      <c r="D85" s="653">
        <f t="shared" si="9"/>
        <v>1201444.3499999999</v>
      </c>
      <c r="E85" s="653">
        <f t="shared" si="10"/>
        <v>4004.81</v>
      </c>
      <c r="F85" s="653">
        <f t="shared" si="11"/>
        <v>23655.01</v>
      </c>
      <c r="G85" s="653">
        <f t="shared" si="12"/>
        <v>0</v>
      </c>
      <c r="H85" s="653">
        <f t="shared" si="13"/>
        <v>27659.82</v>
      </c>
      <c r="J85" s="650"/>
      <c r="K85" s="650"/>
      <c r="L85" s="650"/>
    </row>
    <row r="86" spans="2:12" x14ac:dyDescent="0.2">
      <c r="B86" s="651">
        <f t="shared" si="7"/>
        <v>75</v>
      </c>
      <c r="C86" s="652">
        <f t="shared" ca="1" si="8"/>
        <v>44469</v>
      </c>
      <c r="D86" s="653">
        <f t="shared" si="9"/>
        <v>1177789.3399999999</v>
      </c>
      <c r="E86" s="653">
        <f t="shared" si="10"/>
        <v>3925.96</v>
      </c>
      <c r="F86" s="653">
        <f t="shared" si="11"/>
        <v>23733.86</v>
      </c>
      <c r="G86" s="653">
        <f t="shared" si="12"/>
        <v>0</v>
      </c>
      <c r="H86" s="653">
        <f t="shared" si="13"/>
        <v>27659.82</v>
      </c>
      <c r="J86" s="650"/>
      <c r="K86" s="650"/>
      <c r="L86" s="650"/>
    </row>
    <row r="87" spans="2:12" x14ac:dyDescent="0.2">
      <c r="B87" s="651">
        <f t="shared" si="7"/>
        <v>76</v>
      </c>
      <c r="C87" s="652">
        <f t="shared" ca="1" si="8"/>
        <v>44499</v>
      </c>
      <c r="D87" s="653">
        <f t="shared" si="9"/>
        <v>1154055.4799999997</v>
      </c>
      <c r="E87" s="653">
        <f t="shared" si="10"/>
        <v>3846.85</v>
      </c>
      <c r="F87" s="653">
        <f t="shared" si="11"/>
        <v>23812.97</v>
      </c>
      <c r="G87" s="653">
        <f t="shared" si="12"/>
        <v>0</v>
      </c>
      <c r="H87" s="653">
        <f t="shared" si="13"/>
        <v>27659.82</v>
      </c>
      <c r="J87" s="650"/>
      <c r="K87" s="650"/>
      <c r="L87" s="650"/>
    </row>
    <row r="88" spans="2:12" x14ac:dyDescent="0.2">
      <c r="B88" s="651">
        <f t="shared" si="7"/>
        <v>77</v>
      </c>
      <c r="C88" s="652">
        <f t="shared" ca="1" si="8"/>
        <v>44530</v>
      </c>
      <c r="D88" s="653">
        <f t="shared" si="9"/>
        <v>1130242.5099999998</v>
      </c>
      <c r="E88" s="653">
        <f t="shared" si="10"/>
        <v>3767.48</v>
      </c>
      <c r="F88" s="653">
        <f t="shared" si="11"/>
        <v>23892.34</v>
      </c>
      <c r="G88" s="653">
        <f t="shared" si="12"/>
        <v>0</v>
      </c>
      <c r="H88" s="653">
        <f t="shared" si="13"/>
        <v>27659.82</v>
      </c>
      <c r="J88" s="650"/>
      <c r="K88" s="650"/>
      <c r="L88" s="650"/>
    </row>
    <row r="89" spans="2:12" x14ac:dyDescent="0.2">
      <c r="B89" s="651">
        <f t="shared" si="7"/>
        <v>78</v>
      </c>
      <c r="C89" s="652">
        <f t="shared" ca="1" si="8"/>
        <v>44560</v>
      </c>
      <c r="D89" s="653">
        <f t="shared" si="9"/>
        <v>1106350.1699999997</v>
      </c>
      <c r="E89" s="653">
        <f t="shared" si="10"/>
        <v>3687.83</v>
      </c>
      <c r="F89" s="653">
        <f t="shared" si="11"/>
        <v>23971.989999999998</v>
      </c>
      <c r="G89" s="653">
        <f t="shared" si="12"/>
        <v>0</v>
      </c>
      <c r="H89" s="653">
        <f t="shared" si="13"/>
        <v>27659.82</v>
      </c>
      <c r="J89" s="650"/>
      <c r="K89" s="650"/>
      <c r="L89" s="650"/>
    </row>
    <row r="90" spans="2:12" x14ac:dyDescent="0.2">
      <c r="B90" s="651">
        <f t="shared" si="7"/>
        <v>79</v>
      </c>
      <c r="C90" s="652">
        <f t="shared" ca="1" si="8"/>
        <v>44591</v>
      </c>
      <c r="D90" s="653">
        <f t="shared" si="9"/>
        <v>1082378.1799999997</v>
      </c>
      <c r="E90" s="653">
        <f t="shared" si="10"/>
        <v>3607.93</v>
      </c>
      <c r="F90" s="653">
        <f t="shared" si="11"/>
        <v>24051.89</v>
      </c>
      <c r="G90" s="653">
        <f t="shared" si="12"/>
        <v>0</v>
      </c>
      <c r="H90" s="653">
        <f t="shared" si="13"/>
        <v>27659.82</v>
      </c>
      <c r="J90" s="650"/>
      <c r="K90" s="650"/>
      <c r="L90" s="650"/>
    </row>
    <row r="91" spans="2:12" x14ac:dyDescent="0.2">
      <c r="B91" s="651">
        <f t="shared" si="7"/>
        <v>80</v>
      </c>
      <c r="C91" s="652">
        <f t="shared" ca="1" si="8"/>
        <v>44620</v>
      </c>
      <c r="D91" s="653">
        <f t="shared" si="9"/>
        <v>1058326.2899999998</v>
      </c>
      <c r="E91" s="653">
        <f t="shared" si="10"/>
        <v>3527.75</v>
      </c>
      <c r="F91" s="653">
        <f t="shared" si="11"/>
        <v>24132.07</v>
      </c>
      <c r="G91" s="653">
        <f t="shared" si="12"/>
        <v>0</v>
      </c>
      <c r="H91" s="653">
        <f t="shared" si="13"/>
        <v>27659.82</v>
      </c>
      <c r="J91" s="650"/>
      <c r="K91" s="650"/>
      <c r="L91" s="650"/>
    </row>
    <row r="92" spans="2:12" x14ac:dyDescent="0.2">
      <c r="B92" s="651">
        <f t="shared" si="7"/>
        <v>81</v>
      </c>
      <c r="C92" s="652">
        <f t="shared" ca="1" si="8"/>
        <v>44650</v>
      </c>
      <c r="D92" s="653">
        <f t="shared" si="9"/>
        <v>1034194.2199999999</v>
      </c>
      <c r="E92" s="653">
        <f t="shared" si="10"/>
        <v>3447.31</v>
      </c>
      <c r="F92" s="653">
        <f t="shared" si="11"/>
        <v>24212.51</v>
      </c>
      <c r="G92" s="653">
        <f t="shared" si="12"/>
        <v>0</v>
      </c>
      <c r="H92" s="653">
        <f t="shared" si="13"/>
        <v>27659.82</v>
      </c>
      <c r="J92" s="650"/>
      <c r="K92" s="650"/>
      <c r="L92" s="650"/>
    </row>
    <row r="93" spans="2:12" x14ac:dyDescent="0.2">
      <c r="B93" s="651">
        <f t="shared" si="7"/>
        <v>82</v>
      </c>
      <c r="C93" s="652">
        <f t="shared" ca="1" si="8"/>
        <v>44681</v>
      </c>
      <c r="D93" s="653">
        <f t="shared" si="9"/>
        <v>1009981.7099999998</v>
      </c>
      <c r="E93" s="653">
        <f t="shared" si="10"/>
        <v>3366.61</v>
      </c>
      <c r="F93" s="653">
        <f t="shared" si="11"/>
        <v>24293.21</v>
      </c>
      <c r="G93" s="653">
        <f t="shared" si="12"/>
        <v>0</v>
      </c>
      <c r="H93" s="653">
        <f t="shared" si="13"/>
        <v>27659.82</v>
      </c>
      <c r="J93" s="650"/>
      <c r="K93" s="650"/>
      <c r="L93" s="650"/>
    </row>
    <row r="94" spans="2:12" x14ac:dyDescent="0.2">
      <c r="B94" s="651">
        <f t="shared" si="7"/>
        <v>83</v>
      </c>
      <c r="C94" s="652">
        <f t="shared" ca="1" si="8"/>
        <v>44711</v>
      </c>
      <c r="D94" s="653">
        <f t="shared" si="9"/>
        <v>985688.49999999988</v>
      </c>
      <c r="E94" s="653">
        <f t="shared" si="10"/>
        <v>3285.63</v>
      </c>
      <c r="F94" s="653">
        <f t="shared" si="11"/>
        <v>24374.19</v>
      </c>
      <c r="G94" s="653">
        <f t="shared" si="12"/>
        <v>0</v>
      </c>
      <c r="H94" s="653">
        <f t="shared" si="13"/>
        <v>27659.82</v>
      </c>
      <c r="J94" s="650"/>
      <c r="K94" s="650"/>
      <c r="L94" s="650"/>
    </row>
    <row r="95" spans="2:12" x14ac:dyDescent="0.2">
      <c r="B95" s="651">
        <f t="shared" si="7"/>
        <v>84</v>
      </c>
      <c r="C95" s="652">
        <f t="shared" ca="1" si="8"/>
        <v>44742</v>
      </c>
      <c r="D95" s="653">
        <f t="shared" si="9"/>
        <v>961314.30999999994</v>
      </c>
      <c r="E95" s="653">
        <f t="shared" si="10"/>
        <v>3204.38</v>
      </c>
      <c r="F95" s="653">
        <f t="shared" si="11"/>
        <v>24455.439999999999</v>
      </c>
      <c r="G95" s="653">
        <f t="shared" si="12"/>
        <v>0</v>
      </c>
      <c r="H95" s="653">
        <f t="shared" si="13"/>
        <v>27659.82</v>
      </c>
      <c r="J95" s="642">
        <f>D83-D95</f>
        <v>287204.54999999993</v>
      </c>
      <c r="K95" s="650"/>
      <c r="L95" s="650"/>
    </row>
    <row r="96" spans="2:12" x14ac:dyDescent="0.2">
      <c r="B96" s="647">
        <f t="shared" si="7"/>
        <v>85</v>
      </c>
      <c r="C96" s="648">
        <f t="shared" ca="1" si="8"/>
        <v>44772</v>
      </c>
      <c r="D96" s="649">
        <f t="shared" si="9"/>
        <v>936858.87</v>
      </c>
      <c r="E96" s="649">
        <f t="shared" si="10"/>
        <v>3122.86</v>
      </c>
      <c r="F96" s="649">
        <f t="shared" si="11"/>
        <v>24536.959999999999</v>
      </c>
      <c r="G96" s="649">
        <f t="shared" si="12"/>
        <v>0</v>
      </c>
      <c r="H96" s="649">
        <f t="shared" si="13"/>
        <v>27659.82</v>
      </c>
      <c r="J96" s="650"/>
      <c r="K96" s="650"/>
      <c r="L96" s="650"/>
    </row>
    <row r="97" spans="2:12" x14ac:dyDescent="0.2">
      <c r="B97" s="647">
        <f t="shared" si="7"/>
        <v>86</v>
      </c>
      <c r="C97" s="648">
        <f t="shared" ca="1" si="8"/>
        <v>44803</v>
      </c>
      <c r="D97" s="649">
        <f t="shared" si="9"/>
        <v>912321.91</v>
      </c>
      <c r="E97" s="649">
        <f t="shared" si="10"/>
        <v>3041.07</v>
      </c>
      <c r="F97" s="649">
        <f t="shared" si="11"/>
        <v>24618.75</v>
      </c>
      <c r="G97" s="649">
        <f t="shared" si="12"/>
        <v>0</v>
      </c>
      <c r="H97" s="649">
        <f t="shared" si="13"/>
        <v>27659.82</v>
      </c>
      <c r="J97" s="650"/>
      <c r="K97" s="650"/>
      <c r="L97" s="650"/>
    </row>
    <row r="98" spans="2:12" x14ac:dyDescent="0.2">
      <c r="B98" s="647">
        <f t="shared" si="7"/>
        <v>87</v>
      </c>
      <c r="C98" s="648">
        <f t="shared" ca="1" si="8"/>
        <v>44834</v>
      </c>
      <c r="D98" s="649">
        <f t="shared" si="9"/>
        <v>887703.16</v>
      </c>
      <c r="E98" s="649">
        <f t="shared" si="10"/>
        <v>2959.01</v>
      </c>
      <c r="F98" s="649">
        <f t="shared" si="11"/>
        <v>24700.809999999998</v>
      </c>
      <c r="G98" s="649">
        <f t="shared" si="12"/>
        <v>0</v>
      </c>
      <c r="H98" s="649">
        <f t="shared" si="13"/>
        <v>27659.82</v>
      </c>
      <c r="J98" s="650"/>
      <c r="K98" s="650"/>
      <c r="L98" s="650"/>
    </row>
    <row r="99" spans="2:12" x14ac:dyDescent="0.2">
      <c r="B99" s="647">
        <f t="shared" si="7"/>
        <v>88</v>
      </c>
      <c r="C99" s="648">
        <f t="shared" ca="1" si="8"/>
        <v>44864</v>
      </c>
      <c r="D99" s="649">
        <f t="shared" si="9"/>
        <v>863002.35000000009</v>
      </c>
      <c r="E99" s="649">
        <f t="shared" si="10"/>
        <v>2876.67</v>
      </c>
      <c r="F99" s="649">
        <f t="shared" si="11"/>
        <v>24783.15</v>
      </c>
      <c r="G99" s="649">
        <f t="shared" si="12"/>
        <v>0</v>
      </c>
      <c r="H99" s="649">
        <f t="shared" si="13"/>
        <v>27659.82</v>
      </c>
      <c r="J99" s="650"/>
      <c r="K99" s="650"/>
      <c r="L99" s="650"/>
    </row>
    <row r="100" spans="2:12" x14ac:dyDescent="0.2">
      <c r="B100" s="647">
        <f t="shared" si="7"/>
        <v>89</v>
      </c>
      <c r="C100" s="648">
        <f t="shared" ca="1" si="8"/>
        <v>44895</v>
      </c>
      <c r="D100" s="649">
        <f t="shared" si="9"/>
        <v>838219.20000000007</v>
      </c>
      <c r="E100" s="649">
        <f t="shared" si="10"/>
        <v>2794.06</v>
      </c>
      <c r="F100" s="649">
        <f t="shared" si="11"/>
        <v>24865.759999999998</v>
      </c>
      <c r="G100" s="649">
        <f t="shared" si="12"/>
        <v>0</v>
      </c>
      <c r="H100" s="649">
        <f t="shared" si="13"/>
        <v>27659.82</v>
      </c>
      <c r="J100" s="650"/>
      <c r="K100" s="650"/>
      <c r="L100" s="650"/>
    </row>
    <row r="101" spans="2:12" x14ac:dyDescent="0.2">
      <c r="B101" s="647">
        <f t="shared" si="7"/>
        <v>90</v>
      </c>
      <c r="C101" s="648">
        <f t="shared" ca="1" si="8"/>
        <v>44925</v>
      </c>
      <c r="D101" s="649">
        <f t="shared" si="9"/>
        <v>813353.44000000006</v>
      </c>
      <c r="E101" s="649">
        <f t="shared" si="10"/>
        <v>2711.18</v>
      </c>
      <c r="F101" s="649">
        <f t="shared" si="11"/>
        <v>24948.639999999999</v>
      </c>
      <c r="G101" s="649">
        <f t="shared" si="12"/>
        <v>0</v>
      </c>
      <c r="H101" s="649">
        <f t="shared" si="13"/>
        <v>27659.82</v>
      </c>
      <c r="J101" s="650"/>
      <c r="K101" s="650"/>
      <c r="L101" s="650"/>
    </row>
    <row r="102" spans="2:12" x14ac:dyDescent="0.2">
      <c r="B102" s="647">
        <f t="shared" si="7"/>
        <v>91</v>
      </c>
      <c r="C102" s="648">
        <f t="shared" ca="1" si="8"/>
        <v>44956</v>
      </c>
      <c r="D102" s="649">
        <f t="shared" si="9"/>
        <v>788404.8</v>
      </c>
      <c r="E102" s="649">
        <f t="shared" si="10"/>
        <v>2628.02</v>
      </c>
      <c r="F102" s="649">
        <f t="shared" si="11"/>
        <v>25031.8</v>
      </c>
      <c r="G102" s="649">
        <f t="shared" si="12"/>
        <v>0</v>
      </c>
      <c r="H102" s="649">
        <f t="shared" si="13"/>
        <v>27659.82</v>
      </c>
      <c r="J102" s="650"/>
      <c r="K102" s="650"/>
      <c r="L102" s="650"/>
    </row>
    <row r="103" spans="2:12" x14ac:dyDescent="0.2">
      <c r="B103" s="647">
        <f t="shared" si="7"/>
        <v>92</v>
      </c>
      <c r="C103" s="648">
        <f t="shared" ca="1" si="8"/>
        <v>44985</v>
      </c>
      <c r="D103" s="649">
        <f t="shared" si="9"/>
        <v>763373</v>
      </c>
      <c r="E103" s="649">
        <f t="shared" si="10"/>
        <v>2544.58</v>
      </c>
      <c r="F103" s="649">
        <f t="shared" si="11"/>
        <v>25115.239999999998</v>
      </c>
      <c r="G103" s="649">
        <f t="shared" si="12"/>
        <v>0</v>
      </c>
      <c r="H103" s="649">
        <f t="shared" si="13"/>
        <v>27659.82</v>
      </c>
      <c r="J103" s="650"/>
      <c r="K103" s="650"/>
      <c r="L103" s="650"/>
    </row>
    <row r="104" spans="2:12" x14ac:dyDescent="0.2">
      <c r="B104" s="647">
        <f t="shared" si="7"/>
        <v>93</v>
      </c>
      <c r="C104" s="648">
        <f t="shared" ca="1" si="8"/>
        <v>45015</v>
      </c>
      <c r="D104" s="649">
        <f t="shared" si="9"/>
        <v>738257.76</v>
      </c>
      <c r="E104" s="649">
        <f t="shared" si="10"/>
        <v>2460.86</v>
      </c>
      <c r="F104" s="649">
        <f t="shared" si="11"/>
        <v>25198.959999999999</v>
      </c>
      <c r="G104" s="649">
        <f t="shared" si="12"/>
        <v>0</v>
      </c>
      <c r="H104" s="649">
        <f t="shared" si="13"/>
        <v>27659.82</v>
      </c>
      <c r="J104" s="650"/>
      <c r="K104" s="650"/>
      <c r="L104" s="650"/>
    </row>
    <row r="105" spans="2:12" x14ac:dyDescent="0.2">
      <c r="B105" s="647">
        <f t="shared" si="7"/>
        <v>94</v>
      </c>
      <c r="C105" s="648">
        <f t="shared" ca="1" si="8"/>
        <v>45046</v>
      </c>
      <c r="D105" s="649">
        <f t="shared" si="9"/>
        <v>713058.8</v>
      </c>
      <c r="E105" s="649">
        <f t="shared" si="10"/>
        <v>2376.86</v>
      </c>
      <c r="F105" s="649">
        <f t="shared" si="11"/>
        <v>25282.959999999999</v>
      </c>
      <c r="G105" s="649">
        <f t="shared" si="12"/>
        <v>0</v>
      </c>
      <c r="H105" s="649">
        <f t="shared" si="13"/>
        <v>27659.82</v>
      </c>
      <c r="J105" s="650"/>
      <c r="K105" s="650"/>
      <c r="L105" s="650"/>
    </row>
    <row r="106" spans="2:12" x14ac:dyDescent="0.2">
      <c r="B106" s="647">
        <f t="shared" si="7"/>
        <v>95</v>
      </c>
      <c r="C106" s="648">
        <f t="shared" ca="1" si="8"/>
        <v>45076</v>
      </c>
      <c r="D106" s="649">
        <f t="shared" si="9"/>
        <v>687775.84000000008</v>
      </c>
      <c r="E106" s="649">
        <f t="shared" si="10"/>
        <v>2292.59</v>
      </c>
      <c r="F106" s="649">
        <f t="shared" si="11"/>
        <v>25367.23</v>
      </c>
      <c r="G106" s="649">
        <f t="shared" si="12"/>
        <v>0</v>
      </c>
      <c r="H106" s="649">
        <f t="shared" si="13"/>
        <v>27659.82</v>
      </c>
      <c r="J106" s="650"/>
      <c r="K106" s="650"/>
      <c r="L106" s="650"/>
    </row>
    <row r="107" spans="2:12" x14ac:dyDescent="0.2">
      <c r="B107" s="647">
        <f t="shared" si="7"/>
        <v>96</v>
      </c>
      <c r="C107" s="648">
        <f t="shared" ca="1" si="8"/>
        <v>45107</v>
      </c>
      <c r="D107" s="649">
        <f t="shared" si="9"/>
        <v>662408.6100000001</v>
      </c>
      <c r="E107" s="649">
        <f t="shared" si="10"/>
        <v>2208.0300000000002</v>
      </c>
      <c r="F107" s="649">
        <f t="shared" si="11"/>
        <v>25451.79</v>
      </c>
      <c r="G107" s="649">
        <f t="shared" si="12"/>
        <v>0</v>
      </c>
      <c r="H107" s="649">
        <f t="shared" si="13"/>
        <v>27659.82</v>
      </c>
      <c r="J107" s="642">
        <f>D95-D107</f>
        <v>298905.69999999984</v>
      </c>
      <c r="K107" s="650"/>
      <c r="L107" s="650"/>
    </row>
    <row r="108" spans="2:12" x14ac:dyDescent="0.2">
      <c r="B108" s="651">
        <f t="shared" si="7"/>
        <v>97</v>
      </c>
      <c r="C108" s="652">
        <f t="shared" ca="1" si="8"/>
        <v>45137</v>
      </c>
      <c r="D108" s="653">
        <f t="shared" si="9"/>
        <v>636956.82000000007</v>
      </c>
      <c r="E108" s="653">
        <f t="shared" si="10"/>
        <v>2123.19</v>
      </c>
      <c r="F108" s="653">
        <f t="shared" si="11"/>
        <v>25536.63</v>
      </c>
      <c r="G108" s="653">
        <f t="shared" si="12"/>
        <v>0</v>
      </c>
      <c r="H108" s="653">
        <f t="shared" si="13"/>
        <v>27659.82</v>
      </c>
      <c r="J108" s="650"/>
      <c r="K108" s="650"/>
      <c r="L108" s="650"/>
    </row>
    <row r="109" spans="2:12" x14ac:dyDescent="0.2">
      <c r="B109" s="651">
        <f t="shared" si="7"/>
        <v>98</v>
      </c>
      <c r="C109" s="652">
        <f t="shared" ca="1" si="8"/>
        <v>45168</v>
      </c>
      <c r="D109" s="653">
        <f t="shared" si="9"/>
        <v>611420.19000000006</v>
      </c>
      <c r="E109" s="653">
        <f t="shared" si="10"/>
        <v>2038.07</v>
      </c>
      <c r="F109" s="653">
        <f t="shared" si="11"/>
        <v>25621.75</v>
      </c>
      <c r="G109" s="653">
        <f t="shared" si="12"/>
        <v>0</v>
      </c>
      <c r="H109" s="653">
        <f t="shared" si="13"/>
        <v>27659.82</v>
      </c>
      <c r="J109" s="650"/>
      <c r="K109" s="650"/>
      <c r="L109" s="650"/>
    </row>
    <row r="110" spans="2:12" x14ac:dyDescent="0.2">
      <c r="B110" s="651">
        <f t="shared" si="7"/>
        <v>99</v>
      </c>
      <c r="C110" s="652">
        <f t="shared" ca="1" si="8"/>
        <v>45199</v>
      </c>
      <c r="D110" s="653">
        <f t="shared" si="9"/>
        <v>585798.44000000006</v>
      </c>
      <c r="E110" s="653">
        <f t="shared" si="10"/>
        <v>1952.66</v>
      </c>
      <c r="F110" s="653">
        <f t="shared" si="11"/>
        <v>25707.16</v>
      </c>
      <c r="G110" s="653">
        <f t="shared" si="12"/>
        <v>0</v>
      </c>
      <c r="H110" s="653">
        <f t="shared" si="13"/>
        <v>27659.82</v>
      </c>
      <c r="J110" s="650"/>
      <c r="K110" s="650"/>
      <c r="L110" s="650"/>
    </row>
    <row r="111" spans="2:12" x14ac:dyDescent="0.2">
      <c r="B111" s="651">
        <f t="shared" si="7"/>
        <v>100</v>
      </c>
      <c r="C111" s="652">
        <f t="shared" ca="1" si="8"/>
        <v>45229</v>
      </c>
      <c r="D111" s="653">
        <f t="shared" si="9"/>
        <v>560091.28</v>
      </c>
      <c r="E111" s="653">
        <f t="shared" si="10"/>
        <v>1866.97</v>
      </c>
      <c r="F111" s="653">
        <f t="shared" si="11"/>
        <v>25792.85</v>
      </c>
      <c r="G111" s="653">
        <f t="shared" si="12"/>
        <v>0</v>
      </c>
      <c r="H111" s="653">
        <f t="shared" si="13"/>
        <v>27659.82</v>
      </c>
      <c r="J111" s="650"/>
      <c r="K111" s="650"/>
      <c r="L111" s="650"/>
    </row>
    <row r="112" spans="2:12" x14ac:dyDescent="0.2">
      <c r="B112" s="651">
        <f t="shared" si="7"/>
        <v>101</v>
      </c>
      <c r="C112" s="652">
        <f t="shared" ca="1" si="8"/>
        <v>45260</v>
      </c>
      <c r="D112" s="653">
        <f t="shared" si="9"/>
        <v>534298.43000000005</v>
      </c>
      <c r="E112" s="653">
        <f t="shared" si="10"/>
        <v>1780.99</v>
      </c>
      <c r="F112" s="653">
        <f t="shared" si="11"/>
        <v>25878.829999999998</v>
      </c>
      <c r="G112" s="653">
        <f t="shared" si="12"/>
        <v>0</v>
      </c>
      <c r="H112" s="653">
        <f t="shared" si="13"/>
        <v>27659.82</v>
      </c>
      <c r="J112" s="650"/>
      <c r="K112" s="650"/>
      <c r="L112" s="650"/>
    </row>
    <row r="113" spans="2:12" x14ac:dyDescent="0.2">
      <c r="B113" s="651">
        <f t="shared" si="7"/>
        <v>102</v>
      </c>
      <c r="C113" s="652">
        <f t="shared" ca="1" si="8"/>
        <v>45290</v>
      </c>
      <c r="D113" s="653">
        <f t="shared" si="9"/>
        <v>508419.60000000003</v>
      </c>
      <c r="E113" s="653">
        <f t="shared" si="10"/>
        <v>1694.73</v>
      </c>
      <c r="F113" s="653">
        <f t="shared" si="11"/>
        <v>25965.09</v>
      </c>
      <c r="G113" s="653">
        <f t="shared" si="12"/>
        <v>0</v>
      </c>
      <c r="H113" s="653">
        <f t="shared" si="13"/>
        <v>27659.82</v>
      </c>
      <c r="J113" s="650"/>
      <c r="K113" s="650"/>
      <c r="L113" s="650"/>
    </row>
    <row r="114" spans="2:12" x14ac:dyDescent="0.2">
      <c r="B114" s="651">
        <f t="shared" si="7"/>
        <v>103</v>
      </c>
      <c r="C114" s="652">
        <f t="shared" ca="1" si="8"/>
        <v>45321</v>
      </c>
      <c r="D114" s="653">
        <f t="shared" si="9"/>
        <v>482454.51</v>
      </c>
      <c r="E114" s="653">
        <f t="shared" si="10"/>
        <v>1608.18</v>
      </c>
      <c r="F114" s="653">
        <f t="shared" si="11"/>
        <v>26051.64</v>
      </c>
      <c r="G114" s="653">
        <f t="shared" si="12"/>
        <v>0</v>
      </c>
      <c r="H114" s="653">
        <f t="shared" si="13"/>
        <v>27659.82</v>
      </c>
      <c r="J114" s="650"/>
      <c r="K114" s="650"/>
      <c r="L114" s="650"/>
    </row>
    <row r="115" spans="2:12" x14ac:dyDescent="0.2">
      <c r="B115" s="651">
        <f t="shared" si="7"/>
        <v>104</v>
      </c>
      <c r="C115" s="652">
        <f t="shared" ca="1" si="8"/>
        <v>45351</v>
      </c>
      <c r="D115" s="653">
        <f t="shared" si="9"/>
        <v>456402.87</v>
      </c>
      <c r="E115" s="653">
        <f t="shared" si="10"/>
        <v>1521.34</v>
      </c>
      <c r="F115" s="653">
        <f t="shared" si="11"/>
        <v>26138.48</v>
      </c>
      <c r="G115" s="653">
        <f t="shared" si="12"/>
        <v>0</v>
      </c>
      <c r="H115" s="653">
        <f t="shared" si="13"/>
        <v>27659.82</v>
      </c>
      <c r="J115" s="650"/>
      <c r="K115" s="650"/>
      <c r="L115" s="650"/>
    </row>
    <row r="116" spans="2:12" x14ac:dyDescent="0.2">
      <c r="B116" s="651">
        <f t="shared" si="7"/>
        <v>105</v>
      </c>
      <c r="C116" s="652">
        <f t="shared" ca="1" si="8"/>
        <v>45381</v>
      </c>
      <c r="D116" s="653">
        <f t="shared" si="9"/>
        <v>430264.39</v>
      </c>
      <c r="E116" s="653">
        <f t="shared" si="10"/>
        <v>1434.21</v>
      </c>
      <c r="F116" s="653">
        <f t="shared" si="11"/>
        <v>26225.61</v>
      </c>
      <c r="G116" s="653">
        <f t="shared" si="12"/>
        <v>0</v>
      </c>
      <c r="H116" s="653">
        <f t="shared" si="13"/>
        <v>27659.82</v>
      </c>
      <c r="J116" s="650"/>
      <c r="K116" s="650"/>
      <c r="L116" s="650"/>
    </row>
    <row r="117" spans="2:12" x14ac:dyDescent="0.2">
      <c r="B117" s="651">
        <f t="shared" si="7"/>
        <v>106</v>
      </c>
      <c r="C117" s="652">
        <f t="shared" ca="1" si="8"/>
        <v>45412</v>
      </c>
      <c r="D117" s="653">
        <f t="shared" si="9"/>
        <v>404038.78</v>
      </c>
      <c r="E117" s="653">
        <f t="shared" si="10"/>
        <v>1346.8</v>
      </c>
      <c r="F117" s="653">
        <f t="shared" si="11"/>
        <v>26313.02</v>
      </c>
      <c r="G117" s="653">
        <f t="shared" si="12"/>
        <v>0</v>
      </c>
      <c r="H117" s="653">
        <f t="shared" si="13"/>
        <v>27659.82</v>
      </c>
      <c r="J117" s="650"/>
      <c r="K117" s="650"/>
      <c r="L117" s="650"/>
    </row>
    <row r="118" spans="2:12" x14ac:dyDescent="0.2">
      <c r="B118" s="651">
        <f t="shared" si="7"/>
        <v>107</v>
      </c>
      <c r="C118" s="652">
        <f t="shared" ca="1" si="8"/>
        <v>45442</v>
      </c>
      <c r="D118" s="653">
        <f t="shared" si="9"/>
        <v>377725.76</v>
      </c>
      <c r="E118" s="653">
        <f t="shared" si="10"/>
        <v>1259.0899999999999</v>
      </c>
      <c r="F118" s="653">
        <f t="shared" si="11"/>
        <v>26400.73</v>
      </c>
      <c r="G118" s="653">
        <f t="shared" si="12"/>
        <v>0</v>
      </c>
      <c r="H118" s="653">
        <f t="shared" si="13"/>
        <v>27659.82</v>
      </c>
      <c r="J118" s="650"/>
      <c r="K118" s="650"/>
      <c r="L118" s="650"/>
    </row>
    <row r="119" spans="2:12" x14ac:dyDescent="0.2">
      <c r="B119" s="651">
        <f t="shared" si="7"/>
        <v>108</v>
      </c>
      <c r="C119" s="652">
        <f t="shared" ca="1" si="8"/>
        <v>45473</v>
      </c>
      <c r="D119" s="653">
        <f t="shared" si="9"/>
        <v>351325.03</v>
      </c>
      <c r="E119" s="653">
        <f t="shared" si="10"/>
        <v>1171.08</v>
      </c>
      <c r="F119" s="653">
        <f t="shared" si="11"/>
        <v>26488.739999999998</v>
      </c>
      <c r="G119" s="653">
        <f t="shared" si="12"/>
        <v>0</v>
      </c>
      <c r="H119" s="653">
        <f t="shared" si="13"/>
        <v>27659.82</v>
      </c>
      <c r="J119" s="642">
        <f>D107-D119</f>
        <v>311083.58000000007</v>
      </c>
      <c r="K119" s="650"/>
      <c r="L119" s="650"/>
    </row>
    <row r="120" spans="2:12" x14ac:dyDescent="0.2">
      <c r="B120" s="647">
        <f t="shared" si="7"/>
        <v>109</v>
      </c>
      <c r="C120" s="648">
        <f t="shared" ca="1" si="8"/>
        <v>45503</v>
      </c>
      <c r="D120" s="649">
        <f t="shared" si="9"/>
        <v>324836.29000000004</v>
      </c>
      <c r="E120" s="649">
        <f t="shared" si="10"/>
        <v>1082.79</v>
      </c>
      <c r="F120" s="649">
        <f t="shared" si="11"/>
        <v>26577.03</v>
      </c>
      <c r="G120" s="649">
        <f t="shared" si="12"/>
        <v>0</v>
      </c>
      <c r="H120" s="649">
        <f t="shared" si="13"/>
        <v>27659.82</v>
      </c>
      <c r="J120" s="650"/>
      <c r="K120" s="650"/>
      <c r="L120" s="650"/>
    </row>
    <row r="121" spans="2:12" x14ac:dyDescent="0.2">
      <c r="B121" s="647">
        <f t="shared" si="7"/>
        <v>110</v>
      </c>
      <c r="C121" s="648">
        <f t="shared" ca="1" si="8"/>
        <v>45534</v>
      </c>
      <c r="D121" s="649">
        <f t="shared" si="9"/>
        <v>298259.26</v>
      </c>
      <c r="E121" s="649">
        <f t="shared" si="10"/>
        <v>994.2</v>
      </c>
      <c r="F121" s="649">
        <f t="shared" si="11"/>
        <v>26665.62</v>
      </c>
      <c r="G121" s="649">
        <f t="shared" si="12"/>
        <v>0</v>
      </c>
      <c r="H121" s="649">
        <f t="shared" si="13"/>
        <v>27659.82</v>
      </c>
      <c r="J121" s="650"/>
      <c r="K121" s="650"/>
      <c r="L121" s="650"/>
    </row>
    <row r="122" spans="2:12" x14ac:dyDescent="0.2">
      <c r="B122" s="647">
        <f t="shared" si="7"/>
        <v>111</v>
      </c>
      <c r="C122" s="648">
        <f t="shared" ca="1" si="8"/>
        <v>45565</v>
      </c>
      <c r="D122" s="649">
        <f t="shared" si="9"/>
        <v>271593.64</v>
      </c>
      <c r="E122" s="649">
        <f t="shared" si="10"/>
        <v>905.31</v>
      </c>
      <c r="F122" s="649">
        <f t="shared" si="11"/>
        <v>26754.51</v>
      </c>
      <c r="G122" s="649">
        <f t="shared" si="12"/>
        <v>0</v>
      </c>
      <c r="H122" s="649">
        <f t="shared" si="13"/>
        <v>27659.82</v>
      </c>
      <c r="J122" s="650"/>
      <c r="K122" s="650"/>
      <c r="L122" s="650"/>
    </row>
    <row r="123" spans="2:12" x14ac:dyDescent="0.2">
      <c r="B123" s="647">
        <f t="shared" si="7"/>
        <v>112</v>
      </c>
      <c r="C123" s="648">
        <f t="shared" ca="1" si="8"/>
        <v>45595</v>
      </c>
      <c r="D123" s="649">
        <f t="shared" si="9"/>
        <v>244839.13</v>
      </c>
      <c r="E123" s="649">
        <f t="shared" si="10"/>
        <v>816.13</v>
      </c>
      <c r="F123" s="649">
        <f t="shared" si="11"/>
        <v>26843.69</v>
      </c>
      <c r="G123" s="649">
        <f t="shared" si="12"/>
        <v>0</v>
      </c>
      <c r="H123" s="649">
        <f t="shared" si="13"/>
        <v>27659.82</v>
      </c>
      <c r="J123" s="650"/>
      <c r="K123" s="650"/>
      <c r="L123" s="650"/>
    </row>
    <row r="124" spans="2:12" x14ac:dyDescent="0.2">
      <c r="B124" s="647">
        <f t="shared" si="7"/>
        <v>113</v>
      </c>
      <c r="C124" s="648">
        <f t="shared" ca="1" si="8"/>
        <v>45626</v>
      </c>
      <c r="D124" s="649">
        <f t="shared" si="9"/>
        <v>217995.44</v>
      </c>
      <c r="E124" s="649">
        <f t="shared" si="10"/>
        <v>726.65</v>
      </c>
      <c r="F124" s="649">
        <f t="shared" si="11"/>
        <v>26933.17</v>
      </c>
      <c r="G124" s="649">
        <f t="shared" si="12"/>
        <v>0</v>
      </c>
      <c r="H124" s="649">
        <f t="shared" si="13"/>
        <v>27659.82</v>
      </c>
      <c r="J124" s="650"/>
      <c r="K124" s="650"/>
      <c r="L124" s="650"/>
    </row>
    <row r="125" spans="2:12" x14ac:dyDescent="0.2">
      <c r="B125" s="647">
        <f t="shared" si="7"/>
        <v>114</v>
      </c>
      <c r="C125" s="648">
        <f t="shared" ca="1" si="8"/>
        <v>45656</v>
      </c>
      <c r="D125" s="649">
        <f t="shared" si="9"/>
        <v>191062.27000000002</v>
      </c>
      <c r="E125" s="649">
        <f t="shared" si="10"/>
        <v>636.87</v>
      </c>
      <c r="F125" s="649">
        <f t="shared" si="11"/>
        <v>27022.95</v>
      </c>
      <c r="G125" s="649">
        <f t="shared" si="12"/>
        <v>0</v>
      </c>
      <c r="H125" s="649">
        <f t="shared" si="13"/>
        <v>27659.82</v>
      </c>
      <c r="J125" s="650"/>
      <c r="K125" s="650"/>
      <c r="L125" s="650"/>
    </row>
    <row r="126" spans="2:12" x14ac:dyDescent="0.2">
      <c r="B126" s="647">
        <f t="shared" si="7"/>
        <v>115</v>
      </c>
      <c r="C126" s="648">
        <f t="shared" ca="1" si="8"/>
        <v>45687</v>
      </c>
      <c r="D126" s="649">
        <f t="shared" si="9"/>
        <v>164039.32</v>
      </c>
      <c r="E126" s="649">
        <f t="shared" si="10"/>
        <v>546.79999999999995</v>
      </c>
      <c r="F126" s="649">
        <f t="shared" si="11"/>
        <v>27113.02</v>
      </c>
      <c r="G126" s="649">
        <f t="shared" si="12"/>
        <v>0</v>
      </c>
      <c r="H126" s="649">
        <f t="shared" si="13"/>
        <v>27659.82</v>
      </c>
      <c r="J126" s="650"/>
      <c r="K126" s="650"/>
      <c r="L126" s="650"/>
    </row>
    <row r="127" spans="2:12" x14ac:dyDescent="0.2">
      <c r="B127" s="647">
        <f t="shared" si="7"/>
        <v>116</v>
      </c>
      <c r="C127" s="648">
        <f t="shared" ca="1" si="8"/>
        <v>45716</v>
      </c>
      <c r="D127" s="649">
        <f t="shared" si="9"/>
        <v>136926.30000000002</v>
      </c>
      <c r="E127" s="649">
        <f t="shared" si="10"/>
        <v>456.42</v>
      </c>
      <c r="F127" s="649">
        <f t="shared" si="11"/>
        <v>27203.4</v>
      </c>
      <c r="G127" s="649">
        <f t="shared" si="12"/>
        <v>0</v>
      </c>
      <c r="H127" s="649">
        <f t="shared" si="13"/>
        <v>27659.82</v>
      </c>
      <c r="J127" s="650"/>
      <c r="K127" s="650"/>
      <c r="L127" s="650"/>
    </row>
    <row r="128" spans="2:12" x14ac:dyDescent="0.2">
      <c r="B128" s="647">
        <f t="shared" si="7"/>
        <v>117</v>
      </c>
      <c r="C128" s="648">
        <f t="shared" ca="1" si="8"/>
        <v>45746</v>
      </c>
      <c r="D128" s="649">
        <f t="shared" si="9"/>
        <v>109722.90000000002</v>
      </c>
      <c r="E128" s="649">
        <f t="shared" si="10"/>
        <v>365.74</v>
      </c>
      <c r="F128" s="649">
        <f t="shared" si="11"/>
        <v>27294.079999999998</v>
      </c>
      <c r="G128" s="649">
        <f t="shared" si="12"/>
        <v>0</v>
      </c>
      <c r="H128" s="649">
        <f t="shared" si="13"/>
        <v>27659.82</v>
      </c>
      <c r="J128" s="650"/>
      <c r="K128" s="650"/>
      <c r="L128" s="650"/>
    </row>
    <row r="129" spans="2:12" x14ac:dyDescent="0.2">
      <c r="B129" s="647">
        <f t="shared" si="7"/>
        <v>118</v>
      </c>
      <c r="C129" s="648">
        <f t="shared" ca="1" si="8"/>
        <v>45777</v>
      </c>
      <c r="D129" s="649">
        <f t="shared" si="9"/>
        <v>82428.820000000022</v>
      </c>
      <c r="E129" s="649">
        <f t="shared" si="10"/>
        <v>274.76</v>
      </c>
      <c r="F129" s="649">
        <f t="shared" si="11"/>
        <v>27385.06</v>
      </c>
      <c r="G129" s="649">
        <f t="shared" si="12"/>
        <v>0</v>
      </c>
      <c r="H129" s="649">
        <f t="shared" si="13"/>
        <v>27659.82</v>
      </c>
      <c r="J129" s="650"/>
      <c r="K129" s="650"/>
      <c r="L129" s="650"/>
    </row>
    <row r="130" spans="2:12" x14ac:dyDescent="0.2">
      <c r="B130" s="647">
        <f t="shared" si="7"/>
        <v>119</v>
      </c>
      <c r="C130" s="648">
        <f t="shared" ca="1" si="8"/>
        <v>45807</v>
      </c>
      <c r="D130" s="649">
        <f t="shared" si="9"/>
        <v>55043.760000000024</v>
      </c>
      <c r="E130" s="649">
        <f t="shared" si="10"/>
        <v>183.48</v>
      </c>
      <c r="F130" s="649">
        <f t="shared" si="11"/>
        <v>27476.34</v>
      </c>
      <c r="G130" s="649">
        <f t="shared" si="12"/>
        <v>0</v>
      </c>
      <c r="H130" s="649">
        <f t="shared" si="13"/>
        <v>27659.82</v>
      </c>
      <c r="J130" s="650"/>
      <c r="K130" s="650"/>
      <c r="L130" s="650"/>
    </row>
    <row r="131" spans="2:12" x14ac:dyDescent="0.2">
      <c r="B131" s="647">
        <f t="shared" si="7"/>
        <v>120</v>
      </c>
      <c r="C131" s="648">
        <f t="shared" ca="1" si="8"/>
        <v>45838</v>
      </c>
      <c r="D131" s="649">
        <f t="shared" si="9"/>
        <v>27567.420000000024</v>
      </c>
      <c r="E131" s="649">
        <f t="shared" si="10"/>
        <v>91.89</v>
      </c>
      <c r="F131" s="649">
        <f t="shared" si="11"/>
        <v>27567.420000000024</v>
      </c>
      <c r="G131" s="649">
        <f t="shared" si="12"/>
        <v>0</v>
      </c>
      <c r="H131" s="649">
        <f t="shared" si="13"/>
        <v>27659.310000000023</v>
      </c>
      <c r="J131" s="642">
        <f>D119</f>
        <v>351325.03</v>
      </c>
      <c r="K131" s="650"/>
      <c r="L131" s="650"/>
    </row>
    <row r="132" spans="2:12" x14ac:dyDescent="0.2">
      <c r="B132" s="660" t="str">
        <f t="shared" si="7"/>
        <v>-</v>
      </c>
      <c r="C132" s="661" t="str">
        <f t="shared" si="8"/>
        <v/>
      </c>
      <c r="D132" s="650"/>
      <c r="E132" s="650" t="str">
        <f t="shared" si="10"/>
        <v/>
      </c>
      <c r="F132" s="650" t="str">
        <f t="shared" si="11"/>
        <v/>
      </c>
      <c r="G132" s="650" t="str">
        <f t="shared" si="12"/>
        <v/>
      </c>
      <c r="H132" s="650" t="str">
        <f t="shared" si="13"/>
        <v/>
      </c>
      <c r="J132" s="650"/>
      <c r="K132" s="650"/>
      <c r="L132" s="650"/>
    </row>
    <row r="133" spans="2:12" x14ac:dyDescent="0.2">
      <c r="B133" s="660" t="str">
        <f t="shared" si="7"/>
        <v>-</v>
      </c>
      <c r="C133" s="661" t="str">
        <f t="shared" si="8"/>
        <v/>
      </c>
      <c r="D133" s="650"/>
      <c r="E133" s="650">
        <f>SUM(E11:E131)</f>
        <v>567684.94000000006</v>
      </c>
      <c r="F133" s="650" t="str">
        <f t="shared" si="11"/>
        <v/>
      </c>
      <c r="G133" s="650" t="str">
        <f t="shared" si="12"/>
        <v/>
      </c>
      <c r="H133" s="650" t="str">
        <f t="shared" si="13"/>
        <v/>
      </c>
      <c r="J133" s="650"/>
      <c r="K133" s="650"/>
      <c r="L133" s="650"/>
    </row>
    <row r="134" spans="2:12" x14ac:dyDescent="0.2">
      <c r="B134" s="660" t="str">
        <f t="shared" si="7"/>
        <v>-</v>
      </c>
      <c r="C134" s="661" t="str">
        <f t="shared" si="8"/>
        <v/>
      </c>
      <c r="D134" s="650" t="str">
        <f t="shared" ref="D134:D197" si="14">IF(ISNUMBER(B134),D133-F133,"")</f>
        <v/>
      </c>
      <c r="E134" s="650" t="str">
        <f t="shared" si="10"/>
        <v/>
      </c>
      <c r="F134" s="650" t="str">
        <f t="shared" si="11"/>
        <v/>
      </c>
      <c r="G134" s="650" t="str">
        <f t="shared" si="12"/>
        <v/>
      </c>
      <c r="H134" s="650" t="str">
        <f t="shared" si="13"/>
        <v/>
      </c>
      <c r="J134" s="650"/>
      <c r="K134" s="650"/>
      <c r="L134" s="650"/>
    </row>
    <row r="135" spans="2:12" x14ac:dyDescent="0.2">
      <c r="B135" s="660" t="str">
        <f t="shared" si="7"/>
        <v>-</v>
      </c>
      <c r="C135" s="661" t="str">
        <f t="shared" si="8"/>
        <v/>
      </c>
      <c r="D135" s="650" t="str">
        <f t="shared" si="14"/>
        <v/>
      </c>
      <c r="E135" s="650" t="str">
        <f t="shared" si="10"/>
        <v/>
      </c>
      <c r="F135" s="650" t="str">
        <f t="shared" si="11"/>
        <v/>
      </c>
      <c r="G135" s="650" t="str">
        <f t="shared" si="12"/>
        <v/>
      </c>
      <c r="H135" s="650" t="str">
        <f t="shared" si="13"/>
        <v/>
      </c>
      <c r="J135" s="650"/>
      <c r="K135" s="650"/>
      <c r="L135" s="650"/>
    </row>
    <row r="136" spans="2:12" x14ac:dyDescent="0.2">
      <c r="B136" s="660" t="str">
        <f t="shared" si="7"/>
        <v>-</v>
      </c>
      <c r="C136" s="661" t="str">
        <f t="shared" si="8"/>
        <v/>
      </c>
      <c r="D136" s="650" t="str">
        <f t="shared" si="14"/>
        <v/>
      </c>
      <c r="E136" s="650" t="str">
        <f t="shared" si="10"/>
        <v/>
      </c>
      <c r="F136" s="650" t="str">
        <f t="shared" si="11"/>
        <v/>
      </c>
      <c r="G136" s="650" t="str">
        <f t="shared" si="12"/>
        <v/>
      </c>
      <c r="H136" s="650" t="str">
        <f t="shared" si="13"/>
        <v/>
      </c>
      <c r="J136" s="650"/>
      <c r="K136" s="650"/>
      <c r="L136" s="650"/>
    </row>
    <row r="137" spans="2:12" x14ac:dyDescent="0.2">
      <c r="B137" s="660" t="str">
        <f t="shared" si="7"/>
        <v>-</v>
      </c>
      <c r="C137" s="661" t="str">
        <f t="shared" si="8"/>
        <v/>
      </c>
      <c r="D137" s="650" t="str">
        <f t="shared" si="14"/>
        <v/>
      </c>
      <c r="E137" s="650">
        <f>E133+'Emprunt 2017'!E133+'Emprunt 2016'!E133</f>
        <v>8164398.339999998</v>
      </c>
      <c r="F137" s="650" t="str">
        <f t="shared" si="11"/>
        <v/>
      </c>
      <c r="G137" s="650" t="str">
        <f t="shared" si="12"/>
        <v/>
      </c>
      <c r="H137" s="650" t="str">
        <f t="shared" si="13"/>
        <v/>
      </c>
      <c r="J137" s="650"/>
      <c r="K137" s="650"/>
      <c r="L137" s="650"/>
    </row>
    <row r="138" spans="2:12" x14ac:dyDescent="0.2">
      <c r="B138" s="660" t="str">
        <f t="shared" si="7"/>
        <v>-</v>
      </c>
      <c r="C138" s="661" t="str">
        <f t="shared" si="8"/>
        <v/>
      </c>
      <c r="D138" s="650" t="str">
        <f t="shared" si="14"/>
        <v/>
      </c>
      <c r="E138" s="650" t="str">
        <f t="shared" si="10"/>
        <v/>
      </c>
      <c r="F138" s="650" t="str">
        <f t="shared" si="11"/>
        <v/>
      </c>
      <c r="G138" s="650" t="str">
        <f t="shared" si="12"/>
        <v/>
      </c>
      <c r="H138" s="650" t="str">
        <f t="shared" si="13"/>
        <v/>
      </c>
      <c r="J138" s="650"/>
      <c r="K138" s="650"/>
      <c r="L138" s="650"/>
    </row>
    <row r="139" spans="2:12" x14ac:dyDescent="0.2">
      <c r="B139" s="660" t="str">
        <f t="shared" si="7"/>
        <v>-</v>
      </c>
      <c r="C139" s="661" t="str">
        <f t="shared" si="8"/>
        <v/>
      </c>
      <c r="D139" s="650" t="str">
        <f t="shared" si="14"/>
        <v/>
      </c>
      <c r="E139" s="650" t="str">
        <f t="shared" si="10"/>
        <v/>
      </c>
      <c r="F139" s="650" t="str">
        <f t="shared" si="11"/>
        <v/>
      </c>
      <c r="G139" s="650" t="str">
        <f t="shared" si="12"/>
        <v/>
      </c>
      <c r="H139" s="650" t="str">
        <f t="shared" si="13"/>
        <v/>
      </c>
      <c r="J139" s="650"/>
      <c r="K139" s="650"/>
      <c r="L139" s="650"/>
    </row>
    <row r="140" spans="2:12" x14ac:dyDescent="0.2">
      <c r="B140" s="660" t="str">
        <f t="shared" ref="B140:B203" si="15">IF(B139&lt;$L$3,B139+1,"-")</f>
        <v>-</v>
      </c>
      <c r="C140" s="661" t="str">
        <f t="shared" ref="C140:C203" si="16">IF(ISNUMBER(B140),MIN(DATE(YEAR($C$11),MONTH($C$11)+B140*12/$P$5,DAY($C$11)),DATE(YEAR($C$11),MONTH($C$11)+1+B140*12/$P$5,1)-1),"")</f>
        <v/>
      </c>
      <c r="D140" s="650" t="str">
        <f t="shared" si="14"/>
        <v/>
      </c>
      <c r="E140" s="650" t="str">
        <f t="shared" ref="E140:E203" si="17">IF(ISNUMBER(B140),ROUND(D140*$L$7,$R$6),"")</f>
        <v/>
      </c>
      <c r="F140" s="650" t="str">
        <f t="shared" ref="F140:F203" si="18">IF(ISNUMBER(B140),IF(B140=$L$3,D140,IF(B140&gt;$L$4,$H$3-E140,0)),"")</f>
        <v/>
      </c>
      <c r="G140" s="650" t="str">
        <f t="shared" ref="G140:G203" si="19">IF(ISNUMBER(B140),$H$4,"")</f>
        <v/>
      </c>
      <c r="H140" s="650" t="str">
        <f t="shared" ref="H140:H203" si="20">IF(ISNUMBER(B140),E140+F140+G140,"")</f>
        <v/>
      </c>
      <c r="J140" s="650"/>
      <c r="K140" s="650"/>
      <c r="L140" s="650"/>
    </row>
    <row r="141" spans="2:12" x14ac:dyDescent="0.2">
      <c r="B141" s="660" t="str">
        <f t="shared" si="15"/>
        <v>-</v>
      </c>
      <c r="C141" s="661" t="str">
        <f t="shared" si="16"/>
        <v/>
      </c>
      <c r="D141" s="650" t="str">
        <f t="shared" si="14"/>
        <v/>
      </c>
      <c r="E141" s="650" t="str">
        <f t="shared" si="17"/>
        <v/>
      </c>
      <c r="F141" s="650" t="str">
        <f t="shared" si="18"/>
        <v/>
      </c>
      <c r="G141" s="650" t="str">
        <f t="shared" si="19"/>
        <v/>
      </c>
      <c r="H141" s="650" t="str">
        <f t="shared" si="20"/>
        <v/>
      </c>
      <c r="J141" s="650"/>
      <c r="K141" s="650"/>
      <c r="L141" s="650"/>
    </row>
    <row r="142" spans="2:12" x14ac:dyDescent="0.2">
      <c r="B142" s="660" t="str">
        <f t="shared" si="15"/>
        <v>-</v>
      </c>
      <c r="C142" s="661" t="str">
        <f t="shared" si="16"/>
        <v/>
      </c>
      <c r="D142" s="650" t="str">
        <f t="shared" si="14"/>
        <v/>
      </c>
      <c r="E142" s="650" t="str">
        <f t="shared" si="17"/>
        <v/>
      </c>
      <c r="F142" s="650" t="str">
        <f t="shared" si="18"/>
        <v/>
      </c>
      <c r="G142" s="650" t="str">
        <f t="shared" si="19"/>
        <v/>
      </c>
      <c r="H142" s="650" t="str">
        <f t="shared" si="20"/>
        <v/>
      </c>
      <c r="J142" s="650"/>
      <c r="K142" s="650"/>
      <c r="L142" s="650"/>
    </row>
    <row r="143" spans="2:12" x14ac:dyDescent="0.2">
      <c r="B143" s="660" t="str">
        <f t="shared" si="15"/>
        <v>-</v>
      </c>
      <c r="C143" s="661" t="str">
        <f t="shared" si="16"/>
        <v/>
      </c>
      <c r="D143" s="650" t="str">
        <f t="shared" si="14"/>
        <v/>
      </c>
      <c r="E143" s="650" t="str">
        <f t="shared" si="17"/>
        <v/>
      </c>
      <c r="F143" s="650" t="str">
        <f t="shared" si="18"/>
        <v/>
      </c>
      <c r="G143" s="650" t="str">
        <f t="shared" si="19"/>
        <v/>
      </c>
      <c r="H143" s="650" t="str">
        <f t="shared" si="20"/>
        <v/>
      </c>
      <c r="J143" s="650"/>
      <c r="K143" s="650"/>
      <c r="L143" s="650"/>
    </row>
    <row r="144" spans="2:12" x14ac:dyDescent="0.2">
      <c r="B144" s="660" t="str">
        <f t="shared" si="15"/>
        <v>-</v>
      </c>
      <c r="C144" s="661" t="str">
        <f t="shared" si="16"/>
        <v/>
      </c>
      <c r="D144" s="650" t="str">
        <f t="shared" si="14"/>
        <v/>
      </c>
      <c r="E144" s="650" t="str">
        <f t="shared" si="17"/>
        <v/>
      </c>
      <c r="F144" s="650" t="str">
        <f t="shared" si="18"/>
        <v/>
      </c>
      <c r="G144" s="650" t="str">
        <f t="shared" si="19"/>
        <v/>
      </c>
      <c r="H144" s="650" t="str">
        <f t="shared" si="20"/>
        <v/>
      </c>
      <c r="J144" s="650"/>
      <c r="K144" s="650"/>
      <c r="L144" s="650"/>
    </row>
    <row r="145" spans="2:12" x14ac:dyDescent="0.2">
      <c r="B145" s="660" t="str">
        <f t="shared" si="15"/>
        <v>-</v>
      </c>
      <c r="C145" s="661" t="str">
        <f t="shared" si="16"/>
        <v/>
      </c>
      <c r="D145" s="650" t="str">
        <f t="shared" si="14"/>
        <v/>
      </c>
      <c r="E145" s="650" t="str">
        <f t="shared" si="17"/>
        <v/>
      </c>
      <c r="F145" s="650" t="str">
        <f t="shared" si="18"/>
        <v/>
      </c>
      <c r="G145" s="650" t="str">
        <f t="shared" si="19"/>
        <v/>
      </c>
      <c r="H145" s="650" t="str">
        <f t="shared" si="20"/>
        <v/>
      </c>
      <c r="J145" s="650"/>
      <c r="K145" s="650"/>
      <c r="L145" s="650"/>
    </row>
    <row r="146" spans="2:12" x14ac:dyDescent="0.2">
      <c r="B146" s="660" t="str">
        <f t="shared" si="15"/>
        <v>-</v>
      </c>
      <c r="C146" s="661" t="str">
        <f t="shared" si="16"/>
        <v/>
      </c>
      <c r="D146" s="650" t="str">
        <f t="shared" si="14"/>
        <v/>
      </c>
      <c r="E146" s="650" t="str">
        <f t="shared" si="17"/>
        <v/>
      </c>
      <c r="F146" s="650" t="str">
        <f t="shared" si="18"/>
        <v/>
      </c>
      <c r="G146" s="650" t="str">
        <f t="shared" si="19"/>
        <v/>
      </c>
      <c r="H146" s="650" t="str">
        <f t="shared" si="20"/>
        <v/>
      </c>
      <c r="J146" s="650"/>
      <c r="K146" s="650"/>
      <c r="L146" s="650"/>
    </row>
    <row r="147" spans="2:12" x14ac:dyDescent="0.2">
      <c r="B147" s="660" t="str">
        <f t="shared" si="15"/>
        <v>-</v>
      </c>
      <c r="C147" s="661" t="str">
        <f t="shared" si="16"/>
        <v/>
      </c>
      <c r="D147" s="650" t="str">
        <f t="shared" si="14"/>
        <v/>
      </c>
      <c r="E147" s="650" t="str">
        <f t="shared" si="17"/>
        <v/>
      </c>
      <c r="F147" s="650" t="str">
        <f t="shared" si="18"/>
        <v/>
      </c>
      <c r="G147" s="650" t="str">
        <f t="shared" si="19"/>
        <v/>
      </c>
      <c r="H147" s="650" t="str">
        <f t="shared" si="20"/>
        <v/>
      </c>
      <c r="J147" s="650"/>
      <c r="K147" s="650"/>
      <c r="L147" s="650"/>
    </row>
    <row r="148" spans="2:12" x14ac:dyDescent="0.2">
      <c r="B148" s="660" t="str">
        <f t="shared" si="15"/>
        <v>-</v>
      </c>
      <c r="C148" s="661" t="str">
        <f t="shared" si="16"/>
        <v/>
      </c>
      <c r="D148" s="650" t="str">
        <f t="shared" si="14"/>
        <v/>
      </c>
      <c r="E148" s="650" t="str">
        <f t="shared" si="17"/>
        <v/>
      </c>
      <c r="F148" s="650" t="str">
        <f t="shared" si="18"/>
        <v/>
      </c>
      <c r="G148" s="650" t="str">
        <f t="shared" si="19"/>
        <v/>
      </c>
      <c r="H148" s="650" t="str">
        <f t="shared" si="20"/>
        <v/>
      </c>
      <c r="J148" s="650"/>
      <c r="K148" s="650"/>
      <c r="L148" s="650"/>
    </row>
    <row r="149" spans="2:12" x14ac:dyDescent="0.2">
      <c r="B149" s="660" t="str">
        <f t="shared" si="15"/>
        <v>-</v>
      </c>
      <c r="C149" s="661" t="str">
        <f t="shared" si="16"/>
        <v/>
      </c>
      <c r="D149" s="650" t="str">
        <f t="shared" si="14"/>
        <v/>
      </c>
      <c r="E149" s="650" t="str">
        <f t="shared" si="17"/>
        <v/>
      </c>
      <c r="F149" s="650" t="str">
        <f t="shared" si="18"/>
        <v/>
      </c>
      <c r="G149" s="650" t="str">
        <f t="shared" si="19"/>
        <v/>
      </c>
      <c r="H149" s="650" t="str">
        <f t="shared" si="20"/>
        <v/>
      </c>
      <c r="J149" s="650"/>
      <c r="K149" s="650"/>
      <c r="L149" s="650"/>
    </row>
    <row r="150" spans="2:12" x14ac:dyDescent="0.2">
      <c r="B150" s="660" t="str">
        <f t="shared" si="15"/>
        <v>-</v>
      </c>
      <c r="C150" s="661" t="str">
        <f t="shared" si="16"/>
        <v/>
      </c>
      <c r="D150" s="650" t="str">
        <f t="shared" si="14"/>
        <v/>
      </c>
      <c r="E150" s="650" t="str">
        <f t="shared" si="17"/>
        <v/>
      </c>
      <c r="F150" s="650" t="str">
        <f t="shared" si="18"/>
        <v/>
      </c>
      <c r="G150" s="650" t="str">
        <f t="shared" si="19"/>
        <v/>
      </c>
      <c r="H150" s="650" t="str">
        <f t="shared" si="20"/>
        <v/>
      </c>
      <c r="J150" s="650"/>
      <c r="K150" s="650"/>
      <c r="L150" s="650"/>
    </row>
    <row r="151" spans="2:12" x14ac:dyDescent="0.2">
      <c r="B151" s="660" t="str">
        <f t="shared" si="15"/>
        <v>-</v>
      </c>
      <c r="C151" s="661" t="str">
        <f t="shared" si="16"/>
        <v/>
      </c>
      <c r="D151" s="650" t="str">
        <f t="shared" si="14"/>
        <v/>
      </c>
      <c r="E151" s="650" t="str">
        <f t="shared" si="17"/>
        <v/>
      </c>
      <c r="F151" s="650" t="str">
        <f t="shared" si="18"/>
        <v/>
      </c>
      <c r="G151" s="650" t="str">
        <f t="shared" si="19"/>
        <v/>
      </c>
      <c r="H151" s="650" t="str">
        <f t="shared" si="20"/>
        <v/>
      </c>
      <c r="J151" s="650"/>
      <c r="K151" s="650"/>
      <c r="L151" s="650"/>
    </row>
    <row r="152" spans="2:12" x14ac:dyDescent="0.2">
      <c r="B152" s="660" t="str">
        <f t="shared" si="15"/>
        <v>-</v>
      </c>
      <c r="C152" s="661" t="str">
        <f t="shared" si="16"/>
        <v/>
      </c>
      <c r="D152" s="650" t="str">
        <f t="shared" si="14"/>
        <v/>
      </c>
      <c r="E152" s="650" t="str">
        <f t="shared" si="17"/>
        <v/>
      </c>
      <c r="F152" s="650" t="str">
        <f t="shared" si="18"/>
        <v/>
      </c>
      <c r="G152" s="650" t="str">
        <f t="shared" si="19"/>
        <v/>
      </c>
      <c r="H152" s="650" t="str">
        <f t="shared" si="20"/>
        <v/>
      </c>
      <c r="J152" s="650"/>
      <c r="K152" s="650"/>
      <c r="L152" s="650"/>
    </row>
    <row r="153" spans="2:12" x14ac:dyDescent="0.2">
      <c r="B153" s="660" t="str">
        <f t="shared" si="15"/>
        <v>-</v>
      </c>
      <c r="C153" s="661" t="str">
        <f t="shared" si="16"/>
        <v/>
      </c>
      <c r="D153" s="650" t="str">
        <f t="shared" si="14"/>
        <v/>
      </c>
      <c r="E153" s="650" t="str">
        <f t="shared" si="17"/>
        <v/>
      </c>
      <c r="F153" s="650" t="str">
        <f t="shared" si="18"/>
        <v/>
      </c>
      <c r="G153" s="650" t="str">
        <f t="shared" si="19"/>
        <v/>
      </c>
      <c r="H153" s="650" t="str">
        <f t="shared" si="20"/>
        <v/>
      </c>
      <c r="J153" s="650"/>
      <c r="K153" s="650"/>
      <c r="L153" s="650"/>
    </row>
    <row r="154" spans="2:12" x14ac:dyDescent="0.2">
      <c r="B154" s="660" t="str">
        <f t="shared" si="15"/>
        <v>-</v>
      </c>
      <c r="C154" s="661" t="str">
        <f t="shared" si="16"/>
        <v/>
      </c>
      <c r="D154" s="650" t="str">
        <f t="shared" si="14"/>
        <v/>
      </c>
      <c r="E154" s="650" t="str">
        <f t="shared" si="17"/>
        <v/>
      </c>
      <c r="F154" s="650" t="str">
        <f t="shared" si="18"/>
        <v/>
      </c>
      <c r="G154" s="650" t="str">
        <f t="shared" si="19"/>
        <v/>
      </c>
      <c r="H154" s="650" t="str">
        <f t="shared" si="20"/>
        <v/>
      </c>
      <c r="J154" s="650"/>
      <c r="K154" s="650"/>
      <c r="L154" s="650"/>
    </row>
    <row r="155" spans="2:12" x14ac:dyDescent="0.2">
      <c r="B155" s="660" t="str">
        <f t="shared" si="15"/>
        <v>-</v>
      </c>
      <c r="C155" s="661" t="str">
        <f t="shared" si="16"/>
        <v/>
      </c>
      <c r="D155" s="650" t="str">
        <f t="shared" si="14"/>
        <v/>
      </c>
      <c r="E155" s="650" t="str">
        <f t="shared" si="17"/>
        <v/>
      </c>
      <c r="F155" s="650" t="str">
        <f t="shared" si="18"/>
        <v/>
      </c>
      <c r="G155" s="650" t="str">
        <f t="shared" si="19"/>
        <v/>
      </c>
      <c r="H155" s="650" t="str">
        <f t="shared" si="20"/>
        <v/>
      </c>
      <c r="J155" s="650"/>
      <c r="K155" s="650"/>
      <c r="L155" s="650"/>
    </row>
    <row r="156" spans="2:12" x14ac:dyDescent="0.2">
      <c r="B156" s="660" t="str">
        <f t="shared" si="15"/>
        <v>-</v>
      </c>
      <c r="C156" s="661" t="str">
        <f t="shared" si="16"/>
        <v/>
      </c>
      <c r="D156" s="650" t="str">
        <f t="shared" si="14"/>
        <v/>
      </c>
      <c r="E156" s="650" t="str">
        <f t="shared" si="17"/>
        <v/>
      </c>
      <c r="F156" s="650" t="str">
        <f t="shared" si="18"/>
        <v/>
      </c>
      <c r="G156" s="650" t="str">
        <f t="shared" si="19"/>
        <v/>
      </c>
      <c r="H156" s="650" t="str">
        <f t="shared" si="20"/>
        <v/>
      </c>
      <c r="J156" s="650"/>
      <c r="K156" s="650"/>
      <c r="L156" s="650"/>
    </row>
    <row r="157" spans="2:12" x14ac:dyDescent="0.2">
      <c r="B157" s="660" t="str">
        <f t="shared" si="15"/>
        <v>-</v>
      </c>
      <c r="C157" s="661" t="str">
        <f t="shared" si="16"/>
        <v/>
      </c>
      <c r="D157" s="650" t="str">
        <f t="shared" si="14"/>
        <v/>
      </c>
      <c r="E157" s="650" t="str">
        <f t="shared" si="17"/>
        <v/>
      </c>
      <c r="F157" s="650" t="str">
        <f t="shared" si="18"/>
        <v/>
      </c>
      <c r="G157" s="650" t="str">
        <f t="shared" si="19"/>
        <v/>
      </c>
      <c r="H157" s="650" t="str">
        <f t="shared" si="20"/>
        <v/>
      </c>
      <c r="J157" s="650"/>
      <c r="K157" s="650"/>
      <c r="L157" s="650"/>
    </row>
    <row r="158" spans="2:12" x14ac:dyDescent="0.2">
      <c r="B158" s="660" t="str">
        <f t="shared" si="15"/>
        <v>-</v>
      </c>
      <c r="C158" s="661" t="str">
        <f t="shared" si="16"/>
        <v/>
      </c>
      <c r="D158" s="650" t="str">
        <f t="shared" si="14"/>
        <v/>
      </c>
      <c r="E158" s="650" t="str">
        <f t="shared" si="17"/>
        <v/>
      </c>
      <c r="F158" s="650" t="str">
        <f t="shared" si="18"/>
        <v/>
      </c>
      <c r="G158" s="650" t="str">
        <f t="shared" si="19"/>
        <v/>
      </c>
      <c r="H158" s="650" t="str">
        <f t="shared" si="20"/>
        <v/>
      </c>
      <c r="J158" s="650"/>
      <c r="K158" s="650"/>
      <c r="L158" s="650"/>
    </row>
    <row r="159" spans="2:12" x14ac:dyDescent="0.2">
      <c r="B159" s="660" t="str">
        <f t="shared" si="15"/>
        <v>-</v>
      </c>
      <c r="C159" s="661" t="str">
        <f t="shared" si="16"/>
        <v/>
      </c>
      <c r="D159" s="650" t="str">
        <f t="shared" si="14"/>
        <v/>
      </c>
      <c r="E159" s="650" t="str">
        <f t="shared" si="17"/>
        <v/>
      </c>
      <c r="F159" s="650" t="str">
        <f t="shared" si="18"/>
        <v/>
      </c>
      <c r="G159" s="650" t="str">
        <f t="shared" si="19"/>
        <v/>
      </c>
      <c r="H159" s="650" t="str">
        <f t="shared" si="20"/>
        <v/>
      </c>
      <c r="J159" s="650"/>
      <c r="K159" s="650"/>
      <c r="L159" s="650"/>
    </row>
    <row r="160" spans="2:12" x14ac:dyDescent="0.2">
      <c r="B160" s="660" t="str">
        <f t="shared" si="15"/>
        <v>-</v>
      </c>
      <c r="C160" s="661" t="str">
        <f t="shared" si="16"/>
        <v/>
      </c>
      <c r="D160" s="650" t="str">
        <f t="shared" si="14"/>
        <v/>
      </c>
      <c r="E160" s="650" t="str">
        <f t="shared" si="17"/>
        <v/>
      </c>
      <c r="F160" s="650" t="str">
        <f t="shared" si="18"/>
        <v/>
      </c>
      <c r="G160" s="650" t="str">
        <f t="shared" si="19"/>
        <v/>
      </c>
      <c r="H160" s="650" t="str">
        <f t="shared" si="20"/>
        <v/>
      </c>
      <c r="J160" s="650"/>
      <c r="K160" s="650"/>
      <c r="L160" s="650"/>
    </row>
    <row r="161" spans="2:12" x14ac:dyDescent="0.2">
      <c r="B161" s="660" t="str">
        <f t="shared" si="15"/>
        <v>-</v>
      </c>
      <c r="C161" s="661" t="str">
        <f t="shared" si="16"/>
        <v/>
      </c>
      <c r="D161" s="650" t="str">
        <f t="shared" si="14"/>
        <v/>
      </c>
      <c r="E161" s="650" t="str">
        <f t="shared" si="17"/>
        <v/>
      </c>
      <c r="F161" s="650" t="str">
        <f t="shared" si="18"/>
        <v/>
      </c>
      <c r="G161" s="650" t="str">
        <f t="shared" si="19"/>
        <v/>
      </c>
      <c r="H161" s="650" t="str">
        <f t="shared" si="20"/>
        <v/>
      </c>
      <c r="J161" s="650"/>
      <c r="K161" s="650"/>
      <c r="L161" s="650"/>
    </row>
    <row r="162" spans="2:12" x14ac:dyDescent="0.2">
      <c r="B162" s="660" t="str">
        <f t="shared" si="15"/>
        <v>-</v>
      </c>
      <c r="C162" s="661" t="str">
        <f t="shared" si="16"/>
        <v/>
      </c>
      <c r="D162" s="650" t="str">
        <f t="shared" si="14"/>
        <v/>
      </c>
      <c r="E162" s="650" t="str">
        <f t="shared" si="17"/>
        <v/>
      </c>
      <c r="F162" s="650" t="str">
        <f t="shared" si="18"/>
        <v/>
      </c>
      <c r="G162" s="650" t="str">
        <f t="shared" si="19"/>
        <v/>
      </c>
      <c r="H162" s="650" t="str">
        <f t="shared" si="20"/>
        <v/>
      </c>
      <c r="J162" s="650"/>
      <c r="K162" s="650"/>
      <c r="L162" s="650"/>
    </row>
    <row r="163" spans="2:12" x14ac:dyDescent="0.2">
      <c r="B163" s="660" t="str">
        <f t="shared" si="15"/>
        <v>-</v>
      </c>
      <c r="C163" s="661" t="str">
        <f t="shared" si="16"/>
        <v/>
      </c>
      <c r="D163" s="650" t="str">
        <f t="shared" si="14"/>
        <v/>
      </c>
      <c r="E163" s="650" t="str">
        <f t="shared" si="17"/>
        <v/>
      </c>
      <c r="F163" s="650" t="str">
        <f t="shared" si="18"/>
        <v/>
      </c>
      <c r="G163" s="650" t="str">
        <f t="shared" si="19"/>
        <v/>
      </c>
      <c r="H163" s="650" t="str">
        <f t="shared" si="20"/>
        <v/>
      </c>
      <c r="J163" s="650"/>
      <c r="K163" s="650"/>
      <c r="L163" s="650"/>
    </row>
    <row r="164" spans="2:12" x14ac:dyDescent="0.2">
      <c r="B164" s="660" t="str">
        <f t="shared" si="15"/>
        <v>-</v>
      </c>
      <c r="C164" s="661" t="str">
        <f t="shared" si="16"/>
        <v/>
      </c>
      <c r="D164" s="650" t="str">
        <f t="shared" si="14"/>
        <v/>
      </c>
      <c r="E164" s="650" t="str">
        <f t="shared" si="17"/>
        <v/>
      </c>
      <c r="F164" s="650" t="str">
        <f t="shared" si="18"/>
        <v/>
      </c>
      <c r="G164" s="650" t="str">
        <f t="shared" si="19"/>
        <v/>
      </c>
      <c r="H164" s="650" t="str">
        <f t="shared" si="20"/>
        <v/>
      </c>
      <c r="J164" s="650"/>
      <c r="K164" s="650"/>
      <c r="L164" s="650"/>
    </row>
    <row r="165" spans="2:12" x14ac:dyDescent="0.2">
      <c r="B165" s="660" t="str">
        <f t="shared" si="15"/>
        <v>-</v>
      </c>
      <c r="C165" s="661" t="str">
        <f t="shared" si="16"/>
        <v/>
      </c>
      <c r="D165" s="650" t="str">
        <f t="shared" si="14"/>
        <v/>
      </c>
      <c r="E165" s="650" t="str">
        <f t="shared" si="17"/>
        <v/>
      </c>
      <c r="F165" s="650" t="str">
        <f t="shared" si="18"/>
        <v/>
      </c>
      <c r="G165" s="650" t="str">
        <f t="shared" si="19"/>
        <v/>
      </c>
      <c r="H165" s="650" t="str">
        <f t="shared" si="20"/>
        <v/>
      </c>
      <c r="J165" s="650"/>
      <c r="K165" s="650"/>
      <c r="L165" s="650"/>
    </row>
    <row r="166" spans="2:12" x14ac:dyDescent="0.2">
      <c r="B166" s="660" t="str">
        <f t="shared" si="15"/>
        <v>-</v>
      </c>
      <c r="C166" s="661" t="str">
        <f t="shared" si="16"/>
        <v/>
      </c>
      <c r="D166" s="650" t="str">
        <f t="shared" si="14"/>
        <v/>
      </c>
      <c r="E166" s="650" t="str">
        <f t="shared" si="17"/>
        <v/>
      </c>
      <c r="F166" s="650" t="str">
        <f t="shared" si="18"/>
        <v/>
      </c>
      <c r="G166" s="650" t="str">
        <f t="shared" si="19"/>
        <v/>
      </c>
      <c r="H166" s="650" t="str">
        <f t="shared" si="20"/>
        <v/>
      </c>
      <c r="J166" s="650"/>
      <c r="K166" s="650"/>
      <c r="L166" s="650"/>
    </row>
    <row r="167" spans="2:12" x14ac:dyDescent="0.2">
      <c r="B167" s="660" t="str">
        <f t="shared" si="15"/>
        <v>-</v>
      </c>
      <c r="C167" s="661" t="str">
        <f t="shared" si="16"/>
        <v/>
      </c>
      <c r="D167" s="650" t="str">
        <f t="shared" si="14"/>
        <v/>
      </c>
      <c r="E167" s="650" t="str">
        <f t="shared" si="17"/>
        <v/>
      </c>
      <c r="F167" s="650" t="str">
        <f t="shared" si="18"/>
        <v/>
      </c>
      <c r="G167" s="650" t="str">
        <f t="shared" si="19"/>
        <v/>
      </c>
      <c r="H167" s="650" t="str">
        <f t="shared" si="20"/>
        <v/>
      </c>
      <c r="J167" s="650"/>
      <c r="K167" s="650"/>
      <c r="L167" s="650"/>
    </row>
    <row r="168" spans="2:12" x14ac:dyDescent="0.2">
      <c r="B168" s="660" t="str">
        <f t="shared" si="15"/>
        <v>-</v>
      </c>
      <c r="C168" s="661" t="str">
        <f t="shared" si="16"/>
        <v/>
      </c>
      <c r="D168" s="650" t="str">
        <f t="shared" si="14"/>
        <v/>
      </c>
      <c r="E168" s="650" t="str">
        <f t="shared" si="17"/>
        <v/>
      </c>
      <c r="F168" s="650" t="str">
        <f t="shared" si="18"/>
        <v/>
      </c>
      <c r="G168" s="650" t="str">
        <f t="shared" si="19"/>
        <v/>
      </c>
      <c r="H168" s="650" t="str">
        <f t="shared" si="20"/>
        <v/>
      </c>
      <c r="J168" s="650"/>
      <c r="K168" s="650"/>
      <c r="L168" s="650"/>
    </row>
    <row r="169" spans="2:12" x14ac:dyDescent="0.2">
      <c r="B169" s="660" t="str">
        <f t="shared" si="15"/>
        <v>-</v>
      </c>
      <c r="C169" s="661" t="str">
        <f t="shared" si="16"/>
        <v/>
      </c>
      <c r="D169" s="650" t="str">
        <f t="shared" si="14"/>
        <v/>
      </c>
      <c r="E169" s="650" t="str">
        <f t="shared" si="17"/>
        <v/>
      </c>
      <c r="F169" s="650" t="str">
        <f t="shared" si="18"/>
        <v/>
      </c>
      <c r="G169" s="650" t="str">
        <f t="shared" si="19"/>
        <v/>
      </c>
      <c r="H169" s="650" t="str">
        <f t="shared" si="20"/>
        <v/>
      </c>
      <c r="J169" s="650"/>
      <c r="K169" s="650"/>
      <c r="L169" s="650"/>
    </row>
    <row r="170" spans="2:12" x14ac:dyDescent="0.2">
      <c r="B170" s="660" t="str">
        <f t="shared" si="15"/>
        <v>-</v>
      </c>
      <c r="C170" s="661" t="str">
        <f t="shared" si="16"/>
        <v/>
      </c>
      <c r="D170" s="650" t="str">
        <f t="shared" si="14"/>
        <v/>
      </c>
      <c r="E170" s="650" t="str">
        <f t="shared" si="17"/>
        <v/>
      </c>
      <c r="F170" s="650" t="str">
        <f t="shared" si="18"/>
        <v/>
      </c>
      <c r="G170" s="650" t="str">
        <f t="shared" si="19"/>
        <v/>
      </c>
      <c r="H170" s="650" t="str">
        <f t="shared" si="20"/>
        <v/>
      </c>
      <c r="J170" s="650"/>
      <c r="K170" s="650"/>
      <c r="L170" s="650"/>
    </row>
    <row r="171" spans="2:12" x14ac:dyDescent="0.2">
      <c r="B171" s="660" t="str">
        <f t="shared" si="15"/>
        <v>-</v>
      </c>
      <c r="C171" s="661" t="str">
        <f t="shared" si="16"/>
        <v/>
      </c>
      <c r="D171" s="650" t="str">
        <f t="shared" si="14"/>
        <v/>
      </c>
      <c r="E171" s="650" t="str">
        <f t="shared" si="17"/>
        <v/>
      </c>
      <c r="F171" s="650" t="str">
        <f t="shared" si="18"/>
        <v/>
      </c>
      <c r="G171" s="650" t="str">
        <f t="shared" si="19"/>
        <v/>
      </c>
      <c r="H171" s="650" t="str">
        <f t="shared" si="20"/>
        <v/>
      </c>
      <c r="J171" s="650"/>
      <c r="K171" s="650"/>
      <c r="L171" s="650"/>
    </row>
    <row r="172" spans="2:12" x14ac:dyDescent="0.2">
      <c r="B172" s="660" t="str">
        <f t="shared" si="15"/>
        <v>-</v>
      </c>
      <c r="C172" s="661" t="str">
        <f t="shared" si="16"/>
        <v/>
      </c>
      <c r="D172" s="650" t="str">
        <f t="shared" si="14"/>
        <v/>
      </c>
      <c r="E172" s="650" t="str">
        <f t="shared" si="17"/>
        <v/>
      </c>
      <c r="F172" s="650" t="str">
        <f t="shared" si="18"/>
        <v/>
      </c>
      <c r="G172" s="650" t="str">
        <f t="shared" si="19"/>
        <v/>
      </c>
      <c r="H172" s="650" t="str">
        <f t="shared" si="20"/>
        <v/>
      </c>
      <c r="J172" s="650"/>
      <c r="K172" s="650"/>
      <c r="L172" s="650"/>
    </row>
    <row r="173" spans="2:12" x14ac:dyDescent="0.2">
      <c r="B173" s="660" t="str">
        <f t="shared" si="15"/>
        <v>-</v>
      </c>
      <c r="C173" s="661" t="str">
        <f t="shared" si="16"/>
        <v/>
      </c>
      <c r="D173" s="650" t="str">
        <f t="shared" si="14"/>
        <v/>
      </c>
      <c r="E173" s="650" t="str">
        <f t="shared" si="17"/>
        <v/>
      </c>
      <c r="F173" s="650" t="str">
        <f t="shared" si="18"/>
        <v/>
      </c>
      <c r="G173" s="650" t="str">
        <f t="shared" si="19"/>
        <v/>
      </c>
      <c r="H173" s="650" t="str">
        <f t="shared" si="20"/>
        <v/>
      </c>
      <c r="J173" s="650"/>
      <c r="K173" s="650"/>
      <c r="L173" s="650"/>
    </row>
    <row r="174" spans="2:12" x14ac:dyDescent="0.2">
      <c r="B174" s="660" t="str">
        <f t="shared" si="15"/>
        <v>-</v>
      </c>
      <c r="C174" s="661" t="str">
        <f t="shared" si="16"/>
        <v/>
      </c>
      <c r="D174" s="650" t="str">
        <f t="shared" si="14"/>
        <v/>
      </c>
      <c r="E174" s="650" t="str">
        <f t="shared" si="17"/>
        <v/>
      </c>
      <c r="F174" s="650" t="str">
        <f t="shared" si="18"/>
        <v/>
      </c>
      <c r="G174" s="650" t="str">
        <f t="shared" si="19"/>
        <v/>
      </c>
      <c r="H174" s="650" t="str">
        <f t="shared" si="20"/>
        <v/>
      </c>
      <c r="J174" s="650"/>
      <c r="K174" s="650"/>
      <c r="L174" s="650"/>
    </row>
    <row r="175" spans="2:12" x14ac:dyDescent="0.2">
      <c r="B175" s="660" t="str">
        <f t="shared" si="15"/>
        <v>-</v>
      </c>
      <c r="C175" s="661" t="str">
        <f t="shared" si="16"/>
        <v/>
      </c>
      <c r="D175" s="650" t="str">
        <f t="shared" si="14"/>
        <v/>
      </c>
      <c r="E175" s="650" t="str">
        <f t="shared" si="17"/>
        <v/>
      </c>
      <c r="F175" s="650" t="str">
        <f t="shared" si="18"/>
        <v/>
      </c>
      <c r="G175" s="650" t="str">
        <f t="shared" si="19"/>
        <v/>
      </c>
      <c r="H175" s="650" t="str">
        <f t="shared" si="20"/>
        <v/>
      </c>
      <c r="J175" s="650"/>
      <c r="K175" s="650"/>
      <c r="L175" s="650"/>
    </row>
    <row r="176" spans="2:12" x14ac:dyDescent="0.2">
      <c r="B176" s="660" t="str">
        <f t="shared" si="15"/>
        <v>-</v>
      </c>
      <c r="C176" s="661" t="str">
        <f t="shared" si="16"/>
        <v/>
      </c>
      <c r="D176" s="650" t="str">
        <f t="shared" si="14"/>
        <v/>
      </c>
      <c r="E176" s="650" t="str">
        <f t="shared" si="17"/>
        <v/>
      </c>
      <c r="F176" s="650" t="str">
        <f t="shared" si="18"/>
        <v/>
      </c>
      <c r="G176" s="650" t="str">
        <f t="shared" si="19"/>
        <v/>
      </c>
      <c r="H176" s="650" t="str">
        <f t="shared" si="20"/>
        <v/>
      </c>
      <c r="J176" s="650"/>
      <c r="K176" s="650"/>
      <c r="L176" s="650"/>
    </row>
    <row r="177" spans="2:12" x14ac:dyDescent="0.2">
      <c r="B177" s="660" t="str">
        <f t="shared" si="15"/>
        <v>-</v>
      </c>
      <c r="C177" s="661" t="str">
        <f t="shared" si="16"/>
        <v/>
      </c>
      <c r="D177" s="650" t="str">
        <f t="shared" si="14"/>
        <v/>
      </c>
      <c r="E177" s="650" t="str">
        <f t="shared" si="17"/>
        <v/>
      </c>
      <c r="F177" s="650" t="str">
        <f t="shared" si="18"/>
        <v/>
      </c>
      <c r="G177" s="650" t="str">
        <f t="shared" si="19"/>
        <v/>
      </c>
      <c r="H177" s="650" t="str">
        <f t="shared" si="20"/>
        <v/>
      </c>
      <c r="J177" s="650"/>
      <c r="K177" s="650"/>
      <c r="L177" s="650"/>
    </row>
    <row r="178" spans="2:12" x14ac:dyDescent="0.2">
      <c r="B178" s="660" t="str">
        <f t="shared" si="15"/>
        <v>-</v>
      </c>
      <c r="C178" s="661" t="str">
        <f t="shared" si="16"/>
        <v/>
      </c>
      <c r="D178" s="650" t="str">
        <f t="shared" si="14"/>
        <v/>
      </c>
      <c r="E178" s="650" t="str">
        <f t="shared" si="17"/>
        <v/>
      </c>
      <c r="F178" s="650" t="str">
        <f t="shared" si="18"/>
        <v/>
      </c>
      <c r="G178" s="650" t="str">
        <f t="shared" si="19"/>
        <v/>
      </c>
      <c r="H178" s="650" t="str">
        <f t="shared" si="20"/>
        <v/>
      </c>
      <c r="J178" s="650"/>
      <c r="K178" s="650"/>
      <c r="L178" s="650"/>
    </row>
    <row r="179" spans="2:12" x14ac:dyDescent="0.2">
      <c r="B179" s="660" t="str">
        <f t="shared" si="15"/>
        <v>-</v>
      </c>
      <c r="C179" s="661" t="str">
        <f t="shared" si="16"/>
        <v/>
      </c>
      <c r="D179" s="650" t="str">
        <f t="shared" si="14"/>
        <v/>
      </c>
      <c r="E179" s="650" t="str">
        <f t="shared" si="17"/>
        <v/>
      </c>
      <c r="F179" s="650" t="str">
        <f t="shared" si="18"/>
        <v/>
      </c>
      <c r="G179" s="650" t="str">
        <f t="shared" si="19"/>
        <v/>
      </c>
      <c r="H179" s="650" t="str">
        <f t="shared" si="20"/>
        <v/>
      </c>
      <c r="J179" s="650"/>
      <c r="K179" s="650"/>
      <c r="L179" s="650"/>
    </row>
    <row r="180" spans="2:12" x14ac:dyDescent="0.2">
      <c r="B180" s="660" t="str">
        <f t="shared" si="15"/>
        <v>-</v>
      </c>
      <c r="C180" s="661" t="str">
        <f t="shared" si="16"/>
        <v/>
      </c>
      <c r="D180" s="650" t="str">
        <f t="shared" si="14"/>
        <v/>
      </c>
      <c r="E180" s="650" t="str">
        <f t="shared" si="17"/>
        <v/>
      </c>
      <c r="F180" s="650" t="str">
        <f t="shared" si="18"/>
        <v/>
      </c>
      <c r="G180" s="650" t="str">
        <f t="shared" si="19"/>
        <v/>
      </c>
      <c r="H180" s="650" t="str">
        <f t="shared" si="20"/>
        <v/>
      </c>
      <c r="J180" s="650"/>
      <c r="K180" s="650"/>
      <c r="L180" s="650"/>
    </row>
    <row r="181" spans="2:12" x14ac:dyDescent="0.2">
      <c r="B181" s="660" t="str">
        <f t="shared" si="15"/>
        <v>-</v>
      </c>
      <c r="C181" s="661" t="str">
        <f t="shared" si="16"/>
        <v/>
      </c>
      <c r="D181" s="650" t="str">
        <f t="shared" si="14"/>
        <v/>
      </c>
      <c r="E181" s="650" t="str">
        <f t="shared" si="17"/>
        <v/>
      </c>
      <c r="F181" s="650" t="str">
        <f t="shared" si="18"/>
        <v/>
      </c>
      <c r="G181" s="650" t="str">
        <f t="shared" si="19"/>
        <v/>
      </c>
      <c r="H181" s="650" t="str">
        <f t="shared" si="20"/>
        <v/>
      </c>
      <c r="J181" s="650"/>
      <c r="K181" s="650"/>
      <c r="L181" s="650"/>
    </row>
    <row r="182" spans="2:12" x14ac:dyDescent="0.2">
      <c r="B182" s="660" t="str">
        <f t="shared" si="15"/>
        <v>-</v>
      </c>
      <c r="C182" s="661" t="str">
        <f t="shared" si="16"/>
        <v/>
      </c>
      <c r="D182" s="650" t="str">
        <f t="shared" si="14"/>
        <v/>
      </c>
      <c r="E182" s="650" t="str">
        <f t="shared" si="17"/>
        <v/>
      </c>
      <c r="F182" s="650" t="str">
        <f t="shared" si="18"/>
        <v/>
      </c>
      <c r="G182" s="650" t="str">
        <f t="shared" si="19"/>
        <v/>
      </c>
      <c r="H182" s="650" t="str">
        <f t="shared" si="20"/>
        <v/>
      </c>
      <c r="J182" s="650"/>
      <c r="K182" s="650"/>
      <c r="L182" s="650"/>
    </row>
    <row r="183" spans="2:12" x14ac:dyDescent="0.2">
      <c r="B183" s="660" t="str">
        <f t="shared" si="15"/>
        <v>-</v>
      </c>
      <c r="C183" s="661" t="str">
        <f t="shared" si="16"/>
        <v/>
      </c>
      <c r="D183" s="650" t="str">
        <f t="shared" si="14"/>
        <v/>
      </c>
      <c r="E183" s="650" t="str">
        <f t="shared" si="17"/>
        <v/>
      </c>
      <c r="F183" s="650" t="str">
        <f t="shared" si="18"/>
        <v/>
      </c>
      <c r="G183" s="650" t="str">
        <f t="shared" si="19"/>
        <v/>
      </c>
      <c r="H183" s="650" t="str">
        <f t="shared" si="20"/>
        <v/>
      </c>
      <c r="J183" s="650"/>
      <c r="K183" s="650"/>
      <c r="L183" s="650"/>
    </row>
    <row r="184" spans="2:12" x14ac:dyDescent="0.2">
      <c r="B184" s="660" t="str">
        <f t="shared" si="15"/>
        <v>-</v>
      </c>
      <c r="C184" s="661" t="str">
        <f t="shared" si="16"/>
        <v/>
      </c>
      <c r="D184" s="650" t="str">
        <f t="shared" si="14"/>
        <v/>
      </c>
      <c r="E184" s="650" t="str">
        <f t="shared" si="17"/>
        <v/>
      </c>
      <c r="F184" s="650" t="str">
        <f t="shared" si="18"/>
        <v/>
      </c>
      <c r="G184" s="650" t="str">
        <f t="shared" si="19"/>
        <v/>
      </c>
      <c r="H184" s="650" t="str">
        <f t="shared" si="20"/>
        <v/>
      </c>
      <c r="J184" s="650"/>
      <c r="K184" s="650"/>
      <c r="L184" s="650"/>
    </row>
    <row r="185" spans="2:12" x14ac:dyDescent="0.2">
      <c r="B185" s="660" t="str">
        <f t="shared" si="15"/>
        <v>-</v>
      </c>
      <c r="C185" s="661" t="str">
        <f t="shared" si="16"/>
        <v/>
      </c>
      <c r="D185" s="650" t="str">
        <f t="shared" si="14"/>
        <v/>
      </c>
      <c r="E185" s="650" t="str">
        <f t="shared" si="17"/>
        <v/>
      </c>
      <c r="F185" s="650" t="str">
        <f t="shared" si="18"/>
        <v/>
      </c>
      <c r="G185" s="650" t="str">
        <f t="shared" si="19"/>
        <v/>
      </c>
      <c r="H185" s="650" t="str">
        <f t="shared" si="20"/>
        <v/>
      </c>
      <c r="J185" s="650"/>
      <c r="K185" s="650"/>
      <c r="L185" s="650"/>
    </row>
    <row r="186" spans="2:12" x14ac:dyDescent="0.2">
      <c r="B186" s="660" t="str">
        <f t="shared" si="15"/>
        <v>-</v>
      </c>
      <c r="C186" s="661" t="str">
        <f t="shared" si="16"/>
        <v/>
      </c>
      <c r="D186" s="650" t="str">
        <f t="shared" si="14"/>
        <v/>
      </c>
      <c r="E186" s="650" t="str">
        <f t="shared" si="17"/>
        <v/>
      </c>
      <c r="F186" s="650" t="str">
        <f t="shared" si="18"/>
        <v/>
      </c>
      <c r="G186" s="650" t="str">
        <f t="shared" si="19"/>
        <v/>
      </c>
      <c r="H186" s="650" t="str">
        <f t="shared" si="20"/>
        <v/>
      </c>
      <c r="J186" s="650"/>
      <c r="K186" s="650"/>
      <c r="L186" s="650"/>
    </row>
    <row r="187" spans="2:12" x14ac:dyDescent="0.2">
      <c r="B187" s="660" t="str">
        <f t="shared" si="15"/>
        <v>-</v>
      </c>
      <c r="C187" s="661" t="str">
        <f t="shared" si="16"/>
        <v/>
      </c>
      <c r="D187" s="650" t="str">
        <f t="shared" si="14"/>
        <v/>
      </c>
      <c r="E187" s="650" t="str">
        <f t="shared" si="17"/>
        <v/>
      </c>
      <c r="F187" s="650" t="str">
        <f t="shared" si="18"/>
        <v/>
      </c>
      <c r="G187" s="650" t="str">
        <f t="shared" si="19"/>
        <v/>
      </c>
      <c r="H187" s="650" t="str">
        <f t="shared" si="20"/>
        <v/>
      </c>
      <c r="J187" s="650"/>
      <c r="K187" s="650"/>
      <c r="L187" s="650"/>
    </row>
    <row r="188" spans="2:12" x14ac:dyDescent="0.2">
      <c r="B188" s="660" t="str">
        <f t="shared" si="15"/>
        <v>-</v>
      </c>
      <c r="C188" s="661" t="str">
        <f t="shared" si="16"/>
        <v/>
      </c>
      <c r="D188" s="650" t="str">
        <f t="shared" si="14"/>
        <v/>
      </c>
      <c r="E188" s="650" t="str">
        <f t="shared" si="17"/>
        <v/>
      </c>
      <c r="F188" s="650" t="str">
        <f t="shared" si="18"/>
        <v/>
      </c>
      <c r="G188" s="650" t="str">
        <f t="shared" si="19"/>
        <v/>
      </c>
      <c r="H188" s="650" t="str">
        <f t="shared" si="20"/>
        <v/>
      </c>
      <c r="J188" s="650"/>
      <c r="K188" s="650"/>
      <c r="L188" s="650"/>
    </row>
    <row r="189" spans="2:12" x14ac:dyDescent="0.2">
      <c r="B189" s="660" t="str">
        <f t="shared" si="15"/>
        <v>-</v>
      </c>
      <c r="C189" s="661" t="str">
        <f t="shared" si="16"/>
        <v/>
      </c>
      <c r="D189" s="650" t="str">
        <f t="shared" si="14"/>
        <v/>
      </c>
      <c r="E189" s="650" t="str">
        <f t="shared" si="17"/>
        <v/>
      </c>
      <c r="F189" s="650" t="str">
        <f t="shared" si="18"/>
        <v/>
      </c>
      <c r="G189" s="650" t="str">
        <f t="shared" si="19"/>
        <v/>
      </c>
      <c r="H189" s="650" t="str">
        <f t="shared" si="20"/>
        <v/>
      </c>
      <c r="J189" s="650"/>
      <c r="K189" s="650"/>
      <c r="L189" s="650"/>
    </row>
    <row r="190" spans="2:12" x14ac:dyDescent="0.2">
      <c r="B190" s="660" t="str">
        <f t="shared" si="15"/>
        <v>-</v>
      </c>
      <c r="C190" s="661" t="str">
        <f t="shared" si="16"/>
        <v/>
      </c>
      <c r="D190" s="650" t="str">
        <f t="shared" si="14"/>
        <v/>
      </c>
      <c r="E190" s="650" t="str">
        <f t="shared" si="17"/>
        <v/>
      </c>
      <c r="F190" s="650" t="str">
        <f t="shared" si="18"/>
        <v/>
      </c>
      <c r="G190" s="650" t="str">
        <f t="shared" si="19"/>
        <v/>
      </c>
      <c r="H190" s="650" t="str">
        <f t="shared" si="20"/>
        <v/>
      </c>
      <c r="J190" s="650"/>
      <c r="K190" s="650"/>
      <c r="L190" s="650"/>
    </row>
    <row r="191" spans="2:12" x14ac:dyDescent="0.2">
      <c r="B191" s="660" t="str">
        <f t="shared" si="15"/>
        <v>-</v>
      </c>
      <c r="C191" s="661" t="str">
        <f t="shared" si="16"/>
        <v/>
      </c>
      <c r="D191" s="650" t="str">
        <f t="shared" si="14"/>
        <v/>
      </c>
      <c r="E191" s="650" t="str">
        <f t="shared" si="17"/>
        <v/>
      </c>
      <c r="F191" s="650" t="str">
        <f t="shared" si="18"/>
        <v/>
      </c>
      <c r="G191" s="650" t="str">
        <f t="shared" si="19"/>
        <v/>
      </c>
      <c r="H191" s="650" t="str">
        <f t="shared" si="20"/>
        <v/>
      </c>
      <c r="J191" s="650"/>
      <c r="K191" s="650"/>
      <c r="L191" s="650"/>
    </row>
    <row r="192" spans="2:12" x14ac:dyDescent="0.2">
      <c r="B192" s="660" t="str">
        <f t="shared" si="15"/>
        <v>-</v>
      </c>
      <c r="C192" s="661" t="str">
        <f t="shared" si="16"/>
        <v/>
      </c>
      <c r="D192" s="650" t="str">
        <f t="shared" si="14"/>
        <v/>
      </c>
      <c r="E192" s="650" t="str">
        <f t="shared" si="17"/>
        <v/>
      </c>
      <c r="F192" s="650" t="str">
        <f t="shared" si="18"/>
        <v/>
      </c>
      <c r="G192" s="650" t="str">
        <f t="shared" si="19"/>
        <v/>
      </c>
      <c r="H192" s="650" t="str">
        <f t="shared" si="20"/>
        <v/>
      </c>
      <c r="J192" s="650"/>
      <c r="K192" s="650"/>
      <c r="L192" s="650"/>
    </row>
    <row r="193" spans="2:12" x14ac:dyDescent="0.2">
      <c r="B193" s="660" t="str">
        <f t="shared" si="15"/>
        <v>-</v>
      </c>
      <c r="C193" s="661" t="str">
        <f t="shared" si="16"/>
        <v/>
      </c>
      <c r="D193" s="650" t="str">
        <f t="shared" si="14"/>
        <v/>
      </c>
      <c r="E193" s="650" t="str">
        <f t="shared" si="17"/>
        <v/>
      </c>
      <c r="F193" s="650" t="str">
        <f t="shared" si="18"/>
        <v/>
      </c>
      <c r="G193" s="650" t="str">
        <f t="shared" si="19"/>
        <v/>
      </c>
      <c r="H193" s="650" t="str">
        <f t="shared" si="20"/>
        <v/>
      </c>
      <c r="J193" s="650"/>
      <c r="K193" s="650"/>
      <c r="L193" s="650"/>
    </row>
    <row r="194" spans="2:12" x14ac:dyDescent="0.2">
      <c r="B194" s="660" t="str">
        <f t="shared" si="15"/>
        <v>-</v>
      </c>
      <c r="C194" s="661" t="str">
        <f t="shared" si="16"/>
        <v/>
      </c>
      <c r="D194" s="650" t="str">
        <f t="shared" si="14"/>
        <v/>
      </c>
      <c r="E194" s="650" t="str">
        <f t="shared" si="17"/>
        <v/>
      </c>
      <c r="F194" s="650" t="str">
        <f t="shared" si="18"/>
        <v/>
      </c>
      <c r="G194" s="650" t="str">
        <f t="shared" si="19"/>
        <v/>
      </c>
      <c r="H194" s="650" t="str">
        <f t="shared" si="20"/>
        <v/>
      </c>
      <c r="J194" s="650"/>
      <c r="K194" s="650"/>
      <c r="L194" s="650"/>
    </row>
    <row r="195" spans="2:12" x14ac:dyDescent="0.2">
      <c r="B195" s="660" t="str">
        <f t="shared" si="15"/>
        <v>-</v>
      </c>
      <c r="C195" s="661" t="str">
        <f t="shared" si="16"/>
        <v/>
      </c>
      <c r="D195" s="650" t="str">
        <f t="shared" si="14"/>
        <v/>
      </c>
      <c r="E195" s="650" t="str">
        <f t="shared" si="17"/>
        <v/>
      </c>
      <c r="F195" s="650" t="str">
        <f t="shared" si="18"/>
        <v/>
      </c>
      <c r="G195" s="650" t="str">
        <f t="shared" si="19"/>
        <v/>
      </c>
      <c r="H195" s="650" t="str">
        <f t="shared" si="20"/>
        <v/>
      </c>
      <c r="J195" s="650"/>
      <c r="K195" s="650"/>
      <c r="L195" s="650"/>
    </row>
    <row r="196" spans="2:12" x14ac:dyDescent="0.2">
      <c r="B196" s="660" t="str">
        <f t="shared" si="15"/>
        <v>-</v>
      </c>
      <c r="C196" s="661" t="str">
        <f t="shared" si="16"/>
        <v/>
      </c>
      <c r="D196" s="650" t="str">
        <f t="shared" si="14"/>
        <v/>
      </c>
      <c r="E196" s="650" t="str">
        <f t="shared" si="17"/>
        <v/>
      </c>
      <c r="F196" s="650" t="str">
        <f t="shared" si="18"/>
        <v/>
      </c>
      <c r="G196" s="650" t="str">
        <f t="shared" si="19"/>
        <v/>
      </c>
      <c r="H196" s="650" t="str">
        <f t="shared" si="20"/>
        <v/>
      </c>
      <c r="J196" s="650"/>
      <c r="K196" s="650"/>
      <c r="L196" s="650"/>
    </row>
    <row r="197" spans="2:12" x14ac:dyDescent="0.2">
      <c r="B197" s="660" t="str">
        <f t="shared" si="15"/>
        <v>-</v>
      </c>
      <c r="C197" s="661" t="str">
        <f t="shared" si="16"/>
        <v/>
      </c>
      <c r="D197" s="650" t="str">
        <f t="shared" si="14"/>
        <v/>
      </c>
      <c r="E197" s="650" t="str">
        <f t="shared" si="17"/>
        <v/>
      </c>
      <c r="F197" s="650" t="str">
        <f t="shared" si="18"/>
        <v/>
      </c>
      <c r="G197" s="650" t="str">
        <f t="shared" si="19"/>
        <v/>
      </c>
      <c r="H197" s="650" t="str">
        <f t="shared" si="20"/>
        <v/>
      </c>
      <c r="J197" s="650"/>
      <c r="K197" s="650"/>
      <c r="L197" s="650"/>
    </row>
    <row r="198" spans="2:12" x14ac:dyDescent="0.2">
      <c r="B198" s="660" t="str">
        <f t="shared" si="15"/>
        <v>-</v>
      </c>
      <c r="C198" s="661" t="str">
        <f t="shared" si="16"/>
        <v/>
      </c>
      <c r="D198" s="650" t="str">
        <f t="shared" ref="D198:D261" si="21">IF(ISNUMBER(B198),D197-F197,"")</f>
        <v/>
      </c>
      <c r="E198" s="650" t="str">
        <f t="shared" si="17"/>
        <v/>
      </c>
      <c r="F198" s="650" t="str">
        <f t="shared" si="18"/>
        <v/>
      </c>
      <c r="G198" s="650" t="str">
        <f t="shared" si="19"/>
        <v/>
      </c>
      <c r="H198" s="650" t="str">
        <f t="shared" si="20"/>
        <v/>
      </c>
      <c r="J198" s="650"/>
      <c r="K198" s="650"/>
      <c r="L198" s="650"/>
    </row>
    <row r="199" spans="2:12" x14ac:dyDescent="0.2">
      <c r="B199" s="660" t="str">
        <f t="shared" si="15"/>
        <v>-</v>
      </c>
      <c r="C199" s="661" t="str">
        <f t="shared" si="16"/>
        <v/>
      </c>
      <c r="D199" s="650" t="str">
        <f t="shared" si="21"/>
        <v/>
      </c>
      <c r="E199" s="650" t="str">
        <f t="shared" si="17"/>
        <v/>
      </c>
      <c r="F199" s="650" t="str">
        <f t="shared" si="18"/>
        <v/>
      </c>
      <c r="G199" s="650" t="str">
        <f t="shared" si="19"/>
        <v/>
      </c>
      <c r="H199" s="650" t="str">
        <f t="shared" si="20"/>
        <v/>
      </c>
      <c r="J199" s="650"/>
      <c r="K199" s="650"/>
      <c r="L199" s="650"/>
    </row>
    <row r="200" spans="2:12" x14ac:dyDescent="0.2">
      <c r="B200" s="660" t="str">
        <f t="shared" si="15"/>
        <v>-</v>
      </c>
      <c r="C200" s="661" t="str">
        <f t="shared" si="16"/>
        <v/>
      </c>
      <c r="D200" s="650" t="str">
        <f t="shared" si="21"/>
        <v/>
      </c>
      <c r="E200" s="650" t="str">
        <f t="shared" si="17"/>
        <v/>
      </c>
      <c r="F200" s="650" t="str">
        <f t="shared" si="18"/>
        <v/>
      </c>
      <c r="G200" s="650" t="str">
        <f t="shared" si="19"/>
        <v/>
      </c>
      <c r="H200" s="650" t="str">
        <f t="shared" si="20"/>
        <v/>
      </c>
      <c r="J200" s="650"/>
      <c r="K200" s="650"/>
      <c r="L200" s="650"/>
    </row>
    <row r="201" spans="2:12" x14ac:dyDescent="0.2">
      <c r="B201" s="660" t="str">
        <f t="shared" si="15"/>
        <v>-</v>
      </c>
      <c r="C201" s="661" t="str">
        <f t="shared" si="16"/>
        <v/>
      </c>
      <c r="D201" s="650" t="str">
        <f t="shared" si="21"/>
        <v/>
      </c>
      <c r="E201" s="650" t="str">
        <f t="shared" si="17"/>
        <v/>
      </c>
      <c r="F201" s="650" t="str">
        <f t="shared" si="18"/>
        <v/>
      </c>
      <c r="G201" s="650" t="str">
        <f t="shared" si="19"/>
        <v/>
      </c>
      <c r="H201" s="650" t="str">
        <f t="shared" si="20"/>
        <v/>
      </c>
      <c r="J201" s="650"/>
      <c r="K201" s="650"/>
      <c r="L201" s="650"/>
    </row>
    <row r="202" spans="2:12" x14ac:dyDescent="0.2">
      <c r="B202" s="660" t="str">
        <f t="shared" si="15"/>
        <v>-</v>
      </c>
      <c r="C202" s="661" t="str">
        <f t="shared" si="16"/>
        <v/>
      </c>
      <c r="D202" s="650" t="str">
        <f t="shared" si="21"/>
        <v/>
      </c>
      <c r="E202" s="650" t="str">
        <f t="shared" si="17"/>
        <v/>
      </c>
      <c r="F202" s="650" t="str">
        <f t="shared" si="18"/>
        <v/>
      </c>
      <c r="G202" s="650" t="str">
        <f t="shared" si="19"/>
        <v/>
      </c>
      <c r="H202" s="650" t="str">
        <f t="shared" si="20"/>
        <v/>
      </c>
      <c r="J202" s="650"/>
      <c r="K202" s="650"/>
      <c r="L202" s="650"/>
    </row>
    <row r="203" spans="2:12" x14ac:dyDescent="0.2">
      <c r="B203" s="660" t="str">
        <f t="shared" si="15"/>
        <v>-</v>
      </c>
      <c r="C203" s="661" t="str">
        <f t="shared" si="16"/>
        <v/>
      </c>
      <c r="D203" s="650" t="str">
        <f t="shared" si="21"/>
        <v/>
      </c>
      <c r="E203" s="650" t="str">
        <f t="shared" si="17"/>
        <v/>
      </c>
      <c r="F203" s="650" t="str">
        <f t="shared" si="18"/>
        <v/>
      </c>
      <c r="G203" s="650" t="str">
        <f t="shared" si="19"/>
        <v/>
      </c>
      <c r="H203" s="650" t="str">
        <f t="shared" si="20"/>
        <v/>
      </c>
      <c r="J203" s="650"/>
      <c r="K203" s="650"/>
      <c r="L203" s="650"/>
    </row>
    <row r="204" spans="2:12" x14ac:dyDescent="0.2">
      <c r="B204" s="660" t="str">
        <f t="shared" ref="B204:B267" si="22">IF(B203&lt;$L$3,B203+1,"-")</f>
        <v>-</v>
      </c>
      <c r="C204" s="661" t="str">
        <f t="shared" ref="C204:C267" si="23">IF(ISNUMBER(B204),MIN(DATE(YEAR($C$11),MONTH($C$11)+B204*12/$P$5,DAY($C$11)),DATE(YEAR($C$11),MONTH($C$11)+1+B204*12/$P$5,1)-1),"")</f>
        <v/>
      </c>
      <c r="D204" s="650" t="str">
        <f t="shared" si="21"/>
        <v/>
      </c>
      <c r="E204" s="650" t="str">
        <f t="shared" ref="E204:E267" si="24">IF(ISNUMBER(B204),ROUND(D204*$L$7,$R$6),"")</f>
        <v/>
      </c>
      <c r="F204" s="650" t="str">
        <f t="shared" ref="F204:F267" si="25">IF(ISNUMBER(B204),IF(B204=$L$3,D204,IF(B204&gt;$L$4,$H$3-E204,0)),"")</f>
        <v/>
      </c>
      <c r="G204" s="650" t="str">
        <f t="shared" ref="G204:G267" si="26">IF(ISNUMBER(B204),$H$4,"")</f>
        <v/>
      </c>
      <c r="H204" s="650" t="str">
        <f t="shared" ref="H204:H267" si="27">IF(ISNUMBER(B204),E204+F204+G204,"")</f>
        <v/>
      </c>
      <c r="J204" s="650"/>
      <c r="K204" s="650"/>
      <c r="L204" s="650"/>
    </row>
    <row r="205" spans="2:12" x14ac:dyDescent="0.2">
      <c r="B205" s="660" t="str">
        <f t="shared" si="22"/>
        <v>-</v>
      </c>
      <c r="C205" s="661" t="str">
        <f t="shared" si="23"/>
        <v/>
      </c>
      <c r="D205" s="650" t="str">
        <f t="shared" si="21"/>
        <v/>
      </c>
      <c r="E205" s="650" t="str">
        <f t="shared" si="24"/>
        <v/>
      </c>
      <c r="F205" s="650" t="str">
        <f t="shared" si="25"/>
        <v/>
      </c>
      <c r="G205" s="650" t="str">
        <f t="shared" si="26"/>
        <v/>
      </c>
      <c r="H205" s="650" t="str">
        <f t="shared" si="27"/>
        <v/>
      </c>
      <c r="J205" s="650"/>
      <c r="K205" s="650"/>
      <c r="L205" s="650"/>
    </row>
    <row r="206" spans="2:12" x14ac:dyDescent="0.2">
      <c r="B206" s="660" t="str">
        <f t="shared" si="22"/>
        <v>-</v>
      </c>
      <c r="C206" s="661" t="str">
        <f t="shared" si="23"/>
        <v/>
      </c>
      <c r="D206" s="650" t="str">
        <f t="shared" si="21"/>
        <v/>
      </c>
      <c r="E206" s="650" t="str">
        <f t="shared" si="24"/>
        <v/>
      </c>
      <c r="F206" s="650" t="str">
        <f t="shared" si="25"/>
        <v/>
      </c>
      <c r="G206" s="650" t="str">
        <f t="shared" si="26"/>
        <v/>
      </c>
      <c r="H206" s="650" t="str">
        <f t="shared" si="27"/>
        <v/>
      </c>
      <c r="J206" s="650"/>
      <c r="K206" s="650"/>
      <c r="L206" s="650"/>
    </row>
    <row r="207" spans="2:12" x14ac:dyDescent="0.2">
      <c r="B207" s="660" t="str">
        <f t="shared" si="22"/>
        <v>-</v>
      </c>
      <c r="C207" s="661" t="str">
        <f t="shared" si="23"/>
        <v/>
      </c>
      <c r="D207" s="650" t="str">
        <f t="shared" si="21"/>
        <v/>
      </c>
      <c r="E207" s="650" t="str">
        <f t="shared" si="24"/>
        <v/>
      </c>
      <c r="F207" s="650" t="str">
        <f t="shared" si="25"/>
        <v/>
      </c>
      <c r="G207" s="650" t="str">
        <f t="shared" si="26"/>
        <v/>
      </c>
      <c r="H207" s="650" t="str">
        <f t="shared" si="27"/>
        <v/>
      </c>
      <c r="J207" s="650"/>
      <c r="K207" s="650"/>
      <c r="L207" s="650"/>
    </row>
    <row r="208" spans="2:12" x14ac:dyDescent="0.2">
      <c r="B208" s="660" t="str">
        <f t="shared" si="22"/>
        <v>-</v>
      </c>
      <c r="C208" s="661" t="str">
        <f t="shared" si="23"/>
        <v/>
      </c>
      <c r="D208" s="650" t="str">
        <f t="shared" si="21"/>
        <v/>
      </c>
      <c r="E208" s="650" t="str">
        <f t="shared" si="24"/>
        <v/>
      </c>
      <c r="F208" s="650" t="str">
        <f t="shared" si="25"/>
        <v/>
      </c>
      <c r="G208" s="650" t="str">
        <f t="shared" si="26"/>
        <v/>
      </c>
      <c r="H208" s="650" t="str">
        <f t="shared" si="27"/>
        <v/>
      </c>
      <c r="J208" s="650"/>
      <c r="K208" s="650"/>
      <c r="L208" s="650"/>
    </row>
    <row r="209" spans="2:12" x14ac:dyDescent="0.2">
      <c r="B209" s="660" t="str">
        <f t="shared" si="22"/>
        <v>-</v>
      </c>
      <c r="C209" s="661" t="str">
        <f t="shared" si="23"/>
        <v/>
      </c>
      <c r="D209" s="650" t="str">
        <f t="shared" si="21"/>
        <v/>
      </c>
      <c r="E209" s="650" t="str">
        <f t="shared" si="24"/>
        <v/>
      </c>
      <c r="F209" s="650" t="str">
        <f t="shared" si="25"/>
        <v/>
      </c>
      <c r="G209" s="650" t="str">
        <f t="shared" si="26"/>
        <v/>
      </c>
      <c r="H209" s="650" t="str">
        <f t="shared" si="27"/>
        <v/>
      </c>
      <c r="J209" s="650"/>
      <c r="K209" s="650"/>
      <c r="L209" s="650"/>
    </row>
    <row r="210" spans="2:12" x14ac:dyDescent="0.2">
      <c r="B210" s="660" t="str">
        <f t="shared" si="22"/>
        <v>-</v>
      </c>
      <c r="C210" s="661" t="str">
        <f t="shared" si="23"/>
        <v/>
      </c>
      <c r="D210" s="650" t="str">
        <f t="shared" si="21"/>
        <v/>
      </c>
      <c r="E210" s="650" t="str">
        <f t="shared" si="24"/>
        <v/>
      </c>
      <c r="F210" s="650" t="str">
        <f t="shared" si="25"/>
        <v/>
      </c>
      <c r="G210" s="650" t="str">
        <f t="shared" si="26"/>
        <v/>
      </c>
      <c r="H210" s="650" t="str">
        <f t="shared" si="27"/>
        <v/>
      </c>
      <c r="J210" s="650"/>
      <c r="K210" s="650"/>
      <c r="L210" s="650"/>
    </row>
    <row r="211" spans="2:12" x14ac:dyDescent="0.2">
      <c r="B211" s="660" t="str">
        <f t="shared" si="22"/>
        <v>-</v>
      </c>
      <c r="C211" s="661" t="str">
        <f t="shared" si="23"/>
        <v/>
      </c>
      <c r="D211" s="650" t="str">
        <f t="shared" si="21"/>
        <v/>
      </c>
      <c r="E211" s="650" t="str">
        <f t="shared" si="24"/>
        <v/>
      </c>
      <c r="F211" s="650" t="str">
        <f t="shared" si="25"/>
        <v/>
      </c>
      <c r="G211" s="650" t="str">
        <f t="shared" si="26"/>
        <v/>
      </c>
      <c r="H211" s="650" t="str">
        <f t="shared" si="27"/>
        <v/>
      </c>
      <c r="J211" s="650"/>
      <c r="K211" s="650"/>
      <c r="L211" s="650"/>
    </row>
    <row r="212" spans="2:12" x14ac:dyDescent="0.2">
      <c r="B212" s="660" t="str">
        <f t="shared" si="22"/>
        <v>-</v>
      </c>
      <c r="C212" s="661" t="str">
        <f t="shared" si="23"/>
        <v/>
      </c>
      <c r="D212" s="650" t="str">
        <f t="shared" si="21"/>
        <v/>
      </c>
      <c r="E212" s="650" t="str">
        <f t="shared" si="24"/>
        <v/>
      </c>
      <c r="F212" s="650" t="str">
        <f t="shared" si="25"/>
        <v/>
      </c>
      <c r="G212" s="650" t="str">
        <f t="shared" si="26"/>
        <v/>
      </c>
      <c r="H212" s="650" t="str">
        <f t="shared" si="27"/>
        <v/>
      </c>
      <c r="J212" s="650"/>
      <c r="K212" s="650"/>
      <c r="L212" s="650"/>
    </row>
    <row r="213" spans="2:12" x14ac:dyDescent="0.2">
      <c r="B213" s="660" t="str">
        <f t="shared" si="22"/>
        <v>-</v>
      </c>
      <c r="C213" s="661" t="str">
        <f t="shared" si="23"/>
        <v/>
      </c>
      <c r="D213" s="650" t="str">
        <f t="shared" si="21"/>
        <v/>
      </c>
      <c r="E213" s="650" t="str">
        <f t="shared" si="24"/>
        <v/>
      </c>
      <c r="F213" s="650" t="str">
        <f t="shared" si="25"/>
        <v/>
      </c>
      <c r="G213" s="650" t="str">
        <f t="shared" si="26"/>
        <v/>
      </c>
      <c r="H213" s="650" t="str">
        <f t="shared" si="27"/>
        <v/>
      </c>
      <c r="J213" s="650"/>
      <c r="K213" s="650"/>
      <c r="L213" s="650"/>
    </row>
    <row r="214" spans="2:12" x14ac:dyDescent="0.2">
      <c r="B214" s="660" t="str">
        <f t="shared" si="22"/>
        <v>-</v>
      </c>
      <c r="C214" s="661" t="str">
        <f t="shared" si="23"/>
        <v/>
      </c>
      <c r="D214" s="650" t="str">
        <f t="shared" si="21"/>
        <v/>
      </c>
      <c r="E214" s="650" t="str">
        <f t="shared" si="24"/>
        <v/>
      </c>
      <c r="F214" s="650" t="str">
        <f t="shared" si="25"/>
        <v/>
      </c>
      <c r="G214" s="650" t="str">
        <f t="shared" si="26"/>
        <v/>
      </c>
      <c r="H214" s="650" t="str">
        <f t="shared" si="27"/>
        <v/>
      </c>
      <c r="J214" s="650"/>
      <c r="K214" s="650"/>
      <c r="L214" s="650"/>
    </row>
    <row r="215" spans="2:12" x14ac:dyDescent="0.2">
      <c r="B215" s="660" t="str">
        <f t="shared" si="22"/>
        <v>-</v>
      </c>
      <c r="C215" s="661" t="str">
        <f t="shared" si="23"/>
        <v/>
      </c>
      <c r="D215" s="650" t="str">
        <f t="shared" si="21"/>
        <v/>
      </c>
      <c r="E215" s="650" t="str">
        <f t="shared" si="24"/>
        <v/>
      </c>
      <c r="F215" s="650" t="str">
        <f t="shared" si="25"/>
        <v/>
      </c>
      <c r="G215" s="650" t="str">
        <f t="shared" si="26"/>
        <v/>
      </c>
      <c r="H215" s="650" t="str">
        <f t="shared" si="27"/>
        <v/>
      </c>
      <c r="J215" s="650"/>
      <c r="K215" s="650"/>
      <c r="L215" s="650"/>
    </row>
    <row r="216" spans="2:12" x14ac:dyDescent="0.2">
      <c r="B216" s="660" t="str">
        <f t="shared" si="22"/>
        <v>-</v>
      </c>
      <c r="C216" s="661" t="str">
        <f t="shared" si="23"/>
        <v/>
      </c>
      <c r="D216" s="650" t="str">
        <f t="shared" si="21"/>
        <v/>
      </c>
      <c r="E216" s="650" t="str">
        <f t="shared" si="24"/>
        <v/>
      </c>
      <c r="F216" s="650" t="str">
        <f t="shared" si="25"/>
        <v/>
      </c>
      <c r="G216" s="650" t="str">
        <f t="shared" si="26"/>
        <v/>
      </c>
      <c r="H216" s="650" t="str">
        <f t="shared" si="27"/>
        <v/>
      </c>
      <c r="J216" s="650"/>
      <c r="K216" s="650"/>
      <c r="L216" s="650"/>
    </row>
    <row r="217" spans="2:12" x14ac:dyDescent="0.2">
      <c r="B217" s="660" t="str">
        <f t="shared" si="22"/>
        <v>-</v>
      </c>
      <c r="C217" s="661" t="str">
        <f t="shared" si="23"/>
        <v/>
      </c>
      <c r="D217" s="650" t="str">
        <f t="shared" si="21"/>
        <v/>
      </c>
      <c r="E217" s="650" t="str">
        <f t="shared" si="24"/>
        <v/>
      </c>
      <c r="F217" s="650" t="str">
        <f t="shared" si="25"/>
        <v/>
      </c>
      <c r="G217" s="650" t="str">
        <f t="shared" si="26"/>
        <v/>
      </c>
      <c r="H217" s="650" t="str">
        <f t="shared" si="27"/>
        <v/>
      </c>
      <c r="J217" s="650"/>
      <c r="K217" s="650"/>
      <c r="L217" s="650"/>
    </row>
    <row r="218" spans="2:12" x14ac:dyDescent="0.2">
      <c r="B218" s="660" t="str">
        <f t="shared" si="22"/>
        <v>-</v>
      </c>
      <c r="C218" s="661" t="str">
        <f t="shared" si="23"/>
        <v/>
      </c>
      <c r="D218" s="650" t="str">
        <f t="shared" si="21"/>
        <v/>
      </c>
      <c r="E218" s="650" t="str">
        <f t="shared" si="24"/>
        <v/>
      </c>
      <c r="F218" s="650" t="str">
        <f t="shared" si="25"/>
        <v/>
      </c>
      <c r="G218" s="650" t="str">
        <f t="shared" si="26"/>
        <v/>
      </c>
      <c r="H218" s="650" t="str">
        <f t="shared" si="27"/>
        <v/>
      </c>
      <c r="J218" s="650"/>
      <c r="K218" s="650"/>
      <c r="L218" s="650"/>
    </row>
    <row r="219" spans="2:12" x14ac:dyDescent="0.2">
      <c r="B219" s="660" t="str">
        <f t="shared" si="22"/>
        <v>-</v>
      </c>
      <c r="C219" s="661" t="str">
        <f t="shared" si="23"/>
        <v/>
      </c>
      <c r="D219" s="650" t="str">
        <f t="shared" si="21"/>
        <v/>
      </c>
      <c r="E219" s="650" t="str">
        <f t="shared" si="24"/>
        <v/>
      </c>
      <c r="F219" s="650" t="str">
        <f t="shared" si="25"/>
        <v/>
      </c>
      <c r="G219" s="650" t="str">
        <f t="shared" si="26"/>
        <v/>
      </c>
      <c r="H219" s="650" t="str">
        <f t="shared" si="27"/>
        <v/>
      </c>
      <c r="J219" s="650"/>
      <c r="K219" s="650"/>
      <c r="L219" s="650"/>
    </row>
    <row r="220" spans="2:12" x14ac:dyDescent="0.2">
      <c r="B220" s="660" t="str">
        <f t="shared" si="22"/>
        <v>-</v>
      </c>
      <c r="C220" s="661" t="str">
        <f t="shared" si="23"/>
        <v/>
      </c>
      <c r="D220" s="650" t="str">
        <f t="shared" si="21"/>
        <v/>
      </c>
      <c r="E220" s="650" t="str">
        <f t="shared" si="24"/>
        <v/>
      </c>
      <c r="F220" s="650" t="str">
        <f t="shared" si="25"/>
        <v/>
      </c>
      <c r="G220" s="650" t="str">
        <f t="shared" si="26"/>
        <v/>
      </c>
      <c r="H220" s="650" t="str">
        <f t="shared" si="27"/>
        <v/>
      </c>
      <c r="J220" s="650"/>
      <c r="K220" s="650"/>
      <c r="L220" s="650"/>
    </row>
    <row r="221" spans="2:12" x14ac:dyDescent="0.2">
      <c r="B221" s="660" t="str">
        <f t="shared" si="22"/>
        <v>-</v>
      </c>
      <c r="C221" s="661" t="str">
        <f t="shared" si="23"/>
        <v/>
      </c>
      <c r="D221" s="650" t="str">
        <f t="shared" si="21"/>
        <v/>
      </c>
      <c r="E221" s="650" t="str">
        <f t="shared" si="24"/>
        <v/>
      </c>
      <c r="F221" s="650" t="str">
        <f t="shared" si="25"/>
        <v/>
      </c>
      <c r="G221" s="650" t="str">
        <f t="shared" si="26"/>
        <v/>
      </c>
      <c r="H221" s="650" t="str">
        <f t="shared" si="27"/>
        <v/>
      </c>
      <c r="J221" s="650"/>
      <c r="K221" s="650"/>
      <c r="L221" s="650"/>
    </row>
    <row r="222" spans="2:12" x14ac:dyDescent="0.2">
      <c r="B222" s="660" t="str">
        <f t="shared" si="22"/>
        <v>-</v>
      </c>
      <c r="C222" s="661" t="str">
        <f t="shared" si="23"/>
        <v/>
      </c>
      <c r="D222" s="650" t="str">
        <f t="shared" si="21"/>
        <v/>
      </c>
      <c r="E222" s="650" t="str">
        <f t="shared" si="24"/>
        <v/>
      </c>
      <c r="F222" s="650" t="str">
        <f t="shared" si="25"/>
        <v/>
      </c>
      <c r="G222" s="650" t="str">
        <f t="shared" si="26"/>
        <v/>
      </c>
      <c r="H222" s="650" t="str">
        <f t="shared" si="27"/>
        <v/>
      </c>
      <c r="J222" s="650"/>
      <c r="K222" s="650"/>
      <c r="L222" s="650"/>
    </row>
    <row r="223" spans="2:12" x14ac:dyDescent="0.2">
      <c r="B223" s="660" t="str">
        <f t="shared" si="22"/>
        <v>-</v>
      </c>
      <c r="C223" s="661" t="str">
        <f t="shared" si="23"/>
        <v/>
      </c>
      <c r="D223" s="650" t="str">
        <f t="shared" si="21"/>
        <v/>
      </c>
      <c r="E223" s="650" t="str">
        <f t="shared" si="24"/>
        <v/>
      </c>
      <c r="F223" s="650" t="str">
        <f t="shared" si="25"/>
        <v/>
      </c>
      <c r="G223" s="650" t="str">
        <f t="shared" si="26"/>
        <v/>
      </c>
      <c r="H223" s="650" t="str">
        <f t="shared" si="27"/>
        <v/>
      </c>
      <c r="J223" s="650"/>
      <c r="K223" s="650"/>
      <c r="L223" s="650"/>
    </row>
    <row r="224" spans="2:12" x14ac:dyDescent="0.2">
      <c r="B224" s="660" t="str">
        <f t="shared" si="22"/>
        <v>-</v>
      </c>
      <c r="C224" s="661" t="str">
        <f t="shared" si="23"/>
        <v/>
      </c>
      <c r="D224" s="650" t="str">
        <f t="shared" si="21"/>
        <v/>
      </c>
      <c r="E224" s="650" t="str">
        <f t="shared" si="24"/>
        <v/>
      </c>
      <c r="F224" s="650" t="str">
        <f t="shared" si="25"/>
        <v/>
      </c>
      <c r="G224" s="650" t="str">
        <f t="shared" si="26"/>
        <v/>
      </c>
      <c r="H224" s="650" t="str">
        <f t="shared" si="27"/>
        <v/>
      </c>
      <c r="J224" s="650"/>
      <c r="K224" s="650"/>
      <c r="L224" s="650"/>
    </row>
    <row r="225" spans="2:12" x14ac:dyDescent="0.2">
      <c r="B225" s="660" t="str">
        <f t="shared" si="22"/>
        <v>-</v>
      </c>
      <c r="C225" s="661" t="str">
        <f t="shared" si="23"/>
        <v/>
      </c>
      <c r="D225" s="650" t="str">
        <f t="shared" si="21"/>
        <v/>
      </c>
      <c r="E225" s="650" t="str">
        <f t="shared" si="24"/>
        <v/>
      </c>
      <c r="F225" s="650" t="str">
        <f t="shared" si="25"/>
        <v/>
      </c>
      <c r="G225" s="650" t="str">
        <f t="shared" si="26"/>
        <v/>
      </c>
      <c r="H225" s="650" t="str">
        <f t="shared" si="27"/>
        <v/>
      </c>
      <c r="J225" s="650"/>
      <c r="K225" s="650"/>
      <c r="L225" s="650"/>
    </row>
    <row r="226" spans="2:12" x14ac:dyDescent="0.2">
      <c r="B226" s="660" t="str">
        <f t="shared" si="22"/>
        <v>-</v>
      </c>
      <c r="C226" s="661" t="str">
        <f t="shared" si="23"/>
        <v/>
      </c>
      <c r="D226" s="650" t="str">
        <f t="shared" si="21"/>
        <v/>
      </c>
      <c r="E226" s="650" t="str">
        <f t="shared" si="24"/>
        <v/>
      </c>
      <c r="F226" s="650" t="str">
        <f t="shared" si="25"/>
        <v/>
      </c>
      <c r="G226" s="650" t="str">
        <f t="shared" si="26"/>
        <v/>
      </c>
      <c r="H226" s="650" t="str">
        <f t="shared" si="27"/>
        <v/>
      </c>
      <c r="J226" s="650"/>
      <c r="K226" s="650"/>
      <c r="L226" s="650"/>
    </row>
    <row r="227" spans="2:12" x14ac:dyDescent="0.2">
      <c r="B227" s="660" t="str">
        <f t="shared" si="22"/>
        <v>-</v>
      </c>
      <c r="C227" s="661" t="str">
        <f t="shared" si="23"/>
        <v/>
      </c>
      <c r="D227" s="650" t="str">
        <f t="shared" si="21"/>
        <v/>
      </c>
      <c r="E227" s="650" t="str">
        <f t="shared" si="24"/>
        <v/>
      </c>
      <c r="F227" s="650" t="str">
        <f t="shared" si="25"/>
        <v/>
      </c>
      <c r="G227" s="650" t="str">
        <f t="shared" si="26"/>
        <v/>
      </c>
      <c r="H227" s="650" t="str">
        <f t="shared" si="27"/>
        <v/>
      </c>
      <c r="J227" s="650"/>
      <c r="K227" s="650"/>
      <c r="L227" s="650"/>
    </row>
    <row r="228" spans="2:12" x14ac:dyDescent="0.2">
      <c r="B228" s="660" t="str">
        <f t="shared" si="22"/>
        <v>-</v>
      </c>
      <c r="C228" s="661" t="str">
        <f t="shared" si="23"/>
        <v/>
      </c>
      <c r="D228" s="650" t="str">
        <f t="shared" si="21"/>
        <v/>
      </c>
      <c r="E228" s="650" t="str">
        <f t="shared" si="24"/>
        <v/>
      </c>
      <c r="F228" s="650" t="str">
        <f t="shared" si="25"/>
        <v/>
      </c>
      <c r="G228" s="650" t="str">
        <f t="shared" si="26"/>
        <v/>
      </c>
      <c r="H228" s="650" t="str">
        <f t="shared" si="27"/>
        <v/>
      </c>
      <c r="J228" s="650"/>
      <c r="K228" s="650"/>
      <c r="L228" s="650"/>
    </row>
    <row r="229" spans="2:12" x14ac:dyDescent="0.2">
      <c r="B229" s="660" t="str">
        <f t="shared" si="22"/>
        <v>-</v>
      </c>
      <c r="C229" s="661" t="str">
        <f t="shared" si="23"/>
        <v/>
      </c>
      <c r="D229" s="650" t="str">
        <f t="shared" si="21"/>
        <v/>
      </c>
      <c r="E229" s="650" t="str">
        <f t="shared" si="24"/>
        <v/>
      </c>
      <c r="F229" s="650" t="str">
        <f t="shared" si="25"/>
        <v/>
      </c>
      <c r="G229" s="650" t="str">
        <f t="shared" si="26"/>
        <v/>
      </c>
      <c r="H229" s="650" t="str">
        <f t="shared" si="27"/>
        <v/>
      </c>
      <c r="J229" s="650"/>
      <c r="K229" s="650"/>
      <c r="L229" s="650"/>
    </row>
    <row r="230" spans="2:12" x14ac:dyDescent="0.2">
      <c r="B230" s="660" t="str">
        <f t="shared" si="22"/>
        <v>-</v>
      </c>
      <c r="C230" s="661" t="str">
        <f t="shared" si="23"/>
        <v/>
      </c>
      <c r="D230" s="650" t="str">
        <f t="shared" si="21"/>
        <v/>
      </c>
      <c r="E230" s="650" t="str">
        <f t="shared" si="24"/>
        <v/>
      </c>
      <c r="F230" s="650" t="str">
        <f t="shared" si="25"/>
        <v/>
      </c>
      <c r="G230" s="650" t="str">
        <f t="shared" si="26"/>
        <v/>
      </c>
      <c r="H230" s="650" t="str">
        <f t="shared" si="27"/>
        <v/>
      </c>
      <c r="J230" s="650"/>
      <c r="K230" s="650"/>
      <c r="L230" s="650"/>
    </row>
    <row r="231" spans="2:12" x14ac:dyDescent="0.2">
      <c r="B231" s="660" t="str">
        <f t="shared" si="22"/>
        <v>-</v>
      </c>
      <c r="C231" s="661" t="str">
        <f t="shared" si="23"/>
        <v/>
      </c>
      <c r="D231" s="650" t="str">
        <f t="shared" si="21"/>
        <v/>
      </c>
      <c r="E231" s="650" t="str">
        <f t="shared" si="24"/>
        <v/>
      </c>
      <c r="F231" s="650" t="str">
        <f t="shared" si="25"/>
        <v/>
      </c>
      <c r="G231" s="650" t="str">
        <f t="shared" si="26"/>
        <v/>
      </c>
      <c r="H231" s="650" t="str">
        <f t="shared" si="27"/>
        <v/>
      </c>
      <c r="J231" s="650"/>
      <c r="K231" s="650"/>
      <c r="L231" s="650"/>
    </row>
    <row r="232" spans="2:12" x14ac:dyDescent="0.2">
      <c r="B232" s="660" t="str">
        <f t="shared" si="22"/>
        <v>-</v>
      </c>
      <c r="C232" s="661" t="str">
        <f t="shared" si="23"/>
        <v/>
      </c>
      <c r="D232" s="650" t="str">
        <f t="shared" si="21"/>
        <v/>
      </c>
      <c r="E232" s="650" t="str">
        <f t="shared" si="24"/>
        <v/>
      </c>
      <c r="F232" s="650" t="str">
        <f t="shared" si="25"/>
        <v/>
      </c>
      <c r="G232" s="650" t="str">
        <f t="shared" si="26"/>
        <v/>
      </c>
      <c r="H232" s="650" t="str">
        <f t="shared" si="27"/>
        <v/>
      </c>
      <c r="J232" s="650"/>
      <c r="K232" s="650"/>
      <c r="L232" s="650"/>
    </row>
    <row r="233" spans="2:12" x14ac:dyDescent="0.2">
      <c r="B233" s="660" t="str">
        <f t="shared" si="22"/>
        <v>-</v>
      </c>
      <c r="C233" s="661" t="str">
        <f t="shared" si="23"/>
        <v/>
      </c>
      <c r="D233" s="650" t="str">
        <f t="shared" si="21"/>
        <v/>
      </c>
      <c r="E233" s="650" t="str">
        <f t="shared" si="24"/>
        <v/>
      </c>
      <c r="F233" s="650" t="str">
        <f t="shared" si="25"/>
        <v/>
      </c>
      <c r="G233" s="650" t="str">
        <f t="shared" si="26"/>
        <v/>
      </c>
      <c r="H233" s="650" t="str">
        <f t="shared" si="27"/>
        <v/>
      </c>
      <c r="J233" s="650"/>
      <c r="K233" s="650"/>
      <c r="L233" s="650"/>
    </row>
    <row r="234" spans="2:12" x14ac:dyDescent="0.2">
      <c r="B234" s="660" t="str">
        <f t="shared" si="22"/>
        <v>-</v>
      </c>
      <c r="C234" s="661" t="str">
        <f t="shared" si="23"/>
        <v/>
      </c>
      <c r="D234" s="650" t="str">
        <f t="shared" si="21"/>
        <v/>
      </c>
      <c r="E234" s="650" t="str">
        <f t="shared" si="24"/>
        <v/>
      </c>
      <c r="F234" s="650" t="str">
        <f t="shared" si="25"/>
        <v/>
      </c>
      <c r="G234" s="650" t="str">
        <f t="shared" si="26"/>
        <v/>
      </c>
      <c r="H234" s="650" t="str">
        <f t="shared" si="27"/>
        <v/>
      </c>
      <c r="J234" s="650"/>
      <c r="K234" s="650"/>
      <c r="L234" s="650"/>
    </row>
    <row r="235" spans="2:12" x14ac:dyDescent="0.2">
      <c r="B235" s="660" t="str">
        <f t="shared" si="22"/>
        <v>-</v>
      </c>
      <c r="C235" s="661" t="str">
        <f t="shared" si="23"/>
        <v/>
      </c>
      <c r="D235" s="650" t="str">
        <f t="shared" si="21"/>
        <v/>
      </c>
      <c r="E235" s="650" t="str">
        <f t="shared" si="24"/>
        <v/>
      </c>
      <c r="F235" s="650" t="str">
        <f t="shared" si="25"/>
        <v/>
      </c>
      <c r="G235" s="650" t="str">
        <f t="shared" si="26"/>
        <v/>
      </c>
      <c r="H235" s="650" t="str">
        <f t="shared" si="27"/>
        <v/>
      </c>
      <c r="J235" s="650"/>
      <c r="K235" s="650"/>
      <c r="L235" s="650"/>
    </row>
    <row r="236" spans="2:12" x14ac:dyDescent="0.2">
      <c r="B236" s="660" t="str">
        <f t="shared" si="22"/>
        <v>-</v>
      </c>
      <c r="C236" s="661" t="str">
        <f t="shared" si="23"/>
        <v/>
      </c>
      <c r="D236" s="650" t="str">
        <f t="shared" si="21"/>
        <v/>
      </c>
      <c r="E236" s="650" t="str">
        <f t="shared" si="24"/>
        <v/>
      </c>
      <c r="F236" s="650" t="str">
        <f t="shared" si="25"/>
        <v/>
      </c>
      <c r="G236" s="650" t="str">
        <f t="shared" si="26"/>
        <v/>
      </c>
      <c r="H236" s="650" t="str">
        <f t="shared" si="27"/>
        <v/>
      </c>
      <c r="J236" s="650"/>
      <c r="K236" s="650"/>
      <c r="L236" s="650"/>
    </row>
    <row r="237" spans="2:12" x14ac:dyDescent="0.2">
      <c r="B237" s="660" t="str">
        <f t="shared" si="22"/>
        <v>-</v>
      </c>
      <c r="C237" s="661" t="str">
        <f t="shared" si="23"/>
        <v/>
      </c>
      <c r="D237" s="650" t="str">
        <f t="shared" si="21"/>
        <v/>
      </c>
      <c r="E237" s="650" t="str">
        <f t="shared" si="24"/>
        <v/>
      </c>
      <c r="F237" s="650" t="str">
        <f t="shared" si="25"/>
        <v/>
      </c>
      <c r="G237" s="650" t="str">
        <f t="shared" si="26"/>
        <v/>
      </c>
      <c r="H237" s="650" t="str">
        <f t="shared" si="27"/>
        <v/>
      </c>
      <c r="J237" s="650"/>
      <c r="K237" s="650"/>
      <c r="L237" s="650"/>
    </row>
    <row r="238" spans="2:12" x14ac:dyDescent="0.2">
      <c r="B238" s="660" t="str">
        <f t="shared" si="22"/>
        <v>-</v>
      </c>
      <c r="C238" s="661" t="str">
        <f t="shared" si="23"/>
        <v/>
      </c>
      <c r="D238" s="650" t="str">
        <f t="shared" si="21"/>
        <v/>
      </c>
      <c r="E238" s="650" t="str">
        <f t="shared" si="24"/>
        <v/>
      </c>
      <c r="F238" s="650" t="str">
        <f t="shared" si="25"/>
        <v/>
      </c>
      <c r="G238" s="650" t="str">
        <f t="shared" si="26"/>
        <v/>
      </c>
      <c r="H238" s="650" t="str">
        <f t="shared" si="27"/>
        <v/>
      </c>
      <c r="J238" s="650"/>
      <c r="K238" s="650"/>
      <c r="L238" s="650"/>
    </row>
    <row r="239" spans="2:12" x14ac:dyDescent="0.2">
      <c r="B239" s="660" t="str">
        <f t="shared" si="22"/>
        <v>-</v>
      </c>
      <c r="C239" s="661" t="str">
        <f t="shared" si="23"/>
        <v/>
      </c>
      <c r="D239" s="650" t="str">
        <f t="shared" si="21"/>
        <v/>
      </c>
      <c r="E239" s="650" t="str">
        <f t="shared" si="24"/>
        <v/>
      </c>
      <c r="F239" s="650" t="str">
        <f t="shared" si="25"/>
        <v/>
      </c>
      <c r="G239" s="650" t="str">
        <f t="shared" si="26"/>
        <v/>
      </c>
      <c r="H239" s="650" t="str">
        <f t="shared" si="27"/>
        <v/>
      </c>
      <c r="J239" s="650"/>
      <c r="K239" s="650"/>
      <c r="L239" s="650"/>
    </row>
    <row r="240" spans="2:12" x14ac:dyDescent="0.2">
      <c r="B240" s="660" t="str">
        <f t="shared" si="22"/>
        <v>-</v>
      </c>
      <c r="C240" s="661" t="str">
        <f t="shared" si="23"/>
        <v/>
      </c>
      <c r="D240" s="650" t="str">
        <f t="shared" si="21"/>
        <v/>
      </c>
      <c r="E240" s="650" t="str">
        <f t="shared" si="24"/>
        <v/>
      </c>
      <c r="F240" s="650" t="str">
        <f t="shared" si="25"/>
        <v/>
      </c>
      <c r="G240" s="650" t="str">
        <f t="shared" si="26"/>
        <v/>
      </c>
      <c r="H240" s="650" t="str">
        <f t="shared" si="27"/>
        <v/>
      </c>
      <c r="J240" s="650"/>
      <c r="K240" s="650"/>
      <c r="L240" s="650"/>
    </row>
    <row r="241" spans="2:12" x14ac:dyDescent="0.2">
      <c r="B241" s="660" t="str">
        <f t="shared" si="22"/>
        <v>-</v>
      </c>
      <c r="C241" s="661" t="str">
        <f t="shared" si="23"/>
        <v/>
      </c>
      <c r="D241" s="650" t="str">
        <f t="shared" si="21"/>
        <v/>
      </c>
      <c r="E241" s="650" t="str">
        <f t="shared" si="24"/>
        <v/>
      </c>
      <c r="F241" s="650" t="str">
        <f t="shared" si="25"/>
        <v/>
      </c>
      <c r="G241" s="650" t="str">
        <f t="shared" si="26"/>
        <v/>
      </c>
      <c r="H241" s="650" t="str">
        <f t="shared" si="27"/>
        <v/>
      </c>
      <c r="J241" s="650"/>
      <c r="K241" s="650"/>
      <c r="L241" s="650"/>
    </row>
    <row r="242" spans="2:12" x14ac:dyDescent="0.2">
      <c r="B242" s="660" t="str">
        <f t="shared" si="22"/>
        <v>-</v>
      </c>
      <c r="C242" s="661" t="str">
        <f t="shared" si="23"/>
        <v/>
      </c>
      <c r="D242" s="650" t="str">
        <f t="shared" si="21"/>
        <v/>
      </c>
      <c r="E242" s="650" t="str">
        <f t="shared" si="24"/>
        <v/>
      </c>
      <c r="F242" s="650" t="str">
        <f t="shared" si="25"/>
        <v/>
      </c>
      <c r="G242" s="650" t="str">
        <f t="shared" si="26"/>
        <v/>
      </c>
      <c r="H242" s="650" t="str">
        <f t="shared" si="27"/>
        <v/>
      </c>
      <c r="J242" s="650"/>
      <c r="K242" s="650"/>
      <c r="L242" s="650"/>
    </row>
    <row r="243" spans="2:12" x14ac:dyDescent="0.2">
      <c r="B243" s="660" t="str">
        <f t="shared" si="22"/>
        <v>-</v>
      </c>
      <c r="C243" s="661" t="str">
        <f t="shared" si="23"/>
        <v/>
      </c>
      <c r="D243" s="650" t="str">
        <f t="shared" si="21"/>
        <v/>
      </c>
      <c r="E243" s="650" t="str">
        <f t="shared" si="24"/>
        <v/>
      </c>
      <c r="F243" s="650" t="str">
        <f t="shared" si="25"/>
        <v/>
      </c>
      <c r="G243" s="650" t="str">
        <f t="shared" si="26"/>
        <v/>
      </c>
      <c r="H243" s="650" t="str">
        <f t="shared" si="27"/>
        <v/>
      </c>
      <c r="J243" s="650"/>
      <c r="K243" s="650"/>
      <c r="L243" s="650"/>
    </row>
    <row r="244" spans="2:12" x14ac:dyDescent="0.2">
      <c r="B244" s="660" t="str">
        <f t="shared" si="22"/>
        <v>-</v>
      </c>
      <c r="C244" s="661" t="str">
        <f t="shared" si="23"/>
        <v/>
      </c>
      <c r="D244" s="650" t="str">
        <f t="shared" si="21"/>
        <v/>
      </c>
      <c r="E244" s="650" t="str">
        <f t="shared" si="24"/>
        <v/>
      </c>
      <c r="F244" s="650" t="str">
        <f t="shared" si="25"/>
        <v/>
      </c>
      <c r="G244" s="650" t="str">
        <f t="shared" si="26"/>
        <v/>
      </c>
      <c r="H244" s="650" t="str">
        <f t="shared" si="27"/>
        <v/>
      </c>
      <c r="J244" s="650"/>
      <c r="K244" s="650"/>
      <c r="L244" s="650"/>
    </row>
    <row r="245" spans="2:12" x14ac:dyDescent="0.2">
      <c r="B245" s="660" t="str">
        <f t="shared" si="22"/>
        <v>-</v>
      </c>
      <c r="C245" s="661" t="str">
        <f t="shared" si="23"/>
        <v/>
      </c>
      <c r="D245" s="650" t="str">
        <f t="shared" si="21"/>
        <v/>
      </c>
      <c r="E245" s="650" t="str">
        <f t="shared" si="24"/>
        <v/>
      </c>
      <c r="F245" s="650" t="str">
        <f t="shared" si="25"/>
        <v/>
      </c>
      <c r="G245" s="650" t="str">
        <f t="shared" si="26"/>
        <v/>
      </c>
      <c r="H245" s="650" t="str">
        <f t="shared" si="27"/>
        <v/>
      </c>
      <c r="J245" s="650"/>
      <c r="K245" s="650"/>
      <c r="L245" s="650"/>
    </row>
    <row r="246" spans="2:12" x14ac:dyDescent="0.2">
      <c r="B246" s="660" t="str">
        <f t="shared" si="22"/>
        <v>-</v>
      </c>
      <c r="C246" s="661" t="str">
        <f t="shared" si="23"/>
        <v/>
      </c>
      <c r="D246" s="650" t="str">
        <f t="shared" si="21"/>
        <v/>
      </c>
      <c r="E246" s="650" t="str">
        <f t="shared" si="24"/>
        <v/>
      </c>
      <c r="F246" s="650" t="str">
        <f t="shared" si="25"/>
        <v/>
      </c>
      <c r="G246" s="650" t="str">
        <f t="shared" si="26"/>
        <v/>
      </c>
      <c r="H246" s="650" t="str">
        <f t="shared" si="27"/>
        <v/>
      </c>
      <c r="J246" s="650"/>
      <c r="K246" s="650"/>
      <c r="L246" s="650"/>
    </row>
    <row r="247" spans="2:12" x14ac:dyDescent="0.2">
      <c r="B247" s="660" t="str">
        <f t="shared" si="22"/>
        <v>-</v>
      </c>
      <c r="C247" s="661" t="str">
        <f t="shared" si="23"/>
        <v/>
      </c>
      <c r="D247" s="650" t="str">
        <f t="shared" si="21"/>
        <v/>
      </c>
      <c r="E247" s="650" t="str">
        <f t="shared" si="24"/>
        <v/>
      </c>
      <c r="F247" s="650" t="str">
        <f t="shared" si="25"/>
        <v/>
      </c>
      <c r="G247" s="650" t="str">
        <f t="shared" si="26"/>
        <v/>
      </c>
      <c r="H247" s="650" t="str">
        <f t="shared" si="27"/>
        <v/>
      </c>
      <c r="J247" s="650"/>
      <c r="K247" s="650"/>
      <c r="L247" s="650"/>
    </row>
    <row r="248" spans="2:12" x14ac:dyDescent="0.2">
      <c r="B248" s="660" t="str">
        <f t="shared" si="22"/>
        <v>-</v>
      </c>
      <c r="C248" s="661" t="str">
        <f t="shared" si="23"/>
        <v/>
      </c>
      <c r="D248" s="650" t="str">
        <f t="shared" si="21"/>
        <v/>
      </c>
      <c r="E248" s="650" t="str">
        <f t="shared" si="24"/>
        <v/>
      </c>
      <c r="F248" s="650" t="str">
        <f t="shared" si="25"/>
        <v/>
      </c>
      <c r="G248" s="650" t="str">
        <f t="shared" si="26"/>
        <v/>
      </c>
      <c r="H248" s="650" t="str">
        <f t="shared" si="27"/>
        <v/>
      </c>
      <c r="J248" s="650"/>
      <c r="K248" s="650"/>
      <c r="L248" s="650"/>
    </row>
    <row r="249" spans="2:12" x14ac:dyDescent="0.2">
      <c r="B249" s="660" t="str">
        <f t="shared" si="22"/>
        <v>-</v>
      </c>
      <c r="C249" s="661" t="str">
        <f t="shared" si="23"/>
        <v/>
      </c>
      <c r="D249" s="650" t="str">
        <f t="shared" si="21"/>
        <v/>
      </c>
      <c r="E249" s="650" t="str">
        <f t="shared" si="24"/>
        <v/>
      </c>
      <c r="F249" s="650" t="str">
        <f t="shared" si="25"/>
        <v/>
      </c>
      <c r="G249" s="650" t="str">
        <f t="shared" si="26"/>
        <v/>
      </c>
      <c r="H249" s="650" t="str">
        <f t="shared" si="27"/>
        <v/>
      </c>
      <c r="J249" s="650"/>
      <c r="K249" s="650"/>
      <c r="L249" s="650"/>
    </row>
    <row r="250" spans="2:12" x14ac:dyDescent="0.2">
      <c r="B250" s="660" t="str">
        <f t="shared" si="22"/>
        <v>-</v>
      </c>
      <c r="C250" s="661" t="str">
        <f t="shared" si="23"/>
        <v/>
      </c>
      <c r="D250" s="650" t="str">
        <f t="shared" si="21"/>
        <v/>
      </c>
      <c r="E250" s="650" t="str">
        <f t="shared" si="24"/>
        <v/>
      </c>
      <c r="F250" s="650" t="str">
        <f t="shared" si="25"/>
        <v/>
      </c>
      <c r="G250" s="650" t="str">
        <f t="shared" si="26"/>
        <v/>
      </c>
      <c r="H250" s="650" t="str">
        <f t="shared" si="27"/>
        <v/>
      </c>
      <c r="J250" s="650"/>
      <c r="K250" s="650"/>
      <c r="L250" s="650"/>
    </row>
    <row r="251" spans="2:12" x14ac:dyDescent="0.2">
      <c r="B251" s="660" t="str">
        <f t="shared" si="22"/>
        <v>-</v>
      </c>
      <c r="C251" s="661" t="str">
        <f t="shared" si="23"/>
        <v/>
      </c>
      <c r="D251" s="650" t="str">
        <f t="shared" si="21"/>
        <v/>
      </c>
      <c r="E251" s="650" t="str">
        <f t="shared" si="24"/>
        <v/>
      </c>
      <c r="F251" s="650" t="str">
        <f t="shared" si="25"/>
        <v/>
      </c>
      <c r="G251" s="650" t="str">
        <f t="shared" si="26"/>
        <v/>
      </c>
      <c r="H251" s="650" t="str">
        <f t="shared" si="27"/>
        <v/>
      </c>
      <c r="J251" s="650"/>
      <c r="K251" s="650"/>
      <c r="L251" s="650"/>
    </row>
    <row r="252" spans="2:12" x14ac:dyDescent="0.2">
      <c r="B252" s="660" t="str">
        <f t="shared" si="22"/>
        <v>-</v>
      </c>
      <c r="C252" s="661" t="str">
        <f t="shared" si="23"/>
        <v/>
      </c>
      <c r="D252" s="650" t="str">
        <f t="shared" si="21"/>
        <v/>
      </c>
      <c r="E252" s="650" t="str">
        <f t="shared" si="24"/>
        <v/>
      </c>
      <c r="F252" s="650" t="str">
        <f t="shared" si="25"/>
        <v/>
      </c>
      <c r="G252" s="650" t="str">
        <f t="shared" si="26"/>
        <v/>
      </c>
      <c r="H252" s="650" t="str">
        <f t="shared" si="27"/>
        <v/>
      </c>
      <c r="J252" s="650"/>
      <c r="K252" s="650"/>
      <c r="L252" s="650"/>
    </row>
    <row r="253" spans="2:12" x14ac:dyDescent="0.2">
      <c r="B253" s="660" t="str">
        <f t="shared" si="22"/>
        <v>-</v>
      </c>
      <c r="C253" s="661" t="str">
        <f t="shared" si="23"/>
        <v/>
      </c>
      <c r="D253" s="650" t="str">
        <f t="shared" si="21"/>
        <v/>
      </c>
      <c r="E253" s="650" t="str">
        <f t="shared" si="24"/>
        <v/>
      </c>
      <c r="F253" s="650" t="str">
        <f t="shared" si="25"/>
        <v/>
      </c>
      <c r="G253" s="650" t="str">
        <f t="shared" si="26"/>
        <v/>
      </c>
      <c r="H253" s="650" t="str">
        <f t="shared" si="27"/>
        <v/>
      </c>
      <c r="J253" s="650"/>
      <c r="K253" s="650"/>
      <c r="L253" s="650"/>
    </row>
    <row r="254" spans="2:12" x14ac:dyDescent="0.2">
      <c r="B254" s="660" t="str">
        <f t="shared" si="22"/>
        <v>-</v>
      </c>
      <c r="C254" s="661" t="str">
        <f t="shared" si="23"/>
        <v/>
      </c>
      <c r="D254" s="650" t="str">
        <f t="shared" si="21"/>
        <v/>
      </c>
      <c r="E254" s="650" t="str">
        <f t="shared" si="24"/>
        <v/>
      </c>
      <c r="F254" s="650" t="str">
        <f t="shared" si="25"/>
        <v/>
      </c>
      <c r="G254" s="650" t="str">
        <f t="shared" si="26"/>
        <v/>
      </c>
      <c r="H254" s="650" t="str">
        <f t="shared" si="27"/>
        <v/>
      </c>
      <c r="J254" s="650"/>
      <c r="K254" s="650"/>
      <c r="L254" s="650"/>
    </row>
    <row r="255" spans="2:12" x14ac:dyDescent="0.2">
      <c r="B255" s="660" t="str">
        <f t="shared" si="22"/>
        <v>-</v>
      </c>
      <c r="C255" s="661" t="str">
        <f t="shared" si="23"/>
        <v/>
      </c>
      <c r="D255" s="650" t="str">
        <f t="shared" si="21"/>
        <v/>
      </c>
      <c r="E255" s="650" t="str">
        <f t="shared" si="24"/>
        <v/>
      </c>
      <c r="F255" s="650" t="str">
        <f t="shared" si="25"/>
        <v/>
      </c>
      <c r="G255" s="650" t="str">
        <f t="shared" si="26"/>
        <v/>
      </c>
      <c r="H255" s="650" t="str">
        <f t="shared" si="27"/>
        <v/>
      </c>
      <c r="J255" s="650"/>
      <c r="K255" s="650"/>
      <c r="L255" s="650"/>
    </row>
    <row r="256" spans="2:12" x14ac:dyDescent="0.2">
      <c r="B256" s="660" t="str">
        <f t="shared" si="22"/>
        <v>-</v>
      </c>
      <c r="C256" s="661" t="str">
        <f t="shared" si="23"/>
        <v/>
      </c>
      <c r="D256" s="650" t="str">
        <f t="shared" si="21"/>
        <v/>
      </c>
      <c r="E256" s="650" t="str">
        <f t="shared" si="24"/>
        <v/>
      </c>
      <c r="F256" s="650" t="str">
        <f t="shared" si="25"/>
        <v/>
      </c>
      <c r="G256" s="650" t="str">
        <f t="shared" si="26"/>
        <v/>
      </c>
      <c r="H256" s="650" t="str">
        <f t="shared" si="27"/>
        <v/>
      </c>
      <c r="J256" s="650"/>
      <c r="K256" s="650"/>
      <c r="L256" s="650"/>
    </row>
    <row r="257" spans="2:12" x14ac:dyDescent="0.2">
      <c r="B257" s="660" t="str">
        <f t="shared" si="22"/>
        <v>-</v>
      </c>
      <c r="C257" s="661" t="str">
        <f t="shared" si="23"/>
        <v/>
      </c>
      <c r="D257" s="650" t="str">
        <f t="shared" si="21"/>
        <v/>
      </c>
      <c r="E257" s="650" t="str">
        <f t="shared" si="24"/>
        <v/>
      </c>
      <c r="F257" s="650" t="str">
        <f t="shared" si="25"/>
        <v/>
      </c>
      <c r="G257" s="650" t="str">
        <f t="shared" si="26"/>
        <v/>
      </c>
      <c r="H257" s="650" t="str">
        <f t="shared" si="27"/>
        <v/>
      </c>
      <c r="J257" s="650"/>
      <c r="K257" s="650"/>
      <c r="L257" s="650"/>
    </row>
    <row r="258" spans="2:12" x14ac:dyDescent="0.2">
      <c r="B258" s="660" t="str">
        <f t="shared" si="22"/>
        <v>-</v>
      </c>
      <c r="C258" s="661" t="str">
        <f t="shared" si="23"/>
        <v/>
      </c>
      <c r="D258" s="650" t="str">
        <f t="shared" si="21"/>
        <v/>
      </c>
      <c r="E258" s="650" t="str">
        <f t="shared" si="24"/>
        <v/>
      </c>
      <c r="F258" s="650" t="str">
        <f t="shared" si="25"/>
        <v/>
      </c>
      <c r="G258" s="650" t="str">
        <f t="shared" si="26"/>
        <v/>
      </c>
      <c r="H258" s="650" t="str">
        <f t="shared" si="27"/>
        <v/>
      </c>
      <c r="J258" s="650"/>
      <c r="K258" s="650"/>
      <c r="L258" s="650"/>
    </row>
    <row r="259" spans="2:12" x14ac:dyDescent="0.2">
      <c r="B259" s="660" t="str">
        <f t="shared" si="22"/>
        <v>-</v>
      </c>
      <c r="C259" s="661" t="str">
        <f t="shared" si="23"/>
        <v/>
      </c>
      <c r="D259" s="650" t="str">
        <f t="shared" si="21"/>
        <v/>
      </c>
      <c r="E259" s="650" t="str">
        <f t="shared" si="24"/>
        <v/>
      </c>
      <c r="F259" s="650" t="str">
        <f t="shared" si="25"/>
        <v/>
      </c>
      <c r="G259" s="650" t="str">
        <f t="shared" si="26"/>
        <v/>
      </c>
      <c r="H259" s="650" t="str">
        <f t="shared" si="27"/>
        <v/>
      </c>
      <c r="J259" s="650"/>
      <c r="K259" s="650"/>
      <c r="L259" s="650"/>
    </row>
    <row r="260" spans="2:12" x14ac:dyDescent="0.2">
      <c r="B260" s="660" t="str">
        <f t="shared" si="22"/>
        <v>-</v>
      </c>
      <c r="C260" s="661" t="str">
        <f t="shared" si="23"/>
        <v/>
      </c>
      <c r="D260" s="650" t="str">
        <f t="shared" si="21"/>
        <v/>
      </c>
      <c r="E260" s="650" t="str">
        <f t="shared" si="24"/>
        <v/>
      </c>
      <c r="F260" s="650" t="str">
        <f t="shared" si="25"/>
        <v/>
      </c>
      <c r="G260" s="650" t="str">
        <f t="shared" si="26"/>
        <v/>
      </c>
      <c r="H260" s="650" t="str">
        <f t="shared" si="27"/>
        <v/>
      </c>
      <c r="J260" s="650"/>
      <c r="K260" s="650"/>
      <c r="L260" s="650"/>
    </row>
    <row r="261" spans="2:12" x14ac:dyDescent="0.2">
      <c r="B261" s="660" t="str">
        <f t="shared" si="22"/>
        <v>-</v>
      </c>
      <c r="C261" s="661" t="str">
        <f t="shared" si="23"/>
        <v/>
      </c>
      <c r="D261" s="650" t="str">
        <f t="shared" si="21"/>
        <v/>
      </c>
      <c r="E261" s="650" t="str">
        <f t="shared" si="24"/>
        <v/>
      </c>
      <c r="F261" s="650" t="str">
        <f t="shared" si="25"/>
        <v/>
      </c>
      <c r="G261" s="650" t="str">
        <f t="shared" si="26"/>
        <v/>
      </c>
      <c r="H261" s="650" t="str">
        <f t="shared" si="27"/>
        <v/>
      </c>
      <c r="J261" s="650"/>
      <c r="K261" s="650"/>
      <c r="L261" s="650"/>
    </row>
    <row r="262" spans="2:12" x14ac:dyDescent="0.2">
      <c r="B262" s="660" t="str">
        <f t="shared" si="22"/>
        <v>-</v>
      </c>
      <c r="C262" s="661" t="str">
        <f t="shared" si="23"/>
        <v/>
      </c>
      <c r="D262" s="650" t="str">
        <f t="shared" ref="D262:D325" si="28">IF(ISNUMBER(B262),D261-F261,"")</f>
        <v/>
      </c>
      <c r="E262" s="650" t="str">
        <f t="shared" si="24"/>
        <v/>
      </c>
      <c r="F262" s="650" t="str">
        <f t="shared" si="25"/>
        <v/>
      </c>
      <c r="G262" s="650" t="str">
        <f t="shared" si="26"/>
        <v/>
      </c>
      <c r="H262" s="650" t="str">
        <f t="shared" si="27"/>
        <v/>
      </c>
      <c r="J262" s="650"/>
      <c r="K262" s="650"/>
      <c r="L262" s="650"/>
    </row>
    <row r="263" spans="2:12" x14ac:dyDescent="0.2">
      <c r="B263" s="660" t="str">
        <f t="shared" si="22"/>
        <v>-</v>
      </c>
      <c r="C263" s="661" t="str">
        <f t="shared" si="23"/>
        <v/>
      </c>
      <c r="D263" s="650" t="str">
        <f t="shared" si="28"/>
        <v/>
      </c>
      <c r="E263" s="650" t="str">
        <f t="shared" si="24"/>
        <v/>
      </c>
      <c r="F263" s="650" t="str">
        <f t="shared" si="25"/>
        <v/>
      </c>
      <c r="G263" s="650" t="str">
        <f t="shared" si="26"/>
        <v/>
      </c>
      <c r="H263" s="650" t="str">
        <f t="shared" si="27"/>
        <v/>
      </c>
      <c r="J263" s="650"/>
      <c r="K263" s="650"/>
      <c r="L263" s="650"/>
    </row>
    <row r="264" spans="2:12" x14ac:dyDescent="0.2">
      <c r="B264" s="660" t="str">
        <f t="shared" si="22"/>
        <v>-</v>
      </c>
      <c r="C264" s="661" t="str">
        <f t="shared" si="23"/>
        <v/>
      </c>
      <c r="D264" s="650" t="str">
        <f t="shared" si="28"/>
        <v/>
      </c>
      <c r="E264" s="650" t="str">
        <f t="shared" si="24"/>
        <v/>
      </c>
      <c r="F264" s="650" t="str">
        <f t="shared" si="25"/>
        <v/>
      </c>
      <c r="G264" s="650" t="str">
        <f t="shared" si="26"/>
        <v/>
      </c>
      <c r="H264" s="650" t="str">
        <f t="shared" si="27"/>
        <v/>
      </c>
      <c r="J264" s="650"/>
      <c r="K264" s="650"/>
      <c r="L264" s="650"/>
    </row>
    <row r="265" spans="2:12" x14ac:dyDescent="0.2">
      <c r="B265" s="660" t="str">
        <f t="shared" si="22"/>
        <v>-</v>
      </c>
      <c r="C265" s="661" t="str">
        <f t="shared" si="23"/>
        <v/>
      </c>
      <c r="D265" s="650" t="str">
        <f t="shared" si="28"/>
        <v/>
      </c>
      <c r="E265" s="650" t="str">
        <f t="shared" si="24"/>
        <v/>
      </c>
      <c r="F265" s="650" t="str">
        <f t="shared" si="25"/>
        <v/>
      </c>
      <c r="G265" s="650" t="str">
        <f t="shared" si="26"/>
        <v/>
      </c>
      <c r="H265" s="650" t="str">
        <f t="shared" si="27"/>
        <v/>
      </c>
      <c r="J265" s="650"/>
      <c r="K265" s="650"/>
      <c r="L265" s="650"/>
    </row>
    <row r="266" spans="2:12" x14ac:dyDescent="0.2">
      <c r="B266" s="660" t="str">
        <f t="shared" si="22"/>
        <v>-</v>
      </c>
      <c r="C266" s="661" t="str">
        <f t="shared" si="23"/>
        <v/>
      </c>
      <c r="D266" s="650" t="str">
        <f t="shared" si="28"/>
        <v/>
      </c>
      <c r="E266" s="650" t="str">
        <f t="shared" si="24"/>
        <v/>
      </c>
      <c r="F266" s="650" t="str">
        <f t="shared" si="25"/>
        <v/>
      </c>
      <c r="G266" s="650" t="str">
        <f t="shared" si="26"/>
        <v/>
      </c>
      <c r="H266" s="650" t="str">
        <f t="shared" si="27"/>
        <v/>
      </c>
      <c r="J266" s="650"/>
      <c r="K266" s="650"/>
      <c r="L266" s="650"/>
    </row>
    <row r="267" spans="2:12" x14ac:dyDescent="0.2">
      <c r="B267" s="660" t="str">
        <f t="shared" si="22"/>
        <v>-</v>
      </c>
      <c r="C267" s="661" t="str">
        <f t="shared" si="23"/>
        <v/>
      </c>
      <c r="D267" s="650" t="str">
        <f t="shared" si="28"/>
        <v/>
      </c>
      <c r="E267" s="650" t="str">
        <f t="shared" si="24"/>
        <v/>
      </c>
      <c r="F267" s="650" t="str">
        <f t="shared" si="25"/>
        <v/>
      </c>
      <c r="G267" s="650" t="str">
        <f t="shared" si="26"/>
        <v/>
      </c>
      <c r="H267" s="650" t="str">
        <f t="shared" si="27"/>
        <v/>
      </c>
      <c r="J267" s="650"/>
      <c r="K267" s="650"/>
      <c r="L267" s="650"/>
    </row>
    <row r="268" spans="2:12" x14ac:dyDescent="0.2">
      <c r="B268" s="660" t="str">
        <f t="shared" ref="B268:B331" si="29">IF(B267&lt;$L$3,B267+1,"-")</f>
        <v>-</v>
      </c>
      <c r="C268" s="661" t="str">
        <f t="shared" ref="C268:C331" si="30">IF(ISNUMBER(B268),MIN(DATE(YEAR($C$11),MONTH($C$11)+B268*12/$P$5,DAY($C$11)),DATE(YEAR($C$11),MONTH($C$11)+1+B268*12/$P$5,1)-1),"")</f>
        <v/>
      </c>
      <c r="D268" s="650" t="str">
        <f t="shared" si="28"/>
        <v/>
      </c>
      <c r="E268" s="650" t="str">
        <f t="shared" ref="E268:E331" si="31">IF(ISNUMBER(B268),ROUND(D268*$L$7,$R$6),"")</f>
        <v/>
      </c>
      <c r="F268" s="650" t="str">
        <f t="shared" ref="F268:F331" si="32">IF(ISNUMBER(B268),IF(B268=$L$3,D268,IF(B268&gt;$L$4,$H$3-E268,0)),"")</f>
        <v/>
      </c>
      <c r="G268" s="650" t="str">
        <f t="shared" ref="G268:G331" si="33">IF(ISNUMBER(B268),$H$4,"")</f>
        <v/>
      </c>
      <c r="H268" s="650" t="str">
        <f t="shared" ref="H268:H331" si="34">IF(ISNUMBER(B268),E268+F268+G268,"")</f>
        <v/>
      </c>
      <c r="J268" s="650"/>
      <c r="K268" s="650"/>
      <c r="L268" s="650"/>
    </row>
    <row r="269" spans="2:12" x14ac:dyDescent="0.2">
      <c r="B269" s="660" t="str">
        <f t="shared" si="29"/>
        <v>-</v>
      </c>
      <c r="C269" s="661" t="str">
        <f t="shared" si="30"/>
        <v/>
      </c>
      <c r="D269" s="650" t="str">
        <f t="shared" si="28"/>
        <v/>
      </c>
      <c r="E269" s="650" t="str">
        <f t="shared" si="31"/>
        <v/>
      </c>
      <c r="F269" s="650" t="str">
        <f t="shared" si="32"/>
        <v/>
      </c>
      <c r="G269" s="650" t="str">
        <f t="shared" si="33"/>
        <v/>
      </c>
      <c r="H269" s="650" t="str">
        <f t="shared" si="34"/>
        <v/>
      </c>
      <c r="J269" s="650"/>
      <c r="K269" s="650"/>
      <c r="L269" s="650"/>
    </row>
    <row r="270" spans="2:12" x14ac:dyDescent="0.2">
      <c r="B270" s="660" t="str">
        <f t="shared" si="29"/>
        <v>-</v>
      </c>
      <c r="C270" s="661" t="str">
        <f t="shared" si="30"/>
        <v/>
      </c>
      <c r="D270" s="650" t="str">
        <f t="shared" si="28"/>
        <v/>
      </c>
      <c r="E270" s="650" t="str">
        <f t="shared" si="31"/>
        <v/>
      </c>
      <c r="F270" s="650" t="str">
        <f t="shared" si="32"/>
        <v/>
      </c>
      <c r="G270" s="650" t="str">
        <f t="shared" si="33"/>
        <v/>
      </c>
      <c r="H270" s="650" t="str">
        <f t="shared" si="34"/>
        <v/>
      </c>
      <c r="J270" s="650"/>
      <c r="K270" s="650"/>
      <c r="L270" s="650"/>
    </row>
    <row r="271" spans="2:12" x14ac:dyDescent="0.2">
      <c r="B271" s="660" t="str">
        <f t="shared" si="29"/>
        <v>-</v>
      </c>
      <c r="C271" s="661" t="str">
        <f t="shared" si="30"/>
        <v/>
      </c>
      <c r="D271" s="650" t="str">
        <f t="shared" si="28"/>
        <v/>
      </c>
      <c r="E271" s="650" t="str">
        <f t="shared" si="31"/>
        <v/>
      </c>
      <c r="F271" s="650" t="str">
        <f t="shared" si="32"/>
        <v/>
      </c>
      <c r="G271" s="650" t="str">
        <f t="shared" si="33"/>
        <v/>
      </c>
      <c r="H271" s="650" t="str">
        <f t="shared" si="34"/>
        <v/>
      </c>
      <c r="J271" s="650"/>
      <c r="K271" s="650"/>
      <c r="L271" s="650"/>
    </row>
    <row r="272" spans="2:12" x14ac:dyDescent="0.2">
      <c r="B272" s="660" t="str">
        <f t="shared" si="29"/>
        <v>-</v>
      </c>
      <c r="C272" s="661" t="str">
        <f t="shared" si="30"/>
        <v/>
      </c>
      <c r="D272" s="650" t="str">
        <f t="shared" si="28"/>
        <v/>
      </c>
      <c r="E272" s="650" t="str">
        <f t="shared" si="31"/>
        <v/>
      </c>
      <c r="F272" s="650" t="str">
        <f t="shared" si="32"/>
        <v/>
      </c>
      <c r="G272" s="650" t="str">
        <f t="shared" si="33"/>
        <v/>
      </c>
      <c r="H272" s="650" t="str">
        <f t="shared" si="34"/>
        <v/>
      </c>
      <c r="J272" s="650"/>
      <c r="K272" s="650"/>
      <c r="L272" s="650"/>
    </row>
    <row r="273" spans="2:12" x14ac:dyDescent="0.2">
      <c r="B273" s="660" t="str">
        <f t="shared" si="29"/>
        <v>-</v>
      </c>
      <c r="C273" s="661" t="str">
        <f t="shared" si="30"/>
        <v/>
      </c>
      <c r="D273" s="650" t="str">
        <f t="shared" si="28"/>
        <v/>
      </c>
      <c r="E273" s="650" t="str">
        <f t="shared" si="31"/>
        <v/>
      </c>
      <c r="F273" s="650" t="str">
        <f t="shared" si="32"/>
        <v/>
      </c>
      <c r="G273" s="650" t="str">
        <f t="shared" si="33"/>
        <v/>
      </c>
      <c r="H273" s="650" t="str">
        <f t="shared" si="34"/>
        <v/>
      </c>
      <c r="J273" s="650"/>
      <c r="K273" s="650"/>
      <c r="L273" s="650"/>
    </row>
    <row r="274" spans="2:12" x14ac:dyDescent="0.2">
      <c r="B274" s="660" t="str">
        <f t="shared" si="29"/>
        <v>-</v>
      </c>
      <c r="C274" s="661" t="str">
        <f t="shared" si="30"/>
        <v/>
      </c>
      <c r="D274" s="650" t="str">
        <f t="shared" si="28"/>
        <v/>
      </c>
      <c r="E274" s="650" t="str">
        <f t="shared" si="31"/>
        <v/>
      </c>
      <c r="F274" s="650" t="str">
        <f t="shared" si="32"/>
        <v/>
      </c>
      <c r="G274" s="650" t="str">
        <f t="shared" si="33"/>
        <v/>
      </c>
      <c r="H274" s="650" t="str">
        <f t="shared" si="34"/>
        <v/>
      </c>
      <c r="J274" s="650"/>
      <c r="K274" s="650"/>
      <c r="L274" s="650"/>
    </row>
    <row r="275" spans="2:12" x14ac:dyDescent="0.2">
      <c r="B275" s="660" t="str">
        <f t="shared" si="29"/>
        <v>-</v>
      </c>
      <c r="C275" s="661" t="str">
        <f t="shared" si="30"/>
        <v/>
      </c>
      <c r="D275" s="650" t="str">
        <f t="shared" si="28"/>
        <v/>
      </c>
      <c r="E275" s="650" t="str">
        <f t="shared" si="31"/>
        <v/>
      </c>
      <c r="F275" s="650" t="str">
        <f t="shared" si="32"/>
        <v/>
      </c>
      <c r="G275" s="650" t="str">
        <f t="shared" si="33"/>
        <v/>
      </c>
      <c r="H275" s="650" t="str">
        <f t="shared" si="34"/>
        <v/>
      </c>
      <c r="J275" s="650"/>
      <c r="K275" s="650"/>
      <c r="L275" s="650"/>
    </row>
    <row r="276" spans="2:12" x14ac:dyDescent="0.2">
      <c r="B276" s="660" t="str">
        <f t="shared" si="29"/>
        <v>-</v>
      </c>
      <c r="C276" s="661" t="str">
        <f t="shared" si="30"/>
        <v/>
      </c>
      <c r="D276" s="650" t="str">
        <f t="shared" si="28"/>
        <v/>
      </c>
      <c r="E276" s="650" t="str">
        <f t="shared" si="31"/>
        <v/>
      </c>
      <c r="F276" s="650" t="str">
        <f t="shared" si="32"/>
        <v/>
      </c>
      <c r="G276" s="650" t="str">
        <f t="shared" si="33"/>
        <v/>
      </c>
      <c r="H276" s="650" t="str">
        <f t="shared" si="34"/>
        <v/>
      </c>
      <c r="J276" s="650"/>
      <c r="K276" s="650"/>
      <c r="L276" s="650"/>
    </row>
    <row r="277" spans="2:12" x14ac:dyDescent="0.2">
      <c r="B277" s="660" t="str">
        <f t="shared" si="29"/>
        <v>-</v>
      </c>
      <c r="C277" s="661" t="str">
        <f t="shared" si="30"/>
        <v/>
      </c>
      <c r="D277" s="650" t="str">
        <f t="shared" si="28"/>
        <v/>
      </c>
      <c r="E277" s="650" t="str">
        <f t="shared" si="31"/>
        <v/>
      </c>
      <c r="F277" s="650" t="str">
        <f t="shared" si="32"/>
        <v/>
      </c>
      <c r="G277" s="650" t="str">
        <f t="shared" si="33"/>
        <v/>
      </c>
      <c r="H277" s="650" t="str">
        <f t="shared" si="34"/>
        <v/>
      </c>
      <c r="J277" s="650"/>
      <c r="K277" s="650"/>
      <c r="L277" s="650"/>
    </row>
    <row r="278" spans="2:12" x14ac:dyDescent="0.2">
      <c r="B278" s="660" t="str">
        <f t="shared" si="29"/>
        <v>-</v>
      </c>
      <c r="C278" s="661" t="str">
        <f t="shared" si="30"/>
        <v/>
      </c>
      <c r="D278" s="650" t="str">
        <f t="shared" si="28"/>
        <v/>
      </c>
      <c r="E278" s="650" t="str">
        <f t="shared" si="31"/>
        <v/>
      </c>
      <c r="F278" s="650" t="str">
        <f t="shared" si="32"/>
        <v/>
      </c>
      <c r="G278" s="650" t="str">
        <f t="shared" si="33"/>
        <v/>
      </c>
      <c r="H278" s="650" t="str">
        <f t="shared" si="34"/>
        <v/>
      </c>
      <c r="J278" s="650"/>
      <c r="K278" s="650"/>
      <c r="L278" s="650"/>
    </row>
    <row r="279" spans="2:12" x14ac:dyDescent="0.2">
      <c r="B279" s="660" t="str">
        <f t="shared" si="29"/>
        <v>-</v>
      </c>
      <c r="C279" s="661" t="str">
        <f t="shared" si="30"/>
        <v/>
      </c>
      <c r="D279" s="650" t="str">
        <f t="shared" si="28"/>
        <v/>
      </c>
      <c r="E279" s="650" t="str">
        <f t="shared" si="31"/>
        <v/>
      </c>
      <c r="F279" s="650" t="str">
        <f t="shared" si="32"/>
        <v/>
      </c>
      <c r="G279" s="650" t="str">
        <f t="shared" si="33"/>
        <v/>
      </c>
      <c r="H279" s="650" t="str">
        <f t="shared" si="34"/>
        <v/>
      </c>
      <c r="J279" s="650"/>
      <c r="K279" s="650"/>
      <c r="L279" s="650"/>
    </row>
    <row r="280" spans="2:12" x14ac:dyDescent="0.2">
      <c r="B280" s="660" t="str">
        <f t="shared" si="29"/>
        <v>-</v>
      </c>
      <c r="C280" s="661" t="str">
        <f t="shared" si="30"/>
        <v/>
      </c>
      <c r="D280" s="650" t="str">
        <f t="shared" si="28"/>
        <v/>
      </c>
      <c r="E280" s="650" t="str">
        <f t="shared" si="31"/>
        <v/>
      </c>
      <c r="F280" s="650" t="str">
        <f t="shared" si="32"/>
        <v/>
      </c>
      <c r="G280" s="650" t="str">
        <f t="shared" si="33"/>
        <v/>
      </c>
      <c r="H280" s="650" t="str">
        <f t="shared" si="34"/>
        <v/>
      </c>
      <c r="J280" s="650"/>
      <c r="K280" s="650"/>
      <c r="L280" s="650"/>
    </row>
    <row r="281" spans="2:12" x14ac:dyDescent="0.2">
      <c r="B281" s="660" t="str">
        <f t="shared" si="29"/>
        <v>-</v>
      </c>
      <c r="C281" s="661" t="str">
        <f t="shared" si="30"/>
        <v/>
      </c>
      <c r="D281" s="650" t="str">
        <f t="shared" si="28"/>
        <v/>
      </c>
      <c r="E281" s="650" t="str">
        <f t="shared" si="31"/>
        <v/>
      </c>
      <c r="F281" s="650" t="str">
        <f t="shared" si="32"/>
        <v/>
      </c>
      <c r="G281" s="650" t="str">
        <f t="shared" si="33"/>
        <v/>
      </c>
      <c r="H281" s="650" t="str">
        <f t="shared" si="34"/>
        <v/>
      </c>
      <c r="J281" s="650"/>
      <c r="K281" s="650"/>
      <c r="L281" s="650"/>
    </row>
    <row r="282" spans="2:12" x14ac:dyDescent="0.2">
      <c r="B282" s="660" t="str">
        <f t="shared" si="29"/>
        <v>-</v>
      </c>
      <c r="C282" s="661" t="str">
        <f t="shared" si="30"/>
        <v/>
      </c>
      <c r="D282" s="650" t="str">
        <f t="shared" si="28"/>
        <v/>
      </c>
      <c r="E282" s="650" t="str">
        <f t="shared" si="31"/>
        <v/>
      </c>
      <c r="F282" s="650" t="str">
        <f t="shared" si="32"/>
        <v/>
      </c>
      <c r="G282" s="650" t="str">
        <f t="shared" si="33"/>
        <v/>
      </c>
      <c r="H282" s="650" t="str">
        <f t="shared" si="34"/>
        <v/>
      </c>
      <c r="J282" s="650"/>
      <c r="K282" s="650"/>
      <c r="L282" s="650"/>
    </row>
    <row r="283" spans="2:12" x14ac:dyDescent="0.2">
      <c r="B283" s="660" t="str">
        <f t="shared" si="29"/>
        <v>-</v>
      </c>
      <c r="C283" s="661" t="str">
        <f t="shared" si="30"/>
        <v/>
      </c>
      <c r="D283" s="650" t="str">
        <f t="shared" si="28"/>
        <v/>
      </c>
      <c r="E283" s="650" t="str">
        <f t="shared" si="31"/>
        <v/>
      </c>
      <c r="F283" s="650" t="str">
        <f t="shared" si="32"/>
        <v/>
      </c>
      <c r="G283" s="650" t="str">
        <f t="shared" si="33"/>
        <v/>
      </c>
      <c r="H283" s="650" t="str">
        <f t="shared" si="34"/>
        <v/>
      </c>
      <c r="J283" s="650"/>
      <c r="K283" s="650"/>
      <c r="L283" s="650"/>
    </row>
    <row r="284" spans="2:12" x14ac:dyDescent="0.2">
      <c r="B284" s="660" t="str">
        <f t="shared" si="29"/>
        <v>-</v>
      </c>
      <c r="C284" s="661" t="str">
        <f t="shared" si="30"/>
        <v/>
      </c>
      <c r="D284" s="650" t="str">
        <f t="shared" si="28"/>
        <v/>
      </c>
      <c r="E284" s="650" t="str">
        <f t="shared" si="31"/>
        <v/>
      </c>
      <c r="F284" s="650" t="str">
        <f t="shared" si="32"/>
        <v/>
      </c>
      <c r="G284" s="650" t="str">
        <f t="shared" si="33"/>
        <v/>
      </c>
      <c r="H284" s="650" t="str">
        <f t="shared" si="34"/>
        <v/>
      </c>
      <c r="J284" s="650"/>
      <c r="K284" s="650"/>
      <c r="L284" s="650"/>
    </row>
    <row r="285" spans="2:12" x14ac:dyDescent="0.2">
      <c r="B285" s="660" t="str">
        <f t="shared" si="29"/>
        <v>-</v>
      </c>
      <c r="C285" s="661" t="str">
        <f t="shared" si="30"/>
        <v/>
      </c>
      <c r="D285" s="650" t="str">
        <f t="shared" si="28"/>
        <v/>
      </c>
      <c r="E285" s="650" t="str">
        <f t="shared" si="31"/>
        <v/>
      </c>
      <c r="F285" s="650" t="str">
        <f t="shared" si="32"/>
        <v/>
      </c>
      <c r="G285" s="650" t="str">
        <f t="shared" si="33"/>
        <v/>
      </c>
      <c r="H285" s="650" t="str">
        <f t="shared" si="34"/>
        <v/>
      </c>
      <c r="J285" s="650"/>
      <c r="K285" s="650"/>
      <c r="L285" s="650"/>
    </row>
    <row r="286" spans="2:12" x14ac:dyDescent="0.2">
      <c r="B286" s="660" t="str">
        <f t="shared" si="29"/>
        <v>-</v>
      </c>
      <c r="C286" s="661" t="str">
        <f t="shared" si="30"/>
        <v/>
      </c>
      <c r="D286" s="650" t="str">
        <f t="shared" si="28"/>
        <v/>
      </c>
      <c r="E286" s="650" t="str">
        <f t="shared" si="31"/>
        <v/>
      </c>
      <c r="F286" s="650" t="str">
        <f t="shared" si="32"/>
        <v/>
      </c>
      <c r="G286" s="650" t="str">
        <f t="shared" si="33"/>
        <v/>
      </c>
      <c r="H286" s="650" t="str">
        <f t="shared" si="34"/>
        <v/>
      </c>
      <c r="J286" s="650"/>
      <c r="K286" s="650"/>
      <c r="L286" s="650"/>
    </row>
    <row r="287" spans="2:12" x14ac:dyDescent="0.2">
      <c r="B287" s="660" t="str">
        <f t="shared" si="29"/>
        <v>-</v>
      </c>
      <c r="C287" s="661" t="str">
        <f t="shared" si="30"/>
        <v/>
      </c>
      <c r="D287" s="650" t="str">
        <f t="shared" si="28"/>
        <v/>
      </c>
      <c r="E287" s="650" t="str">
        <f t="shared" si="31"/>
        <v/>
      </c>
      <c r="F287" s="650" t="str">
        <f t="shared" si="32"/>
        <v/>
      </c>
      <c r="G287" s="650" t="str">
        <f t="shared" si="33"/>
        <v/>
      </c>
      <c r="H287" s="650" t="str">
        <f t="shared" si="34"/>
        <v/>
      </c>
      <c r="J287" s="650"/>
      <c r="K287" s="650"/>
      <c r="L287" s="650"/>
    </row>
    <row r="288" spans="2:12" x14ac:dyDescent="0.2">
      <c r="B288" s="660" t="str">
        <f t="shared" si="29"/>
        <v>-</v>
      </c>
      <c r="C288" s="661" t="str">
        <f t="shared" si="30"/>
        <v/>
      </c>
      <c r="D288" s="650" t="str">
        <f t="shared" si="28"/>
        <v/>
      </c>
      <c r="E288" s="650" t="str">
        <f t="shared" si="31"/>
        <v/>
      </c>
      <c r="F288" s="650" t="str">
        <f t="shared" si="32"/>
        <v/>
      </c>
      <c r="G288" s="650" t="str">
        <f t="shared" si="33"/>
        <v/>
      </c>
      <c r="H288" s="650" t="str">
        <f t="shared" si="34"/>
        <v/>
      </c>
      <c r="J288" s="650"/>
      <c r="K288" s="650"/>
      <c r="L288" s="650"/>
    </row>
    <row r="289" spans="2:12" x14ac:dyDescent="0.2">
      <c r="B289" s="660" t="str">
        <f t="shared" si="29"/>
        <v>-</v>
      </c>
      <c r="C289" s="661" t="str">
        <f t="shared" si="30"/>
        <v/>
      </c>
      <c r="D289" s="650" t="str">
        <f t="shared" si="28"/>
        <v/>
      </c>
      <c r="E289" s="650" t="str">
        <f t="shared" si="31"/>
        <v/>
      </c>
      <c r="F289" s="650" t="str">
        <f t="shared" si="32"/>
        <v/>
      </c>
      <c r="G289" s="650" t="str">
        <f t="shared" si="33"/>
        <v/>
      </c>
      <c r="H289" s="650" t="str">
        <f t="shared" si="34"/>
        <v/>
      </c>
      <c r="J289" s="650"/>
      <c r="K289" s="650"/>
      <c r="L289" s="650"/>
    </row>
    <row r="290" spans="2:12" x14ac:dyDescent="0.2">
      <c r="B290" s="660" t="str">
        <f t="shared" si="29"/>
        <v>-</v>
      </c>
      <c r="C290" s="661" t="str">
        <f t="shared" si="30"/>
        <v/>
      </c>
      <c r="D290" s="650" t="str">
        <f t="shared" si="28"/>
        <v/>
      </c>
      <c r="E290" s="650" t="str">
        <f t="shared" si="31"/>
        <v/>
      </c>
      <c r="F290" s="650" t="str">
        <f t="shared" si="32"/>
        <v/>
      </c>
      <c r="G290" s="650" t="str">
        <f t="shared" si="33"/>
        <v/>
      </c>
      <c r="H290" s="650" t="str">
        <f t="shared" si="34"/>
        <v/>
      </c>
      <c r="J290" s="650"/>
      <c r="K290" s="650"/>
      <c r="L290" s="650"/>
    </row>
    <row r="291" spans="2:12" x14ac:dyDescent="0.2">
      <c r="B291" s="660" t="str">
        <f t="shared" si="29"/>
        <v>-</v>
      </c>
      <c r="C291" s="661" t="str">
        <f t="shared" si="30"/>
        <v/>
      </c>
      <c r="D291" s="650" t="str">
        <f t="shared" si="28"/>
        <v/>
      </c>
      <c r="E291" s="650" t="str">
        <f t="shared" si="31"/>
        <v/>
      </c>
      <c r="F291" s="650" t="str">
        <f t="shared" si="32"/>
        <v/>
      </c>
      <c r="G291" s="650" t="str">
        <f t="shared" si="33"/>
        <v/>
      </c>
      <c r="H291" s="650" t="str">
        <f t="shared" si="34"/>
        <v/>
      </c>
      <c r="J291" s="650"/>
      <c r="K291" s="650"/>
      <c r="L291" s="650"/>
    </row>
    <row r="292" spans="2:12" x14ac:dyDescent="0.2">
      <c r="B292" s="660" t="str">
        <f t="shared" si="29"/>
        <v>-</v>
      </c>
      <c r="C292" s="661" t="str">
        <f t="shared" si="30"/>
        <v/>
      </c>
      <c r="D292" s="650" t="str">
        <f t="shared" si="28"/>
        <v/>
      </c>
      <c r="E292" s="650" t="str">
        <f t="shared" si="31"/>
        <v/>
      </c>
      <c r="F292" s="650" t="str">
        <f t="shared" si="32"/>
        <v/>
      </c>
      <c r="G292" s="650" t="str">
        <f t="shared" si="33"/>
        <v/>
      </c>
      <c r="H292" s="650" t="str">
        <f t="shared" si="34"/>
        <v/>
      </c>
      <c r="J292" s="650"/>
      <c r="K292" s="650"/>
      <c r="L292" s="650"/>
    </row>
    <row r="293" spans="2:12" x14ac:dyDescent="0.2">
      <c r="B293" s="660" t="str">
        <f t="shared" si="29"/>
        <v>-</v>
      </c>
      <c r="C293" s="661" t="str">
        <f t="shared" si="30"/>
        <v/>
      </c>
      <c r="D293" s="650" t="str">
        <f t="shared" si="28"/>
        <v/>
      </c>
      <c r="E293" s="650" t="str">
        <f t="shared" si="31"/>
        <v/>
      </c>
      <c r="F293" s="650" t="str">
        <f t="shared" si="32"/>
        <v/>
      </c>
      <c r="G293" s="650" t="str">
        <f t="shared" si="33"/>
        <v/>
      </c>
      <c r="H293" s="650" t="str">
        <f t="shared" si="34"/>
        <v/>
      </c>
      <c r="J293" s="650"/>
      <c r="K293" s="650"/>
      <c r="L293" s="650"/>
    </row>
    <row r="294" spans="2:12" x14ac:dyDescent="0.2">
      <c r="B294" s="660" t="str">
        <f t="shared" si="29"/>
        <v>-</v>
      </c>
      <c r="C294" s="661" t="str">
        <f t="shared" si="30"/>
        <v/>
      </c>
      <c r="D294" s="650" t="str">
        <f t="shared" si="28"/>
        <v/>
      </c>
      <c r="E294" s="650" t="str">
        <f t="shared" si="31"/>
        <v/>
      </c>
      <c r="F294" s="650" t="str">
        <f t="shared" si="32"/>
        <v/>
      </c>
      <c r="G294" s="650" t="str">
        <f t="shared" si="33"/>
        <v/>
      </c>
      <c r="H294" s="650" t="str">
        <f t="shared" si="34"/>
        <v/>
      </c>
      <c r="J294" s="650"/>
      <c r="K294" s="650"/>
      <c r="L294" s="650"/>
    </row>
    <row r="295" spans="2:12" x14ac:dyDescent="0.2">
      <c r="B295" s="660" t="str">
        <f t="shared" si="29"/>
        <v>-</v>
      </c>
      <c r="C295" s="661" t="str">
        <f t="shared" si="30"/>
        <v/>
      </c>
      <c r="D295" s="650" t="str">
        <f t="shared" si="28"/>
        <v/>
      </c>
      <c r="E295" s="650" t="str">
        <f t="shared" si="31"/>
        <v/>
      </c>
      <c r="F295" s="650" t="str">
        <f t="shared" si="32"/>
        <v/>
      </c>
      <c r="G295" s="650" t="str">
        <f t="shared" si="33"/>
        <v/>
      </c>
      <c r="H295" s="650" t="str">
        <f t="shared" si="34"/>
        <v/>
      </c>
      <c r="J295" s="650"/>
      <c r="K295" s="650"/>
      <c r="L295" s="650"/>
    </row>
    <row r="296" spans="2:12" x14ac:dyDescent="0.2">
      <c r="B296" s="660" t="str">
        <f t="shared" si="29"/>
        <v>-</v>
      </c>
      <c r="C296" s="661" t="str">
        <f t="shared" si="30"/>
        <v/>
      </c>
      <c r="D296" s="650" t="str">
        <f t="shared" si="28"/>
        <v/>
      </c>
      <c r="E296" s="650" t="str">
        <f t="shared" si="31"/>
        <v/>
      </c>
      <c r="F296" s="650" t="str">
        <f t="shared" si="32"/>
        <v/>
      </c>
      <c r="G296" s="650" t="str">
        <f t="shared" si="33"/>
        <v/>
      </c>
      <c r="H296" s="650" t="str">
        <f t="shared" si="34"/>
        <v/>
      </c>
      <c r="J296" s="650"/>
      <c r="K296" s="650"/>
      <c r="L296" s="650"/>
    </row>
    <row r="297" spans="2:12" x14ac:dyDescent="0.2">
      <c r="B297" s="660" t="str">
        <f t="shared" si="29"/>
        <v>-</v>
      </c>
      <c r="C297" s="661" t="str">
        <f t="shared" si="30"/>
        <v/>
      </c>
      <c r="D297" s="650" t="str">
        <f t="shared" si="28"/>
        <v/>
      </c>
      <c r="E297" s="650" t="str">
        <f t="shared" si="31"/>
        <v/>
      </c>
      <c r="F297" s="650" t="str">
        <f t="shared" si="32"/>
        <v/>
      </c>
      <c r="G297" s="650" t="str">
        <f t="shared" si="33"/>
        <v/>
      </c>
      <c r="H297" s="650" t="str">
        <f t="shared" si="34"/>
        <v/>
      </c>
      <c r="J297" s="650"/>
      <c r="K297" s="650"/>
      <c r="L297" s="650"/>
    </row>
    <row r="298" spans="2:12" x14ac:dyDescent="0.2">
      <c r="B298" s="660" t="str">
        <f t="shared" si="29"/>
        <v>-</v>
      </c>
      <c r="C298" s="661" t="str">
        <f t="shared" si="30"/>
        <v/>
      </c>
      <c r="D298" s="650" t="str">
        <f t="shared" si="28"/>
        <v/>
      </c>
      <c r="E298" s="650" t="str">
        <f t="shared" si="31"/>
        <v/>
      </c>
      <c r="F298" s="650" t="str">
        <f t="shared" si="32"/>
        <v/>
      </c>
      <c r="G298" s="650" t="str">
        <f t="shared" si="33"/>
        <v/>
      </c>
      <c r="H298" s="650" t="str">
        <f t="shared" si="34"/>
        <v/>
      </c>
      <c r="J298" s="650"/>
      <c r="K298" s="650"/>
      <c r="L298" s="650"/>
    </row>
    <row r="299" spans="2:12" x14ac:dyDescent="0.2">
      <c r="B299" s="660" t="str">
        <f t="shared" si="29"/>
        <v>-</v>
      </c>
      <c r="C299" s="661" t="str">
        <f t="shared" si="30"/>
        <v/>
      </c>
      <c r="D299" s="650" t="str">
        <f t="shared" si="28"/>
        <v/>
      </c>
      <c r="E299" s="650" t="str">
        <f t="shared" si="31"/>
        <v/>
      </c>
      <c r="F299" s="650" t="str">
        <f t="shared" si="32"/>
        <v/>
      </c>
      <c r="G299" s="650" t="str">
        <f t="shared" si="33"/>
        <v/>
      </c>
      <c r="H299" s="650" t="str">
        <f t="shared" si="34"/>
        <v/>
      </c>
      <c r="J299" s="650"/>
      <c r="K299" s="650"/>
      <c r="L299" s="650"/>
    </row>
    <row r="300" spans="2:12" x14ac:dyDescent="0.2">
      <c r="B300" s="660" t="str">
        <f t="shared" si="29"/>
        <v>-</v>
      </c>
      <c r="C300" s="661" t="str">
        <f t="shared" si="30"/>
        <v/>
      </c>
      <c r="D300" s="650" t="str">
        <f t="shared" si="28"/>
        <v/>
      </c>
      <c r="E300" s="650" t="str">
        <f t="shared" si="31"/>
        <v/>
      </c>
      <c r="F300" s="650" t="str">
        <f t="shared" si="32"/>
        <v/>
      </c>
      <c r="G300" s="650" t="str">
        <f t="shared" si="33"/>
        <v/>
      </c>
      <c r="H300" s="650" t="str">
        <f t="shared" si="34"/>
        <v/>
      </c>
      <c r="J300" s="650"/>
      <c r="K300" s="650"/>
      <c r="L300" s="650"/>
    </row>
    <row r="301" spans="2:12" x14ac:dyDescent="0.2">
      <c r="B301" s="660" t="str">
        <f t="shared" si="29"/>
        <v>-</v>
      </c>
      <c r="C301" s="661" t="str">
        <f t="shared" si="30"/>
        <v/>
      </c>
      <c r="D301" s="650" t="str">
        <f t="shared" si="28"/>
        <v/>
      </c>
      <c r="E301" s="650" t="str">
        <f t="shared" si="31"/>
        <v/>
      </c>
      <c r="F301" s="650" t="str">
        <f t="shared" si="32"/>
        <v/>
      </c>
      <c r="G301" s="650" t="str">
        <f t="shared" si="33"/>
        <v/>
      </c>
      <c r="H301" s="650" t="str">
        <f t="shared" si="34"/>
        <v/>
      </c>
      <c r="J301" s="650"/>
      <c r="K301" s="650"/>
      <c r="L301" s="650"/>
    </row>
    <row r="302" spans="2:12" x14ac:dyDescent="0.2">
      <c r="B302" s="660" t="str">
        <f t="shared" si="29"/>
        <v>-</v>
      </c>
      <c r="C302" s="661" t="str">
        <f t="shared" si="30"/>
        <v/>
      </c>
      <c r="D302" s="650" t="str">
        <f t="shared" si="28"/>
        <v/>
      </c>
      <c r="E302" s="650" t="str">
        <f t="shared" si="31"/>
        <v/>
      </c>
      <c r="F302" s="650" t="str">
        <f t="shared" si="32"/>
        <v/>
      </c>
      <c r="G302" s="650" t="str">
        <f t="shared" si="33"/>
        <v/>
      </c>
      <c r="H302" s="650" t="str">
        <f t="shared" si="34"/>
        <v/>
      </c>
      <c r="J302" s="650"/>
      <c r="K302" s="650"/>
      <c r="L302" s="650"/>
    </row>
    <row r="303" spans="2:12" x14ac:dyDescent="0.2">
      <c r="B303" s="660" t="str">
        <f t="shared" si="29"/>
        <v>-</v>
      </c>
      <c r="C303" s="661" t="str">
        <f t="shared" si="30"/>
        <v/>
      </c>
      <c r="D303" s="650" t="str">
        <f t="shared" si="28"/>
        <v/>
      </c>
      <c r="E303" s="650" t="str">
        <f t="shared" si="31"/>
        <v/>
      </c>
      <c r="F303" s="650" t="str">
        <f t="shared" si="32"/>
        <v/>
      </c>
      <c r="G303" s="650" t="str">
        <f t="shared" si="33"/>
        <v/>
      </c>
      <c r="H303" s="650" t="str">
        <f t="shared" si="34"/>
        <v/>
      </c>
      <c r="J303" s="650"/>
      <c r="K303" s="650"/>
      <c r="L303" s="650"/>
    </row>
    <row r="304" spans="2:12" x14ac:dyDescent="0.2">
      <c r="B304" s="660" t="str">
        <f t="shared" si="29"/>
        <v>-</v>
      </c>
      <c r="C304" s="661" t="str">
        <f t="shared" si="30"/>
        <v/>
      </c>
      <c r="D304" s="650" t="str">
        <f t="shared" si="28"/>
        <v/>
      </c>
      <c r="E304" s="650" t="str">
        <f t="shared" si="31"/>
        <v/>
      </c>
      <c r="F304" s="650" t="str">
        <f t="shared" si="32"/>
        <v/>
      </c>
      <c r="G304" s="650" t="str">
        <f t="shared" si="33"/>
        <v/>
      </c>
      <c r="H304" s="650" t="str">
        <f t="shared" si="34"/>
        <v/>
      </c>
      <c r="J304" s="650"/>
      <c r="K304" s="650"/>
      <c r="L304" s="650"/>
    </row>
    <row r="305" spans="2:12" x14ac:dyDescent="0.2">
      <c r="B305" s="660" t="str">
        <f t="shared" si="29"/>
        <v>-</v>
      </c>
      <c r="C305" s="661" t="str">
        <f t="shared" si="30"/>
        <v/>
      </c>
      <c r="D305" s="650" t="str">
        <f t="shared" si="28"/>
        <v/>
      </c>
      <c r="E305" s="650" t="str">
        <f t="shared" si="31"/>
        <v/>
      </c>
      <c r="F305" s="650" t="str">
        <f t="shared" si="32"/>
        <v/>
      </c>
      <c r="G305" s="650" t="str">
        <f t="shared" si="33"/>
        <v/>
      </c>
      <c r="H305" s="650" t="str">
        <f t="shared" si="34"/>
        <v/>
      </c>
      <c r="J305" s="650"/>
      <c r="K305" s="650"/>
      <c r="L305" s="650"/>
    </row>
    <row r="306" spans="2:12" x14ac:dyDescent="0.2">
      <c r="B306" s="660" t="str">
        <f t="shared" si="29"/>
        <v>-</v>
      </c>
      <c r="C306" s="661" t="str">
        <f t="shared" si="30"/>
        <v/>
      </c>
      <c r="D306" s="650" t="str">
        <f t="shared" si="28"/>
        <v/>
      </c>
      <c r="E306" s="650" t="str">
        <f t="shared" si="31"/>
        <v/>
      </c>
      <c r="F306" s="650" t="str">
        <f t="shared" si="32"/>
        <v/>
      </c>
      <c r="G306" s="650" t="str">
        <f t="shared" si="33"/>
        <v/>
      </c>
      <c r="H306" s="650" t="str">
        <f t="shared" si="34"/>
        <v/>
      </c>
      <c r="J306" s="650"/>
      <c r="K306" s="650"/>
      <c r="L306" s="650"/>
    </row>
    <row r="307" spans="2:12" x14ac:dyDescent="0.2">
      <c r="B307" s="660" t="str">
        <f t="shared" si="29"/>
        <v>-</v>
      </c>
      <c r="C307" s="661" t="str">
        <f t="shared" si="30"/>
        <v/>
      </c>
      <c r="D307" s="650" t="str">
        <f t="shared" si="28"/>
        <v/>
      </c>
      <c r="E307" s="650" t="str">
        <f t="shared" si="31"/>
        <v/>
      </c>
      <c r="F307" s="650" t="str">
        <f t="shared" si="32"/>
        <v/>
      </c>
      <c r="G307" s="650" t="str">
        <f t="shared" si="33"/>
        <v/>
      </c>
      <c r="H307" s="650" t="str">
        <f t="shared" si="34"/>
        <v/>
      </c>
      <c r="J307" s="650"/>
      <c r="K307" s="650"/>
      <c r="L307" s="650"/>
    </row>
    <row r="308" spans="2:12" x14ac:dyDescent="0.2">
      <c r="B308" s="660" t="str">
        <f t="shared" si="29"/>
        <v>-</v>
      </c>
      <c r="C308" s="661" t="str">
        <f t="shared" si="30"/>
        <v/>
      </c>
      <c r="D308" s="650" t="str">
        <f t="shared" si="28"/>
        <v/>
      </c>
      <c r="E308" s="650" t="str">
        <f t="shared" si="31"/>
        <v/>
      </c>
      <c r="F308" s="650" t="str">
        <f t="shared" si="32"/>
        <v/>
      </c>
      <c r="G308" s="650" t="str">
        <f t="shared" si="33"/>
        <v/>
      </c>
      <c r="H308" s="650" t="str">
        <f t="shared" si="34"/>
        <v/>
      </c>
      <c r="J308" s="650"/>
      <c r="K308" s="650"/>
      <c r="L308" s="650"/>
    </row>
    <row r="309" spans="2:12" x14ac:dyDescent="0.2">
      <c r="B309" s="660" t="str">
        <f t="shared" si="29"/>
        <v>-</v>
      </c>
      <c r="C309" s="661" t="str">
        <f t="shared" si="30"/>
        <v/>
      </c>
      <c r="D309" s="650" t="str">
        <f t="shared" si="28"/>
        <v/>
      </c>
      <c r="E309" s="650" t="str">
        <f t="shared" si="31"/>
        <v/>
      </c>
      <c r="F309" s="650" t="str">
        <f t="shared" si="32"/>
        <v/>
      </c>
      <c r="G309" s="650" t="str">
        <f t="shared" si="33"/>
        <v/>
      </c>
      <c r="H309" s="650" t="str">
        <f t="shared" si="34"/>
        <v/>
      </c>
      <c r="J309" s="650"/>
      <c r="K309" s="650"/>
      <c r="L309" s="650"/>
    </row>
    <row r="310" spans="2:12" x14ac:dyDescent="0.2">
      <c r="B310" s="660" t="str">
        <f t="shared" si="29"/>
        <v>-</v>
      </c>
      <c r="C310" s="661" t="str">
        <f t="shared" si="30"/>
        <v/>
      </c>
      <c r="D310" s="650" t="str">
        <f t="shared" si="28"/>
        <v/>
      </c>
      <c r="E310" s="650" t="str">
        <f t="shared" si="31"/>
        <v/>
      </c>
      <c r="F310" s="650" t="str">
        <f t="shared" si="32"/>
        <v/>
      </c>
      <c r="G310" s="650" t="str">
        <f t="shared" si="33"/>
        <v/>
      </c>
      <c r="H310" s="650" t="str">
        <f t="shared" si="34"/>
        <v/>
      </c>
      <c r="J310" s="650"/>
      <c r="K310" s="650"/>
      <c r="L310" s="650"/>
    </row>
    <row r="311" spans="2:12" x14ac:dyDescent="0.2">
      <c r="B311" s="660" t="str">
        <f t="shared" si="29"/>
        <v>-</v>
      </c>
      <c r="C311" s="661" t="str">
        <f t="shared" si="30"/>
        <v/>
      </c>
      <c r="D311" s="650" t="str">
        <f t="shared" si="28"/>
        <v/>
      </c>
      <c r="E311" s="650" t="str">
        <f t="shared" si="31"/>
        <v/>
      </c>
      <c r="F311" s="650" t="str">
        <f t="shared" si="32"/>
        <v/>
      </c>
      <c r="G311" s="650" t="str">
        <f t="shared" si="33"/>
        <v/>
      </c>
      <c r="H311" s="650" t="str">
        <f t="shared" si="34"/>
        <v/>
      </c>
      <c r="J311" s="650"/>
      <c r="K311" s="650"/>
      <c r="L311" s="650"/>
    </row>
    <row r="312" spans="2:12" x14ac:dyDescent="0.2">
      <c r="B312" s="660" t="str">
        <f t="shared" si="29"/>
        <v>-</v>
      </c>
      <c r="C312" s="661" t="str">
        <f t="shared" si="30"/>
        <v/>
      </c>
      <c r="D312" s="650" t="str">
        <f t="shared" si="28"/>
        <v/>
      </c>
      <c r="E312" s="650" t="str">
        <f t="shared" si="31"/>
        <v/>
      </c>
      <c r="F312" s="650" t="str">
        <f t="shared" si="32"/>
        <v/>
      </c>
      <c r="G312" s="650" t="str">
        <f t="shared" si="33"/>
        <v/>
      </c>
      <c r="H312" s="650" t="str">
        <f t="shared" si="34"/>
        <v/>
      </c>
      <c r="J312" s="650"/>
      <c r="K312" s="650"/>
      <c r="L312" s="650"/>
    </row>
    <row r="313" spans="2:12" x14ac:dyDescent="0.2">
      <c r="B313" s="660" t="str">
        <f t="shared" si="29"/>
        <v>-</v>
      </c>
      <c r="C313" s="661" t="str">
        <f t="shared" si="30"/>
        <v/>
      </c>
      <c r="D313" s="650" t="str">
        <f t="shared" si="28"/>
        <v/>
      </c>
      <c r="E313" s="650" t="str">
        <f t="shared" si="31"/>
        <v/>
      </c>
      <c r="F313" s="650" t="str">
        <f t="shared" si="32"/>
        <v/>
      </c>
      <c r="G313" s="650" t="str">
        <f t="shared" si="33"/>
        <v/>
      </c>
      <c r="H313" s="650" t="str">
        <f t="shared" si="34"/>
        <v/>
      </c>
      <c r="J313" s="650"/>
      <c r="K313" s="650"/>
      <c r="L313" s="650"/>
    </row>
    <row r="314" spans="2:12" x14ac:dyDescent="0.2">
      <c r="B314" s="660" t="str">
        <f t="shared" si="29"/>
        <v>-</v>
      </c>
      <c r="C314" s="661" t="str">
        <f t="shared" si="30"/>
        <v/>
      </c>
      <c r="D314" s="650" t="str">
        <f t="shared" si="28"/>
        <v/>
      </c>
      <c r="E314" s="650" t="str">
        <f t="shared" si="31"/>
        <v/>
      </c>
      <c r="F314" s="650" t="str">
        <f t="shared" si="32"/>
        <v/>
      </c>
      <c r="G314" s="650" t="str">
        <f t="shared" si="33"/>
        <v/>
      </c>
      <c r="H314" s="650" t="str">
        <f t="shared" si="34"/>
        <v/>
      </c>
      <c r="J314" s="650"/>
      <c r="K314" s="650"/>
      <c r="L314" s="650"/>
    </row>
    <row r="315" spans="2:12" x14ac:dyDescent="0.2">
      <c r="B315" s="660" t="str">
        <f t="shared" si="29"/>
        <v>-</v>
      </c>
      <c r="C315" s="661" t="str">
        <f t="shared" si="30"/>
        <v/>
      </c>
      <c r="D315" s="650" t="str">
        <f t="shared" si="28"/>
        <v/>
      </c>
      <c r="E315" s="650" t="str">
        <f t="shared" si="31"/>
        <v/>
      </c>
      <c r="F315" s="650" t="str">
        <f t="shared" si="32"/>
        <v/>
      </c>
      <c r="G315" s="650" t="str">
        <f t="shared" si="33"/>
        <v/>
      </c>
      <c r="H315" s="650" t="str">
        <f t="shared" si="34"/>
        <v/>
      </c>
      <c r="J315" s="650"/>
      <c r="K315" s="650"/>
      <c r="L315" s="650"/>
    </row>
    <row r="316" spans="2:12" x14ac:dyDescent="0.2">
      <c r="B316" s="660" t="str">
        <f t="shared" si="29"/>
        <v>-</v>
      </c>
      <c r="C316" s="661" t="str">
        <f t="shared" si="30"/>
        <v/>
      </c>
      <c r="D316" s="650" t="str">
        <f t="shared" si="28"/>
        <v/>
      </c>
      <c r="E316" s="650" t="str">
        <f t="shared" si="31"/>
        <v/>
      </c>
      <c r="F316" s="650" t="str">
        <f t="shared" si="32"/>
        <v/>
      </c>
      <c r="G316" s="650" t="str">
        <f t="shared" si="33"/>
        <v/>
      </c>
      <c r="H316" s="650" t="str">
        <f t="shared" si="34"/>
        <v/>
      </c>
      <c r="J316" s="650"/>
      <c r="K316" s="650"/>
      <c r="L316" s="650"/>
    </row>
    <row r="317" spans="2:12" x14ac:dyDescent="0.2">
      <c r="B317" s="660" t="str">
        <f t="shared" si="29"/>
        <v>-</v>
      </c>
      <c r="C317" s="661" t="str">
        <f t="shared" si="30"/>
        <v/>
      </c>
      <c r="D317" s="650" t="str">
        <f t="shared" si="28"/>
        <v/>
      </c>
      <c r="E317" s="650" t="str">
        <f t="shared" si="31"/>
        <v/>
      </c>
      <c r="F317" s="650" t="str">
        <f t="shared" si="32"/>
        <v/>
      </c>
      <c r="G317" s="650" t="str">
        <f t="shared" si="33"/>
        <v/>
      </c>
      <c r="H317" s="650" t="str">
        <f t="shared" si="34"/>
        <v/>
      </c>
      <c r="J317" s="650"/>
      <c r="K317" s="650"/>
      <c r="L317" s="650"/>
    </row>
    <row r="318" spans="2:12" x14ac:dyDescent="0.2">
      <c r="B318" s="660" t="str">
        <f t="shared" si="29"/>
        <v>-</v>
      </c>
      <c r="C318" s="661" t="str">
        <f t="shared" si="30"/>
        <v/>
      </c>
      <c r="D318" s="650" t="str">
        <f t="shared" si="28"/>
        <v/>
      </c>
      <c r="E318" s="650" t="str">
        <f t="shared" si="31"/>
        <v/>
      </c>
      <c r="F318" s="650" t="str">
        <f t="shared" si="32"/>
        <v/>
      </c>
      <c r="G318" s="650" t="str">
        <f t="shared" si="33"/>
        <v/>
      </c>
      <c r="H318" s="650" t="str">
        <f t="shared" si="34"/>
        <v/>
      </c>
      <c r="J318" s="650"/>
      <c r="K318" s="650"/>
      <c r="L318" s="650"/>
    </row>
    <row r="319" spans="2:12" x14ac:dyDescent="0.2">
      <c r="B319" s="660" t="str">
        <f t="shared" si="29"/>
        <v>-</v>
      </c>
      <c r="C319" s="661" t="str">
        <f t="shared" si="30"/>
        <v/>
      </c>
      <c r="D319" s="650" t="str">
        <f t="shared" si="28"/>
        <v/>
      </c>
      <c r="E319" s="650" t="str">
        <f t="shared" si="31"/>
        <v/>
      </c>
      <c r="F319" s="650" t="str">
        <f t="shared" si="32"/>
        <v/>
      </c>
      <c r="G319" s="650" t="str">
        <f t="shared" si="33"/>
        <v/>
      </c>
      <c r="H319" s="650" t="str">
        <f t="shared" si="34"/>
        <v/>
      </c>
      <c r="J319" s="650"/>
      <c r="K319" s="650"/>
      <c r="L319" s="650"/>
    </row>
    <row r="320" spans="2:12" x14ac:dyDescent="0.2">
      <c r="B320" s="660" t="str">
        <f t="shared" si="29"/>
        <v>-</v>
      </c>
      <c r="C320" s="661" t="str">
        <f t="shared" si="30"/>
        <v/>
      </c>
      <c r="D320" s="650" t="str">
        <f t="shared" si="28"/>
        <v/>
      </c>
      <c r="E320" s="650" t="str">
        <f t="shared" si="31"/>
        <v/>
      </c>
      <c r="F320" s="650" t="str">
        <f t="shared" si="32"/>
        <v/>
      </c>
      <c r="G320" s="650" t="str">
        <f t="shared" si="33"/>
        <v/>
      </c>
      <c r="H320" s="650" t="str">
        <f t="shared" si="34"/>
        <v/>
      </c>
      <c r="J320" s="650"/>
      <c r="K320" s="650"/>
      <c r="L320" s="650"/>
    </row>
    <row r="321" spans="2:12" x14ac:dyDescent="0.2">
      <c r="B321" s="660" t="str">
        <f t="shared" si="29"/>
        <v>-</v>
      </c>
      <c r="C321" s="661" t="str">
        <f t="shared" si="30"/>
        <v/>
      </c>
      <c r="D321" s="650" t="str">
        <f t="shared" si="28"/>
        <v/>
      </c>
      <c r="E321" s="650" t="str">
        <f t="shared" si="31"/>
        <v/>
      </c>
      <c r="F321" s="650" t="str">
        <f t="shared" si="32"/>
        <v/>
      </c>
      <c r="G321" s="650" t="str">
        <f t="shared" si="33"/>
        <v/>
      </c>
      <c r="H321" s="650" t="str">
        <f t="shared" si="34"/>
        <v/>
      </c>
      <c r="J321" s="650"/>
      <c r="K321" s="650"/>
      <c r="L321" s="650"/>
    </row>
    <row r="322" spans="2:12" x14ac:dyDescent="0.2">
      <c r="B322" s="660" t="str">
        <f t="shared" si="29"/>
        <v>-</v>
      </c>
      <c r="C322" s="661" t="str">
        <f t="shared" si="30"/>
        <v/>
      </c>
      <c r="D322" s="650" t="str">
        <f t="shared" si="28"/>
        <v/>
      </c>
      <c r="E322" s="650" t="str">
        <f t="shared" si="31"/>
        <v/>
      </c>
      <c r="F322" s="650" t="str">
        <f t="shared" si="32"/>
        <v/>
      </c>
      <c r="G322" s="650" t="str">
        <f t="shared" si="33"/>
        <v/>
      </c>
      <c r="H322" s="650" t="str">
        <f t="shared" si="34"/>
        <v/>
      </c>
      <c r="J322" s="650"/>
      <c r="K322" s="650"/>
      <c r="L322" s="650"/>
    </row>
    <row r="323" spans="2:12" x14ac:dyDescent="0.2">
      <c r="B323" s="660" t="str">
        <f t="shared" si="29"/>
        <v>-</v>
      </c>
      <c r="C323" s="661" t="str">
        <f t="shared" si="30"/>
        <v/>
      </c>
      <c r="D323" s="650" t="str">
        <f t="shared" si="28"/>
        <v/>
      </c>
      <c r="E323" s="650" t="str">
        <f t="shared" si="31"/>
        <v/>
      </c>
      <c r="F323" s="650" t="str">
        <f t="shared" si="32"/>
        <v/>
      </c>
      <c r="G323" s="650" t="str">
        <f t="shared" si="33"/>
        <v/>
      </c>
      <c r="H323" s="650" t="str">
        <f t="shared" si="34"/>
        <v/>
      </c>
      <c r="J323" s="650"/>
      <c r="K323" s="650"/>
      <c r="L323" s="650"/>
    </row>
    <row r="324" spans="2:12" x14ac:dyDescent="0.2">
      <c r="B324" s="660" t="str">
        <f t="shared" si="29"/>
        <v>-</v>
      </c>
      <c r="C324" s="661" t="str">
        <f t="shared" si="30"/>
        <v/>
      </c>
      <c r="D324" s="650" t="str">
        <f t="shared" si="28"/>
        <v/>
      </c>
      <c r="E324" s="650" t="str">
        <f t="shared" si="31"/>
        <v/>
      </c>
      <c r="F324" s="650" t="str">
        <f t="shared" si="32"/>
        <v/>
      </c>
      <c r="G324" s="650" t="str">
        <f t="shared" si="33"/>
        <v/>
      </c>
      <c r="H324" s="650" t="str">
        <f t="shared" si="34"/>
        <v/>
      </c>
      <c r="J324" s="650"/>
      <c r="K324" s="650"/>
      <c r="L324" s="650"/>
    </row>
    <row r="325" spans="2:12" x14ac:dyDescent="0.2">
      <c r="B325" s="660" t="str">
        <f t="shared" si="29"/>
        <v>-</v>
      </c>
      <c r="C325" s="661" t="str">
        <f t="shared" si="30"/>
        <v/>
      </c>
      <c r="D325" s="650" t="str">
        <f t="shared" si="28"/>
        <v/>
      </c>
      <c r="E325" s="650" t="str">
        <f t="shared" si="31"/>
        <v/>
      </c>
      <c r="F325" s="650" t="str">
        <f t="shared" si="32"/>
        <v/>
      </c>
      <c r="G325" s="650" t="str">
        <f t="shared" si="33"/>
        <v/>
      </c>
      <c r="H325" s="650" t="str">
        <f t="shared" si="34"/>
        <v/>
      </c>
      <c r="J325" s="650"/>
      <c r="K325" s="650"/>
      <c r="L325" s="650"/>
    </row>
    <row r="326" spans="2:12" x14ac:dyDescent="0.2">
      <c r="B326" s="660" t="str">
        <f t="shared" si="29"/>
        <v>-</v>
      </c>
      <c r="C326" s="661" t="str">
        <f t="shared" si="30"/>
        <v/>
      </c>
      <c r="D326" s="650" t="str">
        <f t="shared" ref="D326:D371" si="35">IF(ISNUMBER(B326),D325-F325,"")</f>
        <v/>
      </c>
      <c r="E326" s="650" t="str">
        <f t="shared" si="31"/>
        <v/>
      </c>
      <c r="F326" s="650" t="str">
        <f t="shared" si="32"/>
        <v/>
      </c>
      <c r="G326" s="650" t="str">
        <f t="shared" si="33"/>
        <v/>
      </c>
      <c r="H326" s="650" t="str">
        <f t="shared" si="34"/>
        <v/>
      </c>
      <c r="J326" s="650"/>
      <c r="K326" s="650"/>
      <c r="L326" s="650"/>
    </row>
    <row r="327" spans="2:12" x14ac:dyDescent="0.2">
      <c r="B327" s="660" t="str">
        <f t="shared" si="29"/>
        <v>-</v>
      </c>
      <c r="C327" s="661" t="str">
        <f t="shared" si="30"/>
        <v/>
      </c>
      <c r="D327" s="650" t="str">
        <f t="shared" si="35"/>
        <v/>
      </c>
      <c r="E327" s="650" t="str">
        <f t="shared" si="31"/>
        <v/>
      </c>
      <c r="F327" s="650" t="str">
        <f t="shared" si="32"/>
        <v/>
      </c>
      <c r="G327" s="650" t="str">
        <f t="shared" si="33"/>
        <v/>
      </c>
      <c r="H327" s="650" t="str">
        <f t="shared" si="34"/>
        <v/>
      </c>
      <c r="J327" s="650"/>
      <c r="K327" s="650"/>
      <c r="L327" s="650"/>
    </row>
    <row r="328" spans="2:12" x14ac:dyDescent="0.2">
      <c r="B328" s="660" t="str">
        <f t="shared" si="29"/>
        <v>-</v>
      </c>
      <c r="C328" s="661" t="str">
        <f t="shared" si="30"/>
        <v/>
      </c>
      <c r="D328" s="650" t="str">
        <f t="shared" si="35"/>
        <v/>
      </c>
      <c r="E328" s="650" t="str">
        <f t="shared" si="31"/>
        <v/>
      </c>
      <c r="F328" s="650" t="str">
        <f t="shared" si="32"/>
        <v/>
      </c>
      <c r="G328" s="650" t="str">
        <f t="shared" si="33"/>
        <v/>
      </c>
      <c r="H328" s="650" t="str">
        <f t="shared" si="34"/>
        <v/>
      </c>
      <c r="J328" s="650"/>
      <c r="K328" s="650"/>
      <c r="L328" s="650"/>
    </row>
    <row r="329" spans="2:12" x14ac:dyDescent="0.2">
      <c r="B329" s="660" t="str">
        <f t="shared" si="29"/>
        <v>-</v>
      </c>
      <c r="C329" s="661" t="str">
        <f t="shared" si="30"/>
        <v/>
      </c>
      <c r="D329" s="650" t="str">
        <f t="shared" si="35"/>
        <v/>
      </c>
      <c r="E329" s="650" t="str">
        <f t="shared" si="31"/>
        <v/>
      </c>
      <c r="F329" s="650" t="str">
        <f t="shared" si="32"/>
        <v/>
      </c>
      <c r="G329" s="650" t="str">
        <f t="shared" si="33"/>
        <v/>
      </c>
      <c r="H329" s="650" t="str">
        <f t="shared" si="34"/>
        <v/>
      </c>
      <c r="J329" s="650"/>
      <c r="K329" s="650"/>
      <c r="L329" s="650"/>
    </row>
    <row r="330" spans="2:12" x14ac:dyDescent="0.2">
      <c r="B330" s="660" t="str">
        <f t="shared" si="29"/>
        <v>-</v>
      </c>
      <c r="C330" s="661" t="str">
        <f t="shared" si="30"/>
        <v/>
      </c>
      <c r="D330" s="650" t="str">
        <f t="shared" si="35"/>
        <v/>
      </c>
      <c r="E330" s="650" t="str">
        <f t="shared" si="31"/>
        <v/>
      </c>
      <c r="F330" s="650" t="str">
        <f t="shared" si="32"/>
        <v/>
      </c>
      <c r="G330" s="650" t="str">
        <f t="shared" si="33"/>
        <v/>
      </c>
      <c r="H330" s="650" t="str">
        <f t="shared" si="34"/>
        <v/>
      </c>
      <c r="J330" s="650"/>
      <c r="K330" s="650"/>
      <c r="L330" s="650"/>
    </row>
    <row r="331" spans="2:12" x14ac:dyDescent="0.2">
      <c r="B331" s="660" t="str">
        <f t="shared" si="29"/>
        <v>-</v>
      </c>
      <c r="C331" s="661" t="str">
        <f t="shared" si="30"/>
        <v/>
      </c>
      <c r="D331" s="650" t="str">
        <f t="shared" si="35"/>
        <v/>
      </c>
      <c r="E331" s="650" t="str">
        <f t="shared" si="31"/>
        <v/>
      </c>
      <c r="F331" s="650" t="str">
        <f t="shared" si="32"/>
        <v/>
      </c>
      <c r="G331" s="650" t="str">
        <f t="shared" si="33"/>
        <v/>
      </c>
      <c r="H331" s="650" t="str">
        <f t="shared" si="34"/>
        <v/>
      </c>
      <c r="J331" s="650"/>
      <c r="K331" s="650"/>
      <c r="L331" s="650"/>
    </row>
    <row r="332" spans="2:12" x14ac:dyDescent="0.2">
      <c r="B332" s="660" t="str">
        <f t="shared" ref="B332:B371" si="36">IF(B331&lt;$L$3,B331+1,"-")</f>
        <v>-</v>
      </c>
      <c r="C332" s="661" t="str">
        <f t="shared" ref="C332:C371" si="37">IF(ISNUMBER(B332),MIN(DATE(YEAR($C$11),MONTH($C$11)+B332*12/$P$5,DAY($C$11)),DATE(YEAR($C$11),MONTH($C$11)+1+B332*12/$P$5,1)-1),"")</f>
        <v/>
      </c>
      <c r="D332" s="650" t="str">
        <f t="shared" si="35"/>
        <v/>
      </c>
      <c r="E332" s="650" t="str">
        <f t="shared" ref="E332:E371" si="38">IF(ISNUMBER(B332),ROUND(D332*$L$7,$R$6),"")</f>
        <v/>
      </c>
      <c r="F332" s="650" t="str">
        <f t="shared" ref="F332:F371" si="39">IF(ISNUMBER(B332),IF(B332=$L$3,D332,IF(B332&gt;$L$4,$H$3-E332,0)),"")</f>
        <v/>
      </c>
      <c r="G332" s="650" t="str">
        <f t="shared" ref="G332:G371" si="40">IF(ISNUMBER(B332),$H$4,"")</f>
        <v/>
      </c>
      <c r="H332" s="650" t="str">
        <f t="shared" ref="H332:H371" si="41">IF(ISNUMBER(B332),E332+F332+G332,"")</f>
        <v/>
      </c>
      <c r="J332" s="650"/>
      <c r="K332" s="650"/>
      <c r="L332" s="650"/>
    </row>
    <row r="333" spans="2:12" x14ac:dyDescent="0.2">
      <c r="B333" s="660" t="str">
        <f t="shared" si="36"/>
        <v>-</v>
      </c>
      <c r="C333" s="661" t="str">
        <f t="shared" si="37"/>
        <v/>
      </c>
      <c r="D333" s="650" t="str">
        <f t="shared" si="35"/>
        <v/>
      </c>
      <c r="E333" s="650" t="str">
        <f t="shared" si="38"/>
        <v/>
      </c>
      <c r="F333" s="650" t="str">
        <f t="shared" si="39"/>
        <v/>
      </c>
      <c r="G333" s="650" t="str">
        <f t="shared" si="40"/>
        <v/>
      </c>
      <c r="H333" s="650" t="str">
        <f t="shared" si="41"/>
        <v/>
      </c>
      <c r="J333" s="650"/>
      <c r="K333" s="650"/>
      <c r="L333" s="650"/>
    </row>
    <row r="334" spans="2:12" x14ac:dyDescent="0.2">
      <c r="B334" s="660" t="str">
        <f t="shared" si="36"/>
        <v>-</v>
      </c>
      <c r="C334" s="661" t="str">
        <f t="shared" si="37"/>
        <v/>
      </c>
      <c r="D334" s="650" t="str">
        <f t="shared" si="35"/>
        <v/>
      </c>
      <c r="E334" s="650" t="str">
        <f t="shared" si="38"/>
        <v/>
      </c>
      <c r="F334" s="650" t="str">
        <f t="shared" si="39"/>
        <v/>
      </c>
      <c r="G334" s="650" t="str">
        <f t="shared" si="40"/>
        <v/>
      </c>
      <c r="H334" s="650" t="str">
        <f t="shared" si="41"/>
        <v/>
      </c>
      <c r="J334" s="650"/>
      <c r="K334" s="650"/>
      <c r="L334" s="650"/>
    </row>
    <row r="335" spans="2:12" x14ac:dyDescent="0.2">
      <c r="B335" s="660" t="str">
        <f t="shared" si="36"/>
        <v>-</v>
      </c>
      <c r="C335" s="661" t="str">
        <f t="shared" si="37"/>
        <v/>
      </c>
      <c r="D335" s="650" t="str">
        <f t="shared" si="35"/>
        <v/>
      </c>
      <c r="E335" s="650" t="str">
        <f t="shared" si="38"/>
        <v/>
      </c>
      <c r="F335" s="650" t="str">
        <f t="shared" si="39"/>
        <v/>
      </c>
      <c r="G335" s="650" t="str">
        <f t="shared" si="40"/>
        <v/>
      </c>
      <c r="H335" s="650" t="str">
        <f t="shared" si="41"/>
        <v/>
      </c>
      <c r="J335" s="650"/>
      <c r="K335" s="650"/>
      <c r="L335" s="650"/>
    </row>
    <row r="336" spans="2:12" x14ac:dyDescent="0.2">
      <c r="B336" s="660" t="str">
        <f t="shared" si="36"/>
        <v>-</v>
      </c>
      <c r="C336" s="661" t="str">
        <f t="shared" si="37"/>
        <v/>
      </c>
      <c r="D336" s="650" t="str">
        <f t="shared" si="35"/>
        <v/>
      </c>
      <c r="E336" s="650" t="str">
        <f t="shared" si="38"/>
        <v/>
      </c>
      <c r="F336" s="650" t="str">
        <f t="shared" si="39"/>
        <v/>
      </c>
      <c r="G336" s="650" t="str">
        <f t="shared" si="40"/>
        <v/>
      </c>
      <c r="H336" s="650" t="str">
        <f t="shared" si="41"/>
        <v/>
      </c>
      <c r="J336" s="650"/>
      <c r="K336" s="650"/>
      <c r="L336" s="650"/>
    </row>
    <row r="337" spans="2:12" x14ac:dyDescent="0.2">
      <c r="B337" s="660" t="str">
        <f t="shared" si="36"/>
        <v>-</v>
      </c>
      <c r="C337" s="661" t="str">
        <f t="shared" si="37"/>
        <v/>
      </c>
      <c r="D337" s="650" t="str">
        <f t="shared" si="35"/>
        <v/>
      </c>
      <c r="E337" s="650" t="str">
        <f t="shared" si="38"/>
        <v/>
      </c>
      <c r="F337" s="650" t="str">
        <f t="shared" si="39"/>
        <v/>
      </c>
      <c r="G337" s="650" t="str">
        <f t="shared" si="40"/>
        <v/>
      </c>
      <c r="H337" s="650" t="str">
        <f t="shared" si="41"/>
        <v/>
      </c>
      <c r="J337" s="650"/>
      <c r="K337" s="650"/>
      <c r="L337" s="650"/>
    </row>
    <row r="338" spans="2:12" x14ac:dyDescent="0.2">
      <c r="B338" s="660" t="str">
        <f t="shared" si="36"/>
        <v>-</v>
      </c>
      <c r="C338" s="661" t="str">
        <f t="shared" si="37"/>
        <v/>
      </c>
      <c r="D338" s="650" t="str">
        <f t="shared" si="35"/>
        <v/>
      </c>
      <c r="E338" s="650" t="str">
        <f t="shared" si="38"/>
        <v/>
      </c>
      <c r="F338" s="650" t="str">
        <f t="shared" si="39"/>
        <v/>
      </c>
      <c r="G338" s="650" t="str">
        <f t="shared" si="40"/>
        <v/>
      </c>
      <c r="H338" s="650" t="str">
        <f t="shared" si="41"/>
        <v/>
      </c>
      <c r="J338" s="650"/>
      <c r="K338" s="650"/>
      <c r="L338" s="650"/>
    </row>
    <row r="339" spans="2:12" x14ac:dyDescent="0.2">
      <c r="B339" s="660" t="str">
        <f t="shared" si="36"/>
        <v>-</v>
      </c>
      <c r="C339" s="661" t="str">
        <f t="shared" si="37"/>
        <v/>
      </c>
      <c r="D339" s="650" t="str">
        <f t="shared" si="35"/>
        <v/>
      </c>
      <c r="E339" s="650" t="str">
        <f t="shared" si="38"/>
        <v/>
      </c>
      <c r="F339" s="650" t="str">
        <f t="shared" si="39"/>
        <v/>
      </c>
      <c r="G339" s="650" t="str">
        <f t="shared" si="40"/>
        <v/>
      </c>
      <c r="H339" s="650" t="str">
        <f t="shared" si="41"/>
        <v/>
      </c>
      <c r="J339" s="650"/>
      <c r="K339" s="650"/>
      <c r="L339" s="650"/>
    </row>
    <row r="340" spans="2:12" x14ac:dyDescent="0.2">
      <c r="B340" s="660" t="str">
        <f t="shared" si="36"/>
        <v>-</v>
      </c>
      <c r="C340" s="661" t="str">
        <f t="shared" si="37"/>
        <v/>
      </c>
      <c r="D340" s="650" t="str">
        <f t="shared" si="35"/>
        <v/>
      </c>
      <c r="E340" s="650" t="str">
        <f t="shared" si="38"/>
        <v/>
      </c>
      <c r="F340" s="650" t="str">
        <f t="shared" si="39"/>
        <v/>
      </c>
      <c r="G340" s="650" t="str">
        <f t="shared" si="40"/>
        <v/>
      </c>
      <c r="H340" s="650" t="str">
        <f t="shared" si="41"/>
        <v/>
      </c>
      <c r="J340" s="650"/>
      <c r="K340" s="650"/>
      <c r="L340" s="650"/>
    </row>
    <row r="341" spans="2:12" x14ac:dyDescent="0.2">
      <c r="B341" s="660" t="str">
        <f t="shared" si="36"/>
        <v>-</v>
      </c>
      <c r="C341" s="661" t="str">
        <f t="shared" si="37"/>
        <v/>
      </c>
      <c r="D341" s="650" t="str">
        <f t="shared" si="35"/>
        <v/>
      </c>
      <c r="E341" s="650" t="str">
        <f t="shared" si="38"/>
        <v/>
      </c>
      <c r="F341" s="650" t="str">
        <f t="shared" si="39"/>
        <v/>
      </c>
      <c r="G341" s="650" t="str">
        <f t="shared" si="40"/>
        <v/>
      </c>
      <c r="H341" s="650" t="str">
        <f t="shared" si="41"/>
        <v/>
      </c>
      <c r="J341" s="650"/>
      <c r="K341" s="650"/>
      <c r="L341" s="650"/>
    </row>
    <row r="342" spans="2:12" x14ac:dyDescent="0.2">
      <c r="B342" s="660" t="str">
        <f t="shared" si="36"/>
        <v>-</v>
      </c>
      <c r="C342" s="661" t="str">
        <f t="shared" si="37"/>
        <v/>
      </c>
      <c r="D342" s="650" t="str">
        <f t="shared" si="35"/>
        <v/>
      </c>
      <c r="E342" s="650" t="str">
        <f t="shared" si="38"/>
        <v/>
      </c>
      <c r="F342" s="650" t="str">
        <f t="shared" si="39"/>
        <v/>
      </c>
      <c r="G342" s="650" t="str">
        <f t="shared" si="40"/>
        <v/>
      </c>
      <c r="H342" s="650" t="str">
        <f t="shared" si="41"/>
        <v/>
      </c>
      <c r="J342" s="650"/>
      <c r="K342" s="650"/>
      <c r="L342" s="650"/>
    </row>
    <row r="343" spans="2:12" x14ac:dyDescent="0.2">
      <c r="B343" s="660" t="str">
        <f t="shared" si="36"/>
        <v>-</v>
      </c>
      <c r="C343" s="661" t="str">
        <f t="shared" si="37"/>
        <v/>
      </c>
      <c r="D343" s="650" t="str">
        <f t="shared" si="35"/>
        <v/>
      </c>
      <c r="E343" s="650" t="str">
        <f t="shared" si="38"/>
        <v/>
      </c>
      <c r="F343" s="650" t="str">
        <f t="shared" si="39"/>
        <v/>
      </c>
      <c r="G343" s="650" t="str">
        <f t="shared" si="40"/>
        <v/>
      </c>
      <c r="H343" s="650" t="str">
        <f t="shared" si="41"/>
        <v/>
      </c>
      <c r="J343" s="650"/>
      <c r="K343" s="650"/>
      <c r="L343" s="650"/>
    </row>
    <row r="344" spans="2:12" x14ac:dyDescent="0.2">
      <c r="B344" s="660" t="str">
        <f t="shared" si="36"/>
        <v>-</v>
      </c>
      <c r="C344" s="661" t="str">
        <f t="shared" si="37"/>
        <v/>
      </c>
      <c r="D344" s="650" t="str">
        <f t="shared" si="35"/>
        <v/>
      </c>
      <c r="E344" s="650" t="str">
        <f t="shared" si="38"/>
        <v/>
      </c>
      <c r="F344" s="650" t="str">
        <f t="shared" si="39"/>
        <v/>
      </c>
      <c r="G344" s="650" t="str">
        <f t="shared" si="40"/>
        <v/>
      </c>
      <c r="H344" s="650" t="str">
        <f t="shared" si="41"/>
        <v/>
      </c>
      <c r="J344" s="650"/>
      <c r="K344" s="650"/>
      <c r="L344" s="650"/>
    </row>
    <row r="345" spans="2:12" x14ac:dyDescent="0.2">
      <c r="B345" s="660" t="str">
        <f t="shared" si="36"/>
        <v>-</v>
      </c>
      <c r="C345" s="661" t="str">
        <f t="shared" si="37"/>
        <v/>
      </c>
      <c r="D345" s="650" t="str">
        <f t="shared" si="35"/>
        <v/>
      </c>
      <c r="E345" s="650" t="str">
        <f t="shared" si="38"/>
        <v/>
      </c>
      <c r="F345" s="650" t="str">
        <f t="shared" si="39"/>
        <v/>
      </c>
      <c r="G345" s="650" t="str">
        <f t="shared" si="40"/>
        <v/>
      </c>
      <c r="H345" s="650" t="str">
        <f t="shared" si="41"/>
        <v/>
      </c>
      <c r="J345" s="650"/>
      <c r="K345" s="650"/>
      <c r="L345" s="650"/>
    </row>
    <row r="346" spans="2:12" x14ac:dyDescent="0.2">
      <c r="B346" s="660" t="str">
        <f t="shared" si="36"/>
        <v>-</v>
      </c>
      <c r="C346" s="661" t="str">
        <f t="shared" si="37"/>
        <v/>
      </c>
      <c r="D346" s="650" t="str">
        <f t="shared" si="35"/>
        <v/>
      </c>
      <c r="E346" s="650" t="str">
        <f t="shared" si="38"/>
        <v/>
      </c>
      <c r="F346" s="650" t="str">
        <f t="shared" si="39"/>
        <v/>
      </c>
      <c r="G346" s="650" t="str">
        <f t="shared" si="40"/>
        <v/>
      </c>
      <c r="H346" s="650" t="str">
        <f t="shared" si="41"/>
        <v/>
      </c>
      <c r="J346" s="650"/>
      <c r="K346" s="650"/>
      <c r="L346" s="650"/>
    </row>
    <row r="347" spans="2:12" x14ac:dyDescent="0.2">
      <c r="B347" s="660" t="str">
        <f t="shared" si="36"/>
        <v>-</v>
      </c>
      <c r="C347" s="661" t="str">
        <f t="shared" si="37"/>
        <v/>
      </c>
      <c r="D347" s="650" t="str">
        <f t="shared" si="35"/>
        <v/>
      </c>
      <c r="E347" s="650" t="str">
        <f t="shared" si="38"/>
        <v/>
      </c>
      <c r="F347" s="650" t="str">
        <f t="shared" si="39"/>
        <v/>
      </c>
      <c r="G347" s="650" t="str">
        <f t="shared" si="40"/>
        <v/>
      </c>
      <c r="H347" s="650" t="str">
        <f t="shared" si="41"/>
        <v/>
      </c>
      <c r="J347" s="650"/>
      <c r="K347" s="650"/>
      <c r="L347" s="650"/>
    </row>
    <row r="348" spans="2:12" x14ac:dyDescent="0.2">
      <c r="B348" s="660" t="str">
        <f t="shared" si="36"/>
        <v>-</v>
      </c>
      <c r="C348" s="661" t="str">
        <f t="shared" si="37"/>
        <v/>
      </c>
      <c r="D348" s="650" t="str">
        <f t="shared" si="35"/>
        <v/>
      </c>
      <c r="E348" s="650" t="str">
        <f t="shared" si="38"/>
        <v/>
      </c>
      <c r="F348" s="650" t="str">
        <f t="shared" si="39"/>
        <v/>
      </c>
      <c r="G348" s="650" t="str">
        <f t="shared" si="40"/>
        <v/>
      </c>
      <c r="H348" s="650" t="str">
        <f t="shared" si="41"/>
        <v/>
      </c>
      <c r="J348" s="650"/>
      <c r="K348" s="650"/>
      <c r="L348" s="650"/>
    </row>
    <row r="349" spans="2:12" x14ac:dyDescent="0.2">
      <c r="B349" s="660" t="str">
        <f t="shared" si="36"/>
        <v>-</v>
      </c>
      <c r="C349" s="661" t="str">
        <f t="shared" si="37"/>
        <v/>
      </c>
      <c r="D349" s="650" t="str">
        <f t="shared" si="35"/>
        <v/>
      </c>
      <c r="E349" s="650" t="str">
        <f t="shared" si="38"/>
        <v/>
      </c>
      <c r="F349" s="650" t="str">
        <f t="shared" si="39"/>
        <v/>
      </c>
      <c r="G349" s="650" t="str">
        <f t="shared" si="40"/>
        <v/>
      </c>
      <c r="H349" s="650" t="str">
        <f t="shared" si="41"/>
        <v/>
      </c>
      <c r="J349" s="650"/>
      <c r="K349" s="650"/>
      <c r="L349" s="650"/>
    </row>
    <row r="350" spans="2:12" x14ac:dyDescent="0.2">
      <c r="B350" s="660" t="str">
        <f t="shared" si="36"/>
        <v>-</v>
      </c>
      <c r="C350" s="661" t="str">
        <f t="shared" si="37"/>
        <v/>
      </c>
      <c r="D350" s="650" t="str">
        <f t="shared" si="35"/>
        <v/>
      </c>
      <c r="E350" s="650" t="str">
        <f t="shared" si="38"/>
        <v/>
      </c>
      <c r="F350" s="650" t="str">
        <f t="shared" si="39"/>
        <v/>
      </c>
      <c r="G350" s="650" t="str">
        <f t="shared" si="40"/>
        <v/>
      </c>
      <c r="H350" s="650" t="str">
        <f t="shared" si="41"/>
        <v/>
      </c>
      <c r="J350" s="650"/>
      <c r="K350" s="650"/>
      <c r="L350" s="650"/>
    </row>
    <row r="351" spans="2:12" x14ac:dyDescent="0.2">
      <c r="B351" s="660" t="str">
        <f t="shared" si="36"/>
        <v>-</v>
      </c>
      <c r="C351" s="661" t="str">
        <f t="shared" si="37"/>
        <v/>
      </c>
      <c r="D351" s="650" t="str">
        <f t="shared" si="35"/>
        <v/>
      </c>
      <c r="E351" s="650" t="str">
        <f t="shared" si="38"/>
        <v/>
      </c>
      <c r="F351" s="650" t="str">
        <f t="shared" si="39"/>
        <v/>
      </c>
      <c r="G351" s="650" t="str">
        <f t="shared" si="40"/>
        <v/>
      </c>
      <c r="H351" s="650" t="str">
        <f t="shared" si="41"/>
        <v/>
      </c>
      <c r="J351" s="650"/>
      <c r="K351" s="650"/>
      <c r="L351" s="650"/>
    </row>
    <row r="352" spans="2:12" x14ac:dyDescent="0.2">
      <c r="B352" s="660" t="str">
        <f t="shared" si="36"/>
        <v>-</v>
      </c>
      <c r="C352" s="661" t="str">
        <f t="shared" si="37"/>
        <v/>
      </c>
      <c r="D352" s="650" t="str">
        <f t="shared" si="35"/>
        <v/>
      </c>
      <c r="E352" s="650" t="str">
        <f t="shared" si="38"/>
        <v/>
      </c>
      <c r="F352" s="650" t="str">
        <f t="shared" si="39"/>
        <v/>
      </c>
      <c r="G352" s="650" t="str">
        <f t="shared" si="40"/>
        <v/>
      </c>
      <c r="H352" s="650" t="str">
        <f t="shared" si="41"/>
        <v/>
      </c>
      <c r="J352" s="650"/>
      <c r="K352" s="650"/>
      <c r="L352" s="650"/>
    </row>
    <row r="353" spans="2:12" x14ac:dyDescent="0.2">
      <c r="B353" s="660" t="str">
        <f t="shared" si="36"/>
        <v>-</v>
      </c>
      <c r="C353" s="661" t="str">
        <f t="shared" si="37"/>
        <v/>
      </c>
      <c r="D353" s="650" t="str">
        <f t="shared" si="35"/>
        <v/>
      </c>
      <c r="E353" s="650" t="str">
        <f t="shared" si="38"/>
        <v/>
      </c>
      <c r="F353" s="650" t="str">
        <f t="shared" si="39"/>
        <v/>
      </c>
      <c r="G353" s="650" t="str">
        <f t="shared" si="40"/>
        <v/>
      </c>
      <c r="H353" s="650" t="str">
        <f t="shared" si="41"/>
        <v/>
      </c>
      <c r="J353" s="650"/>
      <c r="K353" s="650"/>
      <c r="L353" s="650"/>
    </row>
    <row r="354" spans="2:12" x14ac:dyDescent="0.2">
      <c r="B354" s="660" t="str">
        <f t="shared" si="36"/>
        <v>-</v>
      </c>
      <c r="C354" s="661" t="str">
        <f t="shared" si="37"/>
        <v/>
      </c>
      <c r="D354" s="650" t="str">
        <f t="shared" si="35"/>
        <v/>
      </c>
      <c r="E354" s="650" t="str">
        <f t="shared" si="38"/>
        <v/>
      </c>
      <c r="F354" s="650" t="str">
        <f t="shared" si="39"/>
        <v/>
      </c>
      <c r="G354" s="650" t="str">
        <f t="shared" si="40"/>
        <v/>
      </c>
      <c r="H354" s="650" t="str">
        <f t="shared" si="41"/>
        <v/>
      </c>
      <c r="J354" s="650"/>
      <c r="K354" s="650"/>
      <c r="L354" s="650"/>
    </row>
    <row r="355" spans="2:12" x14ac:dyDescent="0.2">
      <c r="B355" s="660" t="str">
        <f t="shared" si="36"/>
        <v>-</v>
      </c>
      <c r="C355" s="661" t="str">
        <f t="shared" si="37"/>
        <v/>
      </c>
      <c r="D355" s="650" t="str">
        <f t="shared" si="35"/>
        <v/>
      </c>
      <c r="E355" s="650" t="str">
        <f t="shared" si="38"/>
        <v/>
      </c>
      <c r="F355" s="650" t="str">
        <f t="shared" si="39"/>
        <v/>
      </c>
      <c r="G355" s="650" t="str">
        <f t="shared" si="40"/>
        <v/>
      </c>
      <c r="H355" s="650" t="str">
        <f t="shared" si="41"/>
        <v/>
      </c>
      <c r="J355" s="650"/>
      <c r="K355" s="650"/>
      <c r="L355" s="650"/>
    </row>
    <row r="356" spans="2:12" x14ac:dyDescent="0.2">
      <c r="B356" s="660" t="str">
        <f t="shared" si="36"/>
        <v>-</v>
      </c>
      <c r="C356" s="661" t="str">
        <f t="shared" si="37"/>
        <v/>
      </c>
      <c r="D356" s="650" t="str">
        <f t="shared" si="35"/>
        <v/>
      </c>
      <c r="E356" s="650" t="str">
        <f t="shared" si="38"/>
        <v/>
      </c>
      <c r="F356" s="650" t="str">
        <f t="shared" si="39"/>
        <v/>
      </c>
      <c r="G356" s="650" t="str">
        <f t="shared" si="40"/>
        <v/>
      </c>
      <c r="H356" s="650" t="str">
        <f t="shared" si="41"/>
        <v/>
      </c>
      <c r="J356" s="650"/>
      <c r="K356" s="650"/>
      <c r="L356" s="650"/>
    </row>
    <row r="357" spans="2:12" x14ac:dyDescent="0.2">
      <c r="B357" s="660" t="str">
        <f t="shared" si="36"/>
        <v>-</v>
      </c>
      <c r="C357" s="661" t="str">
        <f t="shared" si="37"/>
        <v/>
      </c>
      <c r="D357" s="650" t="str">
        <f t="shared" si="35"/>
        <v/>
      </c>
      <c r="E357" s="650" t="str">
        <f t="shared" si="38"/>
        <v/>
      </c>
      <c r="F357" s="650" t="str">
        <f t="shared" si="39"/>
        <v/>
      </c>
      <c r="G357" s="650" t="str">
        <f t="shared" si="40"/>
        <v/>
      </c>
      <c r="H357" s="650" t="str">
        <f t="shared" si="41"/>
        <v/>
      </c>
      <c r="J357" s="650"/>
      <c r="K357" s="650"/>
      <c r="L357" s="650"/>
    </row>
    <row r="358" spans="2:12" x14ac:dyDescent="0.2">
      <c r="B358" s="660" t="str">
        <f t="shared" si="36"/>
        <v>-</v>
      </c>
      <c r="C358" s="661" t="str">
        <f t="shared" si="37"/>
        <v/>
      </c>
      <c r="D358" s="650" t="str">
        <f t="shared" si="35"/>
        <v/>
      </c>
      <c r="E358" s="650" t="str">
        <f t="shared" si="38"/>
        <v/>
      </c>
      <c r="F358" s="650" t="str">
        <f t="shared" si="39"/>
        <v/>
      </c>
      <c r="G358" s="650" t="str">
        <f t="shared" si="40"/>
        <v/>
      </c>
      <c r="H358" s="650" t="str">
        <f t="shared" si="41"/>
        <v/>
      </c>
      <c r="J358" s="650"/>
      <c r="K358" s="650"/>
      <c r="L358" s="650"/>
    </row>
    <row r="359" spans="2:12" x14ac:dyDescent="0.2">
      <c r="B359" s="660" t="str">
        <f t="shared" si="36"/>
        <v>-</v>
      </c>
      <c r="C359" s="661" t="str">
        <f t="shared" si="37"/>
        <v/>
      </c>
      <c r="D359" s="650" t="str">
        <f t="shared" si="35"/>
        <v/>
      </c>
      <c r="E359" s="650" t="str">
        <f t="shared" si="38"/>
        <v/>
      </c>
      <c r="F359" s="650" t="str">
        <f t="shared" si="39"/>
        <v/>
      </c>
      <c r="G359" s="650" t="str">
        <f t="shared" si="40"/>
        <v/>
      </c>
      <c r="H359" s="650" t="str">
        <f t="shared" si="41"/>
        <v/>
      </c>
      <c r="J359" s="650"/>
      <c r="K359" s="650"/>
      <c r="L359" s="650"/>
    </row>
    <row r="360" spans="2:12" x14ac:dyDescent="0.2">
      <c r="B360" s="660" t="str">
        <f t="shared" si="36"/>
        <v>-</v>
      </c>
      <c r="C360" s="661" t="str">
        <f t="shared" si="37"/>
        <v/>
      </c>
      <c r="D360" s="650" t="str">
        <f t="shared" si="35"/>
        <v/>
      </c>
      <c r="E360" s="650" t="str">
        <f t="shared" si="38"/>
        <v/>
      </c>
      <c r="F360" s="650" t="str">
        <f t="shared" si="39"/>
        <v/>
      </c>
      <c r="G360" s="650" t="str">
        <f t="shared" si="40"/>
        <v/>
      </c>
      <c r="H360" s="650" t="str">
        <f t="shared" si="41"/>
        <v/>
      </c>
      <c r="J360" s="650"/>
      <c r="K360" s="650"/>
      <c r="L360" s="650"/>
    </row>
    <row r="361" spans="2:12" x14ac:dyDescent="0.2">
      <c r="B361" s="660" t="str">
        <f t="shared" si="36"/>
        <v>-</v>
      </c>
      <c r="C361" s="661" t="str">
        <f t="shared" si="37"/>
        <v/>
      </c>
      <c r="D361" s="650" t="str">
        <f t="shared" si="35"/>
        <v/>
      </c>
      <c r="E361" s="650" t="str">
        <f t="shared" si="38"/>
        <v/>
      </c>
      <c r="F361" s="650" t="str">
        <f t="shared" si="39"/>
        <v/>
      </c>
      <c r="G361" s="650" t="str">
        <f t="shared" si="40"/>
        <v/>
      </c>
      <c r="H361" s="650" t="str">
        <f t="shared" si="41"/>
        <v/>
      </c>
      <c r="J361" s="650"/>
      <c r="K361" s="650"/>
      <c r="L361" s="650"/>
    </row>
    <row r="362" spans="2:12" x14ac:dyDescent="0.2">
      <c r="B362" s="660" t="str">
        <f t="shared" si="36"/>
        <v>-</v>
      </c>
      <c r="C362" s="661" t="str">
        <f t="shared" si="37"/>
        <v/>
      </c>
      <c r="D362" s="650" t="str">
        <f t="shared" si="35"/>
        <v/>
      </c>
      <c r="E362" s="650" t="str">
        <f t="shared" si="38"/>
        <v/>
      </c>
      <c r="F362" s="650" t="str">
        <f t="shared" si="39"/>
        <v/>
      </c>
      <c r="G362" s="650" t="str">
        <f t="shared" si="40"/>
        <v/>
      </c>
      <c r="H362" s="650" t="str">
        <f t="shared" si="41"/>
        <v/>
      </c>
      <c r="J362" s="650"/>
      <c r="K362" s="650"/>
      <c r="L362" s="650"/>
    </row>
    <row r="363" spans="2:12" x14ac:dyDescent="0.2">
      <c r="B363" s="660" t="str">
        <f t="shared" si="36"/>
        <v>-</v>
      </c>
      <c r="C363" s="661" t="str">
        <f t="shared" si="37"/>
        <v/>
      </c>
      <c r="D363" s="650" t="str">
        <f t="shared" si="35"/>
        <v/>
      </c>
      <c r="E363" s="650" t="str">
        <f t="shared" si="38"/>
        <v/>
      </c>
      <c r="F363" s="650" t="str">
        <f t="shared" si="39"/>
        <v/>
      </c>
      <c r="G363" s="650" t="str">
        <f t="shared" si="40"/>
        <v/>
      </c>
      <c r="H363" s="650" t="str">
        <f t="shared" si="41"/>
        <v/>
      </c>
      <c r="J363" s="650"/>
      <c r="K363" s="650"/>
      <c r="L363" s="650"/>
    </row>
    <row r="364" spans="2:12" x14ac:dyDescent="0.2">
      <c r="B364" s="660" t="str">
        <f t="shared" si="36"/>
        <v>-</v>
      </c>
      <c r="C364" s="661" t="str">
        <f t="shared" si="37"/>
        <v/>
      </c>
      <c r="D364" s="650" t="str">
        <f t="shared" si="35"/>
        <v/>
      </c>
      <c r="E364" s="650" t="str">
        <f t="shared" si="38"/>
        <v/>
      </c>
      <c r="F364" s="650" t="str">
        <f t="shared" si="39"/>
        <v/>
      </c>
      <c r="G364" s="650" t="str">
        <f t="shared" si="40"/>
        <v/>
      </c>
      <c r="H364" s="650" t="str">
        <f t="shared" si="41"/>
        <v/>
      </c>
      <c r="J364" s="650"/>
      <c r="K364" s="650"/>
      <c r="L364" s="650"/>
    </row>
    <row r="365" spans="2:12" x14ac:dyDescent="0.2">
      <c r="B365" s="660" t="str">
        <f t="shared" si="36"/>
        <v>-</v>
      </c>
      <c r="C365" s="661" t="str">
        <f t="shared" si="37"/>
        <v/>
      </c>
      <c r="D365" s="650" t="str">
        <f t="shared" si="35"/>
        <v/>
      </c>
      <c r="E365" s="650" t="str">
        <f t="shared" si="38"/>
        <v/>
      </c>
      <c r="F365" s="650" t="str">
        <f t="shared" si="39"/>
        <v/>
      </c>
      <c r="G365" s="650" t="str">
        <f t="shared" si="40"/>
        <v/>
      </c>
      <c r="H365" s="650" t="str">
        <f t="shared" si="41"/>
        <v/>
      </c>
      <c r="J365" s="650"/>
      <c r="K365" s="650"/>
      <c r="L365" s="650"/>
    </row>
    <row r="366" spans="2:12" x14ac:dyDescent="0.2">
      <c r="B366" s="660" t="str">
        <f t="shared" si="36"/>
        <v>-</v>
      </c>
      <c r="C366" s="661" t="str">
        <f t="shared" si="37"/>
        <v/>
      </c>
      <c r="D366" s="650" t="str">
        <f t="shared" si="35"/>
        <v/>
      </c>
      <c r="E366" s="650" t="str">
        <f t="shared" si="38"/>
        <v/>
      </c>
      <c r="F366" s="650" t="str">
        <f t="shared" si="39"/>
        <v/>
      </c>
      <c r="G366" s="650" t="str">
        <f t="shared" si="40"/>
        <v/>
      </c>
      <c r="H366" s="650" t="str">
        <f t="shared" si="41"/>
        <v/>
      </c>
      <c r="J366" s="650"/>
      <c r="K366" s="650"/>
      <c r="L366" s="650"/>
    </row>
    <row r="367" spans="2:12" x14ac:dyDescent="0.2">
      <c r="B367" s="660" t="str">
        <f t="shared" si="36"/>
        <v>-</v>
      </c>
      <c r="C367" s="661" t="str">
        <f t="shared" si="37"/>
        <v/>
      </c>
      <c r="D367" s="650" t="str">
        <f t="shared" si="35"/>
        <v/>
      </c>
      <c r="E367" s="650" t="str">
        <f t="shared" si="38"/>
        <v/>
      </c>
      <c r="F367" s="650" t="str">
        <f t="shared" si="39"/>
        <v/>
      </c>
      <c r="G367" s="650" t="str">
        <f t="shared" si="40"/>
        <v/>
      </c>
      <c r="H367" s="650" t="str">
        <f t="shared" si="41"/>
        <v/>
      </c>
      <c r="J367" s="650"/>
      <c r="K367" s="650"/>
      <c r="L367" s="650"/>
    </row>
    <row r="368" spans="2:12" x14ac:dyDescent="0.2">
      <c r="B368" s="660" t="str">
        <f t="shared" si="36"/>
        <v>-</v>
      </c>
      <c r="C368" s="661" t="str">
        <f t="shared" si="37"/>
        <v/>
      </c>
      <c r="D368" s="650" t="str">
        <f t="shared" si="35"/>
        <v/>
      </c>
      <c r="E368" s="650" t="str">
        <f t="shared" si="38"/>
        <v/>
      </c>
      <c r="F368" s="650" t="str">
        <f t="shared" si="39"/>
        <v/>
      </c>
      <c r="G368" s="650" t="str">
        <f t="shared" si="40"/>
        <v/>
      </c>
      <c r="H368" s="650" t="str">
        <f t="shared" si="41"/>
        <v/>
      </c>
      <c r="J368" s="650"/>
      <c r="K368" s="650"/>
      <c r="L368" s="650"/>
    </row>
    <row r="369" spans="2:12" x14ac:dyDescent="0.2">
      <c r="B369" s="660" t="str">
        <f t="shared" si="36"/>
        <v>-</v>
      </c>
      <c r="C369" s="661" t="str">
        <f t="shared" si="37"/>
        <v/>
      </c>
      <c r="D369" s="650" t="str">
        <f t="shared" si="35"/>
        <v/>
      </c>
      <c r="E369" s="650" t="str">
        <f t="shared" si="38"/>
        <v/>
      </c>
      <c r="F369" s="650" t="str">
        <f t="shared" si="39"/>
        <v/>
      </c>
      <c r="G369" s="650" t="str">
        <f t="shared" si="40"/>
        <v/>
      </c>
      <c r="H369" s="650" t="str">
        <f t="shared" si="41"/>
        <v/>
      </c>
      <c r="J369" s="650"/>
      <c r="K369" s="650"/>
      <c r="L369" s="650"/>
    </row>
    <row r="370" spans="2:12" x14ac:dyDescent="0.2">
      <c r="B370" s="660" t="str">
        <f t="shared" si="36"/>
        <v>-</v>
      </c>
      <c r="C370" s="661" t="str">
        <f t="shared" si="37"/>
        <v/>
      </c>
      <c r="D370" s="650" t="str">
        <f t="shared" si="35"/>
        <v/>
      </c>
      <c r="E370" s="650" t="str">
        <f t="shared" si="38"/>
        <v/>
      </c>
      <c r="F370" s="650" t="str">
        <f t="shared" si="39"/>
        <v/>
      </c>
      <c r="G370" s="650" t="str">
        <f t="shared" si="40"/>
        <v/>
      </c>
      <c r="H370" s="650" t="str">
        <f t="shared" si="41"/>
        <v/>
      </c>
      <c r="J370" s="650"/>
      <c r="K370" s="650"/>
      <c r="L370" s="650"/>
    </row>
    <row r="371" spans="2:12" x14ac:dyDescent="0.2">
      <c r="B371" s="660" t="str">
        <f t="shared" si="36"/>
        <v>-</v>
      </c>
      <c r="C371" s="661" t="str">
        <f t="shared" si="37"/>
        <v/>
      </c>
      <c r="D371" s="650" t="str">
        <f t="shared" si="35"/>
        <v/>
      </c>
      <c r="E371" s="650" t="str">
        <f t="shared" si="38"/>
        <v/>
      </c>
      <c r="F371" s="650" t="str">
        <f t="shared" si="39"/>
        <v/>
      </c>
      <c r="G371" s="650" t="str">
        <f t="shared" si="40"/>
        <v/>
      </c>
      <c r="H371" s="650" t="str">
        <f t="shared" si="41"/>
        <v/>
      </c>
      <c r="J371" s="650"/>
      <c r="K371" s="650"/>
      <c r="L371" s="650"/>
    </row>
    <row r="372" spans="2:12" x14ac:dyDescent="0.2">
      <c r="B372" s="1252" t="s">
        <v>166</v>
      </c>
      <c r="C372" s="1252"/>
      <c r="D372" s="1252"/>
      <c r="E372" s="1252"/>
      <c r="F372" s="1252"/>
      <c r="G372" s="1252"/>
      <c r="H372" s="1252"/>
    </row>
    <row r="373" spans="2:12" x14ac:dyDescent="0.2">
      <c r="B373" s="662" t="s">
        <v>167</v>
      </c>
      <c r="E373" s="650">
        <f>SUM(E12:E371)</f>
        <v>9299768.2199999988</v>
      </c>
      <c r="F373" s="650">
        <f>SUM(F12:F371)</f>
        <v>2269192.7899999996</v>
      </c>
      <c r="G373" s="650">
        <f>SUM(G12:G371)</f>
        <v>0</v>
      </c>
      <c r="H373" s="650">
        <f>SUM(H12:H371)</f>
        <v>2836877.7299999972</v>
      </c>
    </row>
  </sheetData>
  <mergeCells count="26">
    <mergeCell ref="B1:G1"/>
    <mergeCell ref="J1:L1"/>
    <mergeCell ref="B2:D2"/>
    <mergeCell ref="F2:H2"/>
    <mergeCell ref="J2:L2"/>
    <mergeCell ref="P2:R2"/>
    <mergeCell ref="B3:C3"/>
    <mergeCell ref="F3:G3"/>
    <mergeCell ref="J3:K3"/>
    <mergeCell ref="B4:C4"/>
    <mergeCell ref="F4:G4"/>
    <mergeCell ref="J4:K4"/>
    <mergeCell ref="B5:C5"/>
    <mergeCell ref="F5:G5"/>
    <mergeCell ref="J5:K5"/>
    <mergeCell ref="B6:C6"/>
    <mergeCell ref="F6:G6"/>
    <mergeCell ref="J6:K6"/>
    <mergeCell ref="B9:H9"/>
    <mergeCell ref="B372:H372"/>
    <mergeCell ref="B7:C7"/>
    <mergeCell ref="F7:G7"/>
    <mergeCell ref="J7:K7"/>
    <mergeCell ref="B8:C8"/>
    <mergeCell ref="F8:G8"/>
    <mergeCell ref="J8:K8"/>
  </mergeCells>
  <conditionalFormatting sqref="L8">
    <cfRule type="cellIs" dxfId="1" priority="1" stopIfTrue="1" operator="equal">
      <formula>"KO"</formula>
    </cfRule>
  </conditionalFormatting>
  <hyperlinks>
    <hyperlink ref="J1" r:id="rId1" display="www.cbanque.com"/>
    <hyperlink ref="J1:L1" r:id="rId2" tooltip="Mode d'emploi JxPret sur cbanque.com - site d'information sur les crédits et les placements" display="Lien mode d'emploi"/>
  </hyperlinks>
  <pageMargins left="0.78740157499999996" right="0.78740157499999996" top="0.984251969" bottom="0.984251969" header="0.4921259845" footer="0.4921259845"/>
  <pageSetup paperSize="9" orientation="portrait" horizontalDpi="0" verticalDpi="0"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3" tint="0.39997558519241921"/>
    <pageSetUpPr fitToPage="1"/>
  </sheetPr>
  <dimension ref="A1:AD146"/>
  <sheetViews>
    <sheetView zoomScale="125" workbookViewId="0">
      <selection activeCell="F2" sqref="F2"/>
    </sheetView>
  </sheetViews>
  <sheetFormatPr baseColWidth="10" defaultRowHeight="12.75" x14ac:dyDescent="0.2"/>
  <cols>
    <col min="3" max="3" width="12.42578125" customWidth="1"/>
    <col min="4" max="5" width="0" hidden="1" customWidth="1"/>
    <col min="9" max="9" width="14.5703125" customWidth="1"/>
  </cols>
  <sheetData>
    <row r="1" spans="1:30" ht="27" thickBot="1" x14ac:dyDescent="0.45">
      <c r="A1" s="9" t="s">
        <v>1069</v>
      </c>
    </row>
    <row r="2" spans="1:30" ht="13.5" thickBot="1" x14ac:dyDescent="0.25">
      <c r="J2" s="141" t="s">
        <v>1214</v>
      </c>
      <c r="L2" s="890" t="s">
        <v>1216</v>
      </c>
      <c r="AD2" t="s">
        <v>1215</v>
      </c>
    </row>
    <row r="3" spans="1:30" ht="13.5" thickBot="1" x14ac:dyDescent="0.25">
      <c r="A3" s="1284" t="s">
        <v>1074</v>
      </c>
      <c r="B3" s="1284"/>
      <c r="C3" s="1284"/>
      <c r="G3" t="s">
        <v>1180</v>
      </c>
      <c r="H3" s="848">
        <v>0.05</v>
      </c>
      <c r="I3" s="43" t="s">
        <v>528</v>
      </c>
      <c r="AD3" t="s">
        <v>1216</v>
      </c>
    </row>
    <row r="4" spans="1:30" s="41" customFormat="1" ht="34.5" customHeight="1" thickBot="1" x14ac:dyDescent="0.25">
      <c r="A4" s="1207"/>
      <c r="B4" s="1207"/>
      <c r="C4" s="1207"/>
      <c r="D4" s="129" t="s">
        <v>1071</v>
      </c>
      <c r="E4" s="130" t="s">
        <v>1072</v>
      </c>
      <c r="F4" s="131" t="s">
        <v>1073</v>
      </c>
      <c r="G4" s="1290" t="s">
        <v>235</v>
      </c>
      <c r="H4" s="1286"/>
      <c r="I4" s="132" t="s">
        <v>900</v>
      </c>
      <c r="J4" s="1268" t="s">
        <v>240</v>
      </c>
      <c r="K4" s="1269"/>
      <c r="L4" s="1269"/>
      <c r="M4" s="1269"/>
      <c r="N4" s="1269"/>
      <c r="O4" s="1269"/>
      <c r="P4" s="1269"/>
      <c r="Q4" s="1269"/>
      <c r="R4" s="1269"/>
    </row>
    <row r="5" spans="1:30" ht="13.5" thickBot="1" x14ac:dyDescent="0.25">
      <c r="A5" s="1270" t="s">
        <v>1155</v>
      </c>
      <c r="B5" s="1270"/>
      <c r="C5" s="1270"/>
      <c r="D5" s="66"/>
      <c r="E5" s="70"/>
      <c r="F5" s="886">
        <f>SUM(F6:F24)</f>
        <v>56.66</v>
      </c>
      <c r="G5" s="1291"/>
      <c r="H5" s="1292"/>
      <c r="I5" s="133">
        <f>SUM(I6:I24)/COUNTA(I6:I24)</f>
        <v>12.882352941176471</v>
      </c>
      <c r="J5" s="40" t="s">
        <v>945</v>
      </c>
      <c r="K5" s="40" t="s">
        <v>946</v>
      </c>
      <c r="L5" s="40" t="s">
        <v>947</v>
      </c>
      <c r="M5" s="40" t="s">
        <v>948</v>
      </c>
      <c r="N5" s="40" t="s">
        <v>949</v>
      </c>
      <c r="O5" s="40" t="s">
        <v>846</v>
      </c>
      <c r="P5" s="40" t="s">
        <v>847</v>
      </c>
      <c r="Q5" s="40" t="s">
        <v>848</v>
      </c>
      <c r="R5" s="40" t="s">
        <v>849</v>
      </c>
      <c r="S5" s="40" t="s">
        <v>509</v>
      </c>
      <c r="T5" s="40" t="s">
        <v>510</v>
      </c>
      <c r="U5" s="40" t="s">
        <v>368</v>
      </c>
      <c r="V5" s="40" t="s">
        <v>369</v>
      </c>
      <c r="W5" s="40" t="s">
        <v>370</v>
      </c>
      <c r="X5" s="40" t="s">
        <v>371</v>
      </c>
      <c r="Y5" s="40" t="s">
        <v>372</v>
      </c>
      <c r="Z5" s="40" t="s">
        <v>373</v>
      </c>
      <c r="AA5" s="40" t="s">
        <v>374</v>
      </c>
      <c r="AB5" s="40" t="s">
        <v>375</v>
      </c>
      <c r="AC5" s="40" t="s">
        <v>376</v>
      </c>
    </row>
    <row r="6" spans="1:30" x14ac:dyDescent="0.2">
      <c r="A6" s="1266" t="s">
        <v>1122</v>
      </c>
      <c r="B6" s="1266"/>
      <c r="C6" s="1266"/>
      <c r="D6" s="68"/>
      <c r="E6" s="69">
        <f>22.2/'[3]Données gestion'!D9</f>
        <v>15.857142857142858</v>
      </c>
      <c r="F6" s="888">
        <v>18.3</v>
      </c>
      <c r="G6" s="1285" t="s">
        <v>945</v>
      </c>
      <c r="H6" s="1286"/>
      <c r="I6" s="134">
        <v>20</v>
      </c>
      <c r="J6" s="91">
        <f>IF($L$2="Oui",F6/I6/2,F6/I6)</f>
        <v>0.91500000000000004</v>
      </c>
      <c r="K6" s="91">
        <f t="shared" ref="K6:AC6" si="0">$F$6/$I$6</f>
        <v>0.91500000000000004</v>
      </c>
      <c r="L6" s="91">
        <f t="shared" si="0"/>
        <v>0.91500000000000004</v>
      </c>
      <c r="M6" s="91">
        <f t="shared" si="0"/>
        <v>0.91500000000000004</v>
      </c>
      <c r="N6" s="91">
        <f t="shared" si="0"/>
        <v>0.91500000000000004</v>
      </c>
      <c r="O6" s="91">
        <f t="shared" si="0"/>
        <v>0.91500000000000004</v>
      </c>
      <c r="P6" s="91">
        <f t="shared" si="0"/>
        <v>0.91500000000000004</v>
      </c>
      <c r="Q6" s="91">
        <f t="shared" si="0"/>
        <v>0.91500000000000004</v>
      </c>
      <c r="R6" s="91">
        <f t="shared" si="0"/>
        <v>0.91500000000000004</v>
      </c>
      <c r="S6" s="91">
        <f t="shared" si="0"/>
        <v>0.91500000000000004</v>
      </c>
      <c r="T6" s="91">
        <f t="shared" si="0"/>
        <v>0.91500000000000004</v>
      </c>
      <c r="U6" s="91">
        <f t="shared" si="0"/>
        <v>0.91500000000000004</v>
      </c>
      <c r="V6" s="91">
        <f t="shared" si="0"/>
        <v>0.91500000000000004</v>
      </c>
      <c r="W6" s="91">
        <f t="shared" si="0"/>
        <v>0.91500000000000004</v>
      </c>
      <c r="X6" s="91">
        <f t="shared" si="0"/>
        <v>0.91500000000000004</v>
      </c>
      <c r="Y6" s="91">
        <f t="shared" si="0"/>
        <v>0.91500000000000004</v>
      </c>
      <c r="Z6" s="91">
        <f t="shared" si="0"/>
        <v>0.91500000000000004</v>
      </c>
      <c r="AA6" s="91">
        <f t="shared" si="0"/>
        <v>0.91500000000000004</v>
      </c>
      <c r="AB6" s="91">
        <f t="shared" si="0"/>
        <v>0.91500000000000004</v>
      </c>
      <c r="AC6" s="91">
        <f t="shared" si="0"/>
        <v>0.91500000000000004</v>
      </c>
    </row>
    <row r="7" spans="1:30" x14ac:dyDescent="0.2">
      <c r="A7" s="1266" t="s">
        <v>236</v>
      </c>
      <c r="B7" s="1266"/>
      <c r="C7" s="1266"/>
      <c r="D7" s="51"/>
      <c r="E7" s="67"/>
      <c r="F7" s="889">
        <v>0.4</v>
      </c>
      <c r="G7" s="1285" t="s">
        <v>945</v>
      </c>
      <c r="H7" s="1286"/>
      <c r="I7" s="134">
        <v>5</v>
      </c>
      <c r="J7" s="91">
        <f>IF($L$2="Oui",F7/I7/2,F7/I7)</f>
        <v>0.08</v>
      </c>
      <c r="K7" s="91">
        <f>$F$7/$I$7</f>
        <v>0.08</v>
      </c>
      <c r="L7" s="91">
        <f>$F$7/$I$7</f>
        <v>0.08</v>
      </c>
      <c r="M7" s="91">
        <f>$F$7/$I$7</f>
        <v>0.08</v>
      </c>
      <c r="N7" s="91">
        <f>$F$7/$I$7</f>
        <v>0.08</v>
      </c>
      <c r="O7" s="91" t="str">
        <f>IF($L$2="Oui",F7/I7/2,"")</f>
        <v/>
      </c>
      <c r="P7" s="91"/>
      <c r="Q7" s="91"/>
      <c r="R7" s="91"/>
      <c r="S7" s="91"/>
      <c r="T7" s="91"/>
      <c r="U7" s="91"/>
      <c r="V7" s="91"/>
      <c r="W7" s="91"/>
      <c r="X7" s="91"/>
      <c r="Y7" s="91"/>
      <c r="Z7" s="91"/>
      <c r="AA7" s="91"/>
      <c r="AB7" s="91"/>
      <c r="AC7" s="91"/>
    </row>
    <row r="8" spans="1:30" x14ac:dyDescent="0.2">
      <c r="A8" s="1266" t="s">
        <v>845</v>
      </c>
      <c r="B8" s="1266"/>
      <c r="C8" s="1266"/>
      <c r="D8" s="51">
        <f>5.8/2</f>
        <v>2.9</v>
      </c>
      <c r="E8" s="67">
        <f>7.4/'[3]Données gestion'!D9/2</f>
        <v>2.6428571428571432</v>
      </c>
      <c r="F8" s="889">
        <v>2.6</v>
      </c>
      <c r="G8" s="1285" t="s">
        <v>945</v>
      </c>
      <c r="H8" s="1286"/>
      <c r="I8" s="134">
        <v>20</v>
      </c>
      <c r="J8" s="91">
        <f>IF($L$2="Oui",F8/I8/2,F8/I8)</f>
        <v>0.13</v>
      </c>
      <c r="K8" s="91">
        <f t="shared" ref="K8:AC8" si="1">$F$8/$I$8</f>
        <v>0.13</v>
      </c>
      <c r="L8" s="91">
        <f t="shared" si="1"/>
        <v>0.13</v>
      </c>
      <c r="M8" s="91">
        <f t="shared" si="1"/>
        <v>0.13</v>
      </c>
      <c r="N8" s="91">
        <f t="shared" si="1"/>
        <v>0.13</v>
      </c>
      <c r="O8" s="91">
        <f t="shared" si="1"/>
        <v>0.13</v>
      </c>
      <c r="P8" s="91">
        <f t="shared" si="1"/>
        <v>0.13</v>
      </c>
      <c r="Q8" s="91">
        <f t="shared" si="1"/>
        <v>0.13</v>
      </c>
      <c r="R8" s="91">
        <f t="shared" si="1"/>
        <v>0.13</v>
      </c>
      <c r="S8" s="91">
        <f t="shared" si="1"/>
        <v>0.13</v>
      </c>
      <c r="T8" s="91">
        <f t="shared" si="1"/>
        <v>0.13</v>
      </c>
      <c r="U8" s="91">
        <f t="shared" si="1"/>
        <v>0.13</v>
      </c>
      <c r="V8" s="91">
        <f t="shared" si="1"/>
        <v>0.13</v>
      </c>
      <c r="W8" s="91">
        <f t="shared" si="1"/>
        <v>0.13</v>
      </c>
      <c r="X8" s="91">
        <f t="shared" si="1"/>
        <v>0.13</v>
      </c>
      <c r="Y8" s="91">
        <f t="shared" si="1"/>
        <v>0.13</v>
      </c>
      <c r="Z8" s="91">
        <f t="shared" si="1"/>
        <v>0.13</v>
      </c>
      <c r="AA8" s="91">
        <f t="shared" si="1"/>
        <v>0.13</v>
      </c>
      <c r="AB8" s="91">
        <f t="shared" si="1"/>
        <v>0.13</v>
      </c>
      <c r="AC8" s="91">
        <f t="shared" si="1"/>
        <v>0.13</v>
      </c>
    </row>
    <row r="9" spans="1:30" x14ac:dyDescent="0.2">
      <c r="A9" s="1266" t="s">
        <v>844</v>
      </c>
      <c r="B9" s="1266"/>
      <c r="C9" s="1266"/>
      <c r="D9" s="51">
        <f>5.8/2</f>
        <v>2.9</v>
      </c>
      <c r="E9" s="67">
        <f>7.4/'[3]Données gestion'!D9/2</f>
        <v>2.6428571428571432</v>
      </c>
      <c r="F9" s="889">
        <v>2.6</v>
      </c>
      <c r="G9" s="1285" t="s">
        <v>947</v>
      </c>
      <c r="H9" s="1286"/>
      <c r="I9" s="134">
        <v>20</v>
      </c>
      <c r="J9" s="91"/>
      <c r="K9" s="91"/>
      <c r="L9" s="91">
        <f>IF(L2="Oui",$F$9/$I$9/2,$F$9/$I$9)</f>
        <v>0.13</v>
      </c>
      <c r="M9" s="91">
        <f t="shared" ref="M9:R9" si="2">$F$9/$I$9</f>
        <v>0.13</v>
      </c>
      <c r="N9" s="91">
        <f t="shared" si="2"/>
        <v>0.13</v>
      </c>
      <c r="O9" s="91">
        <f t="shared" si="2"/>
        <v>0.13</v>
      </c>
      <c r="P9" s="91">
        <f t="shared" si="2"/>
        <v>0.13</v>
      </c>
      <c r="Q9" s="91">
        <f t="shared" si="2"/>
        <v>0.13</v>
      </c>
      <c r="R9" s="91">
        <f t="shared" si="2"/>
        <v>0.13</v>
      </c>
      <c r="S9" s="91">
        <f t="shared" ref="S9:AC9" si="3">$F$9/$I$9</f>
        <v>0.13</v>
      </c>
      <c r="T9" s="91">
        <f t="shared" si="3"/>
        <v>0.13</v>
      </c>
      <c r="U9" s="91">
        <f t="shared" si="3"/>
        <v>0.13</v>
      </c>
      <c r="V9" s="91">
        <f t="shared" si="3"/>
        <v>0.13</v>
      </c>
      <c r="W9" s="91">
        <f t="shared" si="3"/>
        <v>0.13</v>
      </c>
      <c r="X9" s="91">
        <f t="shared" si="3"/>
        <v>0.13</v>
      </c>
      <c r="Y9" s="91">
        <f t="shared" si="3"/>
        <v>0.13</v>
      </c>
      <c r="Z9" s="91">
        <f t="shared" si="3"/>
        <v>0.13</v>
      </c>
      <c r="AA9" s="91">
        <f t="shared" si="3"/>
        <v>0.13</v>
      </c>
      <c r="AB9" s="91">
        <f t="shared" si="3"/>
        <v>0.13</v>
      </c>
      <c r="AC9" s="91">
        <f t="shared" si="3"/>
        <v>0.13</v>
      </c>
    </row>
    <row r="10" spans="1:30" x14ac:dyDescent="0.2">
      <c r="A10" s="1266" t="s">
        <v>237</v>
      </c>
      <c r="B10" s="1266"/>
      <c r="C10" s="1266"/>
      <c r="D10" s="51"/>
      <c r="E10" s="67"/>
      <c r="F10" s="889">
        <v>0.28999999999999998</v>
      </c>
      <c r="G10" s="1285" t="s">
        <v>945</v>
      </c>
      <c r="H10" s="1286"/>
      <c r="I10" s="134">
        <v>5</v>
      </c>
      <c r="J10" s="91">
        <f>IF($L$2="Oui",F10/I10/2,F10/I10)</f>
        <v>5.7999999999999996E-2</v>
      </c>
      <c r="K10" s="91">
        <f>$F$10/$I$10</f>
        <v>5.7999999999999996E-2</v>
      </c>
      <c r="L10" s="91">
        <f>$F$10/$I$10</f>
        <v>5.7999999999999996E-2</v>
      </c>
      <c r="M10" s="91">
        <f>$F$10/$I$10</f>
        <v>5.7999999999999996E-2</v>
      </c>
      <c r="N10" s="91">
        <f>$F$10/$I$10</f>
        <v>5.7999999999999996E-2</v>
      </c>
      <c r="O10" s="91" t="str">
        <f>IF($L$2="Oui",F10/I10/2,"")</f>
        <v/>
      </c>
      <c r="P10" s="91"/>
      <c r="Q10" s="91"/>
      <c r="R10" s="91"/>
      <c r="S10" s="91"/>
      <c r="T10" s="91"/>
      <c r="U10" s="91"/>
      <c r="V10" s="91"/>
      <c r="W10" s="91"/>
      <c r="X10" s="91"/>
      <c r="Y10" s="91"/>
      <c r="Z10" s="91"/>
      <c r="AA10" s="91"/>
      <c r="AB10" s="91"/>
      <c r="AC10" s="91"/>
    </row>
    <row r="11" spans="1:30" x14ac:dyDescent="0.2">
      <c r="A11" s="1266" t="s">
        <v>913</v>
      </c>
      <c r="B11" s="1266"/>
      <c r="C11" s="1266"/>
      <c r="D11" s="51"/>
      <c r="E11" s="67"/>
      <c r="F11" s="889">
        <v>0.3</v>
      </c>
      <c r="G11" s="1285" t="s">
        <v>945</v>
      </c>
      <c r="H11" s="1286"/>
      <c r="I11" s="134">
        <v>5</v>
      </c>
      <c r="J11" s="91">
        <f t="shared" ref="J11:J24" si="4">IF($L$2="Oui",F11/I11/2,F11/I11)</f>
        <v>0.06</v>
      </c>
      <c r="K11" s="91">
        <f>$F$11/$I$11</f>
        <v>0.06</v>
      </c>
      <c r="L11" s="91">
        <f>$F$11/$I$11</f>
        <v>0.06</v>
      </c>
      <c r="M11" s="91">
        <f>$F$11/$I$11</f>
        <v>0.06</v>
      </c>
      <c r="N11" s="91">
        <f>$F$11/$I$11</f>
        <v>0.06</v>
      </c>
      <c r="O11" s="91" t="str">
        <f>IF($L$2="Oui",F11/I11/2,"")</f>
        <v/>
      </c>
      <c r="P11" s="91"/>
      <c r="Q11" s="91"/>
      <c r="R11" s="91"/>
      <c r="S11" s="91"/>
      <c r="T11" s="91"/>
      <c r="U11" s="91"/>
      <c r="V11" s="91"/>
      <c r="W11" s="91"/>
      <c r="X11" s="91"/>
      <c r="Y11" s="91"/>
      <c r="Z11" s="91"/>
      <c r="AA11" s="91"/>
      <c r="AB11" s="91"/>
      <c r="AC11" s="91"/>
    </row>
    <row r="12" spans="1:30" x14ac:dyDescent="0.2">
      <c r="A12" s="1266" t="s">
        <v>380</v>
      </c>
      <c r="B12" s="1266"/>
      <c r="C12" s="1266"/>
      <c r="D12" s="51"/>
      <c r="E12" s="67"/>
      <c r="F12" s="889">
        <v>0.14000000000000001</v>
      </c>
      <c r="G12" s="1285" t="s">
        <v>945</v>
      </c>
      <c r="H12" s="1286"/>
      <c r="I12" s="134">
        <v>10</v>
      </c>
      <c r="J12" s="91">
        <f t="shared" si="4"/>
        <v>1.4000000000000002E-2</v>
      </c>
      <c r="K12" s="91">
        <f t="shared" ref="K12:S12" si="5">$F$12/$I$12</f>
        <v>1.4000000000000002E-2</v>
      </c>
      <c r="L12" s="91">
        <f t="shared" si="5"/>
        <v>1.4000000000000002E-2</v>
      </c>
      <c r="M12" s="91">
        <f t="shared" si="5"/>
        <v>1.4000000000000002E-2</v>
      </c>
      <c r="N12" s="91">
        <f t="shared" si="5"/>
        <v>1.4000000000000002E-2</v>
      </c>
      <c r="O12" s="91">
        <f t="shared" si="5"/>
        <v>1.4000000000000002E-2</v>
      </c>
      <c r="P12" s="91">
        <f t="shared" si="5"/>
        <v>1.4000000000000002E-2</v>
      </c>
      <c r="Q12" s="91">
        <f t="shared" si="5"/>
        <v>1.4000000000000002E-2</v>
      </c>
      <c r="R12" s="91">
        <f t="shared" si="5"/>
        <v>1.4000000000000002E-2</v>
      </c>
      <c r="S12" s="91">
        <f t="shared" si="5"/>
        <v>1.4000000000000002E-2</v>
      </c>
      <c r="T12" s="91" t="str">
        <f>IF($L$2="Oui",F12/I12/2,"")</f>
        <v/>
      </c>
      <c r="U12" s="91"/>
      <c r="V12" s="91"/>
      <c r="W12" s="91"/>
      <c r="X12" s="91"/>
      <c r="Y12" s="91"/>
      <c r="Z12" s="91"/>
      <c r="AA12" s="91"/>
      <c r="AB12" s="91"/>
      <c r="AC12" s="91"/>
      <c r="AD12" t="s">
        <v>635</v>
      </c>
    </row>
    <row r="13" spans="1:30" x14ac:dyDescent="0.2">
      <c r="A13" s="1266" t="s">
        <v>1070</v>
      </c>
      <c r="B13" s="1266"/>
      <c r="C13" s="1266"/>
      <c r="D13" s="51"/>
      <c r="E13" s="67"/>
      <c r="F13" s="889">
        <v>0</v>
      </c>
      <c r="G13" s="1285" t="s">
        <v>945</v>
      </c>
      <c r="H13" s="1286"/>
      <c r="I13" s="134"/>
      <c r="J13" s="91"/>
      <c r="K13" s="91"/>
      <c r="L13" s="91"/>
      <c r="M13" s="91"/>
      <c r="N13" s="91"/>
      <c r="O13" s="91"/>
      <c r="P13" s="91"/>
      <c r="Q13" s="91"/>
      <c r="R13" s="91"/>
      <c r="S13" s="91"/>
      <c r="T13" s="91"/>
      <c r="U13" s="91"/>
      <c r="V13" s="91"/>
      <c r="W13" s="91"/>
      <c r="X13" s="91"/>
      <c r="Y13" s="91"/>
      <c r="Z13" s="91"/>
      <c r="AA13" s="91"/>
      <c r="AB13" s="91"/>
      <c r="AC13" s="91"/>
    </row>
    <row r="14" spans="1:30" x14ac:dyDescent="0.2">
      <c r="A14" s="1266" t="s">
        <v>1076</v>
      </c>
      <c r="B14" s="1266"/>
      <c r="C14" s="1266"/>
      <c r="D14" s="51">
        <v>1</v>
      </c>
      <c r="E14" s="67">
        <f>2.5/'[3]Données gestion'!D9</f>
        <v>1.7857142857142858</v>
      </c>
      <c r="F14" s="889">
        <v>2.95</v>
      </c>
      <c r="G14" s="1285" t="s">
        <v>945</v>
      </c>
      <c r="H14" s="1286"/>
      <c r="I14" s="134">
        <v>10</v>
      </c>
      <c r="J14" s="91">
        <f t="shared" si="4"/>
        <v>0.29500000000000004</v>
      </c>
      <c r="K14" s="91">
        <f t="shared" ref="K14:S14" si="6">$F$14/$I$14</f>
        <v>0.29500000000000004</v>
      </c>
      <c r="L14" s="91">
        <f t="shared" si="6"/>
        <v>0.29500000000000004</v>
      </c>
      <c r="M14" s="91">
        <f t="shared" si="6"/>
        <v>0.29500000000000004</v>
      </c>
      <c r="N14" s="91">
        <f t="shared" si="6"/>
        <v>0.29500000000000004</v>
      </c>
      <c r="O14" s="91">
        <f t="shared" si="6"/>
        <v>0.29500000000000004</v>
      </c>
      <c r="P14" s="91">
        <f t="shared" si="6"/>
        <v>0.29500000000000004</v>
      </c>
      <c r="Q14" s="91">
        <f t="shared" si="6"/>
        <v>0.29500000000000004</v>
      </c>
      <c r="R14" s="91">
        <f t="shared" si="6"/>
        <v>0.29500000000000004</v>
      </c>
      <c r="S14" s="91">
        <f t="shared" si="6"/>
        <v>0.29500000000000004</v>
      </c>
      <c r="T14" s="91" t="str">
        <f>IF($L$2="Oui",F14/I14/2,"")</f>
        <v/>
      </c>
      <c r="U14" s="91"/>
      <c r="V14" s="91"/>
      <c r="W14" s="91"/>
      <c r="X14" s="91"/>
      <c r="Y14" s="91"/>
      <c r="Z14" s="91"/>
      <c r="AA14" s="91"/>
      <c r="AB14" s="91"/>
      <c r="AC14" s="91"/>
    </row>
    <row r="15" spans="1:30" x14ac:dyDescent="0.2">
      <c r="A15" s="1266" t="s">
        <v>1179</v>
      </c>
      <c r="B15" s="1266"/>
      <c r="C15" s="1266"/>
      <c r="D15" s="51"/>
      <c r="E15" s="67"/>
      <c r="F15" s="889">
        <v>1.7</v>
      </c>
      <c r="G15" s="1285" t="s">
        <v>945</v>
      </c>
      <c r="H15" s="1286"/>
      <c r="I15" s="134">
        <v>10</v>
      </c>
      <c r="J15" s="91">
        <f t="shared" si="4"/>
        <v>0.16999999999999998</v>
      </c>
      <c r="K15" s="91">
        <f t="shared" ref="K15:S15" si="7">$F$15/$I$15</f>
        <v>0.16999999999999998</v>
      </c>
      <c r="L15" s="91">
        <f t="shared" si="7"/>
        <v>0.16999999999999998</v>
      </c>
      <c r="M15" s="91">
        <f t="shared" si="7"/>
        <v>0.16999999999999998</v>
      </c>
      <c r="N15" s="91">
        <f t="shared" si="7"/>
        <v>0.16999999999999998</v>
      </c>
      <c r="O15" s="91">
        <f t="shared" si="7"/>
        <v>0.16999999999999998</v>
      </c>
      <c r="P15" s="91">
        <f t="shared" si="7"/>
        <v>0.16999999999999998</v>
      </c>
      <c r="Q15" s="91">
        <f t="shared" si="7"/>
        <v>0.16999999999999998</v>
      </c>
      <c r="R15" s="91">
        <f t="shared" si="7"/>
        <v>0.16999999999999998</v>
      </c>
      <c r="S15" s="91">
        <f t="shared" si="7"/>
        <v>0.16999999999999998</v>
      </c>
      <c r="T15" s="91" t="str">
        <f>IF($L$2="Oui",F15/I15/2,"")</f>
        <v/>
      </c>
      <c r="U15" s="91"/>
      <c r="V15" s="91"/>
      <c r="W15" s="91"/>
      <c r="X15" s="91"/>
      <c r="Y15" s="91"/>
      <c r="Z15" s="91"/>
      <c r="AA15" s="91"/>
      <c r="AB15" s="91"/>
      <c r="AC15" s="91"/>
    </row>
    <row r="16" spans="1:30" x14ac:dyDescent="0.2">
      <c r="A16" s="1266" t="s">
        <v>1075</v>
      </c>
      <c r="B16" s="1266"/>
      <c r="C16" s="1266"/>
      <c r="D16" s="51"/>
      <c r="E16" s="67"/>
      <c r="F16" s="889"/>
      <c r="G16" s="1285"/>
      <c r="H16" s="1286"/>
      <c r="I16" s="134"/>
      <c r="J16" s="91"/>
      <c r="K16" s="91"/>
      <c r="L16" s="91"/>
      <c r="M16" s="91"/>
      <c r="N16" s="91"/>
      <c r="O16" s="91"/>
      <c r="P16" s="91"/>
      <c r="Q16" s="91"/>
      <c r="R16" s="91"/>
      <c r="S16" s="91"/>
      <c r="T16" s="91"/>
      <c r="U16" s="91"/>
      <c r="V16" s="91"/>
      <c r="W16" s="91"/>
      <c r="X16" s="91"/>
      <c r="Y16" s="91"/>
      <c r="Z16" s="91"/>
      <c r="AA16" s="91"/>
      <c r="AB16" s="91"/>
      <c r="AC16" s="91"/>
    </row>
    <row r="17" spans="1:30" x14ac:dyDescent="0.2">
      <c r="A17" s="1266" t="s">
        <v>639</v>
      </c>
      <c r="B17" s="1266"/>
      <c r="C17" s="1266"/>
      <c r="D17" s="51"/>
      <c r="E17" s="67"/>
      <c r="F17" s="889">
        <v>0.43</v>
      </c>
      <c r="G17" s="1285" t="s">
        <v>945</v>
      </c>
      <c r="H17" s="1286"/>
      <c r="I17" s="134">
        <v>15</v>
      </c>
      <c r="J17" s="91">
        <f t="shared" si="4"/>
        <v>2.8666666666666667E-2</v>
      </c>
      <c r="K17" s="91">
        <f t="shared" ref="K17:X17" si="8">$F$17/$I$17</f>
        <v>2.8666666666666667E-2</v>
      </c>
      <c r="L17" s="91">
        <f t="shared" si="8"/>
        <v>2.8666666666666667E-2</v>
      </c>
      <c r="M17" s="91">
        <f t="shared" si="8"/>
        <v>2.8666666666666667E-2</v>
      </c>
      <c r="N17" s="91">
        <f t="shared" si="8"/>
        <v>2.8666666666666667E-2</v>
      </c>
      <c r="O17" s="91">
        <f t="shared" si="8"/>
        <v>2.8666666666666667E-2</v>
      </c>
      <c r="P17" s="91">
        <f t="shared" si="8"/>
        <v>2.8666666666666667E-2</v>
      </c>
      <c r="Q17" s="91">
        <f t="shared" si="8"/>
        <v>2.8666666666666667E-2</v>
      </c>
      <c r="R17" s="91">
        <f t="shared" si="8"/>
        <v>2.8666666666666667E-2</v>
      </c>
      <c r="S17" s="91">
        <f t="shared" si="8"/>
        <v>2.8666666666666667E-2</v>
      </c>
      <c r="T17" s="91">
        <f t="shared" si="8"/>
        <v>2.8666666666666667E-2</v>
      </c>
      <c r="U17" s="91">
        <f t="shared" si="8"/>
        <v>2.8666666666666667E-2</v>
      </c>
      <c r="V17" s="91">
        <f t="shared" si="8"/>
        <v>2.8666666666666667E-2</v>
      </c>
      <c r="W17" s="91">
        <f t="shared" si="8"/>
        <v>2.8666666666666667E-2</v>
      </c>
      <c r="X17" s="91">
        <f t="shared" si="8"/>
        <v>2.8666666666666667E-2</v>
      </c>
      <c r="Y17" s="91" t="str">
        <f>IF(L2="Oui",F17/I17/2,"")</f>
        <v/>
      </c>
      <c r="Z17" s="91"/>
      <c r="AA17" s="91"/>
      <c r="AB17" s="91"/>
      <c r="AC17" s="91"/>
    </row>
    <row r="18" spans="1:30" x14ac:dyDescent="0.2">
      <c r="A18" s="1266" t="s">
        <v>239</v>
      </c>
      <c r="B18" s="1266"/>
      <c r="C18" s="1266"/>
      <c r="D18" s="51"/>
      <c r="E18" s="67"/>
      <c r="F18" s="889">
        <v>1.4</v>
      </c>
      <c r="G18" s="1285" t="s">
        <v>945</v>
      </c>
      <c r="H18" s="1286"/>
      <c r="I18" s="134">
        <v>4</v>
      </c>
      <c r="J18" s="91">
        <f t="shared" si="4"/>
        <v>0.35</v>
      </c>
      <c r="K18" s="91">
        <f>$F$18/$I$18</f>
        <v>0.35</v>
      </c>
      <c r="L18" s="91">
        <f>$F$18/$I$18</f>
        <v>0.35</v>
      </c>
      <c r="M18" s="91">
        <f>$F$18/$I$18</f>
        <v>0.35</v>
      </c>
      <c r="N18" s="91" t="str">
        <f>IF(L2="Oui",F18/I18/2,"")</f>
        <v/>
      </c>
      <c r="O18" s="91"/>
      <c r="P18" s="91"/>
      <c r="Q18" s="91"/>
      <c r="R18" s="91"/>
      <c r="S18" s="91"/>
      <c r="T18" s="91"/>
      <c r="U18" s="91"/>
      <c r="V18" s="91"/>
      <c r="W18" s="91"/>
      <c r="X18" s="91"/>
      <c r="Y18" s="91"/>
      <c r="Z18" s="91"/>
      <c r="AA18" s="91"/>
      <c r="AB18" s="91"/>
      <c r="AC18" s="91"/>
      <c r="AD18" t="s">
        <v>874</v>
      </c>
    </row>
    <row r="19" spans="1:30" x14ac:dyDescent="0.2">
      <c r="A19" s="1266" t="s">
        <v>880</v>
      </c>
      <c r="B19" s="1266"/>
      <c r="C19" s="1266"/>
      <c r="D19" s="51"/>
      <c r="E19" s="67"/>
      <c r="F19" s="972">
        <v>9</v>
      </c>
      <c r="G19" s="1285" t="s">
        <v>945</v>
      </c>
      <c r="H19" s="1286"/>
      <c r="I19" s="134">
        <v>20</v>
      </c>
      <c r="J19" s="91">
        <f t="shared" si="4"/>
        <v>0.45</v>
      </c>
      <c r="K19" s="91">
        <f t="shared" ref="K19:AC19" si="9">$F$19/$I$19</f>
        <v>0.45</v>
      </c>
      <c r="L19" s="91">
        <f t="shared" si="9"/>
        <v>0.45</v>
      </c>
      <c r="M19" s="91">
        <f t="shared" si="9"/>
        <v>0.45</v>
      </c>
      <c r="N19" s="91">
        <f t="shared" si="9"/>
        <v>0.45</v>
      </c>
      <c r="O19" s="91">
        <f t="shared" si="9"/>
        <v>0.45</v>
      </c>
      <c r="P19" s="91">
        <f t="shared" si="9"/>
        <v>0.45</v>
      </c>
      <c r="Q19" s="91">
        <f t="shared" si="9"/>
        <v>0.45</v>
      </c>
      <c r="R19" s="91">
        <f t="shared" si="9"/>
        <v>0.45</v>
      </c>
      <c r="S19" s="91">
        <f t="shared" si="9"/>
        <v>0.45</v>
      </c>
      <c r="T19" s="91">
        <f t="shared" si="9"/>
        <v>0.45</v>
      </c>
      <c r="U19" s="91">
        <f t="shared" si="9"/>
        <v>0.45</v>
      </c>
      <c r="V19" s="91">
        <f t="shared" si="9"/>
        <v>0.45</v>
      </c>
      <c r="W19" s="91">
        <f t="shared" si="9"/>
        <v>0.45</v>
      </c>
      <c r="X19" s="91">
        <f t="shared" si="9"/>
        <v>0.45</v>
      </c>
      <c r="Y19" s="91">
        <f t="shared" si="9"/>
        <v>0.45</v>
      </c>
      <c r="Z19" s="91">
        <f t="shared" si="9"/>
        <v>0.45</v>
      </c>
      <c r="AA19" s="91">
        <f t="shared" si="9"/>
        <v>0.45</v>
      </c>
      <c r="AB19" s="91">
        <f t="shared" si="9"/>
        <v>0.45</v>
      </c>
      <c r="AC19" s="91">
        <f t="shared" si="9"/>
        <v>0.45</v>
      </c>
      <c r="AD19" t="s">
        <v>874</v>
      </c>
    </row>
    <row r="20" spans="1:30" x14ac:dyDescent="0.2">
      <c r="A20" s="1266" t="s">
        <v>636</v>
      </c>
      <c r="B20" s="1266"/>
      <c r="C20" s="1266"/>
      <c r="D20" s="51"/>
      <c r="E20" s="67"/>
      <c r="F20" s="889">
        <v>0.45</v>
      </c>
      <c r="G20" s="1285" t="s">
        <v>945</v>
      </c>
      <c r="H20" s="1286"/>
      <c r="I20" s="134">
        <v>10</v>
      </c>
      <c r="J20" s="91">
        <f t="shared" si="4"/>
        <v>4.4999999999999998E-2</v>
      </c>
      <c r="K20" s="91">
        <f t="shared" ref="K20:S20" si="10">$F$20/$I$20</f>
        <v>4.4999999999999998E-2</v>
      </c>
      <c r="L20" s="91">
        <f t="shared" si="10"/>
        <v>4.4999999999999998E-2</v>
      </c>
      <c r="M20" s="91">
        <f t="shared" si="10"/>
        <v>4.4999999999999998E-2</v>
      </c>
      <c r="N20" s="91">
        <f t="shared" si="10"/>
        <v>4.4999999999999998E-2</v>
      </c>
      <c r="O20" s="91">
        <f t="shared" si="10"/>
        <v>4.4999999999999998E-2</v>
      </c>
      <c r="P20" s="91">
        <f t="shared" si="10"/>
        <v>4.4999999999999998E-2</v>
      </c>
      <c r="Q20" s="91">
        <f t="shared" si="10"/>
        <v>4.4999999999999998E-2</v>
      </c>
      <c r="R20" s="91">
        <f t="shared" si="10"/>
        <v>4.4999999999999998E-2</v>
      </c>
      <c r="S20" s="91">
        <f t="shared" si="10"/>
        <v>4.4999999999999998E-2</v>
      </c>
      <c r="T20" s="91" t="str">
        <f>IF($L$2="Oui",F20/I20/2,"")</f>
        <v/>
      </c>
      <c r="U20" s="91"/>
      <c r="V20" s="91"/>
      <c r="W20" s="91"/>
      <c r="X20" s="91"/>
      <c r="Y20" s="91"/>
      <c r="Z20" s="91"/>
      <c r="AA20" s="91"/>
      <c r="AB20" s="91"/>
      <c r="AC20" s="91"/>
    </row>
    <row r="21" spans="1:30" x14ac:dyDescent="0.2">
      <c r="A21" s="1266" t="s">
        <v>315</v>
      </c>
      <c r="B21" s="1266"/>
      <c r="C21" s="1266"/>
      <c r="D21" s="51"/>
      <c r="E21" s="67"/>
      <c r="F21" s="889">
        <v>5.3</v>
      </c>
      <c r="G21" s="1285" t="s">
        <v>945</v>
      </c>
      <c r="H21" s="1286"/>
      <c r="I21" s="134">
        <v>20</v>
      </c>
      <c r="J21" s="91">
        <f t="shared" si="4"/>
        <v>0.26500000000000001</v>
      </c>
      <c r="K21" s="91">
        <f t="shared" ref="K21:AC21" si="11">$F$21/$I$21</f>
        <v>0.26500000000000001</v>
      </c>
      <c r="L21" s="91">
        <f t="shared" si="11"/>
        <v>0.26500000000000001</v>
      </c>
      <c r="M21" s="91">
        <f t="shared" si="11"/>
        <v>0.26500000000000001</v>
      </c>
      <c r="N21" s="91">
        <f t="shared" si="11"/>
        <v>0.26500000000000001</v>
      </c>
      <c r="O21" s="91">
        <f t="shared" si="11"/>
        <v>0.26500000000000001</v>
      </c>
      <c r="P21" s="91">
        <f t="shared" si="11"/>
        <v>0.26500000000000001</v>
      </c>
      <c r="Q21" s="91">
        <f t="shared" si="11"/>
        <v>0.26500000000000001</v>
      </c>
      <c r="R21" s="91">
        <f t="shared" si="11"/>
        <v>0.26500000000000001</v>
      </c>
      <c r="S21" s="91">
        <f t="shared" si="11"/>
        <v>0.26500000000000001</v>
      </c>
      <c r="T21" s="91">
        <f t="shared" si="11"/>
        <v>0.26500000000000001</v>
      </c>
      <c r="U21" s="91">
        <f t="shared" si="11"/>
        <v>0.26500000000000001</v>
      </c>
      <c r="V21" s="91">
        <f t="shared" si="11"/>
        <v>0.26500000000000001</v>
      </c>
      <c r="W21" s="91">
        <f t="shared" si="11"/>
        <v>0.26500000000000001</v>
      </c>
      <c r="X21" s="91">
        <f t="shared" si="11"/>
        <v>0.26500000000000001</v>
      </c>
      <c r="Y21" s="91">
        <f t="shared" si="11"/>
        <v>0.26500000000000001</v>
      </c>
      <c r="Z21" s="91">
        <f t="shared" si="11"/>
        <v>0.26500000000000001</v>
      </c>
      <c r="AA21" s="91">
        <f t="shared" si="11"/>
        <v>0.26500000000000001</v>
      </c>
      <c r="AB21" s="91">
        <f t="shared" si="11"/>
        <v>0.26500000000000001</v>
      </c>
      <c r="AC21" s="91">
        <f t="shared" si="11"/>
        <v>0.26500000000000001</v>
      </c>
    </row>
    <row r="22" spans="1:30" x14ac:dyDescent="0.2">
      <c r="A22" s="1266" t="s">
        <v>238</v>
      </c>
      <c r="B22" s="1266"/>
      <c r="C22" s="1266"/>
      <c r="D22" s="51"/>
      <c r="E22" s="67"/>
      <c r="F22" s="889">
        <v>1.9</v>
      </c>
      <c r="G22" s="1287" t="s">
        <v>945</v>
      </c>
      <c r="H22" s="1288"/>
      <c r="I22" s="134">
        <v>15</v>
      </c>
      <c r="J22" s="91">
        <f t="shared" si="4"/>
        <v>0.12666666666666665</v>
      </c>
      <c r="K22" s="91">
        <f t="shared" ref="K22:X22" si="12">$F$22/$I$22</f>
        <v>0.12666666666666665</v>
      </c>
      <c r="L22" s="91">
        <f t="shared" si="12"/>
        <v>0.12666666666666665</v>
      </c>
      <c r="M22" s="91">
        <f t="shared" si="12"/>
        <v>0.12666666666666665</v>
      </c>
      <c r="N22" s="91">
        <f t="shared" si="12"/>
        <v>0.12666666666666665</v>
      </c>
      <c r="O22" s="91">
        <f t="shared" si="12"/>
        <v>0.12666666666666665</v>
      </c>
      <c r="P22" s="91">
        <f t="shared" si="12"/>
        <v>0.12666666666666665</v>
      </c>
      <c r="Q22" s="91">
        <f t="shared" si="12"/>
        <v>0.12666666666666665</v>
      </c>
      <c r="R22" s="91">
        <f t="shared" si="12"/>
        <v>0.12666666666666665</v>
      </c>
      <c r="S22" s="91">
        <f t="shared" si="12"/>
        <v>0.12666666666666665</v>
      </c>
      <c r="T22" s="91">
        <f t="shared" si="12"/>
        <v>0.12666666666666665</v>
      </c>
      <c r="U22" s="91">
        <f t="shared" si="12"/>
        <v>0.12666666666666665</v>
      </c>
      <c r="V22" s="91">
        <f t="shared" si="12"/>
        <v>0.12666666666666665</v>
      </c>
      <c r="W22" s="91">
        <f t="shared" si="12"/>
        <v>0.12666666666666665</v>
      </c>
      <c r="X22" s="91">
        <f t="shared" si="12"/>
        <v>0.12666666666666665</v>
      </c>
      <c r="Y22" s="91" t="str">
        <f>IF(L2="Oui",F22/I22/2,"")</f>
        <v/>
      </c>
      <c r="Z22" s="91"/>
      <c r="AA22" s="91"/>
      <c r="AB22" s="91"/>
      <c r="AC22" s="91"/>
      <c r="AD22" t="s">
        <v>874</v>
      </c>
    </row>
    <row r="23" spans="1:30" x14ac:dyDescent="0.2">
      <c r="A23" s="1266" t="s">
        <v>117</v>
      </c>
      <c r="B23" s="1266"/>
      <c r="C23" s="1266"/>
      <c r="D23" s="51"/>
      <c r="E23" s="67"/>
      <c r="F23" s="889">
        <v>4.9000000000000004</v>
      </c>
      <c r="G23" s="1287" t="s">
        <v>945</v>
      </c>
      <c r="H23" s="1288"/>
      <c r="I23" s="134">
        <v>20</v>
      </c>
      <c r="J23" s="91">
        <f t="shared" si="4"/>
        <v>0.24500000000000002</v>
      </c>
      <c r="K23" s="91">
        <f t="shared" ref="K23:AC23" si="13">$F$23/$I$23</f>
        <v>0.24500000000000002</v>
      </c>
      <c r="L23" s="91">
        <f t="shared" si="13"/>
        <v>0.24500000000000002</v>
      </c>
      <c r="M23" s="91">
        <f t="shared" si="13"/>
        <v>0.24500000000000002</v>
      </c>
      <c r="N23" s="91">
        <f t="shared" si="13"/>
        <v>0.24500000000000002</v>
      </c>
      <c r="O23" s="91">
        <f t="shared" si="13"/>
        <v>0.24500000000000002</v>
      </c>
      <c r="P23" s="91">
        <f t="shared" si="13"/>
        <v>0.24500000000000002</v>
      </c>
      <c r="Q23" s="91">
        <f t="shared" si="13"/>
        <v>0.24500000000000002</v>
      </c>
      <c r="R23" s="91">
        <f t="shared" si="13"/>
        <v>0.24500000000000002</v>
      </c>
      <c r="S23" s="91">
        <f t="shared" si="13"/>
        <v>0.24500000000000002</v>
      </c>
      <c r="T23" s="91">
        <f t="shared" si="13"/>
        <v>0.24500000000000002</v>
      </c>
      <c r="U23" s="91">
        <f t="shared" si="13"/>
        <v>0.24500000000000002</v>
      </c>
      <c r="V23" s="91">
        <f t="shared" si="13"/>
        <v>0.24500000000000002</v>
      </c>
      <c r="W23" s="91">
        <f t="shared" si="13"/>
        <v>0.24500000000000002</v>
      </c>
      <c r="X23" s="91">
        <f t="shared" si="13"/>
        <v>0.24500000000000002</v>
      </c>
      <c r="Y23" s="91">
        <f t="shared" si="13"/>
        <v>0.24500000000000002</v>
      </c>
      <c r="Z23" s="91">
        <f t="shared" si="13"/>
        <v>0.24500000000000002</v>
      </c>
      <c r="AA23" s="91">
        <f t="shared" si="13"/>
        <v>0.24500000000000002</v>
      </c>
      <c r="AB23" s="91">
        <f t="shared" si="13"/>
        <v>0.24500000000000002</v>
      </c>
      <c r="AC23" s="91">
        <f t="shared" si="13"/>
        <v>0.24500000000000002</v>
      </c>
    </row>
    <row r="24" spans="1:30" ht="13.5" thickBot="1" x14ac:dyDescent="0.25">
      <c r="A24" s="1266" t="s">
        <v>116</v>
      </c>
      <c r="B24" s="1266"/>
      <c r="C24" s="1266"/>
      <c r="D24" s="51"/>
      <c r="E24" s="67"/>
      <c r="F24" s="887">
        <v>4</v>
      </c>
      <c r="G24" s="1287" t="s">
        <v>945</v>
      </c>
      <c r="H24" s="1288"/>
      <c r="I24" s="134">
        <v>10</v>
      </c>
      <c r="J24" s="91">
        <f t="shared" si="4"/>
        <v>0.4</v>
      </c>
      <c r="K24" s="91">
        <f t="shared" ref="K24:S24" si="14">$F$24/$I$24</f>
        <v>0.4</v>
      </c>
      <c r="L24" s="91">
        <f t="shared" si="14"/>
        <v>0.4</v>
      </c>
      <c r="M24" s="91">
        <f t="shared" si="14"/>
        <v>0.4</v>
      </c>
      <c r="N24" s="91">
        <f t="shared" si="14"/>
        <v>0.4</v>
      </c>
      <c r="O24" s="91">
        <f t="shared" si="14"/>
        <v>0.4</v>
      </c>
      <c r="P24" s="91">
        <f t="shared" si="14"/>
        <v>0.4</v>
      </c>
      <c r="Q24" s="91">
        <f t="shared" si="14"/>
        <v>0.4</v>
      </c>
      <c r="R24" s="91">
        <f t="shared" si="14"/>
        <v>0.4</v>
      </c>
      <c r="S24" s="91">
        <f t="shared" si="14"/>
        <v>0.4</v>
      </c>
      <c r="T24" s="91" t="str">
        <f>IF($L$2="Oui",F24/I24/2,"")</f>
        <v/>
      </c>
      <c r="U24" s="91"/>
      <c r="V24" s="91"/>
      <c r="W24" s="91"/>
      <c r="X24" s="91"/>
      <c r="Y24" s="91"/>
      <c r="Z24" s="91"/>
      <c r="AA24" s="91"/>
      <c r="AB24" s="91"/>
      <c r="AC24" s="91"/>
    </row>
    <row r="25" spans="1:30" x14ac:dyDescent="0.2">
      <c r="D25" s="43"/>
      <c r="E25" s="43"/>
      <c r="F25" s="364"/>
      <c r="J25" s="91">
        <f t="shared" ref="J25:P25" si="15">SUM(J6:J24)</f>
        <v>3.6323333333333334</v>
      </c>
      <c r="K25" s="91">
        <f t="shared" si="15"/>
        <v>3.6323333333333334</v>
      </c>
      <c r="L25" s="91">
        <f t="shared" si="15"/>
        <v>3.7623333333333333</v>
      </c>
      <c r="M25" s="91">
        <f t="shared" si="15"/>
        <v>3.7623333333333333</v>
      </c>
      <c r="N25" s="91">
        <f t="shared" si="15"/>
        <v>3.4123333333333332</v>
      </c>
      <c r="O25" s="91">
        <f t="shared" si="15"/>
        <v>3.2143333333333333</v>
      </c>
      <c r="P25" s="91">
        <f t="shared" si="15"/>
        <v>3.2143333333333333</v>
      </c>
      <c r="Q25" s="91">
        <f>SUM(Q6:Q24)</f>
        <v>3.2143333333333333</v>
      </c>
      <c r="R25" s="91">
        <f>SUM(R6:R24)</f>
        <v>3.2143333333333333</v>
      </c>
      <c r="S25" s="91">
        <f t="shared" ref="S25:AC25" si="16">SUM(S6:S24)</f>
        <v>3.2143333333333333</v>
      </c>
      <c r="T25" s="91">
        <f t="shared" si="16"/>
        <v>2.2903333333333329</v>
      </c>
      <c r="U25" s="91">
        <f t="shared" si="16"/>
        <v>2.2903333333333329</v>
      </c>
      <c r="V25" s="91">
        <f t="shared" si="16"/>
        <v>2.2903333333333329</v>
      </c>
      <c r="W25" s="91">
        <f t="shared" si="16"/>
        <v>2.2903333333333329</v>
      </c>
      <c r="X25" s="91">
        <f t="shared" si="16"/>
        <v>2.2903333333333329</v>
      </c>
      <c r="Y25" s="91">
        <f t="shared" si="16"/>
        <v>2.1349999999999998</v>
      </c>
      <c r="Z25" s="91">
        <f t="shared" si="16"/>
        <v>2.1349999999999998</v>
      </c>
      <c r="AA25" s="91">
        <f t="shared" si="16"/>
        <v>2.1349999999999998</v>
      </c>
      <c r="AB25" s="91">
        <f t="shared" si="16"/>
        <v>2.1349999999999998</v>
      </c>
      <c r="AC25" s="91">
        <f t="shared" si="16"/>
        <v>2.1349999999999998</v>
      </c>
    </row>
    <row r="26" spans="1:30" x14ac:dyDescent="0.2">
      <c r="A26" s="97"/>
      <c r="D26" s="43"/>
      <c r="E26" s="43"/>
      <c r="F26" s="43"/>
    </row>
    <row r="28" spans="1:30" x14ac:dyDescent="0.2">
      <c r="A28" s="12" t="s">
        <v>590</v>
      </c>
    </row>
    <row r="29" spans="1:30" x14ac:dyDescent="0.2">
      <c r="A29" s="137"/>
    </row>
    <row r="30" spans="1:30" x14ac:dyDescent="0.2">
      <c r="A30" s="137"/>
    </row>
    <row r="31" spans="1:30" x14ac:dyDescent="0.2">
      <c r="A31" s="1270" t="s">
        <v>1155</v>
      </c>
      <c r="B31" s="1270"/>
      <c r="C31" s="1270"/>
      <c r="D31" s="138" t="s">
        <v>591</v>
      </c>
      <c r="E31" s="138" t="s">
        <v>275</v>
      </c>
    </row>
    <row r="32" spans="1:30" x14ac:dyDescent="0.2">
      <c r="A32" s="1266" t="s">
        <v>1122</v>
      </c>
      <c r="B32" s="1266"/>
      <c r="C32" s="1266"/>
      <c r="D32" s="139">
        <v>0.25</v>
      </c>
      <c r="E32" s="80">
        <f>D32*F6*1000*1000</f>
        <v>4575000</v>
      </c>
    </row>
    <row r="33" spans="1:24" x14ac:dyDescent="0.2">
      <c r="A33" s="1266" t="s">
        <v>843</v>
      </c>
      <c r="B33" s="1266"/>
      <c r="C33" s="1266"/>
      <c r="D33" s="139">
        <v>0.3</v>
      </c>
      <c r="E33" s="80">
        <f>D33*F8*1000*1000</f>
        <v>780000</v>
      </c>
    </row>
    <row r="34" spans="1:24" x14ac:dyDescent="0.2">
      <c r="A34" s="1266" t="s">
        <v>237</v>
      </c>
      <c r="B34" s="1266"/>
      <c r="C34" s="1266"/>
      <c r="D34" s="139">
        <v>0</v>
      </c>
      <c r="E34" s="80">
        <f>D34*F10*1000*1000</f>
        <v>0</v>
      </c>
    </row>
    <row r="35" spans="1:24" x14ac:dyDescent="0.2">
      <c r="A35" s="1266" t="s">
        <v>319</v>
      </c>
      <c r="B35" s="1266"/>
      <c r="C35" s="1266"/>
      <c r="D35" s="139">
        <v>0.15</v>
      </c>
      <c r="E35" s="80">
        <f>D35*F12*1000*1000</f>
        <v>21000</v>
      </c>
    </row>
    <row r="36" spans="1:24" x14ac:dyDescent="0.2">
      <c r="A36" s="1266" t="s">
        <v>1070</v>
      </c>
      <c r="B36" s="1266"/>
      <c r="C36" s="1266"/>
      <c r="D36" s="139">
        <v>0.25</v>
      </c>
      <c r="E36" s="80">
        <f>D36*F13*1000*1000</f>
        <v>0</v>
      </c>
    </row>
    <row r="37" spans="1:24" x14ac:dyDescent="0.2">
      <c r="A37" s="1266" t="s">
        <v>1076</v>
      </c>
      <c r="B37" s="1266"/>
      <c r="C37" s="1266"/>
      <c r="D37" s="139">
        <v>0.05</v>
      </c>
      <c r="E37" s="80">
        <f>D37*F14*1000*1000</f>
        <v>147500.00000000003</v>
      </c>
    </row>
    <row r="38" spans="1:24" x14ac:dyDescent="0.2">
      <c r="A38" s="1266" t="s">
        <v>1077</v>
      </c>
      <c r="B38" s="1266"/>
      <c r="C38" s="1266"/>
      <c r="D38" s="139">
        <v>0.15</v>
      </c>
      <c r="E38" s="80">
        <f>D38*F15*1000*1000</f>
        <v>255000</v>
      </c>
    </row>
    <row r="39" spans="1:24" x14ac:dyDescent="0.2">
      <c r="A39" s="1266" t="s">
        <v>592</v>
      </c>
      <c r="B39" s="1266"/>
      <c r="C39" s="1266"/>
      <c r="D39" s="1289"/>
      <c r="E39" s="198">
        <f>SUM(E32:E38)</f>
        <v>5778500</v>
      </c>
      <c r="F39" s="199">
        <f>E39/F5/1000/1000</f>
        <v>0.10198552770914227</v>
      </c>
      <c r="G39" t="s">
        <v>637</v>
      </c>
    </row>
    <row r="40" spans="1:24" x14ac:dyDescent="0.2">
      <c r="A40" s="200"/>
      <c r="B40" s="201"/>
      <c r="C40" s="201"/>
      <c r="D40" s="194"/>
      <c r="E40" s="40" t="s">
        <v>945</v>
      </c>
      <c r="F40" s="40" t="s">
        <v>946</v>
      </c>
      <c r="G40" s="40" t="s">
        <v>947</v>
      </c>
      <c r="H40" s="40" t="s">
        <v>948</v>
      </c>
      <c r="I40" s="40" t="s">
        <v>949</v>
      </c>
      <c r="J40" s="40" t="s">
        <v>846</v>
      </c>
      <c r="K40" s="40" t="s">
        <v>847</v>
      </c>
      <c r="L40" s="40" t="s">
        <v>848</v>
      </c>
      <c r="M40" s="40" t="s">
        <v>849</v>
      </c>
      <c r="N40" s="40" t="s">
        <v>509</v>
      </c>
      <c r="O40" s="40" t="s">
        <v>510</v>
      </c>
      <c r="P40" s="40" t="s">
        <v>368</v>
      </c>
      <c r="Q40" s="40" t="s">
        <v>369</v>
      </c>
      <c r="R40" s="40" t="s">
        <v>370</v>
      </c>
      <c r="S40" s="40" t="s">
        <v>371</v>
      </c>
      <c r="T40" s="40" t="s">
        <v>372</v>
      </c>
      <c r="U40" s="40" t="s">
        <v>373</v>
      </c>
      <c r="V40" s="40" t="s">
        <v>374</v>
      </c>
      <c r="W40" s="40" t="s">
        <v>375</v>
      </c>
      <c r="X40" s="40" t="s">
        <v>376</v>
      </c>
    </row>
    <row r="41" spans="1:24" x14ac:dyDescent="0.2">
      <c r="A41" s="1266" t="s">
        <v>593</v>
      </c>
      <c r="B41" s="1266"/>
      <c r="C41" s="1266"/>
      <c r="D41" s="1266"/>
      <c r="E41" s="825">
        <v>0</v>
      </c>
      <c r="F41" s="826">
        <v>0</v>
      </c>
      <c r="G41" s="826">
        <v>0</v>
      </c>
      <c r="H41" s="826">
        <v>0.05</v>
      </c>
      <c r="I41" s="826">
        <v>0.1</v>
      </c>
      <c r="J41" s="826">
        <v>0.15</v>
      </c>
      <c r="K41" s="826">
        <v>0.2</v>
      </c>
      <c r="L41" s="826">
        <v>0.25</v>
      </c>
      <c r="M41" s="826">
        <v>0.25</v>
      </c>
      <c r="N41" s="827"/>
      <c r="O41" s="827"/>
      <c r="P41" s="827"/>
      <c r="Q41" s="827"/>
      <c r="R41" s="827"/>
      <c r="S41" s="827"/>
      <c r="T41" s="827"/>
      <c r="U41" s="827"/>
      <c r="V41" s="827"/>
      <c r="W41" s="827"/>
      <c r="X41" s="827"/>
    </row>
    <row r="42" spans="1:24" x14ac:dyDescent="0.2">
      <c r="A42" s="1266" t="s">
        <v>596</v>
      </c>
      <c r="B42" s="1266"/>
      <c r="C42" s="1266"/>
      <c r="D42" s="1289"/>
      <c r="E42" s="824">
        <v>0</v>
      </c>
      <c r="F42" s="824">
        <v>0</v>
      </c>
      <c r="G42" s="824">
        <v>0</v>
      </c>
      <c r="H42" s="824">
        <v>300000</v>
      </c>
      <c r="I42" s="824">
        <v>300000</v>
      </c>
      <c r="J42" s="824">
        <v>300000</v>
      </c>
      <c r="K42" s="824">
        <v>200000</v>
      </c>
      <c r="L42" s="824">
        <v>200000</v>
      </c>
      <c r="M42" s="824">
        <v>200000</v>
      </c>
      <c r="N42" s="824">
        <v>200000</v>
      </c>
      <c r="O42" s="824">
        <v>200000</v>
      </c>
      <c r="P42" s="824">
        <v>1000000</v>
      </c>
      <c r="Q42" s="824">
        <v>200000</v>
      </c>
      <c r="R42" s="824">
        <v>200000</v>
      </c>
      <c r="S42" s="824">
        <v>200000</v>
      </c>
      <c r="T42" s="824">
        <v>200000</v>
      </c>
      <c r="U42" s="824">
        <v>200000</v>
      </c>
      <c r="V42" s="824">
        <v>1000000</v>
      </c>
      <c r="W42" s="824">
        <v>200000</v>
      </c>
      <c r="X42" s="824">
        <v>200000</v>
      </c>
    </row>
    <row r="43" spans="1:24" x14ac:dyDescent="0.2">
      <c r="A43" s="137"/>
      <c r="D43" s="195"/>
      <c r="E43" s="137" t="s">
        <v>515</v>
      </c>
    </row>
    <row r="44" spans="1:24" x14ac:dyDescent="0.2">
      <c r="A44" s="1266" t="s">
        <v>865</v>
      </c>
      <c r="B44" s="1266"/>
      <c r="C44" s="1266"/>
      <c r="D44" s="1289"/>
      <c r="E44" s="16">
        <v>12</v>
      </c>
      <c r="F44" t="s">
        <v>866</v>
      </c>
    </row>
    <row r="45" spans="1:24" x14ac:dyDescent="0.2">
      <c r="A45" s="137" t="s">
        <v>867</v>
      </c>
      <c r="D45" s="620" t="s">
        <v>945</v>
      </c>
      <c r="E45" s="80">
        <f>$E$42/$E$44</f>
        <v>0</v>
      </c>
      <c r="F45" s="80">
        <f t="shared" ref="F45:P45" si="17">$E$42/$E$44</f>
        <v>0</v>
      </c>
      <c r="G45" s="80">
        <f t="shared" si="17"/>
        <v>0</v>
      </c>
      <c r="H45" s="80">
        <f t="shared" si="17"/>
        <v>0</v>
      </c>
      <c r="I45" s="80">
        <f t="shared" si="17"/>
        <v>0</v>
      </c>
      <c r="J45" s="80">
        <f t="shared" si="17"/>
        <v>0</v>
      </c>
      <c r="K45" s="80">
        <f t="shared" si="17"/>
        <v>0</v>
      </c>
      <c r="L45" s="80">
        <f t="shared" si="17"/>
        <v>0</v>
      </c>
      <c r="M45" s="80">
        <f t="shared" si="17"/>
        <v>0</v>
      </c>
      <c r="N45" s="80">
        <f t="shared" si="17"/>
        <v>0</v>
      </c>
      <c r="O45" s="80">
        <f t="shared" si="17"/>
        <v>0</v>
      </c>
      <c r="P45" s="80">
        <f t="shared" si="17"/>
        <v>0</v>
      </c>
      <c r="Q45" s="195"/>
      <c r="S45" s="195"/>
    </row>
    <row r="46" spans="1:24" x14ac:dyDescent="0.2">
      <c r="A46" s="137"/>
      <c r="D46" s="620" t="s">
        <v>946</v>
      </c>
      <c r="E46" s="195"/>
      <c r="F46" s="80">
        <f>$F$42/$E$44</f>
        <v>0</v>
      </c>
      <c r="G46" s="80">
        <f t="shared" ref="G46:Q46" si="18">$F$42/$E$44</f>
        <v>0</v>
      </c>
      <c r="H46" s="80">
        <f t="shared" si="18"/>
        <v>0</v>
      </c>
      <c r="I46" s="80">
        <f t="shared" si="18"/>
        <v>0</v>
      </c>
      <c r="J46" s="80">
        <f t="shared" si="18"/>
        <v>0</v>
      </c>
      <c r="K46" s="80">
        <f t="shared" si="18"/>
        <v>0</v>
      </c>
      <c r="L46" s="80">
        <f t="shared" si="18"/>
        <v>0</v>
      </c>
      <c r="M46" s="80">
        <f t="shared" si="18"/>
        <v>0</v>
      </c>
      <c r="N46" s="80">
        <f t="shared" si="18"/>
        <v>0</v>
      </c>
      <c r="O46" s="80">
        <f t="shared" si="18"/>
        <v>0</v>
      </c>
      <c r="P46" s="80">
        <f t="shared" si="18"/>
        <v>0</v>
      </c>
      <c r="Q46" s="80">
        <f t="shared" si="18"/>
        <v>0</v>
      </c>
      <c r="R46" s="195"/>
    </row>
    <row r="47" spans="1:24" x14ac:dyDescent="0.2">
      <c r="A47" s="137"/>
      <c r="D47" s="620" t="s">
        <v>947</v>
      </c>
      <c r="E47" s="195"/>
      <c r="F47" s="195"/>
      <c r="G47" s="80">
        <f>$G$42/$E$44</f>
        <v>0</v>
      </c>
      <c r="H47" s="80">
        <f t="shared" ref="H47:R47" si="19">$G$42/$E$44</f>
        <v>0</v>
      </c>
      <c r="I47" s="80">
        <f t="shared" si="19"/>
        <v>0</v>
      </c>
      <c r="J47" s="80">
        <f t="shared" si="19"/>
        <v>0</v>
      </c>
      <c r="K47" s="80">
        <f t="shared" si="19"/>
        <v>0</v>
      </c>
      <c r="L47" s="80">
        <f t="shared" si="19"/>
        <v>0</v>
      </c>
      <c r="M47" s="80">
        <f t="shared" si="19"/>
        <v>0</v>
      </c>
      <c r="N47" s="80">
        <f t="shared" si="19"/>
        <v>0</v>
      </c>
      <c r="O47" s="80">
        <f t="shared" si="19"/>
        <v>0</v>
      </c>
      <c r="P47" s="80">
        <f t="shared" si="19"/>
        <v>0</v>
      </c>
      <c r="Q47" s="80">
        <f t="shared" si="19"/>
        <v>0</v>
      </c>
      <c r="R47" s="80">
        <f t="shared" si="19"/>
        <v>0</v>
      </c>
    </row>
    <row r="48" spans="1:24" x14ac:dyDescent="0.2">
      <c r="A48" s="137"/>
      <c r="D48" s="620" t="s">
        <v>948</v>
      </c>
      <c r="H48" s="80">
        <f>$H$42/$E$44</f>
        <v>25000</v>
      </c>
      <c r="I48" s="80">
        <f t="shared" ref="I48:S48" si="20">$H$42/$E$44</f>
        <v>25000</v>
      </c>
      <c r="J48" s="80">
        <f t="shared" si="20"/>
        <v>25000</v>
      </c>
      <c r="K48" s="80">
        <f t="shared" si="20"/>
        <v>25000</v>
      </c>
      <c r="L48" s="80">
        <f t="shared" si="20"/>
        <v>25000</v>
      </c>
      <c r="M48" s="80">
        <f t="shared" si="20"/>
        <v>25000</v>
      </c>
      <c r="N48" s="80">
        <f t="shared" si="20"/>
        <v>25000</v>
      </c>
      <c r="O48" s="80">
        <f t="shared" si="20"/>
        <v>25000</v>
      </c>
      <c r="P48" s="80">
        <f t="shared" si="20"/>
        <v>25000</v>
      </c>
      <c r="Q48" s="80">
        <f t="shared" si="20"/>
        <v>25000</v>
      </c>
      <c r="R48" s="80">
        <f t="shared" si="20"/>
        <v>25000</v>
      </c>
      <c r="S48" s="80">
        <f t="shared" si="20"/>
        <v>25000</v>
      </c>
    </row>
    <row r="49" spans="1:24" x14ac:dyDescent="0.2">
      <c r="A49" s="137"/>
      <c r="D49" s="620" t="s">
        <v>949</v>
      </c>
      <c r="I49" s="80">
        <f>$I$42/$E$44</f>
        <v>25000</v>
      </c>
      <c r="J49" s="80">
        <f t="shared" ref="J49:T49" si="21">$I$42/$E$44</f>
        <v>25000</v>
      </c>
      <c r="K49" s="80">
        <f t="shared" si="21"/>
        <v>25000</v>
      </c>
      <c r="L49" s="80">
        <f t="shared" si="21"/>
        <v>25000</v>
      </c>
      <c r="M49" s="80">
        <f t="shared" si="21"/>
        <v>25000</v>
      </c>
      <c r="N49" s="80">
        <f t="shared" si="21"/>
        <v>25000</v>
      </c>
      <c r="O49" s="80">
        <f t="shared" si="21"/>
        <v>25000</v>
      </c>
      <c r="P49" s="80">
        <f t="shared" si="21"/>
        <v>25000</v>
      </c>
      <c r="Q49" s="80">
        <f t="shared" si="21"/>
        <v>25000</v>
      </c>
      <c r="R49" s="80">
        <f t="shared" si="21"/>
        <v>25000</v>
      </c>
      <c r="S49" s="80">
        <f t="shared" si="21"/>
        <v>25000</v>
      </c>
      <c r="T49" s="80">
        <f t="shared" si="21"/>
        <v>25000</v>
      </c>
    </row>
    <row r="50" spans="1:24" x14ac:dyDescent="0.2">
      <c r="A50" s="137"/>
      <c r="D50" s="620" t="s">
        <v>846</v>
      </c>
      <c r="J50" s="80">
        <f>$J$42/$E$44</f>
        <v>25000</v>
      </c>
      <c r="K50" s="80">
        <f t="shared" ref="K50:U50" si="22">$J$42/$E$44</f>
        <v>25000</v>
      </c>
      <c r="L50" s="80">
        <f t="shared" si="22"/>
        <v>25000</v>
      </c>
      <c r="M50" s="80">
        <f t="shared" si="22"/>
        <v>25000</v>
      </c>
      <c r="N50" s="80">
        <f t="shared" si="22"/>
        <v>25000</v>
      </c>
      <c r="O50" s="80">
        <f t="shared" si="22"/>
        <v>25000</v>
      </c>
      <c r="P50" s="80">
        <f t="shared" si="22"/>
        <v>25000</v>
      </c>
      <c r="Q50" s="80">
        <f t="shared" si="22"/>
        <v>25000</v>
      </c>
      <c r="R50" s="80">
        <f t="shared" si="22"/>
        <v>25000</v>
      </c>
      <c r="S50" s="80">
        <f t="shared" si="22"/>
        <v>25000</v>
      </c>
      <c r="T50" s="80">
        <f t="shared" si="22"/>
        <v>25000</v>
      </c>
      <c r="U50" s="80">
        <f t="shared" si="22"/>
        <v>25000</v>
      </c>
    </row>
    <row r="51" spans="1:24" x14ac:dyDescent="0.2">
      <c r="A51" s="137"/>
      <c r="D51" s="620" t="s">
        <v>847</v>
      </c>
      <c r="K51" s="80">
        <f>$K$42/$E$44</f>
        <v>16666.666666666668</v>
      </c>
      <c r="L51" s="80">
        <f t="shared" ref="L51:V51" si="23">$K$42/$E$44</f>
        <v>16666.666666666668</v>
      </c>
      <c r="M51" s="80">
        <f t="shared" si="23"/>
        <v>16666.666666666668</v>
      </c>
      <c r="N51" s="80">
        <f t="shared" si="23"/>
        <v>16666.666666666668</v>
      </c>
      <c r="O51" s="80">
        <f t="shared" si="23"/>
        <v>16666.666666666668</v>
      </c>
      <c r="P51" s="80">
        <f t="shared" si="23"/>
        <v>16666.666666666668</v>
      </c>
      <c r="Q51" s="80">
        <f t="shared" si="23"/>
        <v>16666.666666666668</v>
      </c>
      <c r="R51" s="80">
        <f t="shared" si="23"/>
        <v>16666.666666666668</v>
      </c>
      <c r="S51" s="80">
        <f t="shared" si="23"/>
        <v>16666.666666666668</v>
      </c>
      <c r="T51" s="80">
        <f t="shared" si="23"/>
        <v>16666.666666666668</v>
      </c>
      <c r="U51" s="80">
        <f t="shared" si="23"/>
        <v>16666.666666666668</v>
      </c>
      <c r="V51" s="80">
        <f t="shared" si="23"/>
        <v>16666.666666666668</v>
      </c>
    </row>
    <row r="52" spans="1:24" x14ac:dyDescent="0.2">
      <c r="A52" s="137"/>
      <c r="D52" s="620" t="s">
        <v>848</v>
      </c>
      <c r="L52" s="80">
        <f>$L$42/$E$44</f>
        <v>16666.666666666668</v>
      </c>
      <c r="M52" s="80">
        <f t="shared" ref="M52:W52" si="24">$L$42/$E$44</f>
        <v>16666.666666666668</v>
      </c>
      <c r="N52" s="80">
        <f t="shared" si="24"/>
        <v>16666.666666666668</v>
      </c>
      <c r="O52" s="80">
        <f t="shared" si="24"/>
        <v>16666.666666666668</v>
      </c>
      <c r="P52" s="80">
        <f t="shared" si="24"/>
        <v>16666.666666666668</v>
      </c>
      <c r="Q52" s="80">
        <f t="shared" si="24"/>
        <v>16666.666666666668</v>
      </c>
      <c r="R52" s="80">
        <f t="shared" si="24"/>
        <v>16666.666666666668</v>
      </c>
      <c r="S52" s="80">
        <f t="shared" si="24"/>
        <v>16666.666666666668</v>
      </c>
      <c r="T52" s="80">
        <f t="shared" si="24"/>
        <v>16666.666666666668</v>
      </c>
      <c r="U52" s="80">
        <f t="shared" si="24"/>
        <v>16666.666666666668</v>
      </c>
      <c r="V52" s="80">
        <f t="shared" si="24"/>
        <v>16666.666666666668</v>
      </c>
      <c r="W52" s="80">
        <f t="shared" si="24"/>
        <v>16666.666666666668</v>
      </c>
    </row>
    <row r="53" spans="1:24" x14ac:dyDescent="0.2">
      <c r="A53" s="137"/>
      <c r="D53" s="620" t="s">
        <v>849</v>
      </c>
      <c r="M53" s="80">
        <f>$M$42/$E$44</f>
        <v>16666.666666666668</v>
      </c>
      <c r="N53" s="80">
        <f t="shared" ref="N53:X53" si="25">$M$42/$E$44</f>
        <v>16666.666666666668</v>
      </c>
      <c r="O53" s="80">
        <f t="shared" si="25"/>
        <v>16666.666666666668</v>
      </c>
      <c r="P53" s="80">
        <f t="shared" si="25"/>
        <v>16666.666666666668</v>
      </c>
      <c r="Q53" s="80">
        <f t="shared" si="25"/>
        <v>16666.666666666668</v>
      </c>
      <c r="R53" s="80">
        <f t="shared" si="25"/>
        <v>16666.666666666668</v>
      </c>
      <c r="S53" s="80">
        <f t="shared" si="25"/>
        <v>16666.666666666668</v>
      </c>
      <c r="T53" s="80">
        <f t="shared" si="25"/>
        <v>16666.666666666668</v>
      </c>
      <c r="U53" s="80">
        <f t="shared" si="25"/>
        <v>16666.666666666668</v>
      </c>
      <c r="V53" s="80">
        <f t="shared" si="25"/>
        <v>16666.666666666668</v>
      </c>
      <c r="W53" s="80">
        <f t="shared" si="25"/>
        <v>16666.666666666668</v>
      </c>
      <c r="X53" s="80">
        <f t="shared" si="25"/>
        <v>16666.666666666668</v>
      </c>
    </row>
    <row r="54" spans="1:24" x14ac:dyDescent="0.2">
      <c r="A54" s="137"/>
      <c r="D54" s="620" t="s">
        <v>509</v>
      </c>
      <c r="N54" s="80">
        <f>$N$42/$E$44</f>
        <v>16666.666666666668</v>
      </c>
      <c r="O54" s="80">
        <f t="shared" ref="O54:X54" si="26">$N$42/$E$44</f>
        <v>16666.666666666668</v>
      </c>
      <c r="P54" s="80">
        <f t="shared" si="26"/>
        <v>16666.666666666668</v>
      </c>
      <c r="Q54" s="80">
        <f t="shared" si="26"/>
        <v>16666.666666666668</v>
      </c>
      <c r="R54" s="80">
        <f t="shared" si="26"/>
        <v>16666.666666666668</v>
      </c>
      <c r="S54" s="80">
        <f t="shared" si="26"/>
        <v>16666.666666666668</v>
      </c>
      <c r="T54" s="80">
        <f t="shared" si="26"/>
        <v>16666.666666666668</v>
      </c>
      <c r="U54" s="80">
        <f t="shared" si="26"/>
        <v>16666.666666666668</v>
      </c>
      <c r="V54" s="80">
        <f t="shared" si="26"/>
        <v>16666.666666666668</v>
      </c>
      <c r="W54" s="80">
        <f t="shared" si="26"/>
        <v>16666.666666666668</v>
      </c>
      <c r="X54" s="80">
        <f t="shared" si="26"/>
        <v>16666.666666666668</v>
      </c>
    </row>
    <row r="55" spans="1:24" x14ac:dyDescent="0.2">
      <c r="A55" s="137"/>
      <c r="D55" s="620" t="s">
        <v>510</v>
      </c>
      <c r="O55" s="80">
        <f>$O$42/$E$44</f>
        <v>16666.666666666668</v>
      </c>
      <c r="P55" s="80">
        <f t="shared" ref="P55:X55" si="27">$O$42/$E$44</f>
        <v>16666.666666666668</v>
      </c>
      <c r="Q55" s="80">
        <f t="shared" si="27"/>
        <v>16666.666666666668</v>
      </c>
      <c r="R55" s="80">
        <f t="shared" si="27"/>
        <v>16666.666666666668</v>
      </c>
      <c r="S55" s="80">
        <f t="shared" si="27"/>
        <v>16666.666666666668</v>
      </c>
      <c r="T55" s="80">
        <f t="shared" si="27"/>
        <v>16666.666666666668</v>
      </c>
      <c r="U55" s="80">
        <f t="shared" si="27"/>
        <v>16666.666666666668</v>
      </c>
      <c r="V55" s="80">
        <f t="shared" si="27"/>
        <v>16666.666666666668</v>
      </c>
      <c r="W55" s="80">
        <f t="shared" si="27"/>
        <v>16666.666666666668</v>
      </c>
      <c r="X55" s="80">
        <f t="shared" si="27"/>
        <v>16666.666666666668</v>
      </c>
    </row>
    <row r="56" spans="1:24" x14ac:dyDescent="0.2">
      <c r="A56" s="137"/>
      <c r="D56" s="620" t="s">
        <v>368</v>
      </c>
      <c r="P56" s="80">
        <f>$P$42/$E$44</f>
        <v>83333.333333333328</v>
      </c>
      <c r="Q56" s="80">
        <f t="shared" ref="Q56:X56" si="28">$P$42/$E$44</f>
        <v>83333.333333333328</v>
      </c>
      <c r="R56" s="80">
        <f t="shared" si="28"/>
        <v>83333.333333333328</v>
      </c>
      <c r="S56" s="80">
        <f t="shared" si="28"/>
        <v>83333.333333333328</v>
      </c>
      <c r="T56" s="80">
        <f t="shared" si="28"/>
        <v>83333.333333333328</v>
      </c>
      <c r="U56" s="80">
        <f t="shared" si="28"/>
        <v>83333.333333333328</v>
      </c>
      <c r="V56" s="80">
        <f t="shared" si="28"/>
        <v>83333.333333333328</v>
      </c>
      <c r="W56" s="80">
        <f t="shared" si="28"/>
        <v>83333.333333333328</v>
      </c>
      <c r="X56" s="80">
        <f t="shared" si="28"/>
        <v>83333.333333333328</v>
      </c>
    </row>
    <row r="57" spans="1:24" x14ac:dyDescent="0.2">
      <c r="A57" s="137"/>
      <c r="D57" s="620" t="s">
        <v>369</v>
      </c>
      <c r="Q57" s="80">
        <f>$Q$42/$E$44</f>
        <v>16666.666666666668</v>
      </c>
      <c r="R57" s="80">
        <f t="shared" ref="R57:X57" si="29">$Q$42/$E$44</f>
        <v>16666.666666666668</v>
      </c>
      <c r="S57" s="80">
        <f t="shared" si="29"/>
        <v>16666.666666666668</v>
      </c>
      <c r="T57" s="80">
        <f t="shared" si="29"/>
        <v>16666.666666666668</v>
      </c>
      <c r="U57" s="80">
        <f t="shared" si="29"/>
        <v>16666.666666666668</v>
      </c>
      <c r="V57" s="80">
        <f t="shared" si="29"/>
        <v>16666.666666666668</v>
      </c>
      <c r="W57" s="80">
        <f t="shared" si="29"/>
        <v>16666.666666666668</v>
      </c>
      <c r="X57" s="80">
        <f t="shared" si="29"/>
        <v>16666.666666666668</v>
      </c>
    </row>
    <row r="58" spans="1:24" x14ac:dyDescent="0.2">
      <c r="A58" s="137"/>
      <c r="D58" s="620" t="s">
        <v>370</v>
      </c>
      <c r="R58" s="80">
        <f>$R$42/$E$44</f>
        <v>16666.666666666668</v>
      </c>
      <c r="S58" s="80">
        <f t="shared" ref="S58:X58" si="30">$R$42/$E$44</f>
        <v>16666.666666666668</v>
      </c>
      <c r="T58" s="80">
        <f t="shared" si="30"/>
        <v>16666.666666666668</v>
      </c>
      <c r="U58" s="80">
        <f t="shared" si="30"/>
        <v>16666.666666666668</v>
      </c>
      <c r="V58" s="80">
        <f t="shared" si="30"/>
        <v>16666.666666666668</v>
      </c>
      <c r="W58" s="80">
        <f t="shared" si="30"/>
        <v>16666.666666666668</v>
      </c>
      <c r="X58" s="80">
        <f t="shared" si="30"/>
        <v>16666.666666666668</v>
      </c>
    </row>
    <row r="59" spans="1:24" x14ac:dyDescent="0.2">
      <c r="A59" s="137"/>
      <c r="D59" s="620" t="s">
        <v>371</v>
      </c>
      <c r="S59" s="80">
        <f t="shared" ref="S59:X59" si="31">$S$42/$E$44</f>
        <v>16666.666666666668</v>
      </c>
      <c r="T59" s="80">
        <f t="shared" si="31"/>
        <v>16666.666666666668</v>
      </c>
      <c r="U59" s="80">
        <f t="shared" si="31"/>
        <v>16666.666666666668</v>
      </c>
      <c r="V59" s="80">
        <f t="shared" si="31"/>
        <v>16666.666666666668</v>
      </c>
      <c r="W59" s="80">
        <f t="shared" si="31"/>
        <v>16666.666666666668</v>
      </c>
      <c r="X59" s="80">
        <f t="shared" si="31"/>
        <v>16666.666666666668</v>
      </c>
    </row>
    <row r="60" spans="1:24" x14ac:dyDescent="0.2">
      <c r="A60" s="137"/>
      <c r="D60" s="620" t="s">
        <v>372</v>
      </c>
      <c r="T60" s="80">
        <f>$T$42/$E$44</f>
        <v>16666.666666666668</v>
      </c>
      <c r="U60" s="80">
        <f>$T$42/$E$44</f>
        <v>16666.666666666668</v>
      </c>
      <c r="V60" s="80">
        <f>$T$42/$E$44</f>
        <v>16666.666666666668</v>
      </c>
      <c r="W60" s="80">
        <f>$T$42/$E$44</f>
        <v>16666.666666666668</v>
      </c>
      <c r="X60" s="80">
        <f>$T$42/$E$44</f>
        <v>16666.666666666668</v>
      </c>
    </row>
    <row r="61" spans="1:24" x14ac:dyDescent="0.2">
      <c r="A61" s="137"/>
      <c r="D61" s="620" t="s">
        <v>373</v>
      </c>
      <c r="U61" s="80">
        <f>$U$42/$E$44</f>
        <v>16666.666666666668</v>
      </c>
      <c r="V61" s="80">
        <f>$U$42/$E$44</f>
        <v>16666.666666666668</v>
      </c>
      <c r="W61" s="80">
        <f>$U$42/$E$44</f>
        <v>16666.666666666668</v>
      </c>
      <c r="X61" s="80">
        <f>$U$42/$E$44</f>
        <v>16666.666666666668</v>
      </c>
    </row>
    <row r="62" spans="1:24" x14ac:dyDescent="0.2">
      <c r="A62" s="137"/>
      <c r="D62" s="620" t="s">
        <v>374</v>
      </c>
      <c r="V62" s="80">
        <f>$V$42/$E$44</f>
        <v>83333.333333333328</v>
      </c>
      <c r="W62" s="80">
        <f>$V$42/$E$44</f>
        <v>83333.333333333328</v>
      </c>
      <c r="X62" s="80">
        <f>$V$42/$E$44</f>
        <v>83333.333333333328</v>
      </c>
    </row>
    <row r="63" spans="1:24" x14ac:dyDescent="0.2">
      <c r="A63" s="137"/>
      <c r="D63" s="620" t="s">
        <v>375</v>
      </c>
      <c r="W63" s="80">
        <f>$W$42/$E$44</f>
        <v>16666.666666666668</v>
      </c>
      <c r="X63" s="80">
        <f>$W$42/$E$44</f>
        <v>16666.666666666668</v>
      </c>
    </row>
    <row r="64" spans="1:24" x14ac:dyDescent="0.2">
      <c r="A64" s="137"/>
      <c r="D64" s="620" t="s">
        <v>376</v>
      </c>
      <c r="X64" s="80">
        <f>$X$42/$E$44</f>
        <v>16666.666666666668</v>
      </c>
    </row>
    <row r="65" spans="1:25" x14ac:dyDescent="0.2">
      <c r="A65" s="137"/>
      <c r="D65" s="620" t="s">
        <v>1044</v>
      </c>
      <c r="E65" s="80">
        <f>SUM(E45:E64)</f>
        <v>0</v>
      </c>
      <c r="F65" s="80">
        <f t="shared" ref="F65:X65" si="32">SUM(F45:F64)</f>
        <v>0</v>
      </c>
      <c r="G65" s="80">
        <f t="shared" si="32"/>
        <v>0</v>
      </c>
      <c r="H65" s="80">
        <f t="shared" si="32"/>
        <v>25000</v>
      </c>
      <c r="I65" s="80">
        <f t="shared" si="32"/>
        <v>50000</v>
      </c>
      <c r="J65" s="80">
        <f t="shared" si="32"/>
        <v>75000</v>
      </c>
      <c r="K65" s="80">
        <f t="shared" si="32"/>
        <v>91666.666666666672</v>
      </c>
      <c r="L65" s="80">
        <f t="shared" si="32"/>
        <v>108333.33333333334</v>
      </c>
      <c r="M65" s="80">
        <f t="shared" si="32"/>
        <v>125000.00000000001</v>
      </c>
      <c r="N65" s="80">
        <f t="shared" si="32"/>
        <v>141666.66666666669</v>
      </c>
      <c r="O65" s="80">
        <f t="shared" si="32"/>
        <v>158333.33333333334</v>
      </c>
      <c r="P65" s="80">
        <f t="shared" si="32"/>
        <v>241666.66666666669</v>
      </c>
      <c r="Q65" s="80">
        <f>SUM(Q45:Q64)</f>
        <v>258333.33333333334</v>
      </c>
      <c r="R65" s="80">
        <f t="shared" si="32"/>
        <v>275000</v>
      </c>
      <c r="S65" s="80">
        <f t="shared" si="32"/>
        <v>291666.66666666669</v>
      </c>
      <c r="T65" s="80">
        <f t="shared" si="32"/>
        <v>283333.33333333337</v>
      </c>
      <c r="U65" s="80">
        <f t="shared" si="32"/>
        <v>275000</v>
      </c>
      <c r="V65" s="80">
        <f t="shared" si="32"/>
        <v>333333.33333333331</v>
      </c>
      <c r="W65" s="80">
        <f t="shared" si="32"/>
        <v>333333.33333333331</v>
      </c>
      <c r="X65" s="80">
        <f t="shared" si="32"/>
        <v>333333.33333333331</v>
      </c>
      <c r="Y65" s="80">
        <f>SUM(E65:X65)</f>
        <v>3400000.0000000005</v>
      </c>
    </row>
    <row r="66" spans="1:25" x14ac:dyDescent="0.2">
      <c r="A66" s="137"/>
      <c r="D66" s="195"/>
    </row>
    <row r="67" spans="1:25" x14ac:dyDescent="0.2">
      <c r="A67" s="137"/>
      <c r="D67" s="195"/>
    </row>
    <row r="68" spans="1:25" x14ac:dyDescent="0.2">
      <c r="A68" s="137"/>
      <c r="D68" s="195"/>
    </row>
    <row r="69" spans="1:25" x14ac:dyDescent="0.2">
      <c r="A69" s="137"/>
      <c r="D69" s="195"/>
    </row>
    <row r="70" spans="1:25" x14ac:dyDescent="0.2">
      <c r="A70" s="137"/>
      <c r="D70" s="195"/>
    </row>
    <row r="72" spans="1:25" x14ac:dyDescent="0.2">
      <c r="D72" s="40" t="s">
        <v>945</v>
      </c>
      <c r="E72" s="40" t="s">
        <v>946</v>
      </c>
      <c r="F72" s="40" t="s">
        <v>947</v>
      </c>
      <c r="G72" s="40" t="s">
        <v>948</v>
      </c>
      <c r="H72" s="40" t="s">
        <v>949</v>
      </c>
      <c r="I72" s="40" t="s">
        <v>846</v>
      </c>
      <c r="J72" s="40" t="s">
        <v>847</v>
      </c>
      <c r="K72" s="40" t="s">
        <v>848</v>
      </c>
      <c r="L72" s="40" t="s">
        <v>849</v>
      </c>
      <c r="M72" s="40" t="s">
        <v>509</v>
      </c>
      <c r="N72" s="40" t="s">
        <v>510</v>
      </c>
      <c r="O72" s="40" t="s">
        <v>368</v>
      </c>
      <c r="P72" s="40" t="s">
        <v>369</v>
      </c>
      <c r="Q72" s="40" t="s">
        <v>370</v>
      </c>
      <c r="R72" s="40" t="s">
        <v>371</v>
      </c>
      <c r="S72" s="40" t="s">
        <v>372</v>
      </c>
      <c r="T72" s="40" t="s">
        <v>373</v>
      </c>
      <c r="U72" s="40" t="s">
        <v>374</v>
      </c>
      <c r="V72" s="40" t="s">
        <v>375</v>
      </c>
      <c r="W72" s="40" t="s">
        <v>376</v>
      </c>
    </row>
    <row r="73" spans="1:25" x14ac:dyDescent="0.2">
      <c r="A73" s="1266" t="s">
        <v>171</v>
      </c>
      <c r="B73" s="1266"/>
      <c r="C73" s="1266"/>
      <c r="D73" s="80">
        <f>J25*1000*1000</f>
        <v>3632333.3333333335</v>
      </c>
      <c r="E73" s="80">
        <f t="shared" ref="E73:L73" si="33">K25*1000*1000</f>
        <v>3632333.3333333335</v>
      </c>
      <c r="F73" s="80">
        <f t="shared" si="33"/>
        <v>3762333.3333333335</v>
      </c>
      <c r="G73" s="80">
        <f t="shared" si="33"/>
        <v>3762333.3333333335</v>
      </c>
      <c r="H73" s="80">
        <f t="shared" si="33"/>
        <v>3412333.333333333</v>
      </c>
      <c r="I73" s="80">
        <f t="shared" si="33"/>
        <v>3214333.3333333335</v>
      </c>
      <c r="J73" s="80">
        <f t="shared" si="33"/>
        <v>3214333.3333333335</v>
      </c>
      <c r="K73" s="80">
        <f t="shared" si="33"/>
        <v>3214333.3333333335</v>
      </c>
      <c r="L73" s="80">
        <f t="shared" si="33"/>
        <v>3214333.3333333335</v>
      </c>
      <c r="M73" s="80">
        <f t="shared" ref="M73:W73" si="34">S25*1000*1000</f>
        <v>3214333.3333333335</v>
      </c>
      <c r="N73" s="80">
        <f t="shared" si="34"/>
        <v>2290333.333333333</v>
      </c>
      <c r="O73" s="80">
        <f t="shared" si="34"/>
        <v>2290333.333333333</v>
      </c>
      <c r="P73" s="80">
        <f t="shared" si="34"/>
        <v>2290333.333333333</v>
      </c>
      <c r="Q73" s="80">
        <f>W25*1000*1000</f>
        <v>2290333.333333333</v>
      </c>
      <c r="R73" s="80">
        <f t="shared" si="34"/>
        <v>2290333.333333333</v>
      </c>
      <c r="S73" s="80">
        <f t="shared" si="34"/>
        <v>2135000</v>
      </c>
      <c r="T73" s="80">
        <f>Z25*1000*1000</f>
        <v>2135000</v>
      </c>
      <c r="U73" s="80">
        <f t="shared" si="34"/>
        <v>2135000</v>
      </c>
      <c r="V73" s="80">
        <f t="shared" si="34"/>
        <v>2135000</v>
      </c>
      <c r="W73" s="80">
        <f t="shared" si="34"/>
        <v>2135000</v>
      </c>
    </row>
    <row r="76" spans="1:25" x14ac:dyDescent="0.2">
      <c r="A76" s="12" t="s">
        <v>176</v>
      </c>
    </row>
    <row r="77" spans="1:25" x14ac:dyDescent="0.2">
      <c r="D77" s="40" t="s">
        <v>945</v>
      </c>
      <c r="E77" s="40" t="s">
        <v>946</v>
      </c>
      <c r="F77" s="40" t="s">
        <v>947</v>
      </c>
      <c r="G77" s="40" t="s">
        <v>948</v>
      </c>
      <c r="H77" s="40" t="s">
        <v>949</v>
      </c>
      <c r="I77" s="40" t="s">
        <v>846</v>
      </c>
      <c r="J77" s="40" t="s">
        <v>847</v>
      </c>
      <c r="K77" s="40" t="s">
        <v>848</v>
      </c>
      <c r="L77" s="40" t="s">
        <v>849</v>
      </c>
      <c r="M77" s="40" t="s">
        <v>509</v>
      </c>
      <c r="N77" s="40" t="s">
        <v>510</v>
      </c>
      <c r="O77" s="40" t="s">
        <v>368</v>
      </c>
      <c r="P77" s="40" t="s">
        <v>369</v>
      </c>
      <c r="Q77" s="40" t="s">
        <v>370</v>
      </c>
      <c r="R77" s="40" t="s">
        <v>371</v>
      </c>
      <c r="S77" s="40" t="s">
        <v>372</v>
      </c>
      <c r="T77" s="40" t="s">
        <v>373</v>
      </c>
      <c r="U77" s="40" t="s">
        <v>374</v>
      </c>
      <c r="V77" s="40" t="s">
        <v>375</v>
      </c>
      <c r="W77" s="40" t="s">
        <v>376</v>
      </c>
    </row>
    <row r="78" spans="1:25" x14ac:dyDescent="0.2">
      <c r="A78" s="1266" t="s">
        <v>178</v>
      </c>
      <c r="B78" s="1266"/>
      <c r="C78" s="1266"/>
      <c r="D78" s="80">
        <f>D79*($F$6+$F$8+$F$10+$F$12+$F$13+$F$14+$F$15+$F$20)*1000*1000*(1+'Données gestion'!D40)</f>
        <v>539171.99999999988</v>
      </c>
      <c r="E78" s="80">
        <f>E79*($F$6+$F$8+$F$10+$F$12+$F$13+$F$14+$F$15+$F$20)*1000*1000*(1+'Données gestion'!E40)</f>
        <v>687444.30000000016</v>
      </c>
      <c r="F78" s="80">
        <f>F79*($F$6+$F$8+$F$10+$F$12+$F$13+$F$14+$F$15+$F$20)*1000*1000*(1+'Données gestion'!F40)</f>
        <v>841431.82319999998</v>
      </c>
      <c r="G78" s="80">
        <f>G79*($F$6+$F$8+$F$9+$F$10+$F$12+$F$13+$F$14+$F$15+$F$20)*1000*1000*(1+'Données gestion'!G40)</f>
        <v>942690.168144</v>
      </c>
      <c r="H78" s="80">
        <f>H79*($F$6+$F$8+$F$9+$F$10+$F$12+$F$13+$F$14+$F$15+$F$20)*1000*1000*(1+'Données gestion'!H40)</f>
        <v>961543.97150688001</v>
      </c>
      <c r="I78" s="80">
        <f>I79*($F$6+$F$8+$F$9+$F$10+$F$12+$F$13+$F$14+$F$15+$F$20)*1000*1000*(1+'Données gestion'!I40)</f>
        <v>980774.85093701771</v>
      </c>
      <c r="J78" s="80">
        <f>J79*($F$6+$F$8+$F$9+$F$10+$F$12+$F$13+$F$14+$F$15+$F$20)*1000*1000*(1+'Données gestion'!J40)</f>
        <v>1000390.3479557578</v>
      </c>
      <c r="K78" s="80">
        <f>K79*($F$6+$F$8+$F$9+$F$10+$F$12+$F$13+$F$14+$F$15+$F$20)*1000*1000*(1+'Données gestion'!K40)</f>
        <v>1020398.1549148731</v>
      </c>
      <c r="L78" s="80">
        <f>L79*($F$6+$F$8+$F$9+$F$10+$F$12+$F$13+$F$14+$F$15+$F$20)*1000*1000*(1+'Données gestion'!L40)</f>
        <v>1040806.1180131705</v>
      </c>
      <c r="M78" s="80">
        <f>M79*($F$6+$F$8+$F$9+$F$10+$F$12+$F$13+$F$14+$F$15+$F$20)*1000*1000*(1+'Données gestion'!M40)</f>
        <v>1061622.240373434</v>
      </c>
      <c r="N78" s="80">
        <f>N79*($F$6+$F$8+$F$9+$F$10+$F$12+$F$13+$F$14+$F$15+$F$20)*1000*1000*(1+'Données gestion'!N40)</f>
        <v>1082854.6851809025</v>
      </c>
      <c r="O78" s="80">
        <f>O79*($F$6+$F$8+$F$9+$F$10+$F$12+$F$13+$F$14+$F$15+$F$20)*1000*1000*(1+'Données gestion'!O40)</f>
        <v>1104511.7788845208</v>
      </c>
      <c r="P78" s="80">
        <f>P79*($F$6+$F$8+$F$9+$F$10+$F$12+$F$13+$F$14+$F$15+$F$20)*1000*1000*(1+'Données gestion'!P40)</f>
        <v>1126602.0144622109</v>
      </c>
      <c r="Q78" s="80">
        <f>Q79*($F$6+$F$8+$F$9+$F$10+$F$12+$F$13+$F$14+$F$15+$F$20)*1000*1000*(1+'Données gestion'!Q40)</f>
        <v>1149134.0547514553</v>
      </c>
      <c r="R78" s="80">
        <f>R79*($F$6+$F$8+$F$9+$F$10+$F$12+$F$13+$F$14+$F$15+$F$20)*1000*1000*(1+'Données gestion'!R40)</f>
        <v>1172116.7358464841</v>
      </c>
      <c r="S78" s="80">
        <f>S79*($F$6+$F$8+$F$9+$F$10+$F$12+$F$13+$F$14+$F$15+$F$20)*1000*1000*(1+'Données gestion'!S40)</f>
        <v>1195559.0705634141</v>
      </c>
      <c r="T78" s="80">
        <f>T79*($F$6+$F$8+$F$9+$F$10+$F$12+$F$13+$F$14+$F$15+$F$20)*1000*1000*(1+'Données gestion'!T40)</f>
        <v>1219470.2519746823</v>
      </c>
      <c r="U78" s="80">
        <f>U79*($F$6+$F$8+$F$9+$F$10+$F$12+$F$13+$F$14+$F$15+$F$20)*1000*1000*(1+'Données gestion'!U40)</f>
        <v>1243859.657014176</v>
      </c>
      <c r="V78" s="80">
        <f>V79*($F$6+$F$8+$F$9+$F$10+$F$12+$F$13+$F$14+$F$15+$F$20)*1000*1000*(1+'Données gestion'!V40)</f>
        <v>1268736.8501544595</v>
      </c>
      <c r="W78" s="80">
        <f>W79*($F$6+$F$8+$F$9+$F$10+$F$12+$F$13+$F$14+$F$15+$F$20)*1000*1000*(1+'Données gestion'!W40)</f>
        <v>1294111.5871575486</v>
      </c>
    </row>
    <row r="79" spans="1:25" x14ac:dyDescent="0.2">
      <c r="A79" s="1266" t="s">
        <v>177</v>
      </c>
      <c r="B79" s="1266"/>
      <c r="C79" s="1266"/>
      <c r="D79" s="44">
        <v>0.02</v>
      </c>
      <c r="E79" s="44">
        <v>2.5000000000000001E-2</v>
      </c>
      <c r="F79" s="44">
        <v>0.03</v>
      </c>
      <c r="G79" s="44">
        <v>0.03</v>
      </c>
      <c r="H79" s="44">
        <v>0.03</v>
      </c>
      <c r="I79" s="44">
        <v>0.03</v>
      </c>
      <c r="J79" s="44">
        <v>0.03</v>
      </c>
      <c r="K79" s="44">
        <v>0.03</v>
      </c>
      <c r="L79" s="44">
        <v>0.03</v>
      </c>
      <c r="M79" s="44">
        <v>0.03</v>
      </c>
      <c r="N79" s="44">
        <v>0.03</v>
      </c>
      <c r="O79" s="44">
        <v>0.03</v>
      </c>
      <c r="P79" s="44">
        <v>0.03</v>
      </c>
      <c r="Q79" s="44">
        <v>0.03</v>
      </c>
      <c r="R79" s="44">
        <v>0.03</v>
      </c>
      <c r="S79" s="44">
        <v>0.03</v>
      </c>
      <c r="T79" s="44">
        <v>0.03</v>
      </c>
      <c r="U79" s="44">
        <v>0.03</v>
      </c>
      <c r="V79" s="44">
        <v>0.03</v>
      </c>
      <c r="W79" s="44">
        <v>0.03</v>
      </c>
      <c r="X79" t="s">
        <v>205</v>
      </c>
    </row>
    <row r="82" spans="1:19" hidden="1" x14ac:dyDescent="0.2">
      <c r="A82" s="12" t="s">
        <v>833</v>
      </c>
    </row>
    <row r="83" spans="1:19" hidden="1" x14ac:dyDescent="0.2"/>
    <row r="84" spans="1:19" hidden="1" x14ac:dyDescent="0.2">
      <c r="A84" s="1273" t="s">
        <v>842</v>
      </c>
      <c r="B84" s="1274"/>
      <c r="C84" s="1275"/>
      <c r="D84" s="1282" t="s">
        <v>836</v>
      </c>
      <c r="E84" s="1271" t="s">
        <v>837</v>
      </c>
      <c r="F84" s="1271" t="s">
        <v>838</v>
      </c>
      <c r="G84" s="1271" t="s">
        <v>839</v>
      </c>
      <c r="H84" s="1283" t="s">
        <v>1181</v>
      </c>
      <c r="I84" s="1271" t="s">
        <v>840</v>
      </c>
      <c r="J84" s="1271" t="s">
        <v>841</v>
      </c>
    </row>
    <row r="85" spans="1:19" hidden="1" x14ac:dyDescent="0.2">
      <c r="A85" s="1276"/>
      <c r="B85" s="1277"/>
      <c r="C85" s="1278"/>
      <c r="D85" s="1282"/>
      <c r="E85" s="1271"/>
      <c r="F85" s="1271"/>
      <c r="G85" s="1271"/>
      <c r="H85" s="1271"/>
      <c r="I85" s="1271"/>
      <c r="J85" s="1271"/>
    </row>
    <row r="86" spans="1:19" hidden="1" x14ac:dyDescent="0.2">
      <c r="A86" s="1279"/>
      <c r="B86" s="1280"/>
      <c r="C86" s="1281"/>
      <c r="D86" s="1272"/>
      <c r="E86" s="1272"/>
      <c r="F86" s="1272"/>
      <c r="G86" s="1272"/>
      <c r="H86" s="1272"/>
      <c r="I86" s="1272"/>
      <c r="J86" s="1272"/>
    </row>
    <row r="87" spans="1:19" ht="12.75" hidden="1" customHeight="1" x14ac:dyDescent="0.2">
      <c r="A87" s="1266" t="s">
        <v>850</v>
      </c>
      <c r="B87" s="1266"/>
      <c r="C87" s="1266"/>
      <c r="D87" s="18">
        <v>0.15</v>
      </c>
      <c r="E87" s="18">
        <v>0.05</v>
      </c>
      <c r="F87" s="18">
        <v>0.05</v>
      </c>
      <c r="G87" s="18">
        <v>0.2</v>
      </c>
      <c r="H87" s="18">
        <v>0.35</v>
      </c>
      <c r="I87" s="18">
        <v>0.1</v>
      </c>
      <c r="J87" s="18">
        <v>0.1</v>
      </c>
      <c r="K87" s="329" t="s">
        <v>348</v>
      </c>
    </row>
    <row r="88" spans="1:19" hidden="1" x14ac:dyDescent="0.2">
      <c r="A88" s="1270" t="s">
        <v>1155</v>
      </c>
      <c r="B88" s="1270"/>
      <c r="C88" s="1270"/>
      <c r="D88" s="343">
        <v>0.1</v>
      </c>
      <c r="E88" s="343">
        <v>0.05</v>
      </c>
      <c r="F88" s="343">
        <v>0</v>
      </c>
      <c r="G88" s="343">
        <v>0.2</v>
      </c>
      <c r="H88" s="343">
        <v>0.4</v>
      </c>
      <c r="I88" s="343">
        <v>0.1</v>
      </c>
      <c r="J88" s="343">
        <v>0.15</v>
      </c>
      <c r="K88" s="40" t="s">
        <v>349</v>
      </c>
      <c r="L88" s="40" t="s">
        <v>834</v>
      </c>
      <c r="M88" s="40" t="s">
        <v>835</v>
      </c>
      <c r="N88" s="40" t="s">
        <v>945</v>
      </c>
      <c r="O88" s="40" t="s">
        <v>946</v>
      </c>
      <c r="P88" s="40" t="s">
        <v>947</v>
      </c>
      <c r="Q88" s="40" t="s">
        <v>948</v>
      </c>
      <c r="R88" s="40" t="s">
        <v>949</v>
      </c>
    </row>
    <row r="89" spans="1:19" hidden="1" x14ac:dyDescent="0.2">
      <c r="A89" s="1266" t="str">
        <f>A6</f>
        <v>Four PAMCHR :</v>
      </c>
      <c r="B89" s="1266"/>
      <c r="C89" s="1266"/>
      <c r="D89" s="16" t="s">
        <v>349</v>
      </c>
      <c r="E89" s="16" t="s">
        <v>349</v>
      </c>
      <c r="F89" s="16" t="s">
        <v>834</v>
      </c>
      <c r="G89" s="16" t="s">
        <v>834</v>
      </c>
      <c r="H89" s="16" t="s">
        <v>835</v>
      </c>
      <c r="I89" s="16" t="s">
        <v>835</v>
      </c>
      <c r="J89" s="16" t="s">
        <v>945</v>
      </c>
      <c r="K89" s="33">
        <f>SUMIF(D89:J89,"=N-3",$D$87:$J$87)</f>
        <v>0.2</v>
      </c>
      <c r="L89" s="33">
        <f>SUMIF(D89:J89,"=N-2",$D$87:$J$87)</f>
        <v>0.25</v>
      </c>
      <c r="M89" s="33">
        <f>SUMIF($D$89:$J$89,"=N-1",$D$87:$J$87)</f>
        <v>0.44999999999999996</v>
      </c>
      <c r="N89" s="33">
        <f>SUMIF(D89:J89,"=N",$D$87:$J$87)</f>
        <v>0.1</v>
      </c>
      <c r="O89" s="33">
        <f>SUMIF(D89:J89,"=N+1",$D$87:$J$87)</f>
        <v>0</v>
      </c>
      <c r="P89" s="33">
        <f>SUMIF(D89:J89,"=N+2",$D$87:$J$87)</f>
        <v>0</v>
      </c>
      <c r="Q89" s="33">
        <f>SUMIF(D89:J89,"=N+3",$D$87:$J$87)</f>
        <v>0</v>
      </c>
      <c r="R89" s="33">
        <f>SUMIF(D89:J89,"=N+4",$D$87:$J$87)</f>
        <v>0</v>
      </c>
      <c r="S89" s="329">
        <f>SUM(K89:R89)</f>
        <v>0.99999999999999989</v>
      </c>
    </row>
    <row r="90" spans="1:19" hidden="1" x14ac:dyDescent="0.2">
      <c r="A90" s="1266" t="str">
        <f>A7</f>
        <v>Annexe four : outillage</v>
      </c>
      <c r="B90" s="1266"/>
      <c r="C90" s="1266"/>
      <c r="D90" s="16" t="s">
        <v>834</v>
      </c>
      <c r="E90" s="16" t="s">
        <v>834</v>
      </c>
      <c r="F90" s="16" t="s">
        <v>834</v>
      </c>
      <c r="G90" s="16" t="s">
        <v>834</v>
      </c>
      <c r="H90" s="16" t="s">
        <v>835</v>
      </c>
      <c r="I90" s="16" t="s">
        <v>835</v>
      </c>
      <c r="J90" s="16" t="s">
        <v>835</v>
      </c>
      <c r="K90" s="33">
        <f t="shared" ref="K90:K107" si="35">SUMIF(D90:J90,"=N-3",$D$87:$J$87)</f>
        <v>0</v>
      </c>
      <c r="L90" s="33">
        <f t="shared" ref="L90:L107" si="36">SUMIF(D90:J90,"=N-2",$D$87:$J$87)</f>
        <v>0.45</v>
      </c>
      <c r="M90" s="33">
        <f t="shared" ref="M90:M107" si="37">SUMIF(D90:J90,"=N-1",$D$87:$J$87)</f>
        <v>0.54999999999999993</v>
      </c>
      <c r="N90" s="33">
        <f t="shared" ref="N90:N107" si="38">SUMIF(D90:J90,"=N",$D$87:$J$87)</f>
        <v>0</v>
      </c>
      <c r="O90" s="33">
        <f t="shared" ref="O90:O107" si="39">SUMIF(D90:J90,"=N+1",$D$87:$J$87)</f>
        <v>0</v>
      </c>
      <c r="P90" s="33">
        <f t="shared" ref="P90:P107" si="40">SUMIF(D90:J90,"=N+2",$D$87:$J$87)</f>
        <v>0</v>
      </c>
      <c r="Q90" s="33">
        <f t="shared" ref="Q90:Q107" si="41">SUMIF(D90:J90,"=N+3",$D$87:$J$87)</f>
        <v>0</v>
      </c>
      <c r="R90" s="33">
        <f t="shared" ref="R90:R107" si="42">SUMIF(D90:J90,"=N+4",$D$87:$J$87)</f>
        <v>0</v>
      </c>
      <c r="S90" s="329">
        <f t="shared" ref="S90:S107" si="43">SUM(K90:R90)</f>
        <v>1</v>
      </c>
    </row>
    <row r="91" spans="1:19" hidden="1" x14ac:dyDescent="0.2">
      <c r="A91" s="1266" t="str">
        <f>A8</f>
        <v>1er Four VAR :</v>
      </c>
      <c r="B91" s="1266"/>
      <c r="C91" s="1266"/>
      <c r="D91" s="16" t="s">
        <v>349</v>
      </c>
      <c r="E91" s="16" t="s">
        <v>349</v>
      </c>
      <c r="F91" s="16" t="s">
        <v>834</v>
      </c>
      <c r="G91" s="16" t="s">
        <v>834</v>
      </c>
      <c r="H91" s="16" t="s">
        <v>835</v>
      </c>
      <c r="I91" s="16" t="s">
        <v>835</v>
      </c>
      <c r="J91" s="16" t="s">
        <v>945</v>
      </c>
      <c r="K91" s="33">
        <f t="shared" si="35"/>
        <v>0.2</v>
      </c>
      <c r="L91" s="33">
        <f t="shared" si="36"/>
        <v>0.25</v>
      </c>
      <c r="M91" s="33">
        <f t="shared" si="37"/>
        <v>0.44999999999999996</v>
      </c>
      <c r="N91" s="33">
        <f t="shared" si="38"/>
        <v>0.1</v>
      </c>
      <c r="O91" s="33">
        <f t="shared" si="39"/>
        <v>0</v>
      </c>
      <c r="P91" s="33">
        <f t="shared" si="40"/>
        <v>0</v>
      </c>
      <c r="Q91" s="33">
        <f t="shared" si="41"/>
        <v>0</v>
      </c>
      <c r="R91" s="33">
        <f t="shared" si="42"/>
        <v>0</v>
      </c>
      <c r="S91" s="329">
        <f t="shared" si="43"/>
        <v>0.99999999999999989</v>
      </c>
    </row>
    <row r="92" spans="1:19" hidden="1" x14ac:dyDescent="0.2">
      <c r="A92" s="1266" t="str">
        <f>A9</f>
        <v>2ème four VAR :</v>
      </c>
      <c r="B92" s="1266"/>
      <c r="C92" s="1266"/>
      <c r="D92" s="16" t="s">
        <v>946</v>
      </c>
      <c r="E92" s="16" t="s">
        <v>946</v>
      </c>
      <c r="F92" s="16" t="s">
        <v>946</v>
      </c>
      <c r="G92" s="16" t="s">
        <v>947</v>
      </c>
      <c r="H92" s="16" t="s">
        <v>947</v>
      </c>
      <c r="I92" s="16" t="s">
        <v>947</v>
      </c>
      <c r="J92" s="16" t="s">
        <v>948</v>
      </c>
      <c r="K92" s="33">
        <f t="shared" si="35"/>
        <v>0</v>
      </c>
      <c r="L92" s="33">
        <f t="shared" si="36"/>
        <v>0</v>
      </c>
      <c r="M92" s="33">
        <f t="shared" si="37"/>
        <v>0</v>
      </c>
      <c r="N92" s="33">
        <f t="shared" si="38"/>
        <v>0</v>
      </c>
      <c r="O92" s="33">
        <f t="shared" si="39"/>
        <v>0.25</v>
      </c>
      <c r="P92" s="33">
        <f t="shared" si="40"/>
        <v>0.65</v>
      </c>
      <c r="Q92" s="33">
        <f t="shared" si="41"/>
        <v>0.1</v>
      </c>
      <c r="R92" s="33">
        <f t="shared" si="42"/>
        <v>0</v>
      </c>
      <c r="S92" s="329">
        <f t="shared" si="43"/>
        <v>1</v>
      </c>
    </row>
    <row r="93" spans="1:19" hidden="1" x14ac:dyDescent="0.2">
      <c r="A93" s="1266" t="str">
        <f t="shared" ref="A93:A107" si="44">A10</f>
        <v>Annexe VAR : nettoyage haute pression</v>
      </c>
      <c r="B93" s="1266"/>
      <c r="C93" s="1266"/>
      <c r="D93" s="16" t="s">
        <v>349</v>
      </c>
      <c r="E93" s="16" t="s">
        <v>834</v>
      </c>
      <c r="F93" s="16" t="s">
        <v>834</v>
      </c>
      <c r="G93" s="16" t="s">
        <v>834</v>
      </c>
      <c r="H93" s="16" t="s">
        <v>835</v>
      </c>
      <c r="I93" s="16" t="s">
        <v>835</v>
      </c>
      <c r="J93" s="16" t="s">
        <v>945</v>
      </c>
      <c r="K93" s="33">
        <f t="shared" si="35"/>
        <v>0.15</v>
      </c>
      <c r="L93" s="33">
        <f t="shared" si="36"/>
        <v>0.30000000000000004</v>
      </c>
      <c r="M93" s="33">
        <f t="shared" si="37"/>
        <v>0.44999999999999996</v>
      </c>
      <c r="N93" s="33">
        <f t="shared" si="38"/>
        <v>0.1</v>
      </c>
      <c r="O93" s="33">
        <f t="shared" si="39"/>
        <v>0</v>
      </c>
      <c r="P93" s="33">
        <f t="shared" si="40"/>
        <v>0</v>
      </c>
      <c r="Q93" s="33">
        <f t="shared" si="41"/>
        <v>0</v>
      </c>
      <c r="R93" s="33">
        <f t="shared" si="42"/>
        <v>0</v>
      </c>
      <c r="S93" s="329">
        <f t="shared" si="43"/>
        <v>1</v>
      </c>
    </row>
    <row r="94" spans="1:19" hidden="1" x14ac:dyDescent="0.2">
      <c r="A94" s="1266" t="str">
        <f t="shared" si="44"/>
        <v>Annexe VAR : outillage (scie)</v>
      </c>
      <c r="B94" s="1266"/>
      <c r="C94" s="1266"/>
      <c r="D94" s="16" t="s">
        <v>349</v>
      </c>
      <c r="E94" s="16" t="s">
        <v>834</v>
      </c>
      <c r="F94" s="16" t="s">
        <v>834</v>
      </c>
      <c r="G94" s="16" t="s">
        <v>834</v>
      </c>
      <c r="H94" s="16" t="s">
        <v>835</v>
      </c>
      <c r="I94" s="16" t="s">
        <v>835</v>
      </c>
      <c r="J94" s="16" t="s">
        <v>945</v>
      </c>
      <c r="K94" s="33">
        <f t="shared" si="35"/>
        <v>0.15</v>
      </c>
      <c r="L94" s="33">
        <f t="shared" si="36"/>
        <v>0.30000000000000004</v>
      </c>
      <c r="M94" s="33">
        <f t="shared" si="37"/>
        <v>0.44999999999999996</v>
      </c>
      <c r="N94" s="33">
        <f t="shared" si="38"/>
        <v>0.1</v>
      </c>
      <c r="O94" s="33">
        <f t="shared" si="39"/>
        <v>0</v>
      </c>
      <c r="P94" s="33">
        <f t="shared" si="40"/>
        <v>0</v>
      </c>
      <c r="Q94" s="33">
        <f t="shared" si="41"/>
        <v>0</v>
      </c>
      <c r="R94" s="33">
        <f t="shared" si="42"/>
        <v>0</v>
      </c>
      <c r="S94" s="329">
        <f t="shared" si="43"/>
        <v>1</v>
      </c>
    </row>
    <row r="95" spans="1:19" hidden="1" x14ac:dyDescent="0.2">
      <c r="A95" s="1266" t="str">
        <f t="shared" si="44"/>
        <v>Retourneur à lingot</v>
      </c>
      <c r="B95" s="1266"/>
      <c r="C95" s="1266"/>
      <c r="D95" s="16" t="s">
        <v>349</v>
      </c>
      <c r="E95" s="16" t="s">
        <v>834</v>
      </c>
      <c r="F95" s="16" t="s">
        <v>834</v>
      </c>
      <c r="G95" s="16" t="s">
        <v>834</v>
      </c>
      <c r="H95" s="16" t="s">
        <v>835</v>
      </c>
      <c r="I95" s="16" t="s">
        <v>835</v>
      </c>
      <c r="J95" s="16" t="s">
        <v>945</v>
      </c>
      <c r="K95" s="33">
        <f t="shared" si="35"/>
        <v>0.15</v>
      </c>
      <c r="L95" s="33">
        <f t="shared" si="36"/>
        <v>0.30000000000000004</v>
      </c>
      <c r="M95" s="33">
        <f t="shared" si="37"/>
        <v>0.44999999999999996</v>
      </c>
      <c r="N95" s="33">
        <f t="shared" si="38"/>
        <v>0.1</v>
      </c>
      <c r="O95" s="33">
        <f t="shared" si="39"/>
        <v>0</v>
      </c>
      <c r="P95" s="33">
        <f t="shared" si="40"/>
        <v>0</v>
      </c>
      <c r="Q95" s="33">
        <f t="shared" si="41"/>
        <v>0</v>
      </c>
      <c r="R95" s="33">
        <f t="shared" si="42"/>
        <v>0</v>
      </c>
      <c r="S95" s="329">
        <f t="shared" si="43"/>
        <v>1</v>
      </c>
    </row>
    <row r="96" spans="1:19" hidden="1" x14ac:dyDescent="0.2">
      <c r="A96" s="1266" t="str">
        <f t="shared" si="44"/>
        <v>Four Pilote :</v>
      </c>
      <c r="B96" s="1266"/>
      <c r="C96" s="1266"/>
      <c r="D96" s="16"/>
      <c r="E96" s="16"/>
      <c r="F96" s="16"/>
      <c r="G96" s="16"/>
      <c r="H96" s="16"/>
      <c r="I96" s="16"/>
      <c r="J96" s="16"/>
      <c r="K96" s="33">
        <f t="shared" si="35"/>
        <v>0</v>
      </c>
      <c r="L96" s="33">
        <f t="shared" si="36"/>
        <v>0</v>
      </c>
      <c r="M96" s="33">
        <f t="shared" si="37"/>
        <v>0</v>
      </c>
      <c r="N96" s="33">
        <f t="shared" si="38"/>
        <v>0</v>
      </c>
      <c r="O96" s="33">
        <f t="shared" si="39"/>
        <v>0</v>
      </c>
      <c r="P96" s="33">
        <f t="shared" si="40"/>
        <v>0</v>
      </c>
      <c r="Q96" s="33">
        <f t="shared" si="41"/>
        <v>0</v>
      </c>
      <c r="R96" s="33">
        <f t="shared" si="42"/>
        <v>0</v>
      </c>
      <c r="S96" s="329">
        <f t="shared" si="43"/>
        <v>0</v>
      </c>
    </row>
    <row r="97" spans="1:26" hidden="1" x14ac:dyDescent="0.2">
      <c r="A97" s="1266" t="str">
        <f t="shared" si="44"/>
        <v>Unité de pesage et mélangeage :</v>
      </c>
      <c r="B97" s="1266"/>
      <c r="C97" s="1266"/>
      <c r="D97" s="16" t="s">
        <v>349</v>
      </c>
      <c r="E97" s="16" t="s">
        <v>349</v>
      </c>
      <c r="F97" s="16" t="s">
        <v>834</v>
      </c>
      <c r="G97" s="16" t="s">
        <v>834</v>
      </c>
      <c r="H97" s="16" t="s">
        <v>835</v>
      </c>
      <c r="I97" s="16" t="s">
        <v>835</v>
      </c>
      <c r="J97" s="16" t="s">
        <v>945</v>
      </c>
      <c r="K97" s="33">
        <f t="shared" si="35"/>
        <v>0.2</v>
      </c>
      <c r="L97" s="33">
        <f t="shared" si="36"/>
        <v>0.25</v>
      </c>
      <c r="M97" s="33">
        <f t="shared" si="37"/>
        <v>0.44999999999999996</v>
      </c>
      <c r="N97" s="33">
        <f t="shared" si="38"/>
        <v>0.1</v>
      </c>
      <c r="O97" s="33">
        <f t="shared" si="39"/>
        <v>0</v>
      </c>
      <c r="P97" s="33">
        <f t="shared" si="40"/>
        <v>0</v>
      </c>
      <c r="Q97" s="33">
        <f t="shared" si="41"/>
        <v>0</v>
      </c>
      <c r="R97" s="33">
        <f t="shared" si="42"/>
        <v>0</v>
      </c>
      <c r="S97" s="329">
        <f t="shared" si="43"/>
        <v>0.99999999999999989</v>
      </c>
    </row>
    <row r="98" spans="1:26" hidden="1" x14ac:dyDescent="0.2">
      <c r="A98" s="1266" t="str">
        <f t="shared" si="44"/>
        <v>Equipement prépa chutes et parachèvement :</v>
      </c>
      <c r="B98" s="1266"/>
      <c r="C98" s="1266"/>
      <c r="D98" s="16" t="s">
        <v>349</v>
      </c>
      <c r="E98" s="16" t="s">
        <v>349</v>
      </c>
      <c r="F98" s="16" t="s">
        <v>834</v>
      </c>
      <c r="G98" s="16" t="s">
        <v>834</v>
      </c>
      <c r="H98" s="16" t="s">
        <v>835</v>
      </c>
      <c r="I98" s="16" t="s">
        <v>835</v>
      </c>
      <c r="J98" s="16" t="s">
        <v>945</v>
      </c>
      <c r="K98" s="33">
        <f t="shared" si="35"/>
        <v>0.2</v>
      </c>
      <c r="L98" s="33">
        <f t="shared" si="36"/>
        <v>0.25</v>
      </c>
      <c r="M98" s="33">
        <f t="shared" si="37"/>
        <v>0.44999999999999996</v>
      </c>
      <c r="N98" s="33">
        <f t="shared" si="38"/>
        <v>0.1</v>
      </c>
      <c r="O98" s="33">
        <f t="shared" si="39"/>
        <v>0</v>
      </c>
      <c r="P98" s="33">
        <f t="shared" si="40"/>
        <v>0</v>
      </c>
      <c r="Q98" s="33">
        <f t="shared" si="41"/>
        <v>0</v>
      </c>
      <c r="R98" s="33">
        <f t="shared" si="42"/>
        <v>0</v>
      </c>
      <c r="S98" s="329">
        <f t="shared" si="43"/>
        <v>0.99999999999999989</v>
      </c>
    </row>
    <row r="99" spans="1:26" hidden="1" x14ac:dyDescent="0.2">
      <c r="A99" s="1266" t="str">
        <f t="shared" si="44"/>
        <v>…</v>
      </c>
      <c r="B99" s="1266"/>
      <c r="C99" s="1266"/>
      <c r="D99" s="16"/>
      <c r="E99" s="16"/>
      <c r="F99" s="16"/>
      <c r="G99" s="16"/>
      <c r="H99" s="16"/>
      <c r="I99" s="16"/>
      <c r="J99" s="16"/>
      <c r="K99" s="33">
        <f t="shared" si="35"/>
        <v>0</v>
      </c>
      <c r="L99" s="33">
        <f t="shared" si="36"/>
        <v>0</v>
      </c>
      <c r="M99" s="33">
        <f t="shared" si="37"/>
        <v>0</v>
      </c>
      <c r="N99" s="33">
        <f t="shared" si="38"/>
        <v>0</v>
      </c>
      <c r="O99" s="33">
        <f t="shared" si="39"/>
        <v>0</v>
      </c>
      <c r="P99" s="33">
        <f t="shared" si="40"/>
        <v>0</v>
      </c>
      <c r="Q99" s="33">
        <f t="shared" si="41"/>
        <v>0</v>
      </c>
      <c r="R99" s="33">
        <f t="shared" si="42"/>
        <v>0</v>
      </c>
      <c r="S99" s="329">
        <f t="shared" si="43"/>
        <v>0</v>
      </c>
    </row>
    <row r="100" spans="1:26" hidden="1" x14ac:dyDescent="0.2">
      <c r="A100" s="1266" t="str">
        <f t="shared" si="44"/>
        <v>Terrain</v>
      </c>
      <c r="B100" s="1266"/>
      <c r="C100" s="1266"/>
      <c r="D100" s="16" t="s">
        <v>349</v>
      </c>
      <c r="E100" s="16" t="s">
        <v>349</v>
      </c>
      <c r="F100" s="16" t="s">
        <v>349</v>
      </c>
      <c r="G100" s="16" t="s">
        <v>349</v>
      </c>
      <c r="H100" s="16" t="s">
        <v>349</v>
      </c>
      <c r="I100" s="16" t="s">
        <v>349</v>
      </c>
      <c r="J100" s="16" t="s">
        <v>349</v>
      </c>
      <c r="K100" s="33">
        <f t="shared" si="35"/>
        <v>1</v>
      </c>
      <c r="L100" s="33">
        <f t="shared" si="36"/>
        <v>0</v>
      </c>
      <c r="M100" s="33">
        <f t="shared" si="37"/>
        <v>0</v>
      </c>
      <c r="N100" s="33">
        <f t="shared" si="38"/>
        <v>0</v>
      </c>
      <c r="O100" s="33">
        <f t="shared" si="39"/>
        <v>0</v>
      </c>
      <c r="P100" s="33">
        <f t="shared" si="40"/>
        <v>0</v>
      </c>
      <c r="Q100" s="33">
        <f t="shared" si="41"/>
        <v>0</v>
      </c>
      <c r="R100" s="33">
        <f t="shared" si="42"/>
        <v>0</v>
      </c>
      <c r="S100" s="329">
        <f t="shared" si="43"/>
        <v>1</v>
      </c>
    </row>
    <row r="101" spans="1:26" hidden="1" x14ac:dyDescent="0.2">
      <c r="A101" s="1266" t="str">
        <f t="shared" si="44"/>
        <v>SI + MES</v>
      </c>
      <c r="B101" s="1266"/>
      <c r="C101" s="1266"/>
      <c r="D101" s="16" t="s">
        <v>349</v>
      </c>
      <c r="E101" s="16" t="s">
        <v>349</v>
      </c>
      <c r="F101" s="16" t="s">
        <v>349</v>
      </c>
      <c r="G101" s="16" t="s">
        <v>834</v>
      </c>
      <c r="H101" s="16" t="s">
        <v>834</v>
      </c>
      <c r="I101" s="16" t="s">
        <v>835</v>
      </c>
      <c r="J101" s="16" t="s">
        <v>835</v>
      </c>
      <c r="K101" s="33">
        <f t="shared" si="35"/>
        <v>0.25</v>
      </c>
      <c r="L101" s="33">
        <f t="shared" si="36"/>
        <v>0.55000000000000004</v>
      </c>
      <c r="M101" s="33">
        <f t="shared" si="37"/>
        <v>0.2</v>
      </c>
      <c r="N101" s="33">
        <f t="shared" si="38"/>
        <v>0</v>
      </c>
      <c r="O101" s="33">
        <f t="shared" si="39"/>
        <v>0</v>
      </c>
      <c r="P101" s="33">
        <f t="shared" si="40"/>
        <v>0</v>
      </c>
      <c r="Q101" s="33">
        <f t="shared" si="41"/>
        <v>0</v>
      </c>
      <c r="R101" s="33">
        <f t="shared" si="42"/>
        <v>0</v>
      </c>
      <c r="S101" s="329">
        <f t="shared" si="43"/>
        <v>1</v>
      </c>
    </row>
    <row r="102" spans="1:26" hidden="1" x14ac:dyDescent="0.2">
      <c r="A102" s="1266" t="str">
        <f t="shared" si="44"/>
        <v>Batiment (charpente, GCs, bureaux)</v>
      </c>
      <c r="B102" s="1266"/>
      <c r="C102" s="1266"/>
      <c r="D102" s="16" t="s">
        <v>349</v>
      </c>
      <c r="E102" s="16" t="s">
        <v>349</v>
      </c>
      <c r="F102" s="16" t="s">
        <v>349</v>
      </c>
      <c r="G102" s="16" t="s">
        <v>349</v>
      </c>
      <c r="H102" s="16" t="s">
        <v>834</v>
      </c>
      <c r="I102" s="16" t="s">
        <v>834</v>
      </c>
      <c r="J102" s="16" t="s">
        <v>835</v>
      </c>
      <c r="K102" s="33">
        <f t="shared" si="35"/>
        <v>0.45</v>
      </c>
      <c r="L102" s="33">
        <f t="shared" si="36"/>
        <v>0.44999999999999996</v>
      </c>
      <c r="M102" s="33">
        <f t="shared" si="37"/>
        <v>0.1</v>
      </c>
      <c r="N102" s="33">
        <f t="shared" si="38"/>
        <v>0</v>
      </c>
      <c r="O102" s="33">
        <f t="shared" si="39"/>
        <v>0</v>
      </c>
      <c r="P102" s="33">
        <f t="shared" si="40"/>
        <v>0</v>
      </c>
      <c r="Q102" s="33">
        <f t="shared" si="41"/>
        <v>0</v>
      </c>
      <c r="R102" s="33">
        <f t="shared" si="42"/>
        <v>0</v>
      </c>
      <c r="S102" s="329">
        <f t="shared" si="43"/>
        <v>0.99999999999999989</v>
      </c>
    </row>
    <row r="103" spans="1:26" hidden="1" x14ac:dyDescent="0.2">
      <c r="A103" s="1266" t="str">
        <f t="shared" si="44"/>
        <v>Ponts (1 pour EB, 1 pour VAR, 2 prépa)</v>
      </c>
      <c r="B103" s="1266"/>
      <c r="C103" s="1266"/>
      <c r="D103" s="16" t="s">
        <v>349</v>
      </c>
      <c r="E103" s="16" t="s">
        <v>349</v>
      </c>
      <c r="F103" s="16" t="s">
        <v>834</v>
      </c>
      <c r="G103" s="16" t="s">
        <v>834</v>
      </c>
      <c r="H103" s="16" t="s">
        <v>834</v>
      </c>
      <c r="I103" s="16" t="s">
        <v>834</v>
      </c>
      <c r="J103" s="16" t="s">
        <v>835</v>
      </c>
      <c r="K103" s="33">
        <f t="shared" si="35"/>
        <v>0.2</v>
      </c>
      <c r="L103" s="33">
        <f t="shared" si="36"/>
        <v>0.7</v>
      </c>
      <c r="M103" s="33">
        <f t="shared" si="37"/>
        <v>0.1</v>
      </c>
      <c r="N103" s="33">
        <f t="shared" si="38"/>
        <v>0</v>
      </c>
      <c r="O103" s="33">
        <f t="shared" si="39"/>
        <v>0</v>
      </c>
      <c r="P103" s="33">
        <f t="shared" si="40"/>
        <v>0</v>
      </c>
      <c r="Q103" s="33">
        <f t="shared" si="41"/>
        <v>0</v>
      </c>
      <c r="R103" s="33">
        <f t="shared" si="42"/>
        <v>0</v>
      </c>
      <c r="S103" s="329">
        <f t="shared" si="43"/>
        <v>0.99999999999999989</v>
      </c>
    </row>
    <row r="104" spans="1:26" hidden="1" x14ac:dyDescent="0.2">
      <c r="A104" s="1266" t="str">
        <f t="shared" si="44"/>
        <v>Electricité et utilités</v>
      </c>
      <c r="B104" s="1266"/>
      <c r="C104" s="1266"/>
      <c r="D104" s="16" t="s">
        <v>349</v>
      </c>
      <c r="E104" s="16" t="s">
        <v>349</v>
      </c>
      <c r="F104" s="16" t="s">
        <v>834</v>
      </c>
      <c r="G104" s="16" t="s">
        <v>834</v>
      </c>
      <c r="H104" s="16" t="s">
        <v>834</v>
      </c>
      <c r="I104" s="16" t="s">
        <v>835</v>
      </c>
      <c r="J104" s="16" t="s">
        <v>835</v>
      </c>
      <c r="K104" s="33">
        <f t="shared" si="35"/>
        <v>0.2</v>
      </c>
      <c r="L104" s="33">
        <f t="shared" si="36"/>
        <v>0.6</v>
      </c>
      <c r="M104" s="33">
        <f t="shared" si="37"/>
        <v>0.2</v>
      </c>
      <c r="N104" s="33">
        <f t="shared" si="38"/>
        <v>0</v>
      </c>
      <c r="O104" s="33">
        <f t="shared" si="39"/>
        <v>0</v>
      </c>
      <c r="P104" s="33">
        <f t="shared" si="40"/>
        <v>0</v>
      </c>
      <c r="Q104" s="33">
        <f t="shared" si="41"/>
        <v>0</v>
      </c>
      <c r="R104" s="33">
        <f t="shared" si="42"/>
        <v>0</v>
      </c>
      <c r="S104" s="329">
        <f t="shared" si="43"/>
        <v>1</v>
      </c>
    </row>
    <row r="105" spans="1:26" hidden="1" x14ac:dyDescent="0.2">
      <c r="A105" s="1266" t="str">
        <f t="shared" si="44"/>
        <v>VRD</v>
      </c>
      <c r="B105" s="1266"/>
      <c r="C105" s="1266"/>
      <c r="D105" s="16" t="s">
        <v>349</v>
      </c>
      <c r="E105" s="16" t="s">
        <v>349</v>
      </c>
      <c r="F105" s="16" t="s">
        <v>349</v>
      </c>
      <c r="G105" s="16" t="s">
        <v>349</v>
      </c>
      <c r="H105" s="16" t="s">
        <v>349</v>
      </c>
      <c r="I105" s="16" t="s">
        <v>834</v>
      </c>
      <c r="J105" s="16" t="s">
        <v>834</v>
      </c>
      <c r="K105" s="33">
        <f t="shared" si="35"/>
        <v>0.8</v>
      </c>
      <c r="L105" s="33">
        <f t="shared" si="36"/>
        <v>0.2</v>
      </c>
      <c r="M105" s="33">
        <f t="shared" si="37"/>
        <v>0</v>
      </c>
      <c r="N105" s="33">
        <f t="shared" si="38"/>
        <v>0</v>
      </c>
      <c r="O105" s="33">
        <f t="shared" si="39"/>
        <v>0</v>
      </c>
      <c r="P105" s="33">
        <f t="shared" si="40"/>
        <v>0</v>
      </c>
      <c r="Q105" s="33">
        <f t="shared" si="41"/>
        <v>0</v>
      </c>
      <c r="R105" s="33">
        <f t="shared" si="42"/>
        <v>0</v>
      </c>
      <c r="S105" s="329">
        <f t="shared" si="43"/>
        <v>1</v>
      </c>
    </row>
    <row r="106" spans="1:26" hidden="1" x14ac:dyDescent="0.2">
      <c r="A106" s="1266" t="str">
        <f t="shared" si="44"/>
        <v>Projet (11,5%)</v>
      </c>
      <c r="B106" s="1266"/>
      <c r="C106" s="1266"/>
      <c r="D106" s="16" t="s">
        <v>349</v>
      </c>
      <c r="E106" s="16" t="s">
        <v>349</v>
      </c>
      <c r="F106" s="16" t="s">
        <v>349</v>
      </c>
      <c r="G106" s="16" t="s">
        <v>349</v>
      </c>
      <c r="H106" s="16" t="s">
        <v>834</v>
      </c>
      <c r="I106" s="16" t="s">
        <v>835</v>
      </c>
      <c r="J106" s="16" t="s">
        <v>835</v>
      </c>
      <c r="K106" s="33">
        <f t="shared" si="35"/>
        <v>0.45</v>
      </c>
      <c r="L106" s="33">
        <f t="shared" si="36"/>
        <v>0.35</v>
      </c>
      <c r="M106" s="33">
        <f t="shared" si="37"/>
        <v>0.2</v>
      </c>
      <c r="N106" s="33">
        <f t="shared" si="38"/>
        <v>0</v>
      </c>
      <c r="O106" s="33">
        <f t="shared" si="39"/>
        <v>0</v>
      </c>
      <c r="P106" s="33">
        <f t="shared" si="40"/>
        <v>0</v>
      </c>
      <c r="Q106" s="33">
        <f t="shared" si="41"/>
        <v>0</v>
      </c>
      <c r="R106" s="33">
        <f t="shared" si="42"/>
        <v>0</v>
      </c>
      <c r="S106" s="329">
        <f t="shared" si="43"/>
        <v>1</v>
      </c>
    </row>
    <row r="107" spans="1:26" hidden="1" x14ac:dyDescent="0.2">
      <c r="A107" s="1266" t="str">
        <f t="shared" si="44"/>
        <v>DNR (9,5%)</v>
      </c>
      <c r="B107" s="1266"/>
      <c r="C107" s="1266"/>
      <c r="D107" s="16" t="s">
        <v>349</v>
      </c>
      <c r="E107" s="16" t="s">
        <v>349</v>
      </c>
      <c r="F107" s="16" t="s">
        <v>349</v>
      </c>
      <c r="G107" s="16" t="s">
        <v>834</v>
      </c>
      <c r="H107" s="16" t="s">
        <v>834</v>
      </c>
      <c r="I107" s="16" t="s">
        <v>835</v>
      </c>
      <c r="J107" s="16" t="s">
        <v>835</v>
      </c>
      <c r="K107" s="33">
        <f t="shared" si="35"/>
        <v>0.25</v>
      </c>
      <c r="L107" s="33">
        <f t="shared" si="36"/>
        <v>0.55000000000000004</v>
      </c>
      <c r="M107" s="33">
        <f t="shared" si="37"/>
        <v>0.2</v>
      </c>
      <c r="N107" s="33">
        <f t="shared" si="38"/>
        <v>0</v>
      </c>
      <c r="O107" s="33">
        <f t="shared" si="39"/>
        <v>0</v>
      </c>
      <c r="P107" s="33">
        <f t="shared" si="40"/>
        <v>0</v>
      </c>
      <c r="Q107" s="33">
        <f t="shared" si="41"/>
        <v>0</v>
      </c>
      <c r="R107" s="33">
        <f t="shared" si="42"/>
        <v>0</v>
      </c>
      <c r="S107" s="329">
        <f t="shared" si="43"/>
        <v>1</v>
      </c>
    </row>
    <row r="108" spans="1:26" hidden="1" x14ac:dyDescent="0.2"/>
    <row r="109" spans="1:26" hidden="1" x14ac:dyDescent="0.2"/>
    <row r="110" spans="1:26" hidden="1" x14ac:dyDescent="0.2"/>
    <row r="111" spans="1:26" hidden="1" x14ac:dyDescent="0.2">
      <c r="A111" s="1270" t="s">
        <v>1155</v>
      </c>
      <c r="B111" s="1270"/>
      <c r="C111" s="1270"/>
      <c r="D111" s="40" t="s">
        <v>349</v>
      </c>
      <c r="E111" s="40" t="s">
        <v>834</v>
      </c>
      <c r="F111" s="40" t="s">
        <v>835</v>
      </c>
      <c r="G111" s="40" t="s">
        <v>945</v>
      </c>
      <c r="H111" s="40" t="s">
        <v>946</v>
      </c>
      <c r="I111" s="40" t="s">
        <v>947</v>
      </c>
      <c r="J111" s="40" t="s">
        <v>948</v>
      </c>
      <c r="K111" s="40" t="s">
        <v>949</v>
      </c>
      <c r="L111" s="40" t="s">
        <v>846</v>
      </c>
      <c r="M111" s="40" t="s">
        <v>847</v>
      </c>
      <c r="N111" s="40" t="s">
        <v>848</v>
      </c>
      <c r="O111" s="40" t="s">
        <v>849</v>
      </c>
      <c r="P111" s="40" t="s">
        <v>509</v>
      </c>
      <c r="Q111" s="40" t="s">
        <v>510</v>
      </c>
      <c r="R111" s="40" t="s">
        <v>368</v>
      </c>
      <c r="S111" s="40" t="s">
        <v>369</v>
      </c>
      <c r="T111" s="40" t="s">
        <v>370</v>
      </c>
      <c r="U111" s="40" t="s">
        <v>371</v>
      </c>
      <c r="V111" s="40" t="s">
        <v>372</v>
      </c>
      <c r="W111" s="40" t="s">
        <v>373</v>
      </c>
      <c r="X111" s="40" t="s">
        <v>374</v>
      </c>
      <c r="Y111" s="40" t="s">
        <v>375</v>
      </c>
      <c r="Z111" s="40" t="s">
        <v>376</v>
      </c>
    </row>
    <row r="112" spans="1:26" hidden="1" x14ac:dyDescent="0.2">
      <c r="A112" s="1266" t="str">
        <f>A89</f>
        <v>Four PAMCHR :</v>
      </c>
      <c r="B112" s="1266"/>
      <c r="C112" s="1267"/>
      <c r="D112" s="28">
        <f>K89*$F$6</f>
        <v>3.66</v>
      </c>
      <c r="E112" s="28">
        <f>L89*$F$6</f>
        <v>4.5750000000000002</v>
      </c>
      <c r="F112" s="28">
        <f t="shared" ref="F112:K112" si="45">M89*$F$6</f>
        <v>8.2349999999999994</v>
      </c>
      <c r="G112" s="28">
        <f t="shared" si="45"/>
        <v>1.83</v>
      </c>
      <c r="H112" s="28">
        <f t="shared" si="45"/>
        <v>0</v>
      </c>
      <c r="I112" s="28">
        <f t="shared" si="45"/>
        <v>0</v>
      </c>
      <c r="J112" s="28">
        <f t="shared" si="45"/>
        <v>0</v>
      </c>
      <c r="K112" s="28">
        <f t="shared" si="45"/>
        <v>0</v>
      </c>
    </row>
    <row r="113" spans="1:11" hidden="1" x14ac:dyDescent="0.2">
      <c r="A113" s="1266" t="str">
        <f t="shared" ref="A113:A130" si="46">A90</f>
        <v>Annexe four : outillage</v>
      </c>
      <c r="B113" s="1266"/>
      <c r="C113" s="1267"/>
      <c r="D113" s="28">
        <f>K90*$F$7</f>
        <v>0</v>
      </c>
      <c r="E113" s="28">
        <f>L90*$F$7</f>
        <v>0.18000000000000002</v>
      </c>
      <c r="F113" s="28">
        <f t="shared" ref="F113:K113" si="47">M90*$F$7</f>
        <v>0.21999999999999997</v>
      </c>
      <c r="G113" s="28">
        <f t="shared" si="47"/>
        <v>0</v>
      </c>
      <c r="H113" s="28">
        <f t="shared" si="47"/>
        <v>0</v>
      </c>
      <c r="I113" s="28">
        <f t="shared" si="47"/>
        <v>0</v>
      </c>
      <c r="J113" s="28">
        <f t="shared" si="47"/>
        <v>0</v>
      </c>
      <c r="K113" s="28">
        <f t="shared" si="47"/>
        <v>0</v>
      </c>
    </row>
    <row r="114" spans="1:11" hidden="1" x14ac:dyDescent="0.2">
      <c r="A114" s="1266" t="str">
        <f t="shared" si="46"/>
        <v>1er Four VAR :</v>
      </c>
      <c r="B114" s="1266"/>
      <c r="C114" s="1267"/>
      <c r="D114" s="28">
        <f>K91*$F$8</f>
        <v>0.52</v>
      </c>
      <c r="E114" s="28">
        <f>L91*$F$8</f>
        <v>0.65</v>
      </c>
      <c r="F114" s="28">
        <f t="shared" ref="F114:K114" si="48">M91*$F$8</f>
        <v>1.17</v>
      </c>
      <c r="G114" s="28">
        <f t="shared" si="48"/>
        <v>0.26</v>
      </c>
      <c r="H114" s="28">
        <f t="shared" si="48"/>
        <v>0</v>
      </c>
      <c r="I114" s="28">
        <f t="shared" si="48"/>
        <v>0</v>
      </c>
      <c r="J114" s="28">
        <f t="shared" si="48"/>
        <v>0</v>
      </c>
      <c r="K114" s="28">
        <f t="shared" si="48"/>
        <v>0</v>
      </c>
    </row>
    <row r="115" spans="1:11" hidden="1" x14ac:dyDescent="0.2">
      <c r="A115" s="1266" t="str">
        <f t="shared" si="46"/>
        <v>2ème four VAR :</v>
      </c>
      <c r="B115" s="1266"/>
      <c r="C115" s="1267"/>
      <c r="D115" s="28">
        <f>K92*$F$9</f>
        <v>0</v>
      </c>
      <c r="E115" s="28">
        <f>L92*$F$9</f>
        <v>0</v>
      </c>
      <c r="F115" s="28">
        <f t="shared" ref="F115:K115" si="49">M92*$F$9</f>
        <v>0</v>
      </c>
      <c r="G115" s="28">
        <f t="shared" si="49"/>
        <v>0</v>
      </c>
      <c r="H115" s="28">
        <f t="shared" si="49"/>
        <v>0.65</v>
      </c>
      <c r="I115" s="28">
        <f t="shared" si="49"/>
        <v>1.6900000000000002</v>
      </c>
      <c r="J115" s="28">
        <f t="shared" si="49"/>
        <v>0.26</v>
      </c>
      <c r="K115" s="28">
        <f t="shared" si="49"/>
        <v>0</v>
      </c>
    </row>
    <row r="116" spans="1:11" hidden="1" x14ac:dyDescent="0.2">
      <c r="A116" s="1266" t="str">
        <f t="shared" si="46"/>
        <v>Annexe VAR : nettoyage haute pression</v>
      </c>
      <c r="B116" s="1266"/>
      <c r="C116" s="1267"/>
      <c r="D116" s="28">
        <f>K93*$F$10</f>
        <v>4.3499999999999997E-2</v>
      </c>
      <c r="E116" s="28">
        <f>L93*$F$10</f>
        <v>8.7000000000000008E-2</v>
      </c>
      <c r="F116" s="28">
        <f t="shared" ref="F116:K116" si="50">M93*$F$10</f>
        <v>0.13049999999999998</v>
      </c>
      <c r="G116" s="28">
        <f t="shared" si="50"/>
        <v>2.8999999999999998E-2</v>
      </c>
      <c r="H116" s="28">
        <f t="shared" si="50"/>
        <v>0</v>
      </c>
      <c r="I116" s="28">
        <f t="shared" si="50"/>
        <v>0</v>
      </c>
      <c r="J116" s="28">
        <f t="shared" si="50"/>
        <v>0</v>
      </c>
      <c r="K116" s="28">
        <f t="shared" si="50"/>
        <v>0</v>
      </c>
    </row>
    <row r="117" spans="1:11" hidden="1" x14ac:dyDescent="0.2">
      <c r="A117" s="1266" t="str">
        <f t="shared" si="46"/>
        <v>Annexe VAR : outillage (scie)</v>
      </c>
      <c r="B117" s="1266"/>
      <c r="C117" s="1267"/>
      <c r="D117" s="28">
        <f>K94*$F$11</f>
        <v>4.4999999999999998E-2</v>
      </c>
      <c r="E117" s="28">
        <f>L94*$F$11</f>
        <v>9.0000000000000011E-2</v>
      </c>
      <c r="F117" s="28">
        <f t="shared" ref="F117:K117" si="51">M94*$F$11</f>
        <v>0.13499999999999998</v>
      </c>
      <c r="G117" s="28">
        <f t="shared" si="51"/>
        <v>0.03</v>
      </c>
      <c r="H117" s="28">
        <f t="shared" si="51"/>
        <v>0</v>
      </c>
      <c r="I117" s="28">
        <f t="shared" si="51"/>
        <v>0</v>
      </c>
      <c r="J117" s="28">
        <f t="shared" si="51"/>
        <v>0</v>
      </c>
      <c r="K117" s="28">
        <f t="shared" si="51"/>
        <v>0</v>
      </c>
    </row>
    <row r="118" spans="1:11" hidden="1" x14ac:dyDescent="0.2">
      <c r="A118" s="1266" t="str">
        <f t="shared" si="46"/>
        <v>Retourneur à lingot</v>
      </c>
      <c r="B118" s="1266"/>
      <c r="C118" s="1267"/>
      <c r="D118" s="28">
        <f>K95*$F$12</f>
        <v>2.1000000000000001E-2</v>
      </c>
      <c r="E118" s="28">
        <f>L95*$F$12</f>
        <v>4.200000000000001E-2</v>
      </c>
      <c r="F118" s="28">
        <f t="shared" ref="F118:K118" si="52">M95*$F$12</f>
        <v>6.3E-2</v>
      </c>
      <c r="G118" s="28">
        <f t="shared" si="52"/>
        <v>1.4000000000000002E-2</v>
      </c>
      <c r="H118" s="28">
        <f t="shared" si="52"/>
        <v>0</v>
      </c>
      <c r="I118" s="28">
        <f t="shared" si="52"/>
        <v>0</v>
      </c>
      <c r="J118" s="28">
        <f t="shared" si="52"/>
        <v>0</v>
      </c>
      <c r="K118" s="28">
        <f t="shared" si="52"/>
        <v>0</v>
      </c>
    </row>
    <row r="119" spans="1:11" hidden="1" x14ac:dyDescent="0.2">
      <c r="A119" s="1266" t="str">
        <f t="shared" si="46"/>
        <v>Four Pilote :</v>
      </c>
      <c r="B119" s="1266"/>
      <c r="C119" s="1267"/>
      <c r="D119" s="28">
        <f>K96*$F$13</f>
        <v>0</v>
      </c>
      <c r="E119" s="28">
        <f>L96*$F$13</f>
        <v>0</v>
      </c>
      <c r="F119" s="28">
        <f t="shared" ref="F119:K119" si="53">M96*$F$13</f>
        <v>0</v>
      </c>
      <c r="G119" s="28">
        <f t="shared" si="53"/>
        <v>0</v>
      </c>
      <c r="H119" s="28">
        <f t="shared" si="53"/>
        <v>0</v>
      </c>
      <c r="I119" s="28">
        <f t="shared" si="53"/>
        <v>0</v>
      </c>
      <c r="J119" s="28">
        <f t="shared" si="53"/>
        <v>0</v>
      </c>
      <c r="K119" s="28">
        <f t="shared" si="53"/>
        <v>0</v>
      </c>
    </row>
    <row r="120" spans="1:11" hidden="1" x14ac:dyDescent="0.2">
      <c r="A120" s="1266" t="str">
        <f t="shared" si="46"/>
        <v>Unité de pesage et mélangeage :</v>
      </c>
      <c r="B120" s="1266"/>
      <c r="C120" s="1267"/>
      <c r="D120" s="28">
        <f>K97*$F$14</f>
        <v>0.59000000000000008</v>
      </c>
      <c r="E120" s="28">
        <f>L97*$F$14</f>
        <v>0.73750000000000004</v>
      </c>
      <c r="F120" s="28">
        <f t="shared" ref="F120:K120" si="54">M97*$F$14</f>
        <v>1.3274999999999999</v>
      </c>
      <c r="G120" s="28">
        <f t="shared" si="54"/>
        <v>0.29500000000000004</v>
      </c>
      <c r="H120" s="28">
        <f t="shared" si="54"/>
        <v>0</v>
      </c>
      <c r="I120" s="28">
        <f t="shared" si="54"/>
        <v>0</v>
      </c>
      <c r="J120" s="28">
        <f t="shared" si="54"/>
        <v>0</v>
      </c>
      <c r="K120" s="28">
        <f t="shared" si="54"/>
        <v>0</v>
      </c>
    </row>
    <row r="121" spans="1:11" hidden="1" x14ac:dyDescent="0.2">
      <c r="A121" s="1266" t="str">
        <f t="shared" si="46"/>
        <v>Equipement prépa chutes et parachèvement :</v>
      </c>
      <c r="B121" s="1266"/>
      <c r="C121" s="1267"/>
      <c r="D121" s="28">
        <f>K98*$F$15</f>
        <v>0.34</v>
      </c>
      <c r="E121" s="28">
        <f>L98*$F$15</f>
        <v>0.42499999999999999</v>
      </c>
      <c r="F121" s="28">
        <f t="shared" ref="F121:K121" si="55">M98*$F$15</f>
        <v>0.7649999999999999</v>
      </c>
      <c r="G121" s="28">
        <f t="shared" si="55"/>
        <v>0.17</v>
      </c>
      <c r="H121" s="28">
        <f t="shared" si="55"/>
        <v>0</v>
      </c>
      <c r="I121" s="28">
        <f t="shared" si="55"/>
        <v>0</v>
      </c>
      <c r="J121" s="28">
        <f t="shared" si="55"/>
        <v>0</v>
      </c>
      <c r="K121" s="28">
        <f t="shared" si="55"/>
        <v>0</v>
      </c>
    </row>
    <row r="122" spans="1:11" hidden="1" x14ac:dyDescent="0.2">
      <c r="A122" s="1266" t="str">
        <f t="shared" si="46"/>
        <v>…</v>
      </c>
      <c r="B122" s="1266"/>
      <c r="C122" s="1267"/>
      <c r="D122" s="28">
        <f>K99*$F$16</f>
        <v>0</v>
      </c>
      <c r="E122" s="28">
        <f>L99*$F$16</f>
        <v>0</v>
      </c>
      <c r="F122" s="28">
        <f t="shared" ref="F122:K122" si="56">M99*$F$16</f>
        <v>0</v>
      </c>
      <c r="G122" s="28">
        <f t="shared" si="56"/>
        <v>0</v>
      </c>
      <c r="H122" s="28">
        <f t="shared" si="56"/>
        <v>0</v>
      </c>
      <c r="I122" s="28">
        <f t="shared" si="56"/>
        <v>0</v>
      </c>
      <c r="J122" s="28">
        <f t="shared" si="56"/>
        <v>0</v>
      </c>
      <c r="K122" s="28">
        <f t="shared" si="56"/>
        <v>0</v>
      </c>
    </row>
    <row r="123" spans="1:11" hidden="1" x14ac:dyDescent="0.2">
      <c r="A123" s="1266" t="str">
        <f t="shared" si="46"/>
        <v>Terrain</v>
      </c>
      <c r="B123" s="1266"/>
      <c r="C123" s="1267"/>
      <c r="D123" s="28">
        <f>K100*$F$17</f>
        <v>0.43</v>
      </c>
      <c r="E123" s="28">
        <f>L100*$F$17</f>
        <v>0</v>
      </c>
      <c r="F123" s="28">
        <f t="shared" ref="F123:K123" si="57">M100*$F$17</f>
        <v>0</v>
      </c>
      <c r="G123" s="28">
        <f t="shared" si="57"/>
        <v>0</v>
      </c>
      <c r="H123" s="28">
        <f t="shared" si="57"/>
        <v>0</v>
      </c>
      <c r="I123" s="28">
        <f t="shared" si="57"/>
        <v>0</v>
      </c>
      <c r="J123" s="28">
        <f t="shared" si="57"/>
        <v>0</v>
      </c>
      <c r="K123" s="28">
        <f t="shared" si="57"/>
        <v>0</v>
      </c>
    </row>
    <row r="124" spans="1:11" hidden="1" x14ac:dyDescent="0.2">
      <c r="A124" s="1266" t="str">
        <f t="shared" si="46"/>
        <v>SI + MES</v>
      </c>
      <c r="B124" s="1266"/>
      <c r="C124" s="1267"/>
      <c r="D124" s="28">
        <f>K101*$F$18</f>
        <v>0.35</v>
      </c>
      <c r="E124" s="28">
        <f>L101*$F$18</f>
        <v>0.77</v>
      </c>
      <c r="F124" s="28">
        <f t="shared" ref="F124:K124" si="58">M101*$F$18</f>
        <v>0.27999999999999997</v>
      </c>
      <c r="G124" s="28">
        <f t="shared" si="58"/>
        <v>0</v>
      </c>
      <c r="H124" s="28">
        <f t="shared" si="58"/>
        <v>0</v>
      </c>
      <c r="I124" s="28">
        <f t="shared" si="58"/>
        <v>0</v>
      </c>
      <c r="J124" s="28">
        <f t="shared" si="58"/>
        <v>0</v>
      </c>
      <c r="K124" s="28">
        <f t="shared" si="58"/>
        <v>0</v>
      </c>
    </row>
    <row r="125" spans="1:11" hidden="1" x14ac:dyDescent="0.2">
      <c r="A125" s="1266" t="str">
        <f t="shared" si="46"/>
        <v>Batiment (charpente, GCs, bureaux)</v>
      </c>
      <c r="B125" s="1266"/>
      <c r="C125" s="1267"/>
      <c r="D125" s="28">
        <f>K102*$F$19</f>
        <v>4.05</v>
      </c>
      <c r="E125" s="28">
        <f>L102*$F$19</f>
        <v>4.05</v>
      </c>
      <c r="F125" s="28">
        <f t="shared" ref="F125:K125" si="59">M102*$F$19</f>
        <v>0.9</v>
      </c>
      <c r="G125" s="28">
        <f t="shared" si="59"/>
        <v>0</v>
      </c>
      <c r="H125" s="28">
        <f t="shared" si="59"/>
        <v>0</v>
      </c>
      <c r="I125" s="28">
        <f t="shared" si="59"/>
        <v>0</v>
      </c>
      <c r="J125" s="28">
        <f t="shared" si="59"/>
        <v>0</v>
      </c>
      <c r="K125" s="28">
        <f t="shared" si="59"/>
        <v>0</v>
      </c>
    </row>
    <row r="126" spans="1:11" hidden="1" x14ac:dyDescent="0.2">
      <c r="A126" s="1266" t="str">
        <f t="shared" si="46"/>
        <v>Ponts (1 pour EB, 1 pour VAR, 2 prépa)</v>
      </c>
      <c r="B126" s="1266"/>
      <c r="C126" s="1267"/>
      <c r="D126" s="28">
        <f>K103*$F$20</f>
        <v>9.0000000000000011E-2</v>
      </c>
      <c r="E126" s="28">
        <f>L103*$F$20</f>
        <v>0.315</v>
      </c>
      <c r="F126" s="28">
        <f t="shared" ref="F126:K126" si="60">M103*$F$20</f>
        <v>4.5000000000000005E-2</v>
      </c>
      <c r="G126" s="28">
        <f t="shared" si="60"/>
        <v>0</v>
      </c>
      <c r="H126" s="28">
        <f t="shared" si="60"/>
        <v>0</v>
      </c>
      <c r="I126" s="28">
        <f t="shared" si="60"/>
        <v>0</v>
      </c>
      <c r="J126" s="28">
        <f t="shared" si="60"/>
        <v>0</v>
      </c>
      <c r="K126" s="28">
        <f t="shared" si="60"/>
        <v>0</v>
      </c>
    </row>
    <row r="127" spans="1:11" hidden="1" x14ac:dyDescent="0.2">
      <c r="A127" s="1266" t="str">
        <f t="shared" si="46"/>
        <v>Electricité et utilités</v>
      </c>
      <c r="B127" s="1266"/>
      <c r="C127" s="1267"/>
      <c r="D127" s="28">
        <f>K104*$F$21</f>
        <v>1.06</v>
      </c>
      <c r="E127" s="28">
        <f>L104*$F$21</f>
        <v>3.1799999999999997</v>
      </c>
      <c r="F127" s="28">
        <f t="shared" ref="F127:K127" si="61">M104*$F$21</f>
        <v>1.06</v>
      </c>
      <c r="G127" s="28">
        <f t="shared" si="61"/>
        <v>0</v>
      </c>
      <c r="H127" s="28">
        <f t="shared" si="61"/>
        <v>0</v>
      </c>
      <c r="I127" s="28">
        <f t="shared" si="61"/>
        <v>0</v>
      </c>
      <c r="J127" s="28">
        <f t="shared" si="61"/>
        <v>0</v>
      </c>
      <c r="K127" s="28">
        <f t="shared" si="61"/>
        <v>0</v>
      </c>
    </row>
    <row r="128" spans="1:11" hidden="1" x14ac:dyDescent="0.2">
      <c r="A128" s="1266" t="str">
        <f t="shared" si="46"/>
        <v>VRD</v>
      </c>
      <c r="B128" s="1266"/>
      <c r="C128" s="1267"/>
      <c r="D128" s="28">
        <f>K105*$F$22</f>
        <v>1.52</v>
      </c>
      <c r="E128" s="28">
        <f>L105*$F$22</f>
        <v>0.38</v>
      </c>
      <c r="F128" s="28">
        <f t="shared" ref="F128:K128" si="62">M105*$F$22</f>
        <v>0</v>
      </c>
      <c r="G128" s="28">
        <f t="shared" si="62"/>
        <v>0</v>
      </c>
      <c r="H128" s="28">
        <f t="shared" si="62"/>
        <v>0</v>
      </c>
      <c r="I128" s="28">
        <f t="shared" si="62"/>
        <v>0</v>
      </c>
      <c r="J128" s="28">
        <f t="shared" si="62"/>
        <v>0</v>
      </c>
      <c r="K128" s="28">
        <f t="shared" si="62"/>
        <v>0</v>
      </c>
    </row>
    <row r="129" spans="1:27" hidden="1" x14ac:dyDescent="0.2">
      <c r="A129" s="1266" t="str">
        <f t="shared" si="46"/>
        <v>Projet (11,5%)</v>
      </c>
      <c r="B129" s="1266"/>
      <c r="C129" s="1267"/>
      <c r="D129" s="28">
        <f>K106*$F$23</f>
        <v>2.2050000000000001</v>
      </c>
      <c r="E129" s="28">
        <f>L106*$F$23</f>
        <v>1.7150000000000001</v>
      </c>
      <c r="F129" s="28">
        <f t="shared" ref="F129:K129" si="63">M106*$F$23</f>
        <v>0.98000000000000009</v>
      </c>
      <c r="G129" s="28">
        <f t="shared" si="63"/>
        <v>0</v>
      </c>
      <c r="H129" s="28">
        <f t="shared" si="63"/>
        <v>0</v>
      </c>
      <c r="I129" s="28">
        <f t="shared" si="63"/>
        <v>0</v>
      </c>
      <c r="J129" s="28">
        <f t="shared" si="63"/>
        <v>0</v>
      </c>
      <c r="K129" s="28">
        <f t="shared" si="63"/>
        <v>0</v>
      </c>
    </row>
    <row r="130" spans="1:27" ht="13.5" hidden="1" thickBot="1" x14ac:dyDescent="0.25">
      <c r="A130" s="1266" t="str">
        <f t="shared" si="46"/>
        <v>DNR (9,5%)</v>
      </c>
      <c r="B130" s="1266"/>
      <c r="C130" s="1267"/>
      <c r="D130" s="335">
        <f>K107*$F$24</f>
        <v>1</v>
      </c>
      <c r="E130" s="335">
        <f>L107*$F$24</f>
        <v>2.2000000000000002</v>
      </c>
      <c r="F130" s="335">
        <f t="shared" ref="F130:K130" si="64">M107*$F$24</f>
        <v>0.8</v>
      </c>
      <c r="G130" s="335">
        <f t="shared" si="64"/>
        <v>0</v>
      </c>
      <c r="H130" s="335">
        <f t="shared" si="64"/>
        <v>0</v>
      </c>
      <c r="I130" s="335">
        <f t="shared" si="64"/>
        <v>0</v>
      </c>
      <c r="J130" s="335">
        <f t="shared" si="64"/>
        <v>0</v>
      </c>
      <c r="K130" s="335">
        <f t="shared" si="64"/>
        <v>0</v>
      </c>
    </row>
    <row r="131" spans="1:27" ht="13.5" hidden="1" thickBot="1" x14ac:dyDescent="0.25">
      <c r="D131" s="336">
        <f>SUM(D112:D130)</f>
        <v>15.924499999999998</v>
      </c>
      <c r="E131" s="439">
        <f>SUM(E112:E130)</f>
        <v>19.3965</v>
      </c>
      <c r="F131" s="337">
        <f t="shared" ref="F131:K131" si="65">SUM(F112:F130)</f>
        <v>16.111000000000001</v>
      </c>
      <c r="G131" s="337">
        <f t="shared" si="65"/>
        <v>2.6279999999999992</v>
      </c>
      <c r="H131" s="337">
        <f t="shared" si="65"/>
        <v>0.65</v>
      </c>
      <c r="I131" s="337">
        <f t="shared" si="65"/>
        <v>1.6900000000000002</v>
      </c>
      <c r="J131" s="337">
        <f t="shared" si="65"/>
        <v>0.26</v>
      </c>
      <c r="K131" s="338">
        <f t="shared" si="65"/>
        <v>0</v>
      </c>
    </row>
    <row r="132" spans="1:27" ht="13.5" hidden="1" thickBot="1" x14ac:dyDescent="0.25">
      <c r="L132" s="334">
        <f>SUM(D131:K131)</f>
        <v>56.66</v>
      </c>
    </row>
    <row r="136" spans="1:27" x14ac:dyDescent="0.2">
      <c r="D136" s="43"/>
      <c r="E136" s="43"/>
      <c r="F136" s="43"/>
      <c r="G136" s="43"/>
      <c r="H136" s="43"/>
      <c r="I136" s="43"/>
      <c r="J136" s="43"/>
      <c r="K136" s="43"/>
      <c r="AA136" s="36"/>
    </row>
    <row r="137" spans="1:27" x14ac:dyDescent="0.2">
      <c r="D137" s="43"/>
      <c r="E137" s="43"/>
      <c r="F137" s="43"/>
      <c r="G137" s="43"/>
      <c r="H137" s="43"/>
      <c r="I137" s="43"/>
      <c r="J137" s="43"/>
      <c r="K137" s="43"/>
      <c r="AA137" s="36"/>
    </row>
    <row r="138" spans="1:27" x14ac:dyDescent="0.2">
      <c r="D138" s="40" t="s">
        <v>349</v>
      </c>
      <c r="E138" s="40" t="s">
        <v>834</v>
      </c>
      <c r="F138" s="40" t="s">
        <v>835</v>
      </c>
      <c r="G138" s="40" t="s">
        <v>945</v>
      </c>
      <c r="H138" s="40" t="s">
        <v>946</v>
      </c>
      <c r="I138" s="40" t="s">
        <v>947</v>
      </c>
      <c r="J138" s="40" t="s">
        <v>948</v>
      </c>
      <c r="K138" s="40" t="s">
        <v>949</v>
      </c>
      <c r="L138" s="40" t="s">
        <v>846</v>
      </c>
      <c r="M138" s="40" t="s">
        <v>847</v>
      </c>
      <c r="N138" s="40" t="s">
        <v>848</v>
      </c>
      <c r="O138" s="40" t="s">
        <v>849</v>
      </c>
      <c r="P138" s="40" t="s">
        <v>509</v>
      </c>
    </row>
    <row r="139" spans="1:27" x14ac:dyDescent="0.2">
      <c r="D139" s="975">
        <v>2015</v>
      </c>
      <c r="E139" s="975">
        <v>2016</v>
      </c>
      <c r="F139" s="1102">
        <v>2017</v>
      </c>
      <c r="G139" s="1102">
        <v>2018</v>
      </c>
      <c r="H139" s="1102">
        <v>2019</v>
      </c>
      <c r="I139" s="1102">
        <v>2020</v>
      </c>
      <c r="J139" s="1102">
        <v>2021</v>
      </c>
      <c r="K139" s="1102">
        <v>2022</v>
      </c>
      <c r="L139" s="1102">
        <v>2023</v>
      </c>
      <c r="M139" s="1102">
        <v>2024</v>
      </c>
      <c r="N139" s="1102">
        <v>2025</v>
      </c>
      <c r="O139" s="1102">
        <v>2026</v>
      </c>
      <c r="P139" s="1102">
        <v>2027</v>
      </c>
    </row>
    <row r="140" spans="1:27" ht="90" x14ac:dyDescent="0.2">
      <c r="B140" s="1029" t="s">
        <v>1414</v>
      </c>
      <c r="C140" s="884" t="str">
        <f>'détails investissements'!F72</f>
        <v>janvier 2015</v>
      </c>
      <c r="D140" s="1028">
        <f>'détails investissements (2)'!D142</f>
        <v>13.512499999999999</v>
      </c>
      <c r="E140" s="1028">
        <f>'détails investissements (2)'!E142</f>
        <v>25.983999999999998</v>
      </c>
      <c r="F140" s="1028">
        <f>'détails investissements (2)'!F142</f>
        <v>13.102500000000001</v>
      </c>
      <c r="G140" s="1028">
        <f>'détails investissements (2)'!G142</f>
        <v>1.8510000000000004</v>
      </c>
      <c r="H140" s="1028">
        <f>'détails investissements (2)'!H142</f>
        <v>1.3</v>
      </c>
      <c r="I140" s="1028">
        <f>'détails investissements (2)'!I142</f>
        <v>0.78</v>
      </c>
      <c r="J140" s="1028">
        <f>'détails investissements (2)'!J142</f>
        <v>0.13</v>
      </c>
      <c r="K140" s="1028">
        <f>'détails investissements (2)'!K142</f>
        <v>0</v>
      </c>
      <c r="L140" s="1028">
        <f>'détails investissements (2)'!L142</f>
        <v>0</v>
      </c>
      <c r="M140" s="1028">
        <f>'détails investissements (2)'!M142</f>
        <v>0</v>
      </c>
      <c r="N140" s="1028">
        <f>'détails investissements (2)'!N142</f>
        <v>0</v>
      </c>
      <c r="O140" s="1028">
        <f>'détails investissements (2)'!O142</f>
        <v>0</v>
      </c>
      <c r="P140" s="1028">
        <f>'détails investissements (2)'!P142</f>
        <v>0</v>
      </c>
    </row>
    <row r="143" spans="1:27" x14ac:dyDescent="0.2">
      <c r="D143" s="1102">
        <v>2015</v>
      </c>
      <c r="E143" s="1102">
        <v>2016</v>
      </c>
      <c r="F143" s="1102">
        <v>2017</v>
      </c>
      <c r="G143" s="1102">
        <v>2018</v>
      </c>
      <c r="H143" s="1102">
        <v>2019</v>
      </c>
      <c r="I143" s="1102">
        <v>2020</v>
      </c>
      <c r="J143" s="1102">
        <v>2021</v>
      </c>
      <c r="K143" s="1102">
        <v>2022</v>
      </c>
      <c r="L143" s="1102">
        <v>2023</v>
      </c>
      <c r="M143" s="1102">
        <v>2024</v>
      </c>
      <c r="N143" s="1102">
        <v>2025</v>
      </c>
      <c r="O143" s="1102">
        <v>2026</v>
      </c>
      <c r="P143" s="1102">
        <v>2027</v>
      </c>
    </row>
    <row r="144" spans="1:27" ht="13.5" thickBot="1" x14ac:dyDescent="0.25">
      <c r="D144" s="40" t="s">
        <v>349</v>
      </c>
      <c r="E144" s="40" t="s">
        <v>834</v>
      </c>
      <c r="F144" s="40" t="s">
        <v>835</v>
      </c>
      <c r="G144" s="40" t="s">
        <v>945</v>
      </c>
      <c r="H144" s="40" t="s">
        <v>946</v>
      </c>
      <c r="I144" s="40" t="s">
        <v>947</v>
      </c>
      <c r="J144" s="40" t="s">
        <v>948</v>
      </c>
      <c r="K144" s="40" t="s">
        <v>949</v>
      </c>
    </row>
    <row r="145" spans="1:27" ht="13.5" thickBot="1" x14ac:dyDescent="0.25">
      <c r="A145" s="1266" t="s">
        <v>529</v>
      </c>
      <c r="B145" s="1266"/>
      <c r="C145" s="1267"/>
      <c r="D145" s="336">
        <f>D140</f>
        <v>13.512499999999999</v>
      </c>
      <c r="E145" s="336">
        <f>E140</f>
        <v>25.983999999999998</v>
      </c>
      <c r="F145" s="336">
        <f>F140</f>
        <v>13.102500000000001</v>
      </c>
      <c r="G145" s="336">
        <f t="shared" ref="G145:Z145" si="66">G140+E65/1000/1000</f>
        <v>1.8510000000000004</v>
      </c>
      <c r="H145" s="336">
        <f t="shared" si="66"/>
        <v>1.3</v>
      </c>
      <c r="I145" s="336">
        <f t="shared" si="66"/>
        <v>0.78</v>
      </c>
      <c r="J145" s="336">
        <f t="shared" si="66"/>
        <v>0.155</v>
      </c>
      <c r="K145" s="336">
        <f t="shared" si="66"/>
        <v>0.05</v>
      </c>
      <c r="L145" s="336">
        <f t="shared" si="66"/>
        <v>7.4999999999999997E-2</v>
      </c>
      <c r="M145" s="336">
        <f t="shared" si="66"/>
        <v>9.1666666666666674E-2</v>
      </c>
      <c r="N145" s="336">
        <f t="shared" si="66"/>
        <v>0.10833333333333334</v>
      </c>
      <c r="O145" s="336">
        <f t="shared" si="66"/>
        <v>0.12500000000000003</v>
      </c>
      <c r="P145" s="336">
        <f t="shared" si="66"/>
        <v>0.14166666666666669</v>
      </c>
      <c r="Q145" s="336">
        <f t="shared" si="66"/>
        <v>0.15833333333333335</v>
      </c>
      <c r="R145" s="336">
        <f t="shared" si="66"/>
        <v>0.2416666666666667</v>
      </c>
      <c r="S145" s="336">
        <f t="shared" si="66"/>
        <v>0.25833333333333336</v>
      </c>
      <c r="T145" s="336">
        <f t="shared" si="66"/>
        <v>0.27500000000000002</v>
      </c>
      <c r="U145" s="336">
        <f t="shared" si="66"/>
        <v>0.29166666666666669</v>
      </c>
      <c r="V145" s="336">
        <f t="shared" si="66"/>
        <v>0.28333333333333338</v>
      </c>
      <c r="W145" s="336">
        <f t="shared" si="66"/>
        <v>0.27500000000000002</v>
      </c>
      <c r="X145" s="336">
        <f t="shared" si="66"/>
        <v>0.33333333333333331</v>
      </c>
      <c r="Y145" s="336">
        <f t="shared" si="66"/>
        <v>0.33333333333333331</v>
      </c>
      <c r="Z145" s="336">
        <f t="shared" si="66"/>
        <v>0.33333333333333331</v>
      </c>
      <c r="AA145" s="574">
        <f>SUM(D145:Z145)</f>
        <v>60.059999999999995</v>
      </c>
    </row>
    <row r="146" spans="1:27" x14ac:dyDescent="0.2">
      <c r="D146" s="43"/>
      <c r="E146" s="43"/>
      <c r="F146" s="43"/>
      <c r="G146" s="43"/>
      <c r="H146" s="43"/>
      <c r="I146" s="43"/>
      <c r="J146" s="43"/>
      <c r="K146" s="43"/>
      <c r="AA146" s="36"/>
    </row>
  </sheetData>
  <mergeCells count="108">
    <mergeCell ref="G4:H4"/>
    <mergeCell ref="G5:H5"/>
    <mergeCell ref="G6:H6"/>
    <mergeCell ref="A31:C31"/>
    <mergeCell ref="G9:H9"/>
    <mergeCell ref="G19:H19"/>
    <mergeCell ref="G11:H11"/>
    <mergeCell ref="G7:H7"/>
    <mergeCell ref="G8:H8"/>
    <mergeCell ref="G10:H10"/>
    <mergeCell ref="G20:H20"/>
    <mergeCell ref="G21:H21"/>
    <mergeCell ref="G22:H22"/>
    <mergeCell ref="G23:H23"/>
    <mergeCell ref="A22:C22"/>
    <mergeCell ref="A24:C24"/>
    <mergeCell ref="A19:C19"/>
    <mergeCell ref="A21:C21"/>
    <mergeCell ref="G12:H12"/>
    <mergeCell ref="G16:H16"/>
    <mergeCell ref="G17:H17"/>
    <mergeCell ref="G13:H13"/>
    <mergeCell ref="G14:H14"/>
    <mergeCell ref="G18:H18"/>
    <mergeCell ref="G15:H15"/>
    <mergeCell ref="G24:H24"/>
    <mergeCell ref="A33:C33"/>
    <mergeCell ref="A32:C32"/>
    <mergeCell ref="A3:C3"/>
    <mergeCell ref="A6:C6"/>
    <mergeCell ref="A8:C8"/>
    <mergeCell ref="A13:C13"/>
    <mergeCell ref="A10:C10"/>
    <mergeCell ref="A5:C5"/>
    <mergeCell ref="A12:C12"/>
    <mergeCell ref="A7:C7"/>
    <mergeCell ref="A11:C11"/>
    <mergeCell ref="A9:C9"/>
    <mergeCell ref="A90:C90"/>
    <mergeCell ref="A91:C91"/>
    <mergeCell ref="A87:C87"/>
    <mergeCell ref="A88:C88"/>
    <mergeCell ref="A93:C93"/>
    <mergeCell ref="A14:C14"/>
    <mergeCell ref="A15:C15"/>
    <mergeCell ref="A20:C20"/>
    <mergeCell ref="A23:C23"/>
    <mergeCell ref="A16:C16"/>
    <mergeCell ref="A17:C17"/>
    <mergeCell ref="A18:C18"/>
    <mergeCell ref="A73:C73"/>
    <mergeCell ref="A79:C79"/>
    <mergeCell ref="A78:C78"/>
    <mergeCell ref="A35:C35"/>
    <mergeCell ref="A39:D39"/>
    <mergeCell ref="A42:D42"/>
    <mergeCell ref="A34:C34"/>
    <mergeCell ref="A36:C36"/>
    <mergeCell ref="A37:C37"/>
    <mergeCell ref="A38:C38"/>
    <mergeCell ref="A41:D41"/>
    <mergeCell ref="A44:D44"/>
    <mergeCell ref="I84:I86"/>
    <mergeCell ref="J84:J86"/>
    <mergeCell ref="A84:C86"/>
    <mergeCell ref="D84:D86"/>
    <mergeCell ref="E84:E86"/>
    <mergeCell ref="F84:F86"/>
    <mergeCell ref="G84:G86"/>
    <mergeCell ref="H84:H86"/>
    <mergeCell ref="A89:C89"/>
    <mergeCell ref="A115:C115"/>
    <mergeCell ref="A102:C102"/>
    <mergeCell ref="A103:C103"/>
    <mergeCell ref="A113:C113"/>
    <mergeCell ref="A106:C106"/>
    <mergeCell ref="A100:C100"/>
    <mergeCell ref="A101:C101"/>
    <mergeCell ref="A94:C94"/>
    <mergeCell ref="A95:C95"/>
    <mergeCell ref="A96:C96"/>
    <mergeCell ref="A97:C97"/>
    <mergeCell ref="A104:C104"/>
    <mergeCell ref="A105:C105"/>
    <mergeCell ref="A118:C118"/>
    <mergeCell ref="A119:C119"/>
    <mergeCell ref="A120:C120"/>
    <mergeCell ref="A121:C121"/>
    <mergeCell ref="A145:C145"/>
    <mergeCell ref="A117:C117"/>
    <mergeCell ref="J4:R4"/>
    <mergeCell ref="A130:C130"/>
    <mergeCell ref="A124:C124"/>
    <mergeCell ref="A125:C125"/>
    <mergeCell ref="A126:C126"/>
    <mergeCell ref="A127:C127"/>
    <mergeCell ref="A122:C122"/>
    <mergeCell ref="A123:C123"/>
    <mergeCell ref="A128:C128"/>
    <mergeCell ref="A129:C129"/>
    <mergeCell ref="A116:C116"/>
    <mergeCell ref="A111:C111"/>
    <mergeCell ref="A112:C112"/>
    <mergeCell ref="A98:C98"/>
    <mergeCell ref="A99:C99"/>
    <mergeCell ref="A107:C107"/>
    <mergeCell ref="A92:C92"/>
    <mergeCell ref="A114:C114"/>
  </mergeCells>
  <phoneticPr fontId="6" type="noConversion"/>
  <dataValidations count="1">
    <dataValidation type="list" allowBlank="1" showInputMessage="1" showErrorMessage="1" sqref="L2">
      <formula1>$AD$2:$AD$3</formula1>
    </dataValidation>
  </dataValidations>
  <pageMargins left="0.19685039370078741" right="0.19685039370078741" top="0.19685039370078741" bottom="0.19685039370078741"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3" tint="0.39997558519241921"/>
  </sheetPr>
  <dimension ref="A1:HL112"/>
  <sheetViews>
    <sheetView workbookViewId="0">
      <selection activeCell="B42" sqref="B42:AG42"/>
    </sheetView>
  </sheetViews>
  <sheetFormatPr baseColWidth="10" defaultRowHeight="12.75" x14ac:dyDescent="0.2"/>
  <cols>
    <col min="1" max="1" width="42.42578125" customWidth="1"/>
    <col min="2" max="2" width="15.5703125" customWidth="1"/>
    <col min="6" max="6" width="14.28515625" customWidth="1"/>
    <col min="7" max="7" width="12" customWidth="1"/>
    <col min="8" max="8" width="12.42578125" customWidth="1"/>
  </cols>
  <sheetData>
    <row r="1" spans="1:28" ht="26.25" x14ac:dyDescent="0.4">
      <c r="A1" s="983" t="s">
        <v>1278</v>
      </c>
    </row>
    <row r="3" spans="1:28" ht="15.75" customHeight="1" x14ac:dyDescent="0.25">
      <c r="A3" s="984" t="s">
        <v>1279</v>
      </c>
      <c r="B3" s="1299" t="s">
        <v>836</v>
      </c>
      <c r="C3" s="1299" t="s">
        <v>837</v>
      </c>
      <c r="D3" s="1299" t="s">
        <v>838</v>
      </c>
      <c r="E3" s="1299" t="s">
        <v>839</v>
      </c>
      <c r="F3" s="1308" t="s">
        <v>1181</v>
      </c>
      <c r="G3" s="1300" t="s">
        <v>840</v>
      </c>
      <c r="H3" s="1299" t="s">
        <v>841</v>
      </c>
      <c r="J3" s="1299" t="s">
        <v>1490</v>
      </c>
    </row>
    <row r="4" spans="1:28" x14ac:dyDescent="0.2">
      <c r="A4" s="31" t="s">
        <v>1280</v>
      </c>
      <c r="B4" s="1299"/>
      <c r="C4" s="1299"/>
      <c r="D4" s="1299"/>
      <c r="E4" s="1299"/>
      <c r="F4" s="1309"/>
      <c r="G4" s="1301"/>
      <c r="H4" s="1299"/>
      <c r="J4" s="1299"/>
    </row>
    <row r="5" spans="1:28" x14ac:dyDescent="0.2">
      <c r="B5" s="1307"/>
      <c r="C5" s="1307"/>
      <c r="D5" s="1307"/>
      <c r="E5" s="1307"/>
      <c r="F5" s="1310"/>
      <c r="G5" s="1302"/>
      <c r="H5" s="1299"/>
      <c r="J5" s="1299"/>
    </row>
    <row r="6" spans="1:28" ht="13.5" thickBot="1" x14ac:dyDescent="0.25">
      <c r="A6" s="99" t="s">
        <v>1281</v>
      </c>
      <c r="B6" s="985" t="s">
        <v>1282</v>
      </c>
      <c r="C6" s="985" t="s">
        <v>1283</v>
      </c>
      <c r="D6" s="985" t="s">
        <v>1284</v>
      </c>
      <c r="E6" s="985" t="s">
        <v>1285</v>
      </c>
      <c r="F6" s="986" t="s">
        <v>1286</v>
      </c>
      <c r="G6" s="987" t="s">
        <v>1287</v>
      </c>
      <c r="H6" s="988" t="s">
        <v>1288</v>
      </c>
      <c r="I6" s="989"/>
      <c r="J6" s="989"/>
      <c r="K6" s="989"/>
      <c r="L6" s="989"/>
      <c r="M6" s="989"/>
      <c r="N6" s="989"/>
      <c r="O6" s="989"/>
      <c r="P6" s="989"/>
      <c r="Q6" s="989"/>
      <c r="R6" s="989"/>
      <c r="S6" s="989"/>
      <c r="U6" s="990" t="s">
        <v>1282</v>
      </c>
      <c r="V6" s="990" t="s">
        <v>1283</v>
      </c>
      <c r="W6" s="990" t="s">
        <v>1284</v>
      </c>
      <c r="X6" s="990" t="s">
        <v>1285</v>
      </c>
      <c r="Y6" s="991" t="s">
        <v>1286</v>
      </c>
      <c r="Z6" s="992" t="s">
        <v>1287</v>
      </c>
      <c r="AA6" s="993" t="s">
        <v>1288</v>
      </c>
      <c r="AB6" s="993"/>
    </row>
    <row r="7" spans="1:28" x14ac:dyDescent="0.2">
      <c r="A7" s="24" t="s">
        <v>1122</v>
      </c>
      <c r="B7" s="1087">
        <v>0.15</v>
      </c>
      <c r="C7" s="1088">
        <v>0.1</v>
      </c>
      <c r="D7" s="1088">
        <v>0.2</v>
      </c>
      <c r="E7" s="1088">
        <v>0.2</v>
      </c>
      <c r="F7" s="1089">
        <v>0.2</v>
      </c>
      <c r="G7" s="1089">
        <v>0.1</v>
      </c>
      <c r="H7" s="1090">
        <v>0.05</v>
      </c>
      <c r="I7" s="994"/>
      <c r="J7" s="1185">
        <f>SUM(B7:F7)</f>
        <v>0.85000000000000009</v>
      </c>
      <c r="K7" s="994"/>
      <c r="L7" s="994"/>
      <c r="M7" s="994"/>
      <c r="N7" s="994"/>
      <c r="O7" s="994"/>
      <c r="P7" s="994"/>
      <c r="Q7" s="994"/>
      <c r="R7" s="994"/>
      <c r="S7" s="994"/>
      <c r="U7" s="995">
        <v>1</v>
      </c>
      <c r="V7" s="995">
        <v>2</v>
      </c>
      <c r="W7" s="995">
        <v>3</v>
      </c>
      <c r="X7" s="995">
        <v>4</v>
      </c>
      <c r="Y7" s="995">
        <v>5</v>
      </c>
      <c r="Z7" s="995">
        <v>6</v>
      </c>
      <c r="AA7" s="995">
        <v>7</v>
      </c>
      <c r="AB7" s="995"/>
    </row>
    <row r="8" spans="1:28" x14ac:dyDescent="0.2">
      <c r="A8" s="24" t="s">
        <v>236</v>
      </c>
      <c r="B8" s="1091">
        <v>0.15</v>
      </c>
      <c r="C8" s="1085">
        <v>0.05</v>
      </c>
      <c r="D8" s="1085">
        <v>0.15</v>
      </c>
      <c r="E8" s="1085">
        <v>0.2</v>
      </c>
      <c r="F8" s="1086">
        <v>0.25</v>
      </c>
      <c r="G8" s="1086">
        <v>0.15</v>
      </c>
      <c r="H8" s="1092">
        <v>0.05</v>
      </c>
      <c r="I8" s="994"/>
      <c r="J8" s="1185">
        <f t="shared" ref="J8:J21" si="0">SUM(B8:F8)</f>
        <v>0.8</v>
      </c>
      <c r="K8" s="994"/>
      <c r="L8" s="994"/>
      <c r="M8" s="994"/>
      <c r="N8" s="994"/>
      <c r="O8" s="994"/>
      <c r="P8" s="994"/>
      <c r="Q8" s="994"/>
      <c r="R8" s="994"/>
      <c r="S8" s="994"/>
    </row>
    <row r="9" spans="1:28" x14ac:dyDescent="0.2">
      <c r="A9" s="24" t="s">
        <v>845</v>
      </c>
      <c r="B9" s="1091">
        <v>0.15</v>
      </c>
      <c r="C9" s="1085">
        <v>0.1</v>
      </c>
      <c r="D9" s="1085">
        <v>0.2</v>
      </c>
      <c r="E9" s="1085">
        <v>0.2</v>
      </c>
      <c r="F9" s="1086">
        <v>0.2</v>
      </c>
      <c r="G9" s="1086">
        <v>0.1</v>
      </c>
      <c r="H9" s="1092">
        <v>0.05</v>
      </c>
      <c r="J9" s="1185">
        <f t="shared" si="0"/>
        <v>0.85000000000000009</v>
      </c>
    </row>
    <row r="10" spans="1:28" x14ac:dyDescent="0.2">
      <c r="A10" s="24" t="s">
        <v>844</v>
      </c>
      <c r="B10" s="1091">
        <v>0.15</v>
      </c>
      <c r="C10" s="1085">
        <v>0.1</v>
      </c>
      <c r="D10" s="1085">
        <v>0.2</v>
      </c>
      <c r="E10" s="1085">
        <v>0.2</v>
      </c>
      <c r="F10" s="1086">
        <v>0.2</v>
      </c>
      <c r="G10" s="1086">
        <v>0.1</v>
      </c>
      <c r="H10" s="1092">
        <v>0.05</v>
      </c>
      <c r="J10" s="1185">
        <f t="shared" si="0"/>
        <v>0.85000000000000009</v>
      </c>
    </row>
    <row r="11" spans="1:28" x14ac:dyDescent="0.2">
      <c r="A11" s="24" t="s">
        <v>237</v>
      </c>
      <c r="B11" s="1091">
        <v>0.15</v>
      </c>
      <c r="C11" s="1085">
        <v>0.05</v>
      </c>
      <c r="D11" s="1085">
        <v>0.15</v>
      </c>
      <c r="E11" s="1085">
        <v>0.2</v>
      </c>
      <c r="F11" s="1086">
        <v>0.25</v>
      </c>
      <c r="G11" s="1086">
        <v>0.15</v>
      </c>
      <c r="H11" s="1092">
        <v>0.05</v>
      </c>
      <c r="J11" s="1185">
        <f t="shared" si="0"/>
        <v>0.8</v>
      </c>
    </row>
    <row r="12" spans="1:28" x14ac:dyDescent="0.2">
      <c r="A12" s="24" t="s">
        <v>913</v>
      </c>
      <c r="B12" s="1091">
        <v>0.15</v>
      </c>
      <c r="C12" s="1085">
        <v>0.05</v>
      </c>
      <c r="D12" s="1085">
        <v>0.15</v>
      </c>
      <c r="E12" s="1085">
        <v>0.2</v>
      </c>
      <c r="F12" s="1086">
        <v>0.25</v>
      </c>
      <c r="G12" s="1086">
        <v>0.15</v>
      </c>
      <c r="H12" s="1092">
        <v>0.05</v>
      </c>
      <c r="J12" s="1185">
        <f t="shared" si="0"/>
        <v>0.8</v>
      </c>
    </row>
    <row r="13" spans="1:28" x14ac:dyDescent="0.2">
      <c r="A13" s="24" t="s">
        <v>380</v>
      </c>
      <c r="B13" s="1091">
        <v>0.15</v>
      </c>
      <c r="C13" s="1085">
        <v>0.05</v>
      </c>
      <c r="D13" s="1085">
        <v>0.15</v>
      </c>
      <c r="E13" s="1085">
        <v>0.2</v>
      </c>
      <c r="F13" s="1086">
        <v>0.25</v>
      </c>
      <c r="G13" s="1086">
        <v>0.15</v>
      </c>
      <c r="H13" s="1092">
        <v>0.05</v>
      </c>
      <c r="J13" s="1185">
        <f t="shared" si="0"/>
        <v>0.8</v>
      </c>
    </row>
    <row r="14" spans="1:28" x14ac:dyDescent="0.2">
      <c r="A14" s="24" t="s">
        <v>1289</v>
      </c>
      <c r="B14" s="1091">
        <v>0.15</v>
      </c>
      <c r="C14" s="1085">
        <v>0.1</v>
      </c>
      <c r="D14" s="1085">
        <v>0.2</v>
      </c>
      <c r="E14" s="1085">
        <v>0.15</v>
      </c>
      <c r="F14" s="1086">
        <v>0.2</v>
      </c>
      <c r="G14" s="1086">
        <v>0.15</v>
      </c>
      <c r="H14" s="1092">
        <v>0.05</v>
      </c>
      <c r="J14" s="1185">
        <f t="shared" si="0"/>
        <v>0.8</v>
      </c>
    </row>
    <row r="15" spans="1:28" x14ac:dyDescent="0.2">
      <c r="A15" s="24" t="s">
        <v>1179</v>
      </c>
      <c r="B15" s="1091">
        <v>0.15</v>
      </c>
      <c r="C15" s="1085">
        <v>0.05</v>
      </c>
      <c r="D15" s="1085">
        <v>0.15</v>
      </c>
      <c r="E15" s="1085">
        <v>0.2</v>
      </c>
      <c r="F15" s="1086">
        <v>0.25</v>
      </c>
      <c r="G15" s="1086">
        <v>0.15</v>
      </c>
      <c r="H15" s="1092">
        <v>0.05</v>
      </c>
      <c r="J15" s="1185">
        <f t="shared" si="0"/>
        <v>0.8</v>
      </c>
    </row>
    <row r="16" spans="1:28" x14ac:dyDescent="0.2">
      <c r="A16" s="24" t="s">
        <v>1290</v>
      </c>
      <c r="B16" s="1097">
        <v>1</v>
      </c>
      <c r="C16" s="1096"/>
      <c r="D16" s="1096"/>
      <c r="E16" s="1096"/>
      <c r="F16" s="1086"/>
      <c r="G16" s="1086"/>
      <c r="H16" s="1092"/>
      <c r="J16" s="1185">
        <f t="shared" si="0"/>
        <v>1</v>
      </c>
    </row>
    <row r="17" spans="1:220" x14ac:dyDescent="0.2">
      <c r="A17" s="24" t="s">
        <v>239</v>
      </c>
      <c r="B17" s="1091">
        <v>0.15</v>
      </c>
      <c r="C17" s="1085">
        <v>0.1</v>
      </c>
      <c r="D17" s="1085">
        <v>0.2</v>
      </c>
      <c r="E17" s="1085">
        <v>0.2</v>
      </c>
      <c r="F17" s="1086">
        <v>0.2</v>
      </c>
      <c r="G17" s="1086">
        <v>0.1</v>
      </c>
      <c r="H17" s="1092">
        <v>0.05</v>
      </c>
      <c r="J17" s="1185">
        <f t="shared" si="0"/>
        <v>0.85000000000000009</v>
      </c>
    </row>
    <row r="18" spans="1:220" x14ac:dyDescent="0.2">
      <c r="A18" s="24" t="s">
        <v>880</v>
      </c>
      <c r="B18" s="1097">
        <v>0.1</v>
      </c>
      <c r="C18" s="1096">
        <v>0.05</v>
      </c>
      <c r="D18" s="1096">
        <v>0</v>
      </c>
      <c r="E18" s="1096">
        <v>0.2</v>
      </c>
      <c r="F18" s="1086">
        <v>0.25</v>
      </c>
      <c r="G18" s="1086">
        <v>0.3</v>
      </c>
      <c r="H18" s="1092">
        <v>0.1</v>
      </c>
      <c r="J18" s="1185">
        <f t="shared" si="0"/>
        <v>0.60000000000000009</v>
      </c>
    </row>
    <row r="19" spans="1:220" x14ac:dyDescent="0.2">
      <c r="A19" s="24" t="s">
        <v>636</v>
      </c>
      <c r="B19" s="1091">
        <v>0.15</v>
      </c>
      <c r="C19" s="1085">
        <v>0.05</v>
      </c>
      <c r="D19" s="1085">
        <v>0.15</v>
      </c>
      <c r="E19" s="1085">
        <v>0.2</v>
      </c>
      <c r="F19" s="1086">
        <v>0.25</v>
      </c>
      <c r="G19" s="1086">
        <v>0.15</v>
      </c>
      <c r="H19" s="1092">
        <v>0.05</v>
      </c>
      <c r="J19" s="1185">
        <f t="shared" si="0"/>
        <v>0.8</v>
      </c>
    </row>
    <row r="20" spans="1:220" x14ac:dyDescent="0.2">
      <c r="A20" s="24" t="s">
        <v>1291</v>
      </c>
      <c r="B20" s="1091">
        <v>0.15</v>
      </c>
      <c r="C20" s="1085">
        <v>0.05</v>
      </c>
      <c r="D20" s="1085">
        <v>0.15</v>
      </c>
      <c r="E20" s="1085">
        <v>0.2</v>
      </c>
      <c r="F20" s="1086">
        <v>0.25</v>
      </c>
      <c r="G20" s="1086">
        <v>0.15</v>
      </c>
      <c r="H20" s="1092">
        <v>0.05</v>
      </c>
      <c r="J20" s="1185">
        <f t="shared" si="0"/>
        <v>0.8</v>
      </c>
    </row>
    <row r="21" spans="1:220" ht="13.5" thickBot="1" x14ac:dyDescent="0.25">
      <c r="A21" s="24" t="s">
        <v>1292</v>
      </c>
      <c r="B21" s="1093">
        <v>0.15</v>
      </c>
      <c r="C21" s="1094">
        <v>0.1</v>
      </c>
      <c r="D21" s="1094">
        <v>0.2</v>
      </c>
      <c r="E21" s="1094">
        <v>0.2</v>
      </c>
      <c r="F21" s="1100">
        <v>0.2</v>
      </c>
      <c r="G21" s="1100">
        <v>0.1</v>
      </c>
      <c r="H21" s="1095">
        <v>0.05</v>
      </c>
      <c r="J21" s="1185">
        <f t="shared" si="0"/>
        <v>0.85000000000000009</v>
      </c>
    </row>
    <row r="24" spans="1:220" ht="15.75" x14ac:dyDescent="0.25">
      <c r="A24" s="984" t="s">
        <v>1293</v>
      </c>
    </row>
    <row r="25" spans="1:220" ht="13.5" thickBot="1" x14ac:dyDescent="0.25">
      <c r="A25" s="85" t="s">
        <v>1294</v>
      </c>
      <c r="B25" s="988">
        <v>1</v>
      </c>
      <c r="C25" s="988">
        <v>2</v>
      </c>
      <c r="D25" s="988">
        <v>3</v>
      </c>
      <c r="E25" s="988">
        <v>4</v>
      </c>
      <c r="F25" s="986">
        <v>5</v>
      </c>
      <c r="G25" s="987">
        <v>6</v>
      </c>
      <c r="H25" s="987">
        <v>7</v>
      </c>
      <c r="I25" s="996">
        <v>8</v>
      </c>
      <c r="J25" s="996">
        <v>9</v>
      </c>
      <c r="K25" s="996">
        <v>10</v>
      </c>
      <c r="L25" s="996">
        <v>11</v>
      </c>
      <c r="M25" s="996">
        <v>12</v>
      </c>
      <c r="N25" s="996">
        <v>13</v>
      </c>
      <c r="O25" s="996">
        <v>14</v>
      </c>
      <c r="P25" s="996">
        <v>15</v>
      </c>
      <c r="Q25" s="996">
        <v>16</v>
      </c>
      <c r="R25" s="996">
        <v>17</v>
      </c>
      <c r="S25" s="996">
        <v>18</v>
      </c>
      <c r="T25" s="996">
        <v>19</v>
      </c>
      <c r="U25" s="996">
        <v>20</v>
      </c>
      <c r="V25" s="996">
        <v>21</v>
      </c>
      <c r="W25" s="996">
        <v>22</v>
      </c>
      <c r="X25" s="996">
        <v>23</v>
      </c>
      <c r="Y25" s="996">
        <v>24</v>
      </c>
      <c r="Z25" s="996">
        <v>25</v>
      </c>
      <c r="AA25" s="996">
        <v>26</v>
      </c>
      <c r="AB25" s="996">
        <v>27</v>
      </c>
      <c r="AC25" s="996">
        <v>28</v>
      </c>
      <c r="AD25" s="996">
        <v>29</v>
      </c>
      <c r="AE25" s="996">
        <v>30</v>
      </c>
      <c r="AF25" s="996">
        <v>31</v>
      </c>
      <c r="AG25" s="996">
        <v>32</v>
      </c>
      <c r="AH25" s="996">
        <v>33</v>
      </c>
      <c r="AI25" s="996">
        <v>34</v>
      </c>
      <c r="AJ25" s="996">
        <v>35</v>
      </c>
      <c r="AK25" s="996">
        <v>36</v>
      </c>
      <c r="AL25" s="996">
        <v>37</v>
      </c>
      <c r="AM25" s="996">
        <v>38</v>
      </c>
      <c r="AN25" s="996">
        <v>39</v>
      </c>
      <c r="AO25" s="996">
        <v>40</v>
      </c>
      <c r="AP25" s="996">
        <v>41</v>
      </c>
      <c r="AQ25" s="996">
        <v>42</v>
      </c>
      <c r="AR25" s="996">
        <v>43</v>
      </c>
      <c r="AS25" s="996">
        <v>44</v>
      </c>
      <c r="AT25" s="996">
        <v>45</v>
      </c>
      <c r="AU25" s="996">
        <v>46</v>
      </c>
      <c r="AV25" s="996">
        <v>47</v>
      </c>
      <c r="AW25" s="996">
        <v>48</v>
      </c>
      <c r="AX25" s="996">
        <v>49</v>
      </c>
      <c r="AY25" s="996">
        <v>50</v>
      </c>
      <c r="AZ25" s="996">
        <v>51</v>
      </c>
      <c r="BA25" s="996">
        <v>52</v>
      </c>
      <c r="BB25" s="996">
        <v>53</v>
      </c>
      <c r="BC25" s="996">
        <v>54</v>
      </c>
      <c r="BD25" s="996">
        <v>55</v>
      </c>
      <c r="BE25" s="996">
        <v>56</v>
      </c>
      <c r="BF25" s="996">
        <v>57</v>
      </c>
      <c r="BG25" s="996">
        <v>58</v>
      </c>
      <c r="BH25" s="996">
        <v>59</v>
      </c>
      <c r="BI25" s="996">
        <v>60</v>
      </c>
      <c r="BJ25" s="996">
        <v>61</v>
      </c>
      <c r="BK25" s="996">
        <v>62</v>
      </c>
      <c r="BL25" s="996">
        <v>63</v>
      </c>
      <c r="BM25" s="996">
        <v>64</v>
      </c>
      <c r="BN25" s="996">
        <v>65</v>
      </c>
      <c r="BO25" s="996">
        <v>66</v>
      </c>
      <c r="BP25" s="996">
        <v>67</v>
      </c>
      <c r="BQ25" s="996">
        <v>68</v>
      </c>
      <c r="BR25" s="996">
        <v>69</v>
      </c>
      <c r="BS25" s="996">
        <v>70</v>
      </c>
      <c r="BT25" s="996">
        <v>71</v>
      </c>
      <c r="BU25" s="996">
        <v>72</v>
      </c>
      <c r="BV25" s="996">
        <v>73</v>
      </c>
      <c r="BW25" s="996">
        <v>74</v>
      </c>
      <c r="BX25" s="996">
        <v>75</v>
      </c>
      <c r="BY25" s="996">
        <v>76</v>
      </c>
      <c r="BZ25" s="996">
        <v>77</v>
      </c>
      <c r="CA25" s="996">
        <v>78</v>
      </c>
      <c r="CB25" s="996">
        <v>79</v>
      </c>
      <c r="CC25" s="996">
        <v>80</v>
      </c>
      <c r="CD25" s="996">
        <v>81</v>
      </c>
      <c r="CE25" s="996">
        <v>82</v>
      </c>
      <c r="CF25" s="996">
        <v>83</v>
      </c>
      <c r="CG25" s="996">
        <v>84</v>
      </c>
      <c r="CH25" s="996">
        <v>85</v>
      </c>
      <c r="CI25" s="996">
        <v>86</v>
      </c>
      <c r="CJ25" s="996">
        <v>87</v>
      </c>
      <c r="CK25" s="996">
        <v>88</v>
      </c>
      <c r="CL25" s="996">
        <v>89</v>
      </c>
      <c r="CM25" s="996">
        <v>90</v>
      </c>
      <c r="CN25" s="996">
        <v>91</v>
      </c>
      <c r="CO25" s="996">
        <v>92</v>
      </c>
      <c r="CP25" s="996">
        <v>93</v>
      </c>
      <c r="CQ25" s="996">
        <v>94</v>
      </c>
      <c r="CR25" s="996">
        <v>95</v>
      </c>
      <c r="CS25" s="996">
        <v>96</v>
      </c>
      <c r="CT25" s="996">
        <v>97</v>
      </c>
      <c r="CU25" s="996">
        <v>98</v>
      </c>
      <c r="CV25" s="996">
        <v>99</v>
      </c>
      <c r="CW25" s="996">
        <v>100</v>
      </c>
      <c r="CX25" s="996">
        <v>101</v>
      </c>
      <c r="CY25" s="996">
        <v>102</v>
      </c>
      <c r="CZ25" s="996">
        <v>103</v>
      </c>
      <c r="DA25" s="996">
        <v>104</v>
      </c>
      <c r="DB25" s="996">
        <v>105</v>
      </c>
      <c r="DC25" s="996">
        <v>106</v>
      </c>
      <c r="DD25" s="996">
        <v>107</v>
      </c>
      <c r="DE25" s="996">
        <v>108</v>
      </c>
      <c r="DH25" s="988">
        <v>1</v>
      </c>
      <c r="DI25" s="988">
        <v>2</v>
      </c>
      <c r="DJ25" s="988">
        <v>3</v>
      </c>
      <c r="DK25" s="988">
        <v>4</v>
      </c>
      <c r="DL25" s="1177">
        <v>5</v>
      </c>
      <c r="DM25" s="1178">
        <v>6</v>
      </c>
      <c r="DN25" s="1178">
        <v>7</v>
      </c>
      <c r="DO25" s="996">
        <v>8</v>
      </c>
      <c r="DP25" s="996">
        <v>9</v>
      </c>
      <c r="DQ25" s="996">
        <v>10</v>
      </c>
      <c r="DR25" s="996">
        <v>11</v>
      </c>
      <c r="DS25" s="996">
        <v>12</v>
      </c>
      <c r="DT25" s="996">
        <v>13</v>
      </c>
      <c r="DU25" s="996">
        <v>14</v>
      </c>
      <c r="DV25" s="996">
        <v>15</v>
      </c>
      <c r="DW25" s="996">
        <v>16</v>
      </c>
      <c r="DX25" s="996">
        <v>17</v>
      </c>
      <c r="DY25" s="996">
        <v>18</v>
      </c>
      <c r="DZ25" s="996">
        <v>19</v>
      </c>
      <c r="EA25" s="996">
        <v>20</v>
      </c>
      <c r="EB25" s="996">
        <v>21</v>
      </c>
      <c r="EC25" s="996">
        <v>22</v>
      </c>
      <c r="ED25" s="996">
        <v>23</v>
      </c>
      <c r="EE25" s="996">
        <v>24</v>
      </c>
      <c r="EF25" s="996">
        <v>25</v>
      </c>
      <c r="EG25" s="996">
        <v>26</v>
      </c>
      <c r="EH25" s="996">
        <v>27</v>
      </c>
      <c r="EI25" s="996">
        <v>28</v>
      </c>
      <c r="EJ25" s="996">
        <v>29</v>
      </c>
      <c r="EK25" s="996">
        <v>30</v>
      </c>
      <c r="EL25" s="996">
        <v>31</v>
      </c>
      <c r="EM25" s="996">
        <v>32</v>
      </c>
      <c r="EN25" s="996">
        <v>33</v>
      </c>
      <c r="EO25" s="996">
        <v>34</v>
      </c>
      <c r="EP25" s="996">
        <v>35</v>
      </c>
      <c r="EQ25" s="996">
        <v>36</v>
      </c>
      <c r="ER25" s="996">
        <v>37</v>
      </c>
      <c r="ES25" s="996">
        <v>38</v>
      </c>
      <c r="ET25" s="996">
        <v>39</v>
      </c>
      <c r="EU25" s="996">
        <v>40</v>
      </c>
      <c r="EV25" s="996">
        <v>41</v>
      </c>
      <c r="EW25" s="996">
        <v>42</v>
      </c>
      <c r="EX25" s="996">
        <v>43</v>
      </c>
      <c r="EY25" s="996">
        <v>44</v>
      </c>
      <c r="EZ25" s="996">
        <v>45</v>
      </c>
      <c r="FA25" s="996">
        <v>46</v>
      </c>
      <c r="FB25" s="996">
        <v>47</v>
      </c>
      <c r="FC25" s="996">
        <v>48</v>
      </c>
      <c r="FD25" s="996">
        <v>49</v>
      </c>
      <c r="FE25" s="996">
        <v>50</v>
      </c>
      <c r="FF25" s="996">
        <v>51</v>
      </c>
      <c r="FG25" s="996">
        <v>52</v>
      </c>
      <c r="FH25" s="996">
        <v>53</v>
      </c>
      <c r="FI25" s="996">
        <v>54</v>
      </c>
      <c r="FJ25" s="996">
        <v>55</v>
      </c>
      <c r="FK25" s="996">
        <v>56</v>
      </c>
      <c r="FL25" s="996">
        <v>57</v>
      </c>
      <c r="FM25" s="996">
        <v>58</v>
      </c>
      <c r="FN25" s="996">
        <v>59</v>
      </c>
      <c r="FO25" s="996">
        <v>60</v>
      </c>
      <c r="FP25" s="996">
        <v>61</v>
      </c>
      <c r="FQ25" s="996">
        <v>62</v>
      </c>
      <c r="FR25" s="996">
        <v>63</v>
      </c>
      <c r="FS25" s="996">
        <v>64</v>
      </c>
      <c r="FT25" s="996">
        <v>65</v>
      </c>
      <c r="FU25" s="996">
        <v>66</v>
      </c>
      <c r="FV25" s="996">
        <v>67</v>
      </c>
      <c r="FW25" s="996">
        <v>68</v>
      </c>
      <c r="FX25" s="996">
        <v>69</v>
      </c>
      <c r="FY25" s="996">
        <v>70</v>
      </c>
      <c r="FZ25" s="996">
        <v>71</v>
      </c>
      <c r="GA25" s="996">
        <v>72</v>
      </c>
      <c r="GB25" s="996">
        <v>73</v>
      </c>
      <c r="GC25" s="996">
        <v>74</v>
      </c>
      <c r="GD25" s="996">
        <v>75</v>
      </c>
      <c r="GE25" s="996">
        <v>76</v>
      </c>
      <c r="GF25" s="996">
        <v>77</v>
      </c>
      <c r="GG25" s="996">
        <v>78</v>
      </c>
      <c r="GH25" s="996">
        <v>79</v>
      </c>
      <c r="GI25" s="996">
        <v>80</v>
      </c>
      <c r="GJ25" s="996">
        <v>81</v>
      </c>
      <c r="GK25" s="996">
        <v>82</v>
      </c>
      <c r="GL25" s="996">
        <v>83</v>
      </c>
      <c r="GM25" s="996">
        <v>84</v>
      </c>
      <c r="GN25" s="996">
        <v>85</v>
      </c>
      <c r="GO25" s="996">
        <v>86</v>
      </c>
      <c r="GP25" s="996">
        <v>87</v>
      </c>
      <c r="GQ25" s="996">
        <v>88</v>
      </c>
      <c r="GR25" s="996">
        <v>89</v>
      </c>
      <c r="GS25" s="996">
        <v>90</v>
      </c>
      <c r="GT25" s="996">
        <v>91</v>
      </c>
      <c r="GU25" s="996">
        <v>92</v>
      </c>
      <c r="GV25" s="996">
        <v>93</v>
      </c>
      <c r="GW25" s="996">
        <v>94</v>
      </c>
      <c r="GX25" s="996">
        <v>95</v>
      </c>
      <c r="GY25" s="996">
        <v>96</v>
      </c>
      <c r="GZ25" s="996">
        <v>97</v>
      </c>
      <c r="HA25" s="996">
        <v>98</v>
      </c>
      <c r="HB25" s="996">
        <v>99</v>
      </c>
      <c r="HC25" s="996">
        <v>100</v>
      </c>
      <c r="HD25" s="996">
        <v>101</v>
      </c>
      <c r="HE25" s="996">
        <v>102</v>
      </c>
      <c r="HF25" s="996">
        <v>103</v>
      </c>
      <c r="HG25" s="996">
        <v>104</v>
      </c>
      <c r="HH25" s="996">
        <v>105</v>
      </c>
      <c r="HI25" s="996">
        <v>106</v>
      </c>
      <c r="HJ25" s="996">
        <v>107</v>
      </c>
      <c r="HK25" s="996">
        <v>108</v>
      </c>
      <c r="HL25" s="137" t="s">
        <v>1485</v>
      </c>
    </row>
    <row r="26" spans="1:220" s="998" customFormat="1" x14ac:dyDescent="0.2">
      <c r="A26" s="997" t="str">
        <f>A7</f>
        <v>Four PAMCHR :</v>
      </c>
      <c r="B26" s="1141" t="s">
        <v>1282</v>
      </c>
      <c r="C26" s="1142"/>
      <c r="D26" s="1142" t="s">
        <v>1283</v>
      </c>
      <c r="E26" s="1142"/>
      <c r="F26" s="1142"/>
      <c r="G26" s="1142"/>
      <c r="H26" s="1142"/>
      <c r="I26" s="1142"/>
      <c r="J26" s="1142"/>
      <c r="K26" s="1142"/>
      <c r="L26" s="1142"/>
      <c r="M26" s="1142"/>
      <c r="N26" s="1142"/>
      <c r="O26" s="1142" t="s">
        <v>1284</v>
      </c>
      <c r="P26" s="1142"/>
      <c r="Q26" s="1142"/>
      <c r="R26" s="1142"/>
      <c r="S26" s="1142" t="s">
        <v>1285</v>
      </c>
      <c r="T26" s="1142"/>
      <c r="U26" s="1142"/>
      <c r="V26" s="1142"/>
      <c r="W26" s="1142"/>
      <c r="X26" s="1142"/>
      <c r="Y26" s="1142"/>
      <c r="Z26" s="1142"/>
      <c r="AA26" s="1142" t="s">
        <v>1286</v>
      </c>
      <c r="AB26" s="1142"/>
      <c r="AC26" s="1142"/>
      <c r="AD26" s="1142" t="s">
        <v>1287</v>
      </c>
      <c r="AE26" s="1142"/>
      <c r="AF26" s="1142"/>
      <c r="AG26" s="1142"/>
      <c r="AH26" s="1142"/>
      <c r="AI26" s="1142"/>
      <c r="AJ26" s="1142"/>
      <c r="AK26" s="1142"/>
      <c r="AL26" s="1142"/>
      <c r="AM26" s="1142"/>
      <c r="AN26" s="1142"/>
      <c r="AO26" s="1142"/>
      <c r="AP26" s="1142" t="s">
        <v>1288</v>
      </c>
      <c r="AQ26" s="1142"/>
      <c r="AR26" s="1142"/>
      <c r="AS26" s="1142"/>
      <c r="AT26" s="1142"/>
      <c r="AU26" s="1142"/>
      <c r="AV26" s="1142"/>
      <c r="AW26" s="1142"/>
      <c r="AX26" s="1143"/>
      <c r="AY26" s="1143"/>
      <c r="AZ26" s="1143"/>
      <c r="BA26" s="1143"/>
      <c r="BB26" s="1143"/>
      <c r="BC26" s="1143"/>
      <c r="BD26" s="1143"/>
      <c r="BE26" s="1143"/>
      <c r="BF26" s="1143"/>
      <c r="BG26" s="1143"/>
      <c r="BH26" s="1143"/>
      <c r="BI26" s="1143"/>
      <c r="BJ26" s="1143"/>
      <c r="BK26" s="1143"/>
      <c r="BL26" s="1143"/>
      <c r="BM26" s="1143"/>
      <c r="BN26" s="1143"/>
      <c r="BO26" s="1143"/>
      <c r="BP26" s="1143"/>
      <c r="BQ26" s="1143"/>
      <c r="BR26" s="1143"/>
      <c r="BS26" s="1143"/>
      <c r="BT26" s="1143"/>
      <c r="BU26" s="1143"/>
      <c r="BV26" s="1143"/>
      <c r="BW26" s="1143"/>
      <c r="BX26" s="1143"/>
      <c r="BY26" s="1143"/>
      <c r="BZ26" s="1143"/>
      <c r="CA26" s="1143"/>
      <c r="CB26" s="1143"/>
      <c r="CC26" s="1143"/>
      <c r="CD26" s="1143"/>
      <c r="CE26" s="1143"/>
      <c r="CF26" s="1143"/>
      <c r="CG26" s="1143"/>
      <c r="CH26" s="1143"/>
      <c r="CI26" s="1143"/>
      <c r="CJ26" s="1143"/>
      <c r="CK26" s="1143"/>
      <c r="CL26" s="1143"/>
      <c r="CM26" s="1143"/>
      <c r="CN26" s="1143"/>
      <c r="CO26" s="1143"/>
      <c r="CP26" s="1143"/>
      <c r="CQ26" s="1143"/>
      <c r="CR26" s="1143"/>
      <c r="CS26" s="1143"/>
      <c r="CT26" s="1143"/>
      <c r="CU26" s="1143"/>
      <c r="CV26" s="1143"/>
      <c r="CW26" s="1143"/>
      <c r="CX26" s="1143"/>
      <c r="CY26" s="1143"/>
      <c r="CZ26" s="1143"/>
      <c r="DA26" s="1143"/>
      <c r="DB26" s="1143"/>
      <c r="DC26" s="1143"/>
      <c r="DD26" s="1143"/>
      <c r="DE26" s="1144"/>
      <c r="DH26" s="1141">
        <f>IF(B26="E",DH$25,0)</f>
        <v>0</v>
      </c>
      <c r="DI26" s="1142">
        <f t="shared" ref="DI26:DP40" si="1">IF(C26="E",DI$25,0)</f>
        <v>0</v>
      </c>
      <c r="DJ26" s="1142">
        <f t="shared" si="1"/>
        <v>0</v>
      </c>
      <c r="DK26" s="1142">
        <f t="shared" si="1"/>
        <v>0</v>
      </c>
      <c r="DL26" s="1142">
        <f t="shared" si="1"/>
        <v>0</v>
      </c>
      <c r="DM26" s="1142">
        <f t="shared" si="1"/>
        <v>0</v>
      </c>
      <c r="DN26" s="1142">
        <f t="shared" si="1"/>
        <v>0</v>
      </c>
      <c r="DO26" s="1142">
        <f t="shared" si="1"/>
        <v>0</v>
      </c>
      <c r="DP26" s="1142">
        <f>IF(J26="E",DP$25,0)</f>
        <v>0</v>
      </c>
      <c r="DQ26" s="1142">
        <f t="shared" ref="DQ26:DQ40" si="2">IF(K26="E",DQ$25,0)</f>
        <v>0</v>
      </c>
      <c r="DR26" s="1142">
        <f t="shared" ref="DR26:DR40" si="3">IF(L26="E",DR$25,0)</f>
        <v>0</v>
      </c>
      <c r="DS26" s="1142">
        <f t="shared" ref="DS26:DS40" si="4">IF(M26="E",DS$25,0)</f>
        <v>0</v>
      </c>
      <c r="DT26" s="1142">
        <f t="shared" ref="DT26:DT40" si="5">IF(N26="E",DT$25,0)</f>
        <v>0</v>
      </c>
      <c r="DU26" s="1142">
        <f t="shared" ref="DU26:DU40" si="6">IF(O26="E",DU$25,0)</f>
        <v>0</v>
      </c>
      <c r="DV26" s="1142">
        <f t="shared" ref="DV26:DV40" si="7">IF(P26="E",DV$25,0)</f>
        <v>0</v>
      </c>
      <c r="DW26" s="1142">
        <f t="shared" ref="DW26:DW40" si="8">IF(Q26="E",DW$25,0)</f>
        <v>0</v>
      </c>
      <c r="DX26" s="1142">
        <f t="shared" ref="DX26:DX40" si="9">IF(R26="E",DX$25,0)</f>
        <v>0</v>
      </c>
      <c r="DY26" s="1142">
        <f t="shared" ref="DY26:DZ40" si="10">IF(S26="E",DY$25,0)</f>
        <v>0</v>
      </c>
      <c r="DZ26" s="1142">
        <f t="shared" si="10"/>
        <v>0</v>
      </c>
      <c r="EA26" s="1142">
        <f t="shared" ref="EA26:EA40" si="11">IF(U26="E",EA$25,0)</f>
        <v>0</v>
      </c>
      <c r="EB26" s="1142">
        <f t="shared" ref="EB26:EB40" si="12">IF(V26="E",EB$25,0)</f>
        <v>0</v>
      </c>
      <c r="EC26" s="1142">
        <f t="shared" ref="EC26:EC40" si="13">IF(W26="E",EC$25,0)</f>
        <v>0</v>
      </c>
      <c r="ED26" s="1142">
        <f t="shared" ref="ED26:ED40" si="14">IF(X26="E",ED$25,0)</f>
        <v>0</v>
      </c>
      <c r="EE26" s="1142">
        <f t="shared" ref="EE26:EE40" si="15">IF(Y26="E",EE$25,0)</f>
        <v>0</v>
      </c>
      <c r="EF26" s="1142">
        <f t="shared" ref="EF26:EF40" si="16">IF(Z26="E",EF$25,0)</f>
        <v>0</v>
      </c>
      <c r="EG26" s="1142">
        <f t="shared" ref="EG26:EG40" si="17">IF(AA26="E",EG$25,0)</f>
        <v>26</v>
      </c>
      <c r="EH26" s="1142">
        <f t="shared" ref="EH26:EI40" si="18">IF(AB26="E",EH$25,0)</f>
        <v>0</v>
      </c>
      <c r="EI26" s="1142">
        <f t="shared" si="18"/>
        <v>0</v>
      </c>
      <c r="EJ26" s="1142">
        <f t="shared" ref="EJ26:EJ40" si="19">IF(AD26="E",EJ$25,0)</f>
        <v>0</v>
      </c>
      <c r="EK26" s="1142">
        <f t="shared" ref="EK26:EK40" si="20">IF(AE26="E",EK$25,0)</f>
        <v>0</v>
      </c>
      <c r="EL26" s="1142">
        <f t="shared" ref="EL26:EL40" si="21">IF(AF26="E",EL$25,0)</f>
        <v>0</v>
      </c>
      <c r="EM26" s="1142">
        <f t="shared" ref="EM26:EM40" si="22">IF(AG26="E",EM$25,0)</f>
        <v>0</v>
      </c>
      <c r="EN26" s="1142">
        <f t="shared" ref="EN26:EN40" si="23">IF(AH26="E",EN$25,0)</f>
        <v>0</v>
      </c>
      <c r="EO26" s="1142">
        <f t="shared" ref="EO26:EO40" si="24">IF(AI26="E",EO$25,0)</f>
        <v>0</v>
      </c>
      <c r="EP26" s="1142">
        <f t="shared" ref="EP26:EP40" si="25">IF(AJ26="E",EP$25,0)</f>
        <v>0</v>
      </c>
      <c r="EQ26" s="1142">
        <f t="shared" ref="EQ26:ER40" si="26">IF(AK26="E",EQ$25,0)</f>
        <v>0</v>
      </c>
      <c r="ER26" s="1142">
        <f t="shared" si="26"/>
        <v>0</v>
      </c>
      <c r="ES26" s="1142">
        <f t="shared" ref="ES26:ES40" si="27">IF(AM26="E",ES$25,0)</f>
        <v>0</v>
      </c>
      <c r="ET26" s="1142">
        <f t="shared" ref="ET26:ET40" si="28">IF(AN26="E",ET$25,0)</f>
        <v>0</v>
      </c>
      <c r="EU26" s="1142">
        <f t="shared" ref="EU26:EU40" si="29">IF(AO26="E",EU$25,0)</f>
        <v>0</v>
      </c>
      <c r="EV26" s="1142">
        <f t="shared" ref="EV26:EV40" si="30">IF(AP26="E",EV$25,0)</f>
        <v>0</v>
      </c>
      <c r="EW26" s="1142">
        <f t="shared" ref="EW26:EW40" si="31">IF(AQ26="E",EW$25,0)</f>
        <v>0</v>
      </c>
      <c r="EX26" s="1142">
        <f t="shared" ref="EX26:EX40" si="32">IF(AR26="E",EX$25,0)</f>
        <v>0</v>
      </c>
      <c r="EY26" s="1142">
        <f t="shared" ref="EY26:EY40" si="33">IF(AS26="E",EY$25,0)</f>
        <v>0</v>
      </c>
      <c r="EZ26" s="1142">
        <f t="shared" ref="EZ26:FA40" si="34">IF(AT26="E",EZ$25,0)</f>
        <v>0</v>
      </c>
      <c r="FA26" s="1142">
        <f t="shared" si="34"/>
        <v>0</v>
      </c>
      <c r="FB26" s="1142">
        <f t="shared" ref="FB26:FB40" si="35">IF(AV26="E",FB$25,0)</f>
        <v>0</v>
      </c>
      <c r="FC26" s="1142">
        <f t="shared" ref="FC26:FC40" si="36">IF(AW26="E",FC$25,0)</f>
        <v>0</v>
      </c>
      <c r="FD26" s="1142">
        <f t="shared" ref="FD26:FD40" si="37">IF(AX26="E",FD$25,0)</f>
        <v>0</v>
      </c>
      <c r="FE26" s="1142">
        <f t="shared" ref="FE26:FE40" si="38">IF(AY26="E",FE$25,0)</f>
        <v>0</v>
      </c>
      <c r="FF26" s="1142">
        <f t="shared" ref="FF26:FF40" si="39">IF(AZ26="E",FF$25,0)</f>
        <v>0</v>
      </c>
      <c r="FG26" s="1142">
        <f t="shared" ref="FG26:FG40" si="40">IF(BA26="E",FG$25,0)</f>
        <v>0</v>
      </c>
      <c r="FH26" s="1142">
        <f t="shared" ref="FH26:FH40" si="41">IF(BB26="E",FH$25,0)</f>
        <v>0</v>
      </c>
      <c r="FI26" s="1142">
        <f t="shared" ref="FI26:FJ40" si="42">IF(BC26="E",FI$25,0)</f>
        <v>0</v>
      </c>
      <c r="FJ26" s="1142">
        <f t="shared" si="42"/>
        <v>0</v>
      </c>
      <c r="FK26" s="1142">
        <f t="shared" ref="FK26:FK40" si="43">IF(BE26="E",FK$25,0)</f>
        <v>0</v>
      </c>
      <c r="FL26" s="1142">
        <f t="shared" ref="FL26:FL40" si="44">IF(BF26="E",FL$25,0)</f>
        <v>0</v>
      </c>
      <c r="FM26" s="1142">
        <f t="shared" ref="FM26:FM40" si="45">IF(BG26="E",FM$25,0)</f>
        <v>0</v>
      </c>
      <c r="FN26" s="1142">
        <f t="shared" ref="FN26:FN40" si="46">IF(BH26="E",FN$25,0)</f>
        <v>0</v>
      </c>
      <c r="FO26" s="1142">
        <f t="shared" ref="FO26:FO40" si="47">IF(BI26="E",FO$25,0)</f>
        <v>0</v>
      </c>
      <c r="FP26" s="1142">
        <f t="shared" ref="FP26:FP40" si="48">IF(BJ26="E",FP$25,0)</f>
        <v>0</v>
      </c>
      <c r="FQ26" s="1142">
        <f t="shared" ref="FQ26:FQ40" si="49">IF(BK26="E",FQ$25,0)</f>
        <v>0</v>
      </c>
      <c r="FR26" s="1142">
        <f t="shared" ref="FR26:FS40" si="50">IF(BL26="E",FR$25,0)</f>
        <v>0</v>
      </c>
      <c r="FS26" s="1142">
        <f t="shared" si="50"/>
        <v>0</v>
      </c>
      <c r="FT26" s="1142">
        <f t="shared" ref="FT26:FT40" si="51">IF(BN26="E",FT$25,0)</f>
        <v>0</v>
      </c>
      <c r="FU26" s="1142">
        <f t="shared" ref="FU26:FU40" si="52">IF(BO26="E",FU$25,0)</f>
        <v>0</v>
      </c>
      <c r="FV26" s="1142">
        <f t="shared" ref="FV26:FV40" si="53">IF(BP26="E",FV$25,0)</f>
        <v>0</v>
      </c>
      <c r="FW26" s="1142">
        <f t="shared" ref="FW26:FW40" si="54">IF(BQ26="E",FW$25,0)</f>
        <v>0</v>
      </c>
      <c r="FX26" s="1142">
        <f t="shared" ref="FX26:FX40" si="55">IF(BR26="E",FX$25,0)</f>
        <v>0</v>
      </c>
      <c r="FY26" s="1142">
        <f t="shared" ref="FY26:FY40" si="56">IF(BS26="E",FY$25,0)</f>
        <v>0</v>
      </c>
      <c r="FZ26" s="1142">
        <f t="shared" ref="FZ26:FZ40" si="57">IF(BT26="E",FZ$25,0)</f>
        <v>0</v>
      </c>
      <c r="GA26" s="1142">
        <f t="shared" ref="GA26:GB40" si="58">IF(BU26="E",GA$25,0)</f>
        <v>0</v>
      </c>
      <c r="GB26" s="1142">
        <f t="shared" si="58"/>
        <v>0</v>
      </c>
      <c r="GC26" s="1142">
        <f t="shared" ref="GC26:GC40" si="59">IF(BW26="E",GC$25,0)</f>
        <v>0</v>
      </c>
      <c r="GD26" s="1142">
        <f t="shared" ref="GD26:GD40" si="60">IF(BX26="E",GD$25,0)</f>
        <v>0</v>
      </c>
      <c r="GE26" s="1142">
        <f t="shared" ref="GE26:GE40" si="61">IF(BY26="E",GE$25,0)</f>
        <v>0</v>
      </c>
      <c r="GF26" s="1142">
        <f t="shared" ref="GF26:GF40" si="62">IF(BZ26="E",GF$25,0)</f>
        <v>0</v>
      </c>
      <c r="GG26" s="1142">
        <f t="shared" ref="GG26:GG40" si="63">IF(CA26="E",GG$25,0)</f>
        <v>0</v>
      </c>
      <c r="GH26" s="1142">
        <f t="shared" ref="GH26:GH40" si="64">IF(CB26="E",GH$25,0)</f>
        <v>0</v>
      </c>
      <c r="GI26" s="1142">
        <f t="shared" ref="GI26:GI40" si="65">IF(CC26="E",GI$25,0)</f>
        <v>0</v>
      </c>
      <c r="GJ26" s="1142">
        <f t="shared" ref="GJ26:GK40" si="66">IF(CD26="E",GJ$25,0)</f>
        <v>0</v>
      </c>
      <c r="GK26" s="1142">
        <f t="shared" si="66"/>
        <v>0</v>
      </c>
      <c r="GL26" s="1142">
        <f t="shared" ref="GL26:GL40" si="67">IF(CF26="E",GL$25,0)</f>
        <v>0</v>
      </c>
      <c r="GM26" s="1142">
        <f t="shared" ref="GM26:GM40" si="68">IF(CG26="E",GM$25,0)</f>
        <v>0</v>
      </c>
      <c r="GN26" s="1142">
        <f t="shared" ref="GN26:GN40" si="69">IF(CH26="E",GN$25,0)</f>
        <v>0</v>
      </c>
      <c r="GO26" s="1142">
        <f t="shared" ref="GO26:GO40" si="70">IF(CI26="E",GO$25,0)</f>
        <v>0</v>
      </c>
      <c r="GP26" s="1142">
        <f t="shared" ref="GP26:GP40" si="71">IF(CJ26="E",GP$25,0)</f>
        <v>0</v>
      </c>
      <c r="GQ26" s="1142">
        <f t="shared" ref="GQ26:GQ40" si="72">IF(CK26="E",GQ$25,0)</f>
        <v>0</v>
      </c>
      <c r="GR26" s="1142">
        <f t="shared" ref="GR26:GR40" si="73">IF(CL26="E",GR$25,0)</f>
        <v>0</v>
      </c>
      <c r="GS26" s="1142">
        <f t="shared" ref="GS26:GT40" si="74">IF(CM26="E",GS$25,0)</f>
        <v>0</v>
      </c>
      <c r="GT26" s="1142">
        <f t="shared" si="74"/>
        <v>0</v>
      </c>
      <c r="GU26" s="1142">
        <f t="shared" ref="GU26:GU40" si="75">IF(CO26="E",GU$25,0)</f>
        <v>0</v>
      </c>
      <c r="GV26" s="1142">
        <f t="shared" ref="GV26:GV40" si="76">IF(CP26="E",GV$25,0)</f>
        <v>0</v>
      </c>
      <c r="GW26" s="1142">
        <f t="shared" ref="GW26:GW40" si="77">IF(CQ26="E",GW$25,0)</f>
        <v>0</v>
      </c>
      <c r="GX26" s="1142">
        <f t="shared" ref="GX26:GX40" si="78">IF(CR26="E",GX$25,0)</f>
        <v>0</v>
      </c>
      <c r="GY26" s="1142">
        <f t="shared" ref="GY26:GY40" si="79">IF(CS26="E",GY$25,0)</f>
        <v>0</v>
      </c>
      <c r="GZ26" s="1142">
        <f t="shared" ref="GZ26:GZ40" si="80">IF(CT26="E",GZ$25,0)</f>
        <v>0</v>
      </c>
      <c r="HA26" s="1142">
        <f t="shared" ref="HA26:HA40" si="81">IF(CU26="E",HA$25,0)</f>
        <v>0</v>
      </c>
      <c r="HB26" s="1142">
        <f t="shared" ref="HB26:HC40" si="82">IF(CV26="E",HB$25,0)</f>
        <v>0</v>
      </c>
      <c r="HC26" s="1142">
        <f t="shared" si="82"/>
        <v>0</v>
      </c>
      <c r="HD26" s="1142">
        <f t="shared" ref="HD26:HD40" si="83">IF(CX26="E",HD$25,0)</f>
        <v>0</v>
      </c>
      <c r="HE26" s="1142">
        <f t="shared" ref="HE26:HE40" si="84">IF(CY26="E",HE$25,0)</f>
        <v>0</v>
      </c>
      <c r="HF26" s="1142">
        <f t="shared" ref="HF26:HF40" si="85">IF(CZ26="E",HF$25,0)</f>
        <v>0</v>
      </c>
      <c r="HG26" s="1142">
        <f t="shared" ref="HG26:HG40" si="86">IF(DA26="E",HG$25,0)</f>
        <v>0</v>
      </c>
      <c r="HH26" s="1142">
        <f t="shared" ref="HH26:HH40" si="87">IF(DB26="E",HH$25,0)</f>
        <v>0</v>
      </c>
      <c r="HI26" s="1142">
        <f t="shared" ref="HI26:HI40" si="88">IF(DC26="E",HI$25,0)</f>
        <v>0</v>
      </c>
      <c r="HJ26" s="1142">
        <f t="shared" ref="HJ26:HJ40" si="89">IF(DD26="E",HJ$25,0)</f>
        <v>0</v>
      </c>
      <c r="HK26" s="1182">
        <f t="shared" ref="HK26:HK40" si="90">IF(DE26="E",HK$25,0)</f>
        <v>0</v>
      </c>
      <c r="HL26" s="1184">
        <f>SUM(DH26:HK26)</f>
        <v>26</v>
      </c>
    </row>
    <row r="27" spans="1:220" s="998" customFormat="1" x14ac:dyDescent="0.2">
      <c r="A27" s="997" t="str">
        <f t="shared" ref="A27:A40" si="91">A8</f>
        <v>Annexe four : outillage</v>
      </c>
      <c r="B27" s="1145" t="s">
        <v>1282</v>
      </c>
      <c r="C27" s="1146"/>
      <c r="D27" s="1146" t="s">
        <v>1283</v>
      </c>
      <c r="E27" s="1146"/>
      <c r="F27" s="1146"/>
      <c r="G27" s="1146"/>
      <c r="H27" s="1146" t="s">
        <v>1284</v>
      </c>
      <c r="I27" s="1146"/>
      <c r="J27" s="1146" t="s">
        <v>1285</v>
      </c>
      <c r="K27" s="1146" t="s">
        <v>1286</v>
      </c>
      <c r="L27" s="1146"/>
      <c r="M27" s="1146" t="s">
        <v>1287</v>
      </c>
      <c r="N27" s="1146"/>
      <c r="O27" s="1146"/>
      <c r="P27" s="1146"/>
      <c r="Q27" s="1146"/>
      <c r="R27" s="1146"/>
      <c r="S27" s="1146"/>
      <c r="T27" s="1146"/>
      <c r="U27" s="1146"/>
      <c r="V27" s="1146"/>
      <c r="W27" s="1146"/>
      <c r="X27" s="1146"/>
      <c r="Y27" s="1146" t="s">
        <v>1288</v>
      </c>
      <c r="Z27" s="1146"/>
      <c r="AA27" s="1146"/>
      <c r="AB27" s="1146"/>
      <c r="AC27" s="1146"/>
      <c r="AD27" s="1146"/>
      <c r="AE27" s="1146"/>
      <c r="AF27" s="1146"/>
      <c r="AG27" s="1146"/>
      <c r="AH27" s="1146"/>
      <c r="AI27" s="1146"/>
      <c r="AJ27" s="1146"/>
      <c r="AK27" s="1146"/>
      <c r="AL27" s="1146"/>
      <c r="AM27" s="1146"/>
      <c r="AN27" s="1146"/>
      <c r="AO27" s="1146"/>
      <c r="AP27" s="1146"/>
      <c r="AQ27" s="1146"/>
      <c r="AR27" s="1146"/>
      <c r="AS27" s="1146"/>
      <c r="AT27" s="1146"/>
      <c r="AU27" s="1146"/>
      <c r="AV27" s="1146"/>
      <c r="AW27" s="1146"/>
      <c r="AX27" s="1147"/>
      <c r="AY27" s="1147"/>
      <c r="AZ27" s="1147"/>
      <c r="BA27" s="1147"/>
      <c r="BB27" s="1147"/>
      <c r="BC27" s="1147"/>
      <c r="BD27" s="1147"/>
      <c r="BE27" s="1147"/>
      <c r="BF27" s="1147"/>
      <c r="BG27" s="1147"/>
      <c r="BH27" s="1147"/>
      <c r="BI27" s="1147"/>
      <c r="BJ27" s="1147"/>
      <c r="BK27" s="1147"/>
      <c r="BL27" s="1147"/>
      <c r="BM27" s="1147"/>
      <c r="BN27" s="1147"/>
      <c r="BO27" s="1147"/>
      <c r="BP27" s="1147"/>
      <c r="BQ27" s="1147"/>
      <c r="BR27" s="1147"/>
      <c r="BS27" s="1147"/>
      <c r="BT27" s="1147"/>
      <c r="BU27" s="1147"/>
      <c r="BV27" s="1147"/>
      <c r="BW27" s="1147"/>
      <c r="BX27" s="1147"/>
      <c r="BY27" s="1147"/>
      <c r="BZ27" s="1147"/>
      <c r="CA27" s="1147"/>
      <c r="CB27" s="1147"/>
      <c r="CC27" s="1147"/>
      <c r="CD27" s="1147"/>
      <c r="CE27" s="1147"/>
      <c r="CF27" s="1147"/>
      <c r="CG27" s="1147"/>
      <c r="CH27" s="1147"/>
      <c r="CI27" s="1147"/>
      <c r="CJ27" s="1147"/>
      <c r="CK27" s="1147"/>
      <c r="CL27" s="1147"/>
      <c r="CM27" s="1147"/>
      <c r="CN27" s="1147"/>
      <c r="CO27" s="1147"/>
      <c r="CP27" s="1147"/>
      <c r="CQ27" s="1147"/>
      <c r="CR27" s="1147"/>
      <c r="CS27" s="1147"/>
      <c r="CT27" s="1147"/>
      <c r="CU27" s="1147"/>
      <c r="CV27" s="1147"/>
      <c r="CW27" s="1147"/>
      <c r="CX27" s="1147"/>
      <c r="CY27" s="1147"/>
      <c r="CZ27" s="1147"/>
      <c r="DA27" s="1147"/>
      <c r="DB27" s="1147"/>
      <c r="DC27" s="1147"/>
      <c r="DD27" s="1147"/>
      <c r="DE27" s="1148"/>
      <c r="DH27" s="1145">
        <f t="shared" ref="DH27:DH40" si="92">IF(B27="E",DH$25,0)</f>
        <v>0</v>
      </c>
      <c r="DI27" s="1146">
        <f t="shared" si="1"/>
        <v>0</v>
      </c>
      <c r="DJ27" s="1146">
        <f t="shared" si="1"/>
        <v>0</v>
      </c>
      <c r="DK27" s="1146">
        <f t="shared" si="1"/>
        <v>0</v>
      </c>
      <c r="DL27" s="1146">
        <f t="shared" si="1"/>
        <v>0</v>
      </c>
      <c r="DM27" s="1146">
        <f t="shared" si="1"/>
        <v>0</v>
      </c>
      <c r="DN27" s="1146">
        <f t="shared" si="1"/>
        <v>0</v>
      </c>
      <c r="DO27" s="1146">
        <f t="shared" si="1"/>
        <v>0</v>
      </c>
      <c r="DP27" s="1146">
        <f t="shared" si="1"/>
        <v>0</v>
      </c>
      <c r="DQ27" s="1146">
        <f t="shared" si="2"/>
        <v>10</v>
      </c>
      <c r="DR27" s="1146">
        <f t="shared" si="3"/>
        <v>0</v>
      </c>
      <c r="DS27" s="1146">
        <f t="shared" si="4"/>
        <v>0</v>
      </c>
      <c r="DT27" s="1146">
        <f t="shared" si="5"/>
        <v>0</v>
      </c>
      <c r="DU27" s="1146">
        <f t="shared" si="6"/>
        <v>0</v>
      </c>
      <c r="DV27" s="1146">
        <f t="shared" si="7"/>
        <v>0</v>
      </c>
      <c r="DW27" s="1146">
        <f t="shared" si="8"/>
        <v>0</v>
      </c>
      <c r="DX27" s="1146">
        <f t="shared" si="9"/>
        <v>0</v>
      </c>
      <c r="DY27" s="1146">
        <f t="shared" si="10"/>
        <v>0</v>
      </c>
      <c r="DZ27" s="1146">
        <f t="shared" si="10"/>
        <v>0</v>
      </c>
      <c r="EA27" s="1146">
        <f t="shared" si="11"/>
        <v>0</v>
      </c>
      <c r="EB27" s="1146">
        <f t="shared" si="12"/>
        <v>0</v>
      </c>
      <c r="EC27" s="1146">
        <f t="shared" si="13"/>
        <v>0</v>
      </c>
      <c r="ED27" s="1146">
        <f t="shared" si="14"/>
        <v>0</v>
      </c>
      <c r="EE27" s="1146">
        <f t="shared" si="15"/>
        <v>0</v>
      </c>
      <c r="EF27" s="1146">
        <f t="shared" si="16"/>
        <v>0</v>
      </c>
      <c r="EG27" s="1146">
        <f t="shared" si="17"/>
        <v>0</v>
      </c>
      <c r="EH27" s="1146">
        <f t="shared" si="18"/>
        <v>0</v>
      </c>
      <c r="EI27" s="1146">
        <f t="shared" si="18"/>
        <v>0</v>
      </c>
      <c r="EJ27" s="1146">
        <f t="shared" si="19"/>
        <v>0</v>
      </c>
      <c r="EK27" s="1146">
        <f t="shared" si="20"/>
        <v>0</v>
      </c>
      <c r="EL27" s="1146">
        <f t="shared" si="21"/>
        <v>0</v>
      </c>
      <c r="EM27" s="1146">
        <f t="shared" si="22"/>
        <v>0</v>
      </c>
      <c r="EN27" s="1146">
        <f t="shared" si="23"/>
        <v>0</v>
      </c>
      <c r="EO27" s="1146">
        <f t="shared" si="24"/>
        <v>0</v>
      </c>
      <c r="EP27" s="1146">
        <f t="shared" si="25"/>
        <v>0</v>
      </c>
      <c r="EQ27" s="1146">
        <f t="shared" si="26"/>
        <v>0</v>
      </c>
      <c r="ER27" s="1146">
        <f t="shared" si="26"/>
        <v>0</v>
      </c>
      <c r="ES27" s="1146">
        <f t="shared" si="27"/>
        <v>0</v>
      </c>
      <c r="ET27" s="1146">
        <f t="shared" si="28"/>
        <v>0</v>
      </c>
      <c r="EU27" s="1146">
        <f t="shared" si="29"/>
        <v>0</v>
      </c>
      <c r="EV27" s="1146">
        <f t="shared" si="30"/>
        <v>0</v>
      </c>
      <c r="EW27" s="1146">
        <f t="shared" si="31"/>
        <v>0</v>
      </c>
      <c r="EX27" s="1146">
        <f t="shared" si="32"/>
        <v>0</v>
      </c>
      <c r="EY27" s="1146">
        <f t="shared" si="33"/>
        <v>0</v>
      </c>
      <c r="EZ27" s="1146">
        <f t="shared" si="34"/>
        <v>0</v>
      </c>
      <c r="FA27" s="1146">
        <f t="shared" si="34"/>
        <v>0</v>
      </c>
      <c r="FB27" s="1146">
        <f t="shared" si="35"/>
        <v>0</v>
      </c>
      <c r="FC27" s="1146">
        <f t="shared" si="36"/>
        <v>0</v>
      </c>
      <c r="FD27" s="1146">
        <f t="shared" si="37"/>
        <v>0</v>
      </c>
      <c r="FE27" s="1146">
        <f t="shared" si="38"/>
        <v>0</v>
      </c>
      <c r="FF27" s="1146">
        <f t="shared" si="39"/>
        <v>0</v>
      </c>
      <c r="FG27" s="1146">
        <f t="shared" si="40"/>
        <v>0</v>
      </c>
      <c r="FH27" s="1146">
        <f t="shared" si="41"/>
        <v>0</v>
      </c>
      <c r="FI27" s="1146">
        <f t="shared" si="42"/>
        <v>0</v>
      </c>
      <c r="FJ27" s="1146">
        <f t="shared" si="42"/>
        <v>0</v>
      </c>
      <c r="FK27" s="1146">
        <f t="shared" si="43"/>
        <v>0</v>
      </c>
      <c r="FL27" s="1146">
        <f t="shared" si="44"/>
        <v>0</v>
      </c>
      <c r="FM27" s="1146">
        <f t="shared" si="45"/>
        <v>0</v>
      </c>
      <c r="FN27" s="1146">
        <f t="shared" si="46"/>
        <v>0</v>
      </c>
      <c r="FO27" s="1146">
        <f t="shared" si="47"/>
        <v>0</v>
      </c>
      <c r="FP27" s="1146">
        <f t="shared" si="48"/>
        <v>0</v>
      </c>
      <c r="FQ27" s="1146">
        <f t="shared" si="49"/>
        <v>0</v>
      </c>
      <c r="FR27" s="1146">
        <f t="shared" si="50"/>
        <v>0</v>
      </c>
      <c r="FS27" s="1146">
        <f t="shared" si="50"/>
        <v>0</v>
      </c>
      <c r="FT27" s="1146">
        <f t="shared" si="51"/>
        <v>0</v>
      </c>
      <c r="FU27" s="1146">
        <f t="shared" si="52"/>
        <v>0</v>
      </c>
      <c r="FV27" s="1146">
        <f t="shared" si="53"/>
        <v>0</v>
      </c>
      <c r="FW27" s="1146">
        <f t="shared" si="54"/>
        <v>0</v>
      </c>
      <c r="FX27" s="1146">
        <f t="shared" si="55"/>
        <v>0</v>
      </c>
      <c r="FY27" s="1146">
        <f t="shared" si="56"/>
        <v>0</v>
      </c>
      <c r="FZ27" s="1146">
        <f t="shared" si="57"/>
        <v>0</v>
      </c>
      <c r="GA27" s="1146">
        <f t="shared" si="58"/>
        <v>0</v>
      </c>
      <c r="GB27" s="1146">
        <f t="shared" si="58"/>
        <v>0</v>
      </c>
      <c r="GC27" s="1146">
        <f t="shared" si="59"/>
        <v>0</v>
      </c>
      <c r="GD27" s="1146">
        <f t="shared" si="60"/>
        <v>0</v>
      </c>
      <c r="GE27" s="1146">
        <f t="shared" si="61"/>
        <v>0</v>
      </c>
      <c r="GF27" s="1146">
        <f t="shared" si="62"/>
        <v>0</v>
      </c>
      <c r="GG27" s="1146">
        <f t="shared" si="63"/>
        <v>0</v>
      </c>
      <c r="GH27" s="1146">
        <f t="shared" si="64"/>
        <v>0</v>
      </c>
      <c r="GI27" s="1146">
        <f t="shared" si="65"/>
        <v>0</v>
      </c>
      <c r="GJ27" s="1146">
        <f t="shared" si="66"/>
        <v>0</v>
      </c>
      <c r="GK27" s="1146">
        <f t="shared" si="66"/>
        <v>0</v>
      </c>
      <c r="GL27" s="1146">
        <f t="shared" si="67"/>
        <v>0</v>
      </c>
      <c r="GM27" s="1146">
        <f t="shared" si="68"/>
        <v>0</v>
      </c>
      <c r="GN27" s="1146">
        <f t="shared" si="69"/>
        <v>0</v>
      </c>
      <c r="GO27" s="1146">
        <f t="shared" si="70"/>
        <v>0</v>
      </c>
      <c r="GP27" s="1146">
        <f t="shared" si="71"/>
        <v>0</v>
      </c>
      <c r="GQ27" s="1146">
        <f t="shared" si="72"/>
        <v>0</v>
      </c>
      <c r="GR27" s="1146">
        <f t="shared" si="73"/>
        <v>0</v>
      </c>
      <c r="GS27" s="1146">
        <f t="shared" si="74"/>
        <v>0</v>
      </c>
      <c r="GT27" s="1146">
        <f t="shared" si="74"/>
        <v>0</v>
      </c>
      <c r="GU27" s="1146">
        <f t="shared" si="75"/>
        <v>0</v>
      </c>
      <c r="GV27" s="1146">
        <f t="shared" si="76"/>
        <v>0</v>
      </c>
      <c r="GW27" s="1146">
        <f t="shared" si="77"/>
        <v>0</v>
      </c>
      <c r="GX27" s="1146">
        <f t="shared" si="78"/>
        <v>0</v>
      </c>
      <c r="GY27" s="1146">
        <f t="shared" si="79"/>
        <v>0</v>
      </c>
      <c r="GZ27" s="1146">
        <f t="shared" si="80"/>
        <v>0</v>
      </c>
      <c r="HA27" s="1146">
        <f t="shared" si="81"/>
        <v>0</v>
      </c>
      <c r="HB27" s="1146">
        <f t="shared" si="82"/>
        <v>0</v>
      </c>
      <c r="HC27" s="1146">
        <f t="shared" si="82"/>
        <v>0</v>
      </c>
      <c r="HD27" s="1146">
        <f t="shared" si="83"/>
        <v>0</v>
      </c>
      <c r="HE27" s="1146">
        <f t="shared" si="84"/>
        <v>0</v>
      </c>
      <c r="HF27" s="1146">
        <f t="shared" si="85"/>
        <v>0</v>
      </c>
      <c r="HG27" s="1146">
        <f t="shared" si="86"/>
        <v>0</v>
      </c>
      <c r="HH27" s="1146">
        <f t="shared" si="87"/>
        <v>0</v>
      </c>
      <c r="HI27" s="1146">
        <f t="shared" si="88"/>
        <v>0</v>
      </c>
      <c r="HJ27" s="1146">
        <f t="shared" si="89"/>
        <v>0</v>
      </c>
      <c r="HK27" s="1183">
        <f t="shared" si="90"/>
        <v>0</v>
      </c>
      <c r="HL27" s="1184">
        <f t="shared" ref="HL27:HL40" si="93">SUM(DH27:HK27)</f>
        <v>10</v>
      </c>
    </row>
    <row r="28" spans="1:220" s="998" customFormat="1" x14ac:dyDescent="0.2">
      <c r="A28" s="997" t="str">
        <f t="shared" si="91"/>
        <v>1er Four VAR :</v>
      </c>
      <c r="B28" s="1145" t="s">
        <v>1282</v>
      </c>
      <c r="C28" s="1146"/>
      <c r="D28" s="1146" t="s">
        <v>1283</v>
      </c>
      <c r="E28" s="1146"/>
      <c r="F28" s="1146"/>
      <c r="G28" s="1146"/>
      <c r="H28" s="1146"/>
      <c r="I28" s="1146"/>
      <c r="J28" s="1146"/>
      <c r="K28" s="1146" t="s">
        <v>1284</v>
      </c>
      <c r="L28" s="1146"/>
      <c r="M28" s="1146" t="s">
        <v>1285</v>
      </c>
      <c r="N28" s="1146"/>
      <c r="O28" s="1146"/>
      <c r="P28" s="1146"/>
      <c r="Q28" s="1146"/>
      <c r="R28" s="1146" t="s">
        <v>1286</v>
      </c>
      <c r="S28" s="1146"/>
      <c r="T28" s="1146"/>
      <c r="U28" s="1146" t="s">
        <v>1287</v>
      </c>
      <c r="V28" s="1146"/>
      <c r="W28" s="1146"/>
      <c r="X28" s="1146"/>
      <c r="Y28" s="1146"/>
      <c r="Z28" s="1146"/>
      <c r="AA28" s="1146"/>
      <c r="AB28" s="1146"/>
      <c r="AC28" s="1146"/>
      <c r="AD28" s="1146"/>
      <c r="AE28" s="1146"/>
      <c r="AF28" s="1146"/>
      <c r="AG28" s="1146" t="s">
        <v>1288</v>
      </c>
      <c r="AH28" s="1146"/>
      <c r="AI28" s="1146"/>
      <c r="AJ28" s="1146"/>
      <c r="AK28" s="1146"/>
      <c r="AL28" s="1146"/>
      <c r="AM28" s="1146"/>
      <c r="AN28" s="1146"/>
      <c r="AO28" s="1146"/>
      <c r="AP28" s="1146"/>
      <c r="AQ28" s="1146"/>
      <c r="AR28" s="1146"/>
      <c r="AS28" s="1146"/>
      <c r="AT28" s="1146"/>
      <c r="AU28" s="1146"/>
      <c r="AV28" s="1146"/>
      <c r="AW28" s="1146"/>
      <c r="AX28" s="1147"/>
      <c r="AY28" s="1147"/>
      <c r="AZ28" s="1147"/>
      <c r="BA28" s="1147"/>
      <c r="BB28" s="1147"/>
      <c r="BC28" s="1147"/>
      <c r="BD28" s="1147"/>
      <c r="BE28" s="1147"/>
      <c r="BF28" s="1147"/>
      <c r="BG28" s="1147"/>
      <c r="BH28" s="1147"/>
      <c r="BI28" s="1147"/>
      <c r="BJ28" s="1147"/>
      <c r="BK28" s="1147"/>
      <c r="BL28" s="1147"/>
      <c r="BM28" s="1147"/>
      <c r="BN28" s="1147"/>
      <c r="BO28" s="1147"/>
      <c r="BP28" s="1147"/>
      <c r="BQ28" s="1147"/>
      <c r="BR28" s="1147"/>
      <c r="BS28" s="1147"/>
      <c r="BT28" s="1147"/>
      <c r="BU28" s="1147"/>
      <c r="BV28" s="1147"/>
      <c r="BW28" s="1147"/>
      <c r="BX28" s="1147"/>
      <c r="BY28" s="1147"/>
      <c r="BZ28" s="1147"/>
      <c r="CA28" s="1147"/>
      <c r="CB28" s="1147"/>
      <c r="CC28" s="1147"/>
      <c r="CD28" s="1147"/>
      <c r="CE28" s="1147"/>
      <c r="CF28" s="1147"/>
      <c r="CG28" s="1147"/>
      <c r="CH28" s="1147"/>
      <c r="CI28" s="1147"/>
      <c r="CJ28" s="1147"/>
      <c r="CK28" s="1147"/>
      <c r="CL28" s="1147"/>
      <c r="CM28" s="1147"/>
      <c r="CN28" s="1147"/>
      <c r="CO28" s="1147"/>
      <c r="CP28" s="1147"/>
      <c r="CQ28" s="1147"/>
      <c r="CR28" s="1147"/>
      <c r="CS28" s="1147"/>
      <c r="CT28" s="1147"/>
      <c r="CU28" s="1147"/>
      <c r="CV28" s="1147"/>
      <c r="CW28" s="1147"/>
      <c r="CX28" s="1147"/>
      <c r="CY28" s="1147"/>
      <c r="CZ28" s="1147"/>
      <c r="DA28" s="1147"/>
      <c r="DB28" s="1147"/>
      <c r="DC28" s="1147"/>
      <c r="DD28" s="1147"/>
      <c r="DE28" s="1148"/>
      <c r="DH28" s="1145">
        <f t="shared" si="92"/>
        <v>0</v>
      </c>
      <c r="DI28" s="1146">
        <f t="shared" si="1"/>
        <v>0</v>
      </c>
      <c r="DJ28" s="1146">
        <f t="shared" si="1"/>
        <v>0</v>
      </c>
      <c r="DK28" s="1146">
        <f t="shared" si="1"/>
        <v>0</v>
      </c>
      <c r="DL28" s="1146">
        <f t="shared" si="1"/>
        <v>0</v>
      </c>
      <c r="DM28" s="1146">
        <f t="shared" si="1"/>
        <v>0</v>
      </c>
      <c r="DN28" s="1146">
        <f t="shared" si="1"/>
        <v>0</v>
      </c>
      <c r="DO28" s="1146">
        <f t="shared" si="1"/>
        <v>0</v>
      </c>
      <c r="DP28" s="1146">
        <f t="shared" si="1"/>
        <v>0</v>
      </c>
      <c r="DQ28" s="1146">
        <f t="shared" si="2"/>
        <v>0</v>
      </c>
      <c r="DR28" s="1146">
        <f t="shared" si="3"/>
        <v>0</v>
      </c>
      <c r="DS28" s="1146">
        <f t="shared" si="4"/>
        <v>0</v>
      </c>
      <c r="DT28" s="1146">
        <f t="shared" si="5"/>
        <v>0</v>
      </c>
      <c r="DU28" s="1146">
        <f t="shared" si="6"/>
        <v>0</v>
      </c>
      <c r="DV28" s="1146">
        <f t="shared" si="7"/>
        <v>0</v>
      </c>
      <c r="DW28" s="1146">
        <f t="shared" si="8"/>
        <v>0</v>
      </c>
      <c r="DX28" s="1146">
        <f t="shared" si="9"/>
        <v>17</v>
      </c>
      <c r="DY28" s="1146">
        <f t="shared" si="10"/>
        <v>0</v>
      </c>
      <c r="DZ28" s="1146">
        <f t="shared" si="10"/>
        <v>0</v>
      </c>
      <c r="EA28" s="1146">
        <f t="shared" si="11"/>
        <v>0</v>
      </c>
      <c r="EB28" s="1146">
        <f t="shared" si="12"/>
        <v>0</v>
      </c>
      <c r="EC28" s="1146">
        <f t="shared" si="13"/>
        <v>0</v>
      </c>
      <c r="ED28" s="1146">
        <f t="shared" si="14"/>
        <v>0</v>
      </c>
      <c r="EE28" s="1146">
        <f t="shared" si="15"/>
        <v>0</v>
      </c>
      <c r="EF28" s="1146">
        <f t="shared" si="16"/>
        <v>0</v>
      </c>
      <c r="EG28" s="1146">
        <f t="shared" si="17"/>
        <v>0</v>
      </c>
      <c r="EH28" s="1146">
        <f t="shared" si="18"/>
        <v>0</v>
      </c>
      <c r="EI28" s="1146">
        <f t="shared" si="18"/>
        <v>0</v>
      </c>
      <c r="EJ28" s="1146">
        <f t="shared" si="19"/>
        <v>0</v>
      </c>
      <c r="EK28" s="1146">
        <f t="shared" si="20"/>
        <v>0</v>
      </c>
      <c r="EL28" s="1146">
        <f t="shared" si="21"/>
        <v>0</v>
      </c>
      <c r="EM28" s="1146">
        <f t="shared" si="22"/>
        <v>0</v>
      </c>
      <c r="EN28" s="1146">
        <f t="shared" si="23"/>
        <v>0</v>
      </c>
      <c r="EO28" s="1146">
        <f t="shared" si="24"/>
        <v>0</v>
      </c>
      <c r="EP28" s="1146">
        <f t="shared" si="25"/>
        <v>0</v>
      </c>
      <c r="EQ28" s="1146">
        <f t="shared" si="26"/>
        <v>0</v>
      </c>
      <c r="ER28" s="1146">
        <f t="shared" si="26"/>
        <v>0</v>
      </c>
      <c r="ES28" s="1146">
        <f t="shared" si="27"/>
        <v>0</v>
      </c>
      <c r="ET28" s="1146">
        <f t="shared" si="28"/>
        <v>0</v>
      </c>
      <c r="EU28" s="1146">
        <f t="shared" si="29"/>
        <v>0</v>
      </c>
      <c r="EV28" s="1146">
        <f t="shared" si="30"/>
        <v>0</v>
      </c>
      <c r="EW28" s="1146">
        <f t="shared" si="31"/>
        <v>0</v>
      </c>
      <c r="EX28" s="1146">
        <f t="shared" si="32"/>
        <v>0</v>
      </c>
      <c r="EY28" s="1146">
        <f t="shared" si="33"/>
        <v>0</v>
      </c>
      <c r="EZ28" s="1146">
        <f t="shared" si="34"/>
        <v>0</v>
      </c>
      <c r="FA28" s="1146">
        <f t="shared" si="34"/>
        <v>0</v>
      </c>
      <c r="FB28" s="1146">
        <f t="shared" si="35"/>
        <v>0</v>
      </c>
      <c r="FC28" s="1146">
        <f t="shared" si="36"/>
        <v>0</v>
      </c>
      <c r="FD28" s="1146">
        <f t="shared" si="37"/>
        <v>0</v>
      </c>
      <c r="FE28" s="1146">
        <f t="shared" si="38"/>
        <v>0</v>
      </c>
      <c r="FF28" s="1146">
        <f t="shared" si="39"/>
        <v>0</v>
      </c>
      <c r="FG28" s="1146">
        <f t="shared" si="40"/>
        <v>0</v>
      </c>
      <c r="FH28" s="1146">
        <f t="shared" si="41"/>
        <v>0</v>
      </c>
      <c r="FI28" s="1146">
        <f t="shared" si="42"/>
        <v>0</v>
      </c>
      <c r="FJ28" s="1146">
        <f t="shared" si="42"/>
        <v>0</v>
      </c>
      <c r="FK28" s="1146">
        <f t="shared" si="43"/>
        <v>0</v>
      </c>
      <c r="FL28" s="1146">
        <f t="shared" si="44"/>
        <v>0</v>
      </c>
      <c r="FM28" s="1146">
        <f t="shared" si="45"/>
        <v>0</v>
      </c>
      <c r="FN28" s="1146">
        <f t="shared" si="46"/>
        <v>0</v>
      </c>
      <c r="FO28" s="1146">
        <f t="shared" si="47"/>
        <v>0</v>
      </c>
      <c r="FP28" s="1146">
        <f t="shared" si="48"/>
        <v>0</v>
      </c>
      <c r="FQ28" s="1146">
        <f t="shared" si="49"/>
        <v>0</v>
      </c>
      <c r="FR28" s="1146">
        <f t="shared" si="50"/>
        <v>0</v>
      </c>
      <c r="FS28" s="1146">
        <f t="shared" si="50"/>
        <v>0</v>
      </c>
      <c r="FT28" s="1146">
        <f t="shared" si="51"/>
        <v>0</v>
      </c>
      <c r="FU28" s="1146">
        <f t="shared" si="52"/>
        <v>0</v>
      </c>
      <c r="FV28" s="1146">
        <f t="shared" si="53"/>
        <v>0</v>
      </c>
      <c r="FW28" s="1146">
        <f t="shared" si="54"/>
        <v>0</v>
      </c>
      <c r="FX28" s="1146">
        <f t="shared" si="55"/>
        <v>0</v>
      </c>
      <c r="FY28" s="1146">
        <f t="shared" si="56"/>
        <v>0</v>
      </c>
      <c r="FZ28" s="1146">
        <f t="shared" si="57"/>
        <v>0</v>
      </c>
      <c r="GA28" s="1146">
        <f t="shared" si="58"/>
        <v>0</v>
      </c>
      <c r="GB28" s="1146">
        <f t="shared" si="58"/>
        <v>0</v>
      </c>
      <c r="GC28" s="1146">
        <f t="shared" si="59"/>
        <v>0</v>
      </c>
      <c r="GD28" s="1146">
        <f t="shared" si="60"/>
        <v>0</v>
      </c>
      <c r="GE28" s="1146">
        <f t="shared" si="61"/>
        <v>0</v>
      </c>
      <c r="GF28" s="1146">
        <f t="shared" si="62"/>
        <v>0</v>
      </c>
      <c r="GG28" s="1146">
        <f t="shared" si="63"/>
        <v>0</v>
      </c>
      <c r="GH28" s="1146">
        <f t="shared" si="64"/>
        <v>0</v>
      </c>
      <c r="GI28" s="1146">
        <f t="shared" si="65"/>
        <v>0</v>
      </c>
      <c r="GJ28" s="1146">
        <f t="shared" si="66"/>
        <v>0</v>
      </c>
      <c r="GK28" s="1146">
        <f t="shared" si="66"/>
        <v>0</v>
      </c>
      <c r="GL28" s="1146">
        <f t="shared" si="67"/>
        <v>0</v>
      </c>
      <c r="GM28" s="1146">
        <f t="shared" si="68"/>
        <v>0</v>
      </c>
      <c r="GN28" s="1146">
        <f t="shared" si="69"/>
        <v>0</v>
      </c>
      <c r="GO28" s="1146">
        <f t="shared" si="70"/>
        <v>0</v>
      </c>
      <c r="GP28" s="1146">
        <f t="shared" si="71"/>
        <v>0</v>
      </c>
      <c r="GQ28" s="1146">
        <f t="shared" si="72"/>
        <v>0</v>
      </c>
      <c r="GR28" s="1146">
        <f t="shared" si="73"/>
        <v>0</v>
      </c>
      <c r="GS28" s="1146">
        <f t="shared" si="74"/>
        <v>0</v>
      </c>
      <c r="GT28" s="1146">
        <f t="shared" si="74"/>
        <v>0</v>
      </c>
      <c r="GU28" s="1146">
        <f t="shared" si="75"/>
        <v>0</v>
      </c>
      <c r="GV28" s="1146">
        <f t="shared" si="76"/>
        <v>0</v>
      </c>
      <c r="GW28" s="1146">
        <f t="shared" si="77"/>
        <v>0</v>
      </c>
      <c r="GX28" s="1146">
        <f t="shared" si="78"/>
        <v>0</v>
      </c>
      <c r="GY28" s="1146">
        <f t="shared" si="79"/>
        <v>0</v>
      </c>
      <c r="GZ28" s="1146">
        <f t="shared" si="80"/>
        <v>0</v>
      </c>
      <c r="HA28" s="1146">
        <f t="shared" si="81"/>
        <v>0</v>
      </c>
      <c r="HB28" s="1146">
        <f t="shared" si="82"/>
        <v>0</v>
      </c>
      <c r="HC28" s="1146">
        <f t="shared" si="82"/>
        <v>0</v>
      </c>
      <c r="HD28" s="1146">
        <f t="shared" si="83"/>
        <v>0</v>
      </c>
      <c r="HE28" s="1146">
        <f t="shared" si="84"/>
        <v>0</v>
      </c>
      <c r="HF28" s="1146">
        <f t="shared" si="85"/>
        <v>0</v>
      </c>
      <c r="HG28" s="1146">
        <f t="shared" si="86"/>
        <v>0</v>
      </c>
      <c r="HH28" s="1146">
        <f t="shared" si="87"/>
        <v>0</v>
      </c>
      <c r="HI28" s="1146">
        <f t="shared" si="88"/>
        <v>0</v>
      </c>
      <c r="HJ28" s="1146">
        <f t="shared" si="89"/>
        <v>0</v>
      </c>
      <c r="HK28" s="1183">
        <f t="shared" si="90"/>
        <v>0</v>
      </c>
      <c r="HL28" s="1184">
        <f t="shared" si="93"/>
        <v>17</v>
      </c>
    </row>
    <row r="29" spans="1:220" s="998" customFormat="1" x14ac:dyDescent="0.2">
      <c r="A29" s="997" t="str">
        <f t="shared" si="91"/>
        <v>2ème four VAR :</v>
      </c>
      <c r="B29" s="1145" t="s">
        <v>1282</v>
      </c>
      <c r="C29" s="1146"/>
      <c r="D29" s="1146" t="s">
        <v>1283</v>
      </c>
      <c r="E29" s="1146"/>
      <c r="F29" s="1146"/>
      <c r="G29" s="1146"/>
      <c r="H29" s="1146"/>
      <c r="I29" s="1146"/>
      <c r="J29" s="1146"/>
      <c r="K29" s="1146" t="s">
        <v>1284</v>
      </c>
      <c r="L29" s="1146"/>
      <c r="M29" s="1146" t="s">
        <v>1285</v>
      </c>
      <c r="N29" s="1146"/>
      <c r="O29" s="1146"/>
      <c r="P29" s="1146"/>
      <c r="Q29" s="1146"/>
      <c r="R29" s="1146" t="s">
        <v>1286</v>
      </c>
      <c r="S29" s="1146"/>
      <c r="T29" s="1146"/>
      <c r="U29" s="1146" t="s">
        <v>1287</v>
      </c>
      <c r="V29" s="1146"/>
      <c r="W29" s="1146"/>
      <c r="X29" s="1146"/>
      <c r="Y29" s="1146"/>
      <c r="Z29" s="1146"/>
      <c r="AA29" s="1146"/>
      <c r="AB29" s="1146"/>
      <c r="AC29" s="1146"/>
      <c r="AD29" s="1146"/>
      <c r="AE29" s="1146"/>
      <c r="AF29" s="1146"/>
      <c r="AG29" s="1146" t="s">
        <v>1288</v>
      </c>
      <c r="AH29" s="1146"/>
      <c r="AI29" s="1146"/>
      <c r="AJ29" s="1146"/>
      <c r="AK29" s="1146"/>
      <c r="AL29" s="1146"/>
      <c r="AM29" s="1146"/>
      <c r="AN29" s="1146"/>
      <c r="AO29" s="1146"/>
      <c r="AP29" s="1146"/>
      <c r="AQ29" s="1146"/>
      <c r="AR29" s="1146"/>
      <c r="AS29" s="1146"/>
      <c r="AT29" s="1146"/>
      <c r="AU29" s="1146"/>
      <c r="AV29" s="1146"/>
      <c r="AW29" s="1146"/>
      <c r="AX29" s="1147"/>
      <c r="AY29" s="1147"/>
      <c r="AZ29" s="1147"/>
      <c r="BA29" s="1147"/>
      <c r="BB29" s="1147"/>
      <c r="BC29" s="1147"/>
      <c r="BD29" s="1147"/>
      <c r="BE29" s="1147"/>
      <c r="BF29" s="1147"/>
      <c r="BG29" s="1147"/>
      <c r="BH29" s="1147"/>
      <c r="BI29" s="1147"/>
      <c r="BJ29" s="1147"/>
      <c r="BK29" s="1147"/>
      <c r="BL29" s="1147"/>
      <c r="BM29" s="1147"/>
      <c r="BN29" s="1147"/>
      <c r="BO29" s="1147"/>
      <c r="BP29" s="1147"/>
      <c r="BQ29" s="1147"/>
      <c r="BR29" s="1147"/>
      <c r="BS29" s="1147"/>
      <c r="BT29" s="1147"/>
      <c r="BU29" s="1147"/>
      <c r="BV29" s="1147"/>
      <c r="BW29" s="1147"/>
      <c r="BX29" s="1147"/>
      <c r="BY29" s="1147"/>
      <c r="BZ29" s="1147"/>
      <c r="CA29" s="1147"/>
      <c r="CB29" s="1147"/>
      <c r="CC29" s="1147"/>
      <c r="CD29" s="1147"/>
      <c r="CE29" s="1147"/>
      <c r="CF29" s="1147"/>
      <c r="CG29" s="1147"/>
      <c r="CH29" s="1147"/>
      <c r="CI29" s="1147"/>
      <c r="CJ29" s="1147"/>
      <c r="CK29" s="1147"/>
      <c r="CL29" s="1147"/>
      <c r="CM29" s="1147"/>
      <c r="CN29" s="1147"/>
      <c r="CO29" s="1147"/>
      <c r="CP29" s="1147"/>
      <c r="CQ29" s="1147"/>
      <c r="CR29" s="1147"/>
      <c r="CS29" s="1147"/>
      <c r="CT29" s="1147"/>
      <c r="CU29" s="1147"/>
      <c r="CV29" s="1147"/>
      <c r="CW29" s="1147"/>
      <c r="CX29" s="1147"/>
      <c r="CY29" s="1147"/>
      <c r="CZ29" s="1147"/>
      <c r="DA29" s="1147"/>
      <c r="DB29" s="1147"/>
      <c r="DC29" s="1147"/>
      <c r="DD29" s="1147"/>
      <c r="DE29" s="1148"/>
      <c r="DH29" s="1145">
        <f t="shared" si="92"/>
        <v>0</v>
      </c>
      <c r="DI29" s="1146">
        <f t="shared" si="1"/>
        <v>0</v>
      </c>
      <c r="DJ29" s="1146">
        <f t="shared" si="1"/>
        <v>0</v>
      </c>
      <c r="DK29" s="1146">
        <f t="shared" si="1"/>
        <v>0</v>
      </c>
      <c r="DL29" s="1146">
        <f t="shared" si="1"/>
        <v>0</v>
      </c>
      <c r="DM29" s="1146">
        <f t="shared" si="1"/>
        <v>0</v>
      </c>
      <c r="DN29" s="1146">
        <f t="shared" si="1"/>
        <v>0</v>
      </c>
      <c r="DO29" s="1146">
        <f t="shared" si="1"/>
        <v>0</v>
      </c>
      <c r="DP29" s="1146">
        <f t="shared" si="1"/>
        <v>0</v>
      </c>
      <c r="DQ29" s="1146">
        <f t="shared" si="2"/>
        <v>0</v>
      </c>
      <c r="DR29" s="1146">
        <f t="shared" si="3"/>
        <v>0</v>
      </c>
      <c r="DS29" s="1146">
        <f t="shared" si="4"/>
        <v>0</v>
      </c>
      <c r="DT29" s="1146">
        <f t="shared" si="5"/>
        <v>0</v>
      </c>
      <c r="DU29" s="1146">
        <f t="shared" si="6"/>
        <v>0</v>
      </c>
      <c r="DV29" s="1146">
        <f t="shared" si="7"/>
        <v>0</v>
      </c>
      <c r="DW29" s="1146">
        <f t="shared" si="8"/>
        <v>0</v>
      </c>
      <c r="DX29" s="1146">
        <f t="shared" si="9"/>
        <v>17</v>
      </c>
      <c r="DY29" s="1146">
        <f t="shared" si="10"/>
        <v>0</v>
      </c>
      <c r="DZ29" s="1146">
        <f t="shared" si="10"/>
        <v>0</v>
      </c>
      <c r="EA29" s="1146">
        <f t="shared" si="11"/>
        <v>0</v>
      </c>
      <c r="EB29" s="1146">
        <f t="shared" si="12"/>
        <v>0</v>
      </c>
      <c r="EC29" s="1146">
        <f t="shared" si="13"/>
        <v>0</v>
      </c>
      <c r="ED29" s="1146">
        <f t="shared" si="14"/>
        <v>0</v>
      </c>
      <c r="EE29" s="1146">
        <f t="shared" si="15"/>
        <v>0</v>
      </c>
      <c r="EF29" s="1146">
        <f t="shared" si="16"/>
        <v>0</v>
      </c>
      <c r="EG29" s="1146">
        <f t="shared" si="17"/>
        <v>0</v>
      </c>
      <c r="EH29" s="1146">
        <f t="shared" si="18"/>
        <v>0</v>
      </c>
      <c r="EI29" s="1146">
        <f t="shared" si="18"/>
        <v>0</v>
      </c>
      <c r="EJ29" s="1146">
        <f t="shared" si="19"/>
        <v>0</v>
      </c>
      <c r="EK29" s="1146">
        <f t="shared" si="20"/>
        <v>0</v>
      </c>
      <c r="EL29" s="1146">
        <f t="shared" si="21"/>
        <v>0</v>
      </c>
      <c r="EM29" s="1146">
        <f t="shared" si="22"/>
        <v>0</v>
      </c>
      <c r="EN29" s="1146">
        <f t="shared" si="23"/>
        <v>0</v>
      </c>
      <c r="EO29" s="1146">
        <f t="shared" si="24"/>
        <v>0</v>
      </c>
      <c r="EP29" s="1146">
        <f t="shared" si="25"/>
        <v>0</v>
      </c>
      <c r="EQ29" s="1146">
        <f t="shared" si="26"/>
        <v>0</v>
      </c>
      <c r="ER29" s="1146">
        <f t="shared" si="26"/>
        <v>0</v>
      </c>
      <c r="ES29" s="1146">
        <f t="shared" si="27"/>
        <v>0</v>
      </c>
      <c r="ET29" s="1146">
        <f t="shared" si="28"/>
        <v>0</v>
      </c>
      <c r="EU29" s="1146">
        <f t="shared" si="29"/>
        <v>0</v>
      </c>
      <c r="EV29" s="1146">
        <f t="shared" si="30"/>
        <v>0</v>
      </c>
      <c r="EW29" s="1146">
        <f t="shared" si="31"/>
        <v>0</v>
      </c>
      <c r="EX29" s="1146">
        <f t="shared" si="32"/>
        <v>0</v>
      </c>
      <c r="EY29" s="1146">
        <f t="shared" si="33"/>
        <v>0</v>
      </c>
      <c r="EZ29" s="1146">
        <f t="shared" si="34"/>
        <v>0</v>
      </c>
      <c r="FA29" s="1146">
        <f t="shared" si="34"/>
        <v>0</v>
      </c>
      <c r="FB29" s="1146">
        <f t="shared" si="35"/>
        <v>0</v>
      </c>
      <c r="FC29" s="1146">
        <f t="shared" si="36"/>
        <v>0</v>
      </c>
      <c r="FD29" s="1146">
        <f t="shared" si="37"/>
        <v>0</v>
      </c>
      <c r="FE29" s="1146">
        <f t="shared" si="38"/>
        <v>0</v>
      </c>
      <c r="FF29" s="1146">
        <f t="shared" si="39"/>
        <v>0</v>
      </c>
      <c r="FG29" s="1146">
        <f t="shared" si="40"/>
        <v>0</v>
      </c>
      <c r="FH29" s="1146">
        <f t="shared" si="41"/>
        <v>0</v>
      </c>
      <c r="FI29" s="1146">
        <f t="shared" si="42"/>
        <v>0</v>
      </c>
      <c r="FJ29" s="1146">
        <f t="shared" si="42"/>
        <v>0</v>
      </c>
      <c r="FK29" s="1146">
        <f t="shared" si="43"/>
        <v>0</v>
      </c>
      <c r="FL29" s="1146">
        <f t="shared" si="44"/>
        <v>0</v>
      </c>
      <c r="FM29" s="1146">
        <f t="shared" si="45"/>
        <v>0</v>
      </c>
      <c r="FN29" s="1146">
        <f t="shared" si="46"/>
        <v>0</v>
      </c>
      <c r="FO29" s="1146">
        <f t="shared" si="47"/>
        <v>0</v>
      </c>
      <c r="FP29" s="1146">
        <f t="shared" si="48"/>
        <v>0</v>
      </c>
      <c r="FQ29" s="1146">
        <f t="shared" si="49"/>
        <v>0</v>
      </c>
      <c r="FR29" s="1146">
        <f t="shared" si="50"/>
        <v>0</v>
      </c>
      <c r="FS29" s="1146">
        <f t="shared" si="50"/>
        <v>0</v>
      </c>
      <c r="FT29" s="1146">
        <f t="shared" si="51"/>
        <v>0</v>
      </c>
      <c r="FU29" s="1146">
        <f t="shared" si="52"/>
        <v>0</v>
      </c>
      <c r="FV29" s="1146">
        <f t="shared" si="53"/>
        <v>0</v>
      </c>
      <c r="FW29" s="1146">
        <f t="shared" si="54"/>
        <v>0</v>
      </c>
      <c r="FX29" s="1146">
        <f t="shared" si="55"/>
        <v>0</v>
      </c>
      <c r="FY29" s="1146">
        <f t="shared" si="56"/>
        <v>0</v>
      </c>
      <c r="FZ29" s="1146">
        <f t="shared" si="57"/>
        <v>0</v>
      </c>
      <c r="GA29" s="1146">
        <f t="shared" si="58"/>
        <v>0</v>
      </c>
      <c r="GB29" s="1146">
        <f t="shared" si="58"/>
        <v>0</v>
      </c>
      <c r="GC29" s="1146">
        <f t="shared" si="59"/>
        <v>0</v>
      </c>
      <c r="GD29" s="1146">
        <f t="shared" si="60"/>
        <v>0</v>
      </c>
      <c r="GE29" s="1146">
        <f t="shared" si="61"/>
        <v>0</v>
      </c>
      <c r="GF29" s="1146">
        <f t="shared" si="62"/>
        <v>0</v>
      </c>
      <c r="GG29" s="1146">
        <f t="shared" si="63"/>
        <v>0</v>
      </c>
      <c r="GH29" s="1146">
        <f t="shared" si="64"/>
        <v>0</v>
      </c>
      <c r="GI29" s="1146">
        <f t="shared" si="65"/>
        <v>0</v>
      </c>
      <c r="GJ29" s="1146">
        <f t="shared" si="66"/>
        <v>0</v>
      </c>
      <c r="GK29" s="1146">
        <f t="shared" si="66"/>
        <v>0</v>
      </c>
      <c r="GL29" s="1146">
        <f t="shared" si="67"/>
        <v>0</v>
      </c>
      <c r="GM29" s="1146">
        <f t="shared" si="68"/>
        <v>0</v>
      </c>
      <c r="GN29" s="1146">
        <f t="shared" si="69"/>
        <v>0</v>
      </c>
      <c r="GO29" s="1146">
        <f t="shared" si="70"/>
        <v>0</v>
      </c>
      <c r="GP29" s="1146">
        <f t="shared" si="71"/>
        <v>0</v>
      </c>
      <c r="GQ29" s="1146">
        <f t="shared" si="72"/>
        <v>0</v>
      </c>
      <c r="GR29" s="1146">
        <f t="shared" si="73"/>
        <v>0</v>
      </c>
      <c r="GS29" s="1146">
        <f t="shared" si="74"/>
        <v>0</v>
      </c>
      <c r="GT29" s="1146">
        <f t="shared" si="74"/>
        <v>0</v>
      </c>
      <c r="GU29" s="1146">
        <f t="shared" si="75"/>
        <v>0</v>
      </c>
      <c r="GV29" s="1146">
        <f t="shared" si="76"/>
        <v>0</v>
      </c>
      <c r="GW29" s="1146">
        <f t="shared" si="77"/>
        <v>0</v>
      </c>
      <c r="GX29" s="1146">
        <f t="shared" si="78"/>
        <v>0</v>
      </c>
      <c r="GY29" s="1146">
        <f t="shared" si="79"/>
        <v>0</v>
      </c>
      <c r="GZ29" s="1146">
        <f t="shared" si="80"/>
        <v>0</v>
      </c>
      <c r="HA29" s="1146">
        <f t="shared" si="81"/>
        <v>0</v>
      </c>
      <c r="HB29" s="1146">
        <f t="shared" si="82"/>
        <v>0</v>
      </c>
      <c r="HC29" s="1146">
        <f t="shared" si="82"/>
        <v>0</v>
      </c>
      <c r="HD29" s="1146">
        <f t="shared" si="83"/>
        <v>0</v>
      </c>
      <c r="HE29" s="1146">
        <f t="shared" si="84"/>
        <v>0</v>
      </c>
      <c r="HF29" s="1146">
        <f t="shared" si="85"/>
        <v>0</v>
      </c>
      <c r="HG29" s="1146">
        <f t="shared" si="86"/>
        <v>0</v>
      </c>
      <c r="HH29" s="1146">
        <f t="shared" si="87"/>
        <v>0</v>
      </c>
      <c r="HI29" s="1146">
        <f t="shared" si="88"/>
        <v>0</v>
      </c>
      <c r="HJ29" s="1146">
        <f t="shared" si="89"/>
        <v>0</v>
      </c>
      <c r="HK29" s="1183">
        <f t="shared" si="90"/>
        <v>0</v>
      </c>
      <c r="HL29" s="1184">
        <f t="shared" si="93"/>
        <v>17</v>
      </c>
    </row>
    <row r="30" spans="1:220" s="998" customFormat="1" x14ac:dyDescent="0.2">
      <c r="A30" s="997" t="str">
        <f t="shared" si="91"/>
        <v>Annexe VAR : nettoyage haute pression</v>
      </c>
      <c r="B30" s="1145" t="s">
        <v>1282</v>
      </c>
      <c r="C30" s="1146" t="s">
        <v>1283</v>
      </c>
      <c r="D30" s="1146"/>
      <c r="E30" s="1146"/>
      <c r="F30" s="1146"/>
      <c r="G30" s="1146"/>
      <c r="H30" s="1146"/>
      <c r="I30" s="1146"/>
      <c r="J30" s="1146" t="s">
        <v>1284</v>
      </c>
      <c r="K30" s="1146" t="s">
        <v>1285</v>
      </c>
      <c r="L30" s="1146" t="s">
        <v>1286</v>
      </c>
      <c r="M30" s="1146"/>
      <c r="N30" s="1146" t="s">
        <v>1287</v>
      </c>
      <c r="O30" s="1146"/>
      <c r="P30" s="1146"/>
      <c r="Q30" s="1146"/>
      <c r="R30" s="1146"/>
      <c r="S30" s="1146"/>
      <c r="T30" s="1146"/>
      <c r="U30" s="1146"/>
      <c r="V30" s="1146"/>
      <c r="W30" s="1146"/>
      <c r="X30" s="1146"/>
      <c r="Y30" s="1146"/>
      <c r="Z30" s="1149" t="s">
        <v>1288</v>
      </c>
      <c r="AA30" s="1149"/>
      <c r="AB30" s="1149"/>
      <c r="AC30" s="1149"/>
      <c r="AD30" s="1149"/>
      <c r="AE30" s="1149"/>
      <c r="AF30" s="1149"/>
      <c r="AG30" s="1149"/>
      <c r="AH30" s="1149"/>
      <c r="AI30" s="1149"/>
      <c r="AJ30" s="1149"/>
      <c r="AK30" s="1149"/>
      <c r="AL30" s="1146"/>
      <c r="AM30" s="1146"/>
      <c r="AN30" s="1146"/>
      <c r="AO30" s="1146"/>
      <c r="AP30" s="1146"/>
      <c r="AQ30" s="1146"/>
      <c r="AR30" s="1146"/>
      <c r="AS30" s="1146"/>
      <c r="AT30" s="1146"/>
      <c r="AU30" s="1146"/>
      <c r="AV30" s="1146"/>
      <c r="AW30" s="1146"/>
      <c r="AX30" s="1147"/>
      <c r="AY30" s="1147"/>
      <c r="AZ30" s="1147"/>
      <c r="BA30" s="1147"/>
      <c r="BB30" s="1147"/>
      <c r="BC30" s="1147"/>
      <c r="BD30" s="1147"/>
      <c r="BE30" s="1147"/>
      <c r="BF30" s="1147"/>
      <c r="BG30" s="1147"/>
      <c r="BH30" s="1147"/>
      <c r="BI30" s="1147"/>
      <c r="BJ30" s="1147"/>
      <c r="BK30" s="1147"/>
      <c r="BL30" s="1147"/>
      <c r="BM30" s="1147"/>
      <c r="BN30" s="1147"/>
      <c r="BO30" s="1147"/>
      <c r="BP30" s="1147"/>
      <c r="BQ30" s="1147"/>
      <c r="BR30" s="1147"/>
      <c r="BS30" s="1147"/>
      <c r="BT30" s="1147"/>
      <c r="BU30" s="1147"/>
      <c r="BV30" s="1147"/>
      <c r="BW30" s="1147"/>
      <c r="BX30" s="1147"/>
      <c r="BY30" s="1147"/>
      <c r="BZ30" s="1147"/>
      <c r="CA30" s="1147"/>
      <c r="CB30" s="1147"/>
      <c r="CC30" s="1147"/>
      <c r="CD30" s="1147"/>
      <c r="CE30" s="1147"/>
      <c r="CF30" s="1147"/>
      <c r="CG30" s="1147"/>
      <c r="CH30" s="1147"/>
      <c r="CI30" s="1147"/>
      <c r="CJ30" s="1147"/>
      <c r="CK30" s="1147"/>
      <c r="CL30" s="1147"/>
      <c r="CM30" s="1147"/>
      <c r="CN30" s="1147"/>
      <c r="CO30" s="1147"/>
      <c r="CP30" s="1147"/>
      <c r="CQ30" s="1147"/>
      <c r="CR30" s="1147"/>
      <c r="CS30" s="1147"/>
      <c r="CT30" s="1147"/>
      <c r="CU30" s="1147"/>
      <c r="CV30" s="1147"/>
      <c r="CW30" s="1147"/>
      <c r="CX30" s="1147"/>
      <c r="CY30" s="1147"/>
      <c r="CZ30" s="1147"/>
      <c r="DA30" s="1147"/>
      <c r="DB30" s="1147"/>
      <c r="DC30" s="1147"/>
      <c r="DD30" s="1147"/>
      <c r="DE30" s="1148"/>
      <c r="DH30" s="1145">
        <f t="shared" si="92"/>
        <v>0</v>
      </c>
      <c r="DI30" s="1146">
        <f t="shared" si="1"/>
        <v>0</v>
      </c>
      <c r="DJ30" s="1146">
        <f t="shared" si="1"/>
        <v>0</v>
      </c>
      <c r="DK30" s="1146">
        <f t="shared" si="1"/>
        <v>0</v>
      </c>
      <c r="DL30" s="1146">
        <f t="shared" si="1"/>
        <v>0</v>
      </c>
      <c r="DM30" s="1146">
        <f t="shared" si="1"/>
        <v>0</v>
      </c>
      <c r="DN30" s="1146">
        <f t="shared" si="1"/>
        <v>0</v>
      </c>
      <c r="DO30" s="1146">
        <f t="shared" si="1"/>
        <v>0</v>
      </c>
      <c r="DP30" s="1146">
        <f t="shared" si="1"/>
        <v>0</v>
      </c>
      <c r="DQ30" s="1146">
        <f t="shared" si="2"/>
        <v>0</v>
      </c>
      <c r="DR30" s="1146">
        <f t="shared" si="3"/>
        <v>11</v>
      </c>
      <c r="DS30" s="1146">
        <f t="shared" si="4"/>
        <v>0</v>
      </c>
      <c r="DT30" s="1146">
        <f t="shared" si="5"/>
        <v>0</v>
      </c>
      <c r="DU30" s="1146">
        <f t="shared" si="6"/>
        <v>0</v>
      </c>
      <c r="DV30" s="1146">
        <f t="shared" si="7"/>
        <v>0</v>
      </c>
      <c r="DW30" s="1146">
        <f t="shared" si="8"/>
        <v>0</v>
      </c>
      <c r="DX30" s="1146">
        <f t="shared" si="9"/>
        <v>0</v>
      </c>
      <c r="DY30" s="1146">
        <f t="shared" si="10"/>
        <v>0</v>
      </c>
      <c r="DZ30" s="1146">
        <f t="shared" si="10"/>
        <v>0</v>
      </c>
      <c r="EA30" s="1146">
        <f t="shared" si="11"/>
        <v>0</v>
      </c>
      <c r="EB30" s="1146">
        <f t="shared" si="12"/>
        <v>0</v>
      </c>
      <c r="EC30" s="1146">
        <f t="shared" si="13"/>
        <v>0</v>
      </c>
      <c r="ED30" s="1146">
        <f t="shared" si="14"/>
        <v>0</v>
      </c>
      <c r="EE30" s="1146">
        <f t="shared" si="15"/>
        <v>0</v>
      </c>
      <c r="EF30" s="1146">
        <f t="shared" si="16"/>
        <v>0</v>
      </c>
      <c r="EG30" s="1146">
        <f t="shared" si="17"/>
        <v>0</v>
      </c>
      <c r="EH30" s="1146">
        <f t="shared" si="18"/>
        <v>0</v>
      </c>
      <c r="EI30" s="1146">
        <f t="shared" si="18"/>
        <v>0</v>
      </c>
      <c r="EJ30" s="1146">
        <f t="shared" si="19"/>
        <v>0</v>
      </c>
      <c r="EK30" s="1146">
        <f t="shared" si="20"/>
        <v>0</v>
      </c>
      <c r="EL30" s="1146">
        <f t="shared" si="21"/>
        <v>0</v>
      </c>
      <c r="EM30" s="1146">
        <f t="shared" si="22"/>
        <v>0</v>
      </c>
      <c r="EN30" s="1146">
        <f t="shared" si="23"/>
        <v>0</v>
      </c>
      <c r="EO30" s="1146">
        <f t="shared" si="24"/>
        <v>0</v>
      </c>
      <c r="EP30" s="1146">
        <f t="shared" si="25"/>
        <v>0</v>
      </c>
      <c r="EQ30" s="1146">
        <f t="shared" si="26"/>
        <v>0</v>
      </c>
      <c r="ER30" s="1146">
        <f t="shared" si="26"/>
        <v>0</v>
      </c>
      <c r="ES30" s="1146">
        <f t="shared" si="27"/>
        <v>0</v>
      </c>
      <c r="ET30" s="1146">
        <f t="shared" si="28"/>
        <v>0</v>
      </c>
      <c r="EU30" s="1146">
        <f t="shared" si="29"/>
        <v>0</v>
      </c>
      <c r="EV30" s="1146">
        <f t="shared" si="30"/>
        <v>0</v>
      </c>
      <c r="EW30" s="1146">
        <f t="shared" si="31"/>
        <v>0</v>
      </c>
      <c r="EX30" s="1146">
        <f t="shared" si="32"/>
        <v>0</v>
      </c>
      <c r="EY30" s="1146">
        <f t="shared" si="33"/>
        <v>0</v>
      </c>
      <c r="EZ30" s="1146">
        <f t="shared" si="34"/>
        <v>0</v>
      </c>
      <c r="FA30" s="1146">
        <f t="shared" si="34"/>
        <v>0</v>
      </c>
      <c r="FB30" s="1146">
        <f t="shared" si="35"/>
        <v>0</v>
      </c>
      <c r="FC30" s="1146">
        <f t="shared" si="36"/>
        <v>0</v>
      </c>
      <c r="FD30" s="1146">
        <f t="shared" si="37"/>
        <v>0</v>
      </c>
      <c r="FE30" s="1146">
        <f t="shared" si="38"/>
        <v>0</v>
      </c>
      <c r="FF30" s="1146">
        <f t="shared" si="39"/>
        <v>0</v>
      </c>
      <c r="FG30" s="1146">
        <f t="shared" si="40"/>
        <v>0</v>
      </c>
      <c r="FH30" s="1146">
        <f t="shared" si="41"/>
        <v>0</v>
      </c>
      <c r="FI30" s="1146">
        <f t="shared" si="42"/>
        <v>0</v>
      </c>
      <c r="FJ30" s="1146">
        <f t="shared" si="42"/>
        <v>0</v>
      </c>
      <c r="FK30" s="1146">
        <f t="shared" si="43"/>
        <v>0</v>
      </c>
      <c r="FL30" s="1146">
        <f t="shared" si="44"/>
        <v>0</v>
      </c>
      <c r="FM30" s="1146">
        <f t="shared" si="45"/>
        <v>0</v>
      </c>
      <c r="FN30" s="1146">
        <f t="shared" si="46"/>
        <v>0</v>
      </c>
      <c r="FO30" s="1146">
        <f t="shared" si="47"/>
        <v>0</v>
      </c>
      <c r="FP30" s="1146">
        <f t="shared" si="48"/>
        <v>0</v>
      </c>
      <c r="FQ30" s="1146">
        <f t="shared" si="49"/>
        <v>0</v>
      </c>
      <c r="FR30" s="1146">
        <f t="shared" si="50"/>
        <v>0</v>
      </c>
      <c r="FS30" s="1146">
        <f t="shared" si="50"/>
        <v>0</v>
      </c>
      <c r="FT30" s="1146">
        <f t="shared" si="51"/>
        <v>0</v>
      </c>
      <c r="FU30" s="1146">
        <f t="shared" si="52"/>
        <v>0</v>
      </c>
      <c r="FV30" s="1146">
        <f t="shared" si="53"/>
        <v>0</v>
      </c>
      <c r="FW30" s="1146">
        <f t="shared" si="54"/>
        <v>0</v>
      </c>
      <c r="FX30" s="1146">
        <f t="shared" si="55"/>
        <v>0</v>
      </c>
      <c r="FY30" s="1146">
        <f t="shared" si="56"/>
        <v>0</v>
      </c>
      <c r="FZ30" s="1146">
        <f t="shared" si="57"/>
        <v>0</v>
      </c>
      <c r="GA30" s="1146">
        <f t="shared" si="58"/>
        <v>0</v>
      </c>
      <c r="GB30" s="1146">
        <f t="shared" si="58"/>
        <v>0</v>
      </c>
      <c r="GC30" s="1146">
        <f t="shared" si="59"/>
        <v>0</v>
      </c>
      <c r="GD30" s="1146">
        <f t="shared" si="60"/>
        <v>0</v>
      </c>
      <c r="GE30" s="1146">
        <f t="shared" si="61"/>
        <v>0</v>
      </c>
      <c r="GF30" s="1146">
        <f t="shared" si="62"/>
        <v>0</v>
      </c>
      <c r="GG30" s="1146">
        <f t="shared" si="63"/>
        <v>0</v>
      </c>
      <c r="GH30" s="1146">
        <f t="shared" si="64"/>
        <v>0</v>
      </c>
      <c r="GI30" s="1146">
        <f t="shared" si="65"/>
        <v>0</v>
      </c>
      <c r="GJ30" s="1146">
        <f t="shared" si="66"/>
        <v>0</v>
      </c>
      <c r="GK30" s="1146">
        <f t="shared" si="66"/>
        <v>0</v>
      </c>
      <c r="GL30" s="1146">
        <f t="shared" si="67"/>
        <v>0</v>
      </c>
      <c r="GM30" s="1146">
        <f t="shared" si="68"/>
        <v>0</v>
      </c>
      <c r="GN30" s="1146">
        <f t="shared" si="69"/>
        <v>0</v>
      </c>
      <c r="GO30" s="1146">
        <f t="shared" si="70"/>
        <v>0</v>
      </c>
      <c r="GP30" s="1146">
        <f t="shared" si="71"/>
        <v>0</v>
      </c>
      <c r="GQ30" s="1146">
        <f t="shared" si="72"/>
        <v>0</v>
      </c>
      <c r="GR30" s="1146">
        <f t="shared" si="73"/>
        <v>0</v>
      </c>
      <c r="GS30" s="1146">
        <f t="shared" si="74"/>
        <v>0</v>
      </c>
      <c r="GT30" s="1146">
        <f t="shared" si="74"/>
        <v>0</v>
      </c>
      <c r="GU30" s="1146">
        <f t="shared" si="75"/>
        <v>0</v>
      </c>
      <c r="GV30" s="1146">
        <f t="shared" si="76"/>
        <v>0</v>
      </c>
      <c r="GW30" s="1146">
        <f t="shared" si="77"/>
        <v>0</v>
      </c>
      <c r="GX30" s="1146">
        <f t="shared" si="78"/>
        <v>0</v>
      </c>
      <c r="GY30" s="1146">
        <f t="shared" si="79"/>
        <v>0</v>
      </c>
      <c r="GZ30" s="1146">
        <f t="shared" si="80"/>
        <v>0</v>
      </c>
      <c r="HA30" s="1146">
        <f t="shared" si="81"/>
        <v>0</v>
      </c>
      <c r="HB30" s="1146">
        <f t="shared" si="82"/>
        <v>0</v>
      </c>
      <c r="HC30" s="1146">
        <f t="shared" si="82"/>
        <v>0</v>
      </c>
      <c r="HD30" s="1146">
        <f t="shared" si="83"/>
        <v>0</v>
      </c>
      <c r="HE30" s="1146">
        <f t="shared" si="84"/>
        <v>0</v>
      </c>
      <c r="HF30" s="1146">
        <f t="shared" si="85"/>
        <v>0</v>
      </c>
      <c r="HG30" s="1146">
        <f t="shared" si="86"/>
        <v>0</v>
      </c>
      <c r="HH30" s="1146">
        <f t="shared" si="87"/>
        <v>0</v>
      </c>
      <c r="HI30" s="1146">
        <f t="shared" si="88"/>
        <v>0</v>
      </c>
      <c r="HJ30" s="1146">
        <f t="shared" si="89"/>
        <v>0</v>
      </c>
      <c r="HK30" s="1183">
        <f t="shared" si="90"/>
        <v>0</v>
      </c>
      <c r="HL30" s="1184">
        <f t="shared" si="93"/>
        <v>11</v>
      </c>
    </row>
    <row r="31" spans="1:220" s="998" customFormat="1" x14ac:dyDescent="0.2">
      <c r="A31" s="997" t="str">
        <f t="shared" si="91"/>
        <v>Annexe VAR : outillage (scie)</v>
      </c>
      <c r="B31" s="1145" t="s">
        <v>1282</v>
      </c>
      <c r="C31" s="1146" t="s">
        <v>1283</v>
      </c>
      <c r="D31" s="1146"/>
      <c r="E31" s="1146"/>
      <c r="F31" s="1146"/>
      <c r="G31" s="1146" t="s">
        <v>1284</v>
      </c>
      <c r="H31" s="1146" t="s">
        <v>1285</v>
      </c>
      <c r="I31" s="1146" t="s">
        <v>1286</v>
      </c>
      <c r="J31" s="1146"/>
      <c r="K31" s="1146" t="s">
        <v>1287</v>
      </c>
      <c r="L31" s="1146"/>
      <c r="M31" s="1146"/>
      <c r="N31" s="1146"/>
      <c r="O31" s="1146"/>
      <c r="P31" s="1146"/>
      <c r="Q31" s="1146"/>
      <c r="R31" s="1146"/>
      <c r="S31" s="1146"/>
      <c r="T31" s="1146"/>
      <c r="U31" s="1146"/>
      <c r="V31" s="1146"/>
      <c r="W31" s="1146" t="s">
        <v>1288</v>
      </c>
      <c r="X31" s="1149"/>
      <c r="Y31" s="1149"/>
      <c r="Z31" s="1149"/>
      <c r="AA31" s="1149"/>
      <c r="AB31" s="1149"/>
      <c r="AC31" s="1149"/>
      <c r="AD31" s="1149"/>
      <c r="AE31" s="1149"/>
      <c r="AF31" s="1149"/>
      <c r="AG31" s="1149"/>
      <c r="AH31" s="1149"/>
      <c r="AI31" s="1149"/>
      <c r="AJ31" s="1149"/>
      <c r="AK31" s="1149"/>
      <c r="AL31" s="1146"/>
      <c r="AM31" s="1146"/>
      <c r="AN31" s="1146"/>
      <c r="AO31" s="1146"/>
      <c r="AP31" s="1146"/>
      <c r="AQ31" s="1146"/>
      <c r="AR31" s="1146"/>
      <c r="AS31" s="1146"/>
      <c r="AT31" s="1146"/>
      <c r="AU31" s="1146"/>
      <c r="AV31" s="1146"/>
      <c r="AW31" s="1146"/>
      <c r="AX31" s="1147"/>
      <c r="AY31" s="1147"/>
      <c r="AZ31" s="1147"/>
      <c r="BA31" s="1147"/>
      <c r="BB31" s="1147"/>
      <c r="BC31" s="1147"/>
      <c r="BD31" s="1147"/>
      <c r="BE31" s="1147"/>
      <c r="BF31" s="1147"/>
      <c r="BG31" s="1147"/>
      <c r="BH31" s="1147"/>
      <c r="BI31" s="1147"/>
      <c r="BJ31" s="1147"/>
      <c r="BK31" s="1147"/>
      <c r="BL31" s="1147"/>
      <c r="BM31" s="1147"/>
      <c r="BN31" s="1147"/>
      <c r="BO31" s="1147"/>
      <c r="BP31" s="1147"/>
      <c r="BQ31" s="1147"/>
      <c r="BR31" s="1147"/>
      <c r="BS31" s="1147"/>
      <c r="BT31" s="1147"/>
      <c r="BU31" s="1147"/>
      <c r="BV31" s="1147"/>
      <c r="BW31" s="1147"/>
      <c r="BX31" s="1147"/>
      <c r="BY31" s="1147"/>
      <c r="BZ31" s="1147"/>
      <c r="CA31" s="1147"/>
      <c r="CB31" s="1147"/>
      <c r="CC31" s="1147"/>
      <c r="CD31" s="1147"/>
      <c r="CE31" s="1147"/>
      <c r="CF31" s="1147"/>
      <c r="CG31" s="1147"/>
      <c r="CH31" s="1147"/>
      <c r="CI31" s="1147"/>
      <c r="CJ31" s="1147"/>
      <c r="CK31" s="1147"/>
      <c r="CL31" s="1147"/>
      <c r="CM31" s="1147"/>
      <c r="CN31" s="1147"/>
      <c r="CO31" s="1147"/>
      <c r="CP31" s="1147"/>
      <c r="CQ31" s="1147"/>
      <c r="CR31" s="1147"/>
      <c r="CS31" s="1147"/>
      <c r="CT31" s="1147"/>
      <c r="CU31" s="1147"/>
      <c r="CV31" s="1147"/>
      <c r="CW31" s="1147"/>
      <c r="CX31" s="1147"/>
      <c r="CY31" s="1147"/>
      <c r="CZ31" s="1147"/>
      <c r="DA31" s="1147"/>
      <c r="DB31" s="1147"/>
      <c r="DC31" s="1147"/>
      <c r="DD31" s="1147"/>
      <c r="DE31" s="1148"/>
      <c r="DH31" s="1145">
        <f t="shared" si="92"/>
        <v>0</v>
      </c>
      <c r="DI31" s="1146">
        <f t="shared" si="1"/>
        <v>0</v>
      </c>
      <c r="DJ31" s="1146">
        <f t="shared" si="1"/>
        <v>0</v>
      </c>
      <c r="DK31" s="1146">
        <f t="shared" si="1"/>
        <v>0</v>
      </c>
      <c r="DL31" s="1146">
        <f t="shared" si="1"/>
        <v>0</v>
      </c>
      <c r="DM31" s="1146">
        <f t="shared" si="1"/>
        <v>0</v>
      </c>
      <c r="DN31" s="1146">
        <f t="shared" si="1"/>
        <v>0</v>
      </c>
      <c r="DO31" s="1146">
        <f t="shared" si="1"/>
        <v>8</v>
      </c>
      <c r="DP31" s="1146">
        <f t="shared" si="1"/>
        <v>0</v>
      </c>
      <c r="DQ31" s="1146">
        <f t="shared" si="2"/>
        <v>0</v>
      </c>
      <c r="DR31" s="1146">
        <f t="shared" si="3"/>
        <v>0</v>
      </c>
      <c r="DS31" s="1146">
        <f t="shared" si="4"/>
        <v>0</v>
      </c>
      <c r="DT31" s="1146">
        <f t="shared" si="5"/>
        <v>0</v>
      </c>
      <c r="DU31" s="1146">
        <f t="shared" si="6"/>
        <v>0</v>
      </c>
      <c r="DV31" s="1146">
        <f t="shared" si="7"/>
        <v>0</v>
      </c>
      <c r="DW31" s="1146">
        <f t="shared" si="8"/>
        <v>0</v>
      </c>
      <c r="DX31" s="1146">
        <f t="shared" si="9"/>
        <v>0</v>
      </c>
      <c r="DY31" s="1146">
        <f t="shared" si="10"/>
        <v>0</v>
      </c>
      <c r="DZ31" s="1146">
        <f t="shared" si="10"/>
        <v>0</v>
      </c>
      <c r="EA31" s="1146">
        <f t="shared" si="11"/>
        <v>0</v>
      </c>
      <c r="EB31" s="1146">
        <f t="shared" si="12"/>
        <v>0</v>
      </c>
      <c r="EC31" s="1146">
        <f t="shared" si="13"/>
        <v>0</v>
      </c>
      <c r="ED31" s="1146">
        <f t="shared" si="14"/>
        <v>0</v>
      </c>
      <c r="EE31" s="1146">
        <f t="shared" si="15"/>
        <v>0</v>
      </c>
      <c r="EF31" s="1146">
        <f t="shared" si="16"/>
        <v>0</v>
      </c>
      <c r="EG31" s="1146">
        <f t="shared" si="17"/>
        <v>0</v>
      </c>
      <c r="EH31" s="1146">
        <f t="shared" si="18"/>
        <v>0</v>
      </c>
      <c r="EI31" s="1146">
        <f t="shared" si="18"/>
        <v>0</v>
      </c>
      <c r="EJ31" s="1146">
        <f t="shared" si="19"/>
        <v>0</v>
      </c>
      <c r="EK31" s="1146">
        <f t="shared" si="20"/>
        <v>0</v>
      </c>
      <c r="EL31" s="1146">
        <f t="shared" si="21"/>
        <v>0</v>
      </c>
      <c r="EM31" s="1146">
        <f t="shared" si="22"/>
        <v>0</v>
      </c>
      <c r="EN31" s="1146">
        <f t="shared" si="23"/>
        <v>0</v>
      </c>
      <c r="EO31" s="1146">
        <f t="shared" si="24"/>
        <v>0</v>
      </c>
      <c r="EP31" s="1146">
        <f t="shared" si="25"/>
        <v>0</v>
      </c>
      <c r="EQ31" s="1146">
        <f t="shared" si="26"/>
        <v>0</v>
      </c>
      <c r="ER31" s="1146">
        <f t="shared" si="26"/>
        <v>0</v>
      </c>
      <c r="ES31" s="1146">
        <f t="shared" si="27"/>
        <v>0</v>
      </c>
      <c r="ET31" s="1146">
        <f t="shared" si="28"/>
        <v>0</v>
      </c>
      <c r="EU31" s="1146">
        <f t="shared" si="29"/>
        <v>0</v>
      </c>
      <c r="EV31" s="1146">
        <f t="shared" si="30"/>
        <v>0</v>
      </c>
      <c r="EW31" s="1146">
        <f t="shared" si="31"/>
        <v>0</v>
      </c>
      <c r="EX31" s="1146">
        <f t="shared" si="32"/>
        <v>0</v>
      </c>
      <c r="EY31" s="1146">
        <f t="shared" si="33"/>
        <v>0</v>
      </c>
      <c r="EZ31" s="1146">
        <f t="shared" si="34"/>
        <v>0</v>
      </c>
      <c r="FA31" s="1146">
        <f t="shared" si="34"/>
        <v>0</v>
      </c>
      <c r="FB31" s="1146">
        <f t="shared" si="35"/>
        <v>0</v>
      </c>
      <c r="FC31" s="1146">
        <f t="shared" si="36"/>
        <v>0</v>
      </c>
      <c r="FD31" s="1146">
        <f t="shared" si="37"/>
        <v>0</v>
      </c>
      <c r="FE31" s="1146">
        <f t="shared" si="38"/>
        <v>0</v>
      </c>
      <c r="FF31" s="1146">
        <f t="shared" si="39"/>
        <v>0</v>
      </c>
      <c r="FG31" s="1146">
        <f t="shared" si="40"/>
        <v>0</v>
      </c>
      <c r="FH31" s="1146">
        <f t="shared" si="41"/>
        <v>0</v>
      </c>
      <c r="FI31" s="1146">
        <f t="shared" si="42"/>
        <v>0</v>
      </c>
      <c r="FJ31" s="1146">
        <f t="shared" si="42"/>
        <v>0</v>
      </c>
      <c r="FK31" s="1146">
        <f t="shared" si="43"/>
        <v>0</v>
      </c>
      <c r="FL31" s="1146">
        <f t="shared" si="44"/>
        <v>0</v>
      </c>
      <c r="FM31" s="1146">
        <f t="shared" si="45"/>
        <v>0</v>
      </c>
      <c r="FN31" s="1146">
        <f t="shared" si="46"/>
        <v>0</v>
      </c>
      <c r="FO31" s="1146">
        <f t="shared" si="47"/>
        <v>0</v>
      </c>
      <c r="FP31" s="1146">
        <f t="shared" si="48"/>
        <v>0</v>
      </c>
      <c r="FQ31" s="1146">
        <f t="shared" si="49"/>
        <v>0</v>
      </c>
      <c r="FR31" s="1146">
        <f t="shared" si="50"/>
        <v>0</v>
      </c>
      <c r="FS31" s="1146">
        <f t="shared" si="50"/>
        <v>0</v>
      </c>
      <c r="FT31" s="1146">
        <f t="shared" si="51"/>
        <v>0</v>
      </c>
      <c r="FU31" s="1146">
        <f t="shared" si="52"/>
        <v>0</v>
      </c>
      <c r="FV31" s="1146">
        <f t="shared" si="53"/>
        <v>0</v>
      </c>
      <c r="FW31" s="1146">
        <f t="shared" si="54"/>
        <v>0</v>
      </c>
      <c r="FX31" s="1146">
        <f t="shared" si="55"/>
        <v>0</v>
      </c>
      <c r="FY31" s="1146">
        <f t="shared" si="56"/>
        <v>0</v>
      </c>
      <c r="FZ31" s="1146">
        <f t="shared" si="57"/>
        <v>0</v>
      </c>
      <c r="GA31" s="1146">
        <f t="shared" si="58"/>
        <v>0</v>
      </c>
      <c r="GB31" s="1146">
        <f t="shared" si="58"/>
        <v>0</v>
      </c>
      <c r="GC31" s="1146">
        <f t="shared" si="59"/>
        <v>0</v>
      </c>
      <c r="GD31" s="1146">
        <f t="shared" si="60"/>
        <v>0</v>
      </c>
      <c r="GE31" s="1146">
        <f t="shared" si="61"/>
        <v>0</v>
      </c>
      <c r="GF31" s="1146">
        <f t="shared" si="62"/>
        <v>0</v>
      </c>
      <c r="GG31" s="1146">
        <f t="shared" si="63"/>
        <v>0</v>
      </c>
      <c r="GH31" s="1146">
        <f t="shared" si="64"/>
        <v>0</v>
      </c>
      <c r="GI31" s="1146">
        <f t="shared" si="65"/>
        <v>0</v>
      </c>
      <c r="GJ31" s="1146">
        <f t="shared" si="66"/>
        <v>0</v>
      </c>
      <c r="GK31" s="1146">
        <f t="shared" si="66"/>
        <v>0</v>
      </c>
      <c r="GL31" s="1146">
        <f t="shared" si="67"/>
        <v>0</v>
      </c>
      <c r="GM31" s="1146">
        <f t="shared" si="68"/>
        <v>0</v>
      </c>
      <c r="GN31" s="1146">
        <f t="shared" si="69"/>
        <v>0</v>
      </c>
      <c r="GO31" s="1146">
        <f t="shared" si="70"/>
        <v>0</v>
      </c>
      <c r="GP31" s="1146">
        <f t="shared" si="71"/>
        <v>0</v>
      </c>
      <c r="GQ31" s="1146">
        <f t="shared" si="72"/>
        <v>0</v>
      </c>
      <c r="GR31" s="1146">
        <f t="shared" si="73"/>
        <v>0</v>
      </c>
      <c r="GS31" s="1146">
        <f t="shared" si="74"/>
        <v>0</v>
      </c>
      <c r="GT31" s="1146">
        <f t="shared" si="74"/>
        <v>0</v>
      </c>
      <c r="GU31" s="1146">
        <f t="shared" si="75"/>
        <v>0</v>
      </c>
      <c r="GV31" s="1146">
        <f t="shared" si="76"/>
        <v>0</v>
      </c>
      <c r="GW31" s="1146">
        <f t="shared" si="77"/>
        <v>0</v>
      </c>
      <c r="GX31" s="1146">
        <f t="shared" si="78"/>
        <v>0</v>
      </c>
      <c r="GY31" s="1146">
        <f t="shared" si="79"/>
        <v>0</v>
      </c>
      <c r="GZ31" s="1146">
        <f t="shared" si="80"/>
        <v>0</v>
      </c>
      <c r="HA31" s="1146">
        <f t="shared" si="81"/>
        <v>0</v>
      </c>
      <c r="HB31" s="1146">
        <f t="shared" si="82"/>
        <v>0</v>
      </c>
      <c r="HC31" s="1146">
        <f t="shared" si="82"/>
        <v>0</v>
      </c>
      <c r="HD31" s="1146">
        <f t="shared" si="83"/>
        <v>0</v>
      </c>
      <c r="HE31" s="1146">
        <f t="shared" si="84"/>
        <v>0</v>
      </c>
      <c r="HF31" s="1146">
        <f t="shared" si="85"/>
        <v>0</v>
      </c>
      <c r="HG31" s="1146">
        <f t="shared" si="86"/>
        <v>0</v>
      </c>
      <c r="HH31" s="1146">
        <f t="shared" si="87"/>
        <v>0</v>
      </c>
      <c r="HI31" s="1146">
        <f t="shared" si="88"/>
        <v>0</v>
      </c>
      <c r="HJ31" s="1146">
        <f t="shared" si="89"/>
        <v>0</v>
      </c>
      <c r="HK31" s="1183">
        <f t="shared" si="90"/>
        <v>0</v>
      </c>
      <c r="HL31" s="1184">
        <f t="shared" si="93"/>
        <v>8</v>
      </c>
    </row>
    <row r="32" spans="1:220" s="998" customFormat="1" x14ac:dyDescent="0.2">
      <c r="A32" s="997" t="str">
        <f t="shared" si="91"/>
        <v>Retourneur à lingot</v>
      </c>
      <c r="B32" s="1145" t="s">
        <v>1282</v>
      </c>
      <c r="C32" s="1146" t="s">
        <v>1283</v>
      </c>
      <c r="D32" s="1146"/>
      <c r="E32" s="1146"/>
      <c r="F32" s="1146"/>
      <c r="G32" s="1146"/>
      <c r="H32" s="1146" t="s">
        <v>1284</v>
      </c>
      <c r="I32" s="1146"/>
      <c r="J32" s="1146" t="s">
        <v>1285</v>
      </c>
      <c r="K32" s="1146" t="s">
        <v>1286</v>
      </c>
      <c r="L32" s="1146"/>
      <c r="M32" s="1146" t="s">
        <v>1287</v>
      </c>
      <c r="N32" s="1146"/>
      <c r="O32" s="1146"/>
      <c r="P32" s="1146"/>
      <c r="Q32" s="1146"/>
      <c r="R32" s="1146"/>
      <c r="S32" s="1146"/>
      <c r="T32" s="1146"/>
      <c r="U32" s="1146"/>
      <c r="V32" s="1146"/>
      <c r="W32" s="1146"/>
      <c r="X32" s="1146"/>
      <c r="Y32" s="1149" t="s">
        <v>1288</v>
      </c>
      <c r="Z32" s="1149"/>
      <c r="AA32" s="1149"/>
      <c r="AB32" s="1149"/>
      <c r="AC32" s="1149"/>
      <c r="AD32" s="1149"/>
      <c r="AE32" s="1149"/>
      <c r="AF32" s="1149"/>
      <c r="AG32" s="1149"/>
      <c r="AH32" s="1149"/>
      <c r="AI32" s="1149"/>
      <c r="AJ32" s="1149"/>
      <c r="AK32" s="1149"/>
      <c r="AL32" s="1146"/>
      <c r="AM32" s="1146"/>
      <c r="AN32" s="1146"/>
      <c r="AO32" s="1146"/>
      <c r="AP32" s="1146"/>
      <c r="AQ32" s="1146"/>
      <c r="AR32" s="1146"/>
      <c r="AS32" s="1146"/>
      <c r="AT32" s="1146"/>
      <c r="AU32" s="1146"/>
      <c r="AV32" s="1146"/>
      <c r="AW32" s="1146"/>
      <c r="AX32" s="1147"/>
      <c r="AY32" s="1147"/>
      <c r="AZ32" s="1147"/>
      <c r="BA32" s="1147"/>
      <c r="BB32" s="1147"/>
      <c r="BC32" s="1147"/>
      <c r="BD32" s="1147"/>
      <c r="BE32" s="1147"/>
      <c r="BF32" s="1147"/>
      <c r="BG32" s="1147"/>
      <c r="BH32" s="1147"/>
      <c r="BI32" s="1147"/>
      <c r="BJ32" s="1147"/>
      <c r="BK32" s="1147"/>
      <c r="BL32" s="1147"/>
      <c r="BM32" s="1147"/>
      <c r="BN32" s="1147"/>
      <c r="BO32" s="1147"/>
      <c r="BP32" s="1147"/>
      <c r="BQ32" s="1147"/>
      <c r="BR32" s="1147"/>
      <c r="BS32" s="1147"/>
      <c r="BT32" s="1147"/>
      <c r="BU32" s="1147"/>
      <c r="BV32" s="1147"/>
      <c r="BW32" s="1147"/>
      <c r="BX32" s="1147"/>
      <c r="BY32" s="1147"/>
      <c r="BZ32" s="1147"/>
      <c r="CA32" s="1147"/>
      <c r="CB32" s="1147"/>
      <c r="CC32" s="1147"/>
      <c r="CD32" s="1147"/>
      <c r="CE32" s="1147"/>
      <c r="CF32" s="1147"/>
      <c r="CG32" s="1147"/>
      <c r="CH32" s="1147"/>
      <c r="CI32" s="1147"/>
      <c r="CJ32" s="1147"/>
      <c r="CK32" s="1147"/>
      <c r="CL32" s="1147"/>
      <c r="CM32" s="1147"/>
      <c r="CN32" s="1147"/>
      <c r="CO32" s="1147"/>
      <c r="CP32" s="1147"/>
      <c r="CQ32" s="1147"/>
      <c r="CR32" s="1147"/>
      <c r="CS32" s="1147"/>
      <c r="CT32" s="1147"/>
      <c r="CU32" s="1147"/>
      <c r="CV32" s="1147"/>
      <c r="CW32" s="1147"/>
      <c r="CX32" s="1147"/>
      <c r="CY32" s="1147"/>
      <c r="CZ32" s="1147"/>
      <c r="DA32" s="1147"/>
      <c r="DB32" s="1147"/>
      <c r="DC32" s="1147"/>
      <c r="DD32" s="1147"/>
      <c r="DE32" s="1148"/>
      <c r="DH32" s="1145">
        <f t="shared" si="92"/>
        <v>0</v>
      </c>
      <c r="DI32" s="1146">
        <f t="shared" si="1"/>
        <v>0</v>
      </c>
      <c r="DJ32" s="1146">
        <f t="shared" si="1"/>
        <v>0</v>
      </c>
      <c r="DK32" s="1146">
        <f t="shared" si="1"/>
        <v>0</v>
      </c>
      <c r="DL32" s="1146">
        <f t="shared" si="1"/>
        <v>0</v>
      </c>
      <c r="DM32" s="1146">
        <f t="shared" si="1"/>
        <v>0</v>
      </c>
      <c r="DN32" s="1146">
        <f t="shared" si="1"/>
        <v>0</v>
      </c>
      <c r="DO32" s="1146">
        <f t="shared" si="1"/>
        <v>0</v>
      </c>
      <c r="DP32" s="1146">
        <f t="shared" si="1"/>
        <v>0</v>
      </c>
      <c r="DQ32" s="1146">
        <f t="shared" si="2"/>
        <v>10</v>
      </c>
      <c r="DR32" s="1146">
        <f t="shared" si="3"/>
        <v>0</v>
      </c>
      <c r="DS32" s="1146">
        <f t="shared" si="4"/>
        <v>0</v>
      </c>
      <c r="DT32" s="1146">
        <f t="shared" si="5"/>
        <v>0</v>
      </c>
      <c r="DU32" s="1146">
        <f t="shared" si="6"/>
        <v>0</v>
      </c>
      <c r="DV32" s="1146">
        <f t="shared" si="7"/>
        <v>0</v>
      </c>
      <c r="DW32" s="1146">
        <f t="shared" si="8"/>
        <v>0</v>
      </c>
      <c r="DX32" s="1146">
        <f t="shared" si="9"/>
        <v>0</v>
      </c>
      <c r="DY32" s="1146">
        <f t="shared" si="10"/>
        <v>0</v>
      </c>
      <c r="DZ32" s="1146">
        <f t="shared" si="10"/>
        <v>0</v>
      </c>
      <c r="EA32" s="1146">
        <f t="shared" si="11"/>
        <v>0</v>
      </c>
      <c r="EB32" s="1146">
        <f t="shared" si="12"/>
        <v>0</v>
      </c>
      <c r="EC32" s="1146">
        <f t="shared" si="13"/>
        <v>0</v>
      </c>
      <c r="ED32" s="1146">
        <f t="shared" si="14"/>
        <v>0</v>
      </c>
      <c r="EE32" s="1146">
        <f t="shared" si="15"/>
        <v>0</v>
      </c>
      <c r="EF32" s="1146">
        <f t="shared" si="16"/>
        <v>0</v>
      </c>
      <c r="EG32" s="1146">
        <f t="shared" si="17"/>
        <v>0</v>
      </c>
      <c r="EH32" s="1146">
        <f t="shared" si="18"/>
        <v>0</v>
      </c>
      <c r="EI32" s="1146">
        <f t="shared" si="18"/>
        <v>0</v>
      </c>
      <c r="EJ32" s="1146">
        <f t="shared" si="19"/>
        <v>0</v>
      </c>
      <c r="EK32" s="1146">
        <f t="shared" si="20"/>
        <v>0</v>
      </c>
      <c r="EL32" s="1146">
        <f t="shared" si="21"/>
        <v>0</v>
      </c>
      <c r="EM32" s="1146">
        <f t="shared" si="22"/>
        <v>0</v>
      </c>
      <c r="EN32" s="1146">
        <f t="shared" si="23"/>
        <v>0</v>
      </c>
      <c r="EO32" s="1146">
        <f t="shared" si="24"/>
        <v>0</v>
      </c>
      <c r="EP32" s="1146">
        <f t="shared" si="25"/>
        <v>0</v>
      </c>
      <c r="EQ32" s="1146">
        <f t="shared" si="26"/>
        <v>0</v>
      </c>
      <c r="ER32" s="1146">
        <f t="shared" si="26"/>
        <v>0</v>
      </c>
      <c r="ES32" s="1146">
        <f t="shared" si="27"/>
        <v>0</v>
      </c>
      <c r="ET32" s="1146">
        <f t="shared" si="28"/>
        <v>0</v>
      </c>
      <c r="EU32" s="1146">
        <f t="shared" si="29"/>
        <v>0</v>
      </c>
      <c r="EV32" s="1146">
        <f t="shared" si="30"/>
        <v>0</v>
      </c>
      <c r="EW32" s="1146">
        <f t="shared" si="31"/>
        <v>0</v>
      </c>
      <c r="EX32" s="1146">
        <f t="shared" si="32"/>
        <v>0</v>
      </c>
      <c r="EY32" s="1146">
        <f t="shared" si="33"/>
        <v>0</v>
      </c>
      <c r="EZ32" s="1146">
        <f t="shared" si="34"/>
        <v>0</v>
      </c>
      <c r="FA32" s="1146">
        <f t="shared" si="34"/>
        <v>0</v>
      </c>
      <c r="FB32" s="1146">
        <f t="shared" si="35"/>
        <v>0</v>
      </c>
      <c r="FC32" s="1146">
        <f t="shared" si="36"/>
        <v>0</v>
      </c>
      <c r="FD32" s="1146">
        <f t="shared" si="37"/>
        <v>0</v>
      </c>
      <c r="FE32" s="1146">
        <f t="shared" si="38"/>
        <v>0</v>
      </c>
      <c r="FF32" s="1146">
        <f t="shared" si="39"/>
        <v>0</v>
      </c>
      <c r="FG32" s="1146">
        <f t="shared" si="40"/>
        <v>0</v>
      </c>
      <c r="FH32" s="1146">
        <f t="shared" si="41"/>
        <v>0</v>
      </c>
      <c r="FI32" s="1146">
        <f t="shared" si="42"/>
        <v>0</v>
      </c>
      <c r="FJ32" s="1146">
        <f t="shared" si="42"/>
        <v>0</v>
      </c>
      <c r="FK32" s="1146">
        <f t="shared" si="43"/>
        <v>0</v>
      </c>
      <c r="FL32" s="1146">
        <f t="shared" si="44"/>
        <v>0</v>
      </c>
      <c r="FM32" s="1146">
        <f t="shared" si="45"/>
        <v>0</v>
      </c>
      <c r="FN32" s="1146">
        <f t="shared" si="46"/>
        <v>0</v>
      </c>
      <c r="FO32" s="1146">
        <f t="shared" si="47"/>
        <v>0</v>
      </c>
      <c r="FP32" s="1146">
        <f t="shared" si="48"/>
        <v>0</v>
      </c>
      <c r="FQ32" s="1146">
        <f t="shared" si="49"/>
        <v>0</v>
      </c>
      <c r="FR32" s="1146">
        <f t="shared" si="50"/>
        <v>0</v>
      </c>
      <c r="FS32" s="1146">
        <f t="shared" si="50"/>
        <v>0</v>
      </c>
      <c r="FT32" s="1146">
        <f t="shared" si="51"/>
        <v>0</v>
      </c>
      <c r="FU32" s="1146">
        <f t="shared" si="52"/>
        <v>0</v>
      </c>
      <c r="FV32" s="1146">
        <f t="shared" si="53"/>
        <v>0</v>
      </c>
      <c r="FW32" s="1146">
        <f t="shared" si="54"/>
        <v>0</v>
      </c>
      <c r="FX32" s="1146">
        <f t="shared" si="55"/>
        <v>0</v>
      </c>
      <c r="FY32" s="1146">
        <f t="shared" si="56"/>
        <v>0</v>
      </c>
      <c r="FZ32" s="1146">
        <f t="shared" si="57"/>
        <v>0</v>
      </c>
      <c r="GA32" s="1146">
        <f t="shared" si="58"/>
        <v>0</v>
      </c>
      <c r="GB32" s="1146">
        <f t="shared" si="58"/>
        <v>0</v>
      </c>
      <c r="GC32" s="1146">
        <f t="shared" si="59"/>
        <v>0</v>
      </c>
      <c r="GD32" s="1146">
        <f t="shared" si="60"/>
        <v>0</v>
      </c>
      <c r="GE32" s="1146">
        <f t="shared" si="61"/>
        <v>0</v>
      </c>
      <c r="GF32" s="1146">
        <f t="shared" si="62"/>
        <v>0</v>
      </c>
      <c r="GG32" s="1146">
        <f t="shared" si="63"/>
        <v>0</v>
      </c>
      <c r="GH32" s="1146">
        <f t="shared" si="64"/>
        <v>0</v>
      </c>
      <c r="GI32" s="1146">
        <f t="shared" si="65"/>
        <v>0</v>
      </c>
      <c r="GJ32" s="1146">
        <f t="shared" si="66"/>
        <v>0</v>
      </c>
      <c r="GK32" s="1146">
        <f t="shared" si="66"/>
        <v>0</v>
      </c>
      <c r="GL32" s="1146">
        <f t="shared" si="67"/>
        <v>0</v>
      </c>
      <c r="GM32" s="1146">
        <f t="shared" si="68"/>
        <v>0</v>
      </c>
      <c r="GN32" s="1146">
        <f t="shared" si="69"/>
        <v>0</v>
      </c>
      <c r="GO32" s="1146">
        <f t="shared" si="70"/>
        <v>0</v>
      </c>
      <c r="GP32" s="1146">
        <f t="shared" si="71"/>
        <v>0</v>
      </c>
      <c r="GQ32" s="1146">
        <f t="shared" si="72"/>
        <v>0</v>
      </c>
      <c r="GR32" s="1146">
        <f t="shared" si="73"/>
        <v>0</v>
      </c>
      <c r="GS32" s="1146">
        <f t="shared" si="74"/>
        <v>0</v>
      </c>
      <c r="GT32" s="1146">
        <f t="shared" si="74"/>
        <v>0</v>
      </c>
      <c r="GU32" s="1146">
        <f t="shared" si="75"/>
        <v>0</v>
      </c>
      <c r="GV32" s="1146">
        <f t="shared" si="76"/>
        <v>0</v>
      </c>
      <c r="GW32" s="1146">
        <f t="shared" si="77"/>
        <v>0</v>
      </c>
      <c r="GX32" s="1146">
        <f t="shared" si="78"/>
        <v>0</v>
      </c>
      <c r="GY32" s="1146">
        <f t="shared" si="79"/>
        <v>0</v>
      </c>
      <c r="GZ32" s="1146">
        <f t="shared" si="80"/>
        <v>0</v>
      </c>
      <c r="HA32" s="1146">
        <f t="shared" si="81"/>
        <v>0</v>
      </c>
      <c r="HB32" s="1146">
        <f t="shared" si="82"/>
        <v>0</v>
      </c>
      <c r="HC32" s="1146">
        <f t="shared" si="82"/>
        <v>0</v>
      </c>
      <c r="HD32" s="1146">
        <f t="shared" si="83"/>
        <v>0</v>
      </c>
      <c r="HE32" s="1146">
        <f t="shared" si="84"/>
        <v>0</v>
      </c>
      <c r="HF32" s="1146">
        <f t="shared" si="85"/>
        <v>0</v>
      </c>
      <c r="HG32" s="1146">
        <f t="shared" si="86"/>
        <v>0</v>
      </c>
      <c r="HH32" s="1146">
        <f t="shared" si="87"/>
        <v>0</v>
      </c>
      <c r="HI32" s="1146">
        <f t="shared" si="88"/>
        <v>0</v>
      </c>
      <c r="HJ32" s="1146">
        <f t="shared" si="89"/>
        <v>0</v>
      </c>
      <c r="HK32" s="1183">
        <f t="shared" si="90"/>
        <v>0</v>
      </c>
      <c r="HL32" s="1184">
        <f t="shared" si="93"/>
        <v>10</v>
      </c>
    </row>
    <row r="33" spans="1:220" s="998" customFormat="1" x14ac:dyDescent="0.2">
      <c r="A33" s="997" t="str">
        <f t="shared" si="91"/>
        <v>Unité de pesage et briquetage :</v>
      </c>
      <c r="B33" s="1145" t="s">
        <v>1282</v>
      </c>
      <c r="C33" s="1146"/>
      <c r="D33" s="1146" t="s">
        <v>1283</v>
      </c>
      <c r="E33" s="1146"/>
      <c r="F33" s="1146"/>
      <c r="G33" s="1146"/>
      <c r="H33" s="1146" t="s">
        <v>1284</v>
      </c>
      <c r="I33" s="1146"/>
      <c r="J33" s="1146" t="s">
        <v>1285</v>
      </c>
      <c r="K33" s="1146"/>
      <c r="L33" s="1146" t="s">
        <v>1286</v>
      </c>
      <c r="M33" s="1146"/>
      <c r="N33" s="1146" t="s">
        <v>1287</v>
      </c>
      <c r="O33" s="1146"/>
      <c r="P33" s="1146"/>
      <c r="Q33" s="1146"/>
      <c r="R33" s="1146"/>
      <c r="S33" s="1146"/>
      <c r="T33" s="1146"/>
      <c r="U33" s="1146"/>
      <c r="V33" s="1146"/>
      <c r="W33" s="1146"/>
      <c r="X33" s="1146"/>
      <c r="Y33" s="1146"/>
      <c r="Z33" s="1146" t="s">
        <v>1288</v>
      </c>
      <c r="AA33" s="1149"/>
      <c r="AB33" s="1149"/>
      <c r="AC33" s="1149"/>
      <c r="AD33" s="1149"/>
      <c r="AE33" s="1149"/>
      <c r="AF33" s="1149"/>
      <c r="AG33" s="1149"/>
      <c r="AH33" s="1149"/>
      <c r="AI33" s="1149"/>
      <c r="AJ33" s="1149"/>
      <c r="AK33" s="1149"/>
      <c r="AL33" s="1146"/>
      <c r="AM33" s="1146"/>
      <c r="AN33" s="1146"/>
      <c r="AO33" s="1146"/>
      <c r="AP33" s="1146"/>
      <c r="AQ33" s="1146"/>
      <c r="AR33" s="1146"/>
      <c r="AS33" s="1146"/>
      <c r="AT33" s="1146"/>
      <c r="AU33" s="1146"/>
      <c r="AV33" s="1146"/>
      <c r="AW33" s="1146"/>
      <c r="AX33" s="1147"/>
      <c r="AY33" s="1147"/>
      <c r="AZ33" s="1147"/>
      <c r="BA33" s="1147"/>
      <c r="BB33" s="1147"/>
      <c r="BC33" s="1147"/>
      <c r="BD33" s="1147"/>
      <c r="BE33" s="1147"/>
      <c r="BF33" s="1147"/>
      <c r="BG33" s="1147"/>
      <c r="BH33" s="1147"/>
      <c r="BI33" s="1147"/>
      <c r="BJ33" s="1147"/>
      <c r="BK33" s="1147"/>
      <c r="BL33" s="1147"/>
      <c r="BM33" s="1147"/>
      <c r="BN33" s="1147"/>
      <c r="BO33" s="1147"/>
      <c r="BP33" s="1147"/>
      <c r="BQ33" s="1147"/>
      <c r="BR33" s="1147"/>
      <c r="BS33" s="1147"/>
      <c r="BT33" s="1147"/>
      <c r="BU33" s="1147"/>
      <c r="BV33" s="1147"/>
      <c r="BW33" s="1147"/>
      <c r="BX33" s="1147"/>
      <c r="BY33" s="1147"/>
      <c r="BZ33" s="1147"/>
      <c r="CA33" s="1147"/>
      <c r="CB33" s="1147"/>
      <c r="CC33" s="1147"/>
      <c r="CD33" s="1147"/>
      <c r="CE33" s="1147"/>
      <c r="CF33" s="1147"/>
      <c r="CG33" s="1147"/>
      <c r="CH33" s="1147"/>
      <c r="CI33" s="1147"/>
      <c r="CJ33" s="1147"/>
      <c r="CK33" s="1147"/>
      <c r="CL33" s="1147"/>
      <c r="CM33" s="1147"/>
      <c r="CN33" s="1147"/>
      <c r="CO33" s="1147"/>
      <c r="CP33" s="1147"/>
      <c r="CQ33" s="1147"/>
      <c r="CR33" s="1147"/>
      <c r="CS33" s="1147"/>
      <c r="CT33" s="1147"/>
      <c r="CU33" s="1147"/>
      <c r="CV33" s="1147"/>
      <c r="CW33" s="1147"/>
      <c r="CX33" s="1147"/>
      <c r="CY33" s="1147"/>
      <c r="CZ33" s="1147"/>
      <c r="DA33" s="1147"/>
      <c r="DB33" s="1147"/>
      <c r="DC33" s="1147"/>
      <c r="DD33" s="1147"/>
      <c r="DE33" s="1148"/>
      <c r="DH33" s="1145">
        <f t="shared" si="92"/>
        <v>0</v>
      </c>
      <c r="DI33" s="1146">
        <f t="shared" si="1"/>
        <v>0</v>
      </c>
      <c r="DJ33" s="1146">
        <f t="shared" si="1"/>
        <v>0</v>
      </c>
      <c r="DK33" s="1146">
        <f t="shared" si="1"/>
        <v>0</v>
      </c>
      <c r="DL33" s="1146">
        <f t="shared" si="1"/>
        <v>0</v>
      </c>
      <c r="DM33" s="1146">
        <f t="shared" si="1"/>
        <v>0</v>
      </c>
      <c r="DN33" s="1146">
        <f t="shared" si="1"/>
        <v>0</v>
      </c>
      <c r="DO33" s="1146">
        <f t="shared" si="1"/>
        <v>0</v>
      </c>
      <c r="DP33" s="1146">
        <f t="shared" si="1"/>
        <v>0</v>
      </c>
      <c r="DQ33" s="1146">
        <f t="shared" si="2"/>
        <v>0</v>
      </c>
      <c r="DR33" s="1146">
        <f t="shared" si="3"/>
        <v>11</v>
      </c>
      <c r="DS33" s="1146">
        <f t="shared" si="4"/>
        <v>0</v>
      </c>
      <c r="DT33" s="1146">
        <f t="shared" si="5"/>
        <v>0</v>
      </c>
      <c r="DU33" s="1146">
        <f t="shared" si="6"/>
        <v>0</v>
      </c>
      <c r="DV33" s="1146">
        <f t="shared" si="7"/>
        <v>0</v>
      </c>
      <c r="DW33" s="1146">
        <f t="shared" si="8"/>
        <v>0</v>
      </c>
      <c r="DX33" s="1146">
        <f t="shared" si="9"/>
        <v>0</v>
      </c>
      <c r="DY33" s="1146">
        <f t="shared" si="10"/>
        <v>0</v>
      </c>
      <c r="DZ33" s="1146">
        <f t="shared" si="10"/>
        <v>0</v>
      </c>
      <c r="EA33" s="1146">
        <f t="shared" si="11"/>
        <v>0</v>
      </c>
      <c r="EB33" s="1146">
        <f t="shared" si="12"/>
        <v>0</v>
      </c>
      <c r="EC33" s="1146">
        <f t="shared" si="13"/>
        <v>0</v>
      </c>
      <c r="ED33" s="1146">
        <f t="shared" si="14"/>
        <v>0</v>
      </c>
      <c r="EE33" s="1146">
        <f t="shared" si="15"/>
        <v>0</v>
      </c>
      <c r="EF33" s="1146">
        <f t="shared" si="16"/>
        <v>0</v>
      </c>
      <c r="EG33" s="1146">
        <f t="shared" si="17"/>
        <v>0</v>
      </c>
      <c r="EH33" s="1146">
        <f t="shared" si="18"/>
        <v>0</v>
      </c>
      <c r="EI33" s="1146">
        <f t="shared" si="18"/>
        <v>0</v>
      </c>
      <c r="EJ33" s="1146">
        <f t="shared" si="19"/>
        <v>0</v>
      </c>
      <c r="EK33" s="1146">
        <f t="shared" si="20"/>
        <v>0</v>
      </c>
      <c r="EL33" s="1146">
        <f t="shared" si="21"/>
        <v>0</v>
      </c>
      <c r="EM33" s="1146">
        <f t="shared" si="22"/>
        <v>0</v>
      </c>
      <c r="EN33" s="1146">
        <f t="shared" si="23"/>
        <v>0</v>
      </c>
      <c r="EO33" s="1146">
        <f t="shared" si="24"/>
        <v>0</v>
      </c>
      <c r="EP33" s="1146">
        <f t="shared" si="25"/>
        <v>0</v>
      </c>
      <c r="EQ33" s="1146">
        <f t="shared" si="26"/>
        <v>0</v>
      </c>
      <c r="ER33" s="1146">
        <f t="shared" si="26"/>
        <v>0</v>
      </c>
      <c r="ES33" s="1146">
        <f t="shared" si="27"/>
        <v>0</v>
      </c>
      <c r="ET33" s="1146">
        <f t="shared" si="28"/>
        <v>0</v>
      </c>
      <c r="EU33" s="1146">
        <f t="shared" si="29"/>
        <v>0</v>
      </c>
      <c r="EV33" s="1146">
        <f t="shared" si="30"/>
        <v>0</v>
      </c>
      <c r="EW33" s="1146">
        <f t="shared" si="31"/>
        <v>0</v>
      </c>
      <c r="EX33" s="1146">
        <f t="shared" si="32"/>
        <v>0</v>
      </c>
      <c r="EY33" s="1146">
        <f t="shared" si="33"/>
        <v>0</v>
      </c>
      <c r="EZ33" s="1146">
        <f t="shared" si="34"/>
        <v>0</v>
      </c>
      <c r="FA33" s="1146">
        <f t="shared" si="34"/>
        <v>0</v>
      </c>
      <c r="FB33" s="1146">
        <f t="shared" si="35"/>
        <v>0</v>
      </c>
      <c r="FC33" s="1146">
        <f t="shared" si="36"/>
        <v>0</v>
      </c>
      <c r="FD33" s="1146">
        <f t="shared" si="37"/>
        <v>0</v>
      </c>
      <c r="FE33" s="1146">
        <f t="shared" si="38"/>
        <v>0</v>
      </c>
      <c r="FF33" s="1146">
        <f t="shared" si="39"/>
        <v>0</v>
      </c>
      <c r="FG33" s="1146">
        <f t="shared" si="40"/>
        <v>0</v>
      </c>
      <c r="FH33" s="1146">
        <f t="shared" si="41"/>
        <v>0</v>
      </c>
      <c r="FI33" s="1146">
        <f t="shared" si="42"/>
        <v>0</v>
      </c>
      <c r="FJ33" s="1146">
        <f t="shared" si="42"/>
        <v>0</v>
      </c>
      <c r="FK33" s="1146">
        <f t="shared" si="43"/>
        <v>0</v>
      </c>
      <c r="FL33" s="1146">
        <f t="shared" si="44"/>
        <v>0</v>
      </c>
      <c r="FM33" s="1146">
        <f t="shared" si="45"/>
        <v>0</v>
      </c>
      <c r="FN33" s="1146">
        <f t="shared" si="46"/>
        <v>0</v>
      </c>
      <c r="FO33" s="1146">
        <f t="shared" si="47"/>
        <v>0</v>
      </c>
      <c r="FP33" s="1146">
        <f t="shared" si="48"/>
        <v>0</v>
      </c>
      <c r="FQ33" s="1146">
        <f t="shared" si="49"/>
        <v>0</v>
      </c>
      <c r="FR33" s="1146">
        <f t="shared" si="50"/>
        <v>0</v>
      </c>
      <c r="FS33" s="1146">
        <f t="shared" si="50"/>
        <v>0</v>
      </c>
      <c r="FT33" s="1146">
        <f t="shared" si="51"/>
        <v>0</v>
      </c>
      <c r="FU33" s="1146">
        <f t="shared" si="52"/>
        <v>0</v>
      </c>
      <c r="FV33" s="1146">
        <f t="shared" si="53"/>
        <v>0</v>
      </c>
      <c r="FW33" s="1146">
        <f t="shared" si="54"/>
        <v>0</v>
      </c>
      <c r="FX33" s="1146">
        <f t="shared" si="55"/>
        <v>0</v>
      </c>
      <c r="FY33" s="1146">
        <f t="shared" si="56"/>
        <v>0</v>
      </c>
      <c r="FZ33" s="1146">
        <f t="shared" si="57"/>
        <v>0</v>
      </c>
      <c r="GA33" s="1146">
        <f t="shared" si="58"/>
        <v>0</v>
      </c>
      <c r="GB33" s="1146">
        <f t="shared" si="58"/>
        <v>0</v>
      </c>
      <c r="GC33" s="1146">
        <f t="shared" si="59"/>
        <v>0</v>
      </c>
      <c r="GD33" s="1146">
        <f t="shared" si="60"/>
        <v>0</v>
      </c>
      <c r="GE33" s="1146">
        <f t="shared" si="61"/>
        <v>0</v>
      </c>
      <c r="GF33" s="1146">
        <f t="shared" si="62"/>
        <v>0</v>
      </c>
      <c r="GG33" s="1146">
        <f t="shared" si="63"/>
        <v>0</v>
      </c>
      <c r="GH33" s="1146">
        <f t="shared" si="64"/>
        <v>0</v>
      </c>
      <c r="GI33" s="1146">
        <f t="shared" si="65"/>
        <v>0</v>
      </c>
      <c r="GJ33" s="1146">
        <f t="shared" si="66"/>
        <v>0</v>
      </c>
      <c r="GK33" s="1146">
        <f t="shared" si="66"/>
        <v>0</v>
      </c>
      <c r="GL33" s="1146">
        <f t="shared" si="67"/>
        <v>0</v>
      </c>
      <c r="GM33" s="1146">
        <f t="shared" si="68"/>
        <v>0</v>
      </c>
      <c r="GN33" s="1146">
        <f t="shared" si="69"/>
        <v>0</v>
      </c>
      <c r="GO33" s="1146">
        <f t="shared" si="70"/>
        <v>0</v>
      </c>
      <c r="GP33" s="1146">
        <f t="shared" si="71"/>
        <v>0</v>
      </c>
      <c r="GQ33" s="1146">
        <f t="shared" si="72"/>
        <v>0</v>
      </c>
      <c r="GR33" s="1146">
        <f t="shared" si="73"/>
        <v>0</v>
      </c>
      <c r="GS33" s="1146">
        <f t="shared" si="74"/>
        <v>0</v>
      </c>
      <c r="GT33" s="1146">
        <f t="shared" si="74"/>
        <v>0</v>
      </c>
      <c r="GU33" s="1146">
        <f t="shared" si="75"/>
        <v>0</v>
      </c>
      <c r="GV33" s="1146">
        <f t="shared" si="76"/>
        <v>0</v>
      </c>
      <c r="GW33" s="1146">
        <f t="shared" si="77"/>
        <v>0</v>
      </c>
      <c r="GX33" s="1146">
        <f t="shared" si="78"/>
        <v>0</v>
      </c>
      <c r="GY33" s="1146">
        <f t="shared" si="79"/>
        <v>0</v>
      </c>
      <c r="GZ33" s="1146">
        <f t="shared" si="80"/>
        <v>0</v>
      </c>
      <c r="HA33" s="1146">
        <f t="shared" si="81"/>
        <v>0</v>
      </c>
      <c r="HB33" s="1146">
        <f t="shared" si="82"/>
        <v>0</v>
      </c>
      <c r="HC33" s="1146">
        <f t="shared" si="82"/>
        <v>0</v>
      </c>
      <c r="HD33" s="1146">
        <f t="shared" si="83"/>
        <v>0</v>
      </c>
      <c r="HE33" s="1146">
        <f t="shared" si="84"/>
        <v>0</v>
      </c>
      <c r="HF33" s="1146">
        <f t="shared" si="85"/>
        <v>0</v>
      </c>
      <c r="HG33" s="1146">
        <f t="shared" si="86"/>
        <v>0</v>
      </c>
      <c r="HH33" s="1146">
        <f t="shared" si="87"/>
        <v>0</v>
      </c>
      <c r="HI33" s="1146">
        <f t="shared" si="88"/>
        <v>0</v>
      </c>
      <c r="HJ33" s="1146">
        <f t="shared" si="89"/>
        <v>0</v>
      </c>
      <c r="HK33" s="1183">
        <f t="shared" si="90"/>
        <v>0</v>
      </c>
      <c r="HL33" s="1184">
        <f t="shared" si="93"/>
        <v>11</v>
      </c>
    </row>
    <row r="34" spans="1:220" s="998" customFormat="1" x14ac:dyDescent="0.2">
      <c r="A34" s="997" t="str">
        <f t="shared" si="91"/>
        <v>Equipement prépa chutes et parachèvement :</v>
      </c>
      <c r="B34" s="1145" t="s">
        <v>1282</v>
      </c>
      <c r="C34" s="1146"/>
      <c r="D34" s="1146" t="s">
        <v>1283</v>
      </c>
      <c r="E34" s="1146"/>
      <c r="F34" s="1146"/>
      <c r="G34" s="1146"/>
      <c r="H34" s="1146"/>
      <c r="I34" s="1146" t="s">
        <v>1284</v>
      </c>
      <c r="J34" s="1146"/>
      <c r="K34" s="1146" t="s">
        <v>1285</v>
      </c>
      <c r="L34" s="1146"/>
      <c r="M34" s="1146" t="s">
        <v>1286</v>
      </c>
      <c r="N34" s="1146"/>
      <c r="O34" s="1146" t="s">
        <v>1287</v>
      </c>
      <c r="P34" s="1146"/>
      <c r="Q34" s="1146"/>
      <c r="R34" s="1146"/>
      <c r="S34" s="1146"/>
      <c r="T34" s="1146"/>
      <c r="U34" s="1146"/>
      <c r="V34" s="1146"/>
      <c r="W34" s="1146"/>
      <c r="X34" s="1146"/>
      <c r="Y34" s="1146"/>
      <c r="Z34" s="1146"/>
      <c r="AA34" s="1146" t="s">
        <v>1288</v>
      </c>
      <c r="AB34" s="1149"/>
      <c r="AC34" s="1149"/>
      <c r="AD34" s="1149"/>
      <c r="AE34" s="1149"/>
      <c r="AF34" s="1149"/>
      <c r="AG34" s="1149"/>
      <c r="AH34" s="1149"/>
      <c r="AI34" s="1149"/>
      <c r="AJ34" s="1149"/>
      <c r="AK34" s="1149"/>
      <c r="AL34" s="1146"/>
      <c r="AM34" s="1146"/>
      <c r="AN34" s="1146"/>
      <c r="AO34" s="1146"/>
      <c r="AP34" s="1146"/>
      <c r="AQ34" s="1146"/>
      <c r="AR34" s="1146"/>
      <c r="AS34" s="1146"/>
      <c r="AT34" s="1146"/>
      <c r="AU34" s="1146"/>
      <c r="AV34" s="1146"/>
      <c r="AW34" s="1146"/>
      <c r="AX34" s="1147"/>
      <c r="AY34" s="1147"/>
      <c r="AZ34" s="1147"/>
      <c r="BA34" s="1147"/>
      <c r="BB34" s="1147"/>
      <c r="BC34" s="1147"/>
      <c r="BD34" s="1147"/>
      <c r="BE34" s="1147"/>
      <c r="BF34" s="1147"/>
      <c r="BG34" s="1147"/>
      <c r="BH34" s="1147"/>
      <c r="BI34" s="1147"/>
      <c r="BJ34" s="1147"/>
      <c r="BK34" s="1147"/>
      <c r="BL34" s="1147"/>
      <c r="BM34" s="1147"/>
      <c r="BN34" s="1147"/>
      <c r="BO34" s="1147"/>
      <c r="BP34" s="1147"/>
      <c r="BQ34" s="1147"/>
      <c r="BR34" s="1147"/>
      <c r="BS34" s="1147"/>
      <c r="BT34" s="1147"/>
      <c r="BU34" s="1147"/>
      <c r="BV34" s="1147"/>
      <c r="BW34" s="1147"/>
      <c r="BX34" s="1147"/>
      <c r="BY34" s="1147"/>
      <c r="BZ34" s="1147"/>
      <c r="CA34" s="1147"/>
      <c r="CB34" s="1147"/>
      <c r="CC34" s="1147"/>
      <c r="CD34" s="1147"/>
      <c r="CE34" s="1147"/>
      <c r="CF34" s="1147"/>
      <c r="CG34" s="1147"/>
      <c r="CH34" s="1147"/>
      <c r="CI34" s="1147"/>
      <c r="CJ34" s="1147"/>
      <c r="CK34" s="1147"/>
      <c r="CL34" s="1147"/>
      <c r="CM34" s="1147"/>
      <c r="CN34" s="1147"/>
      <c r="CO34" s="1147"/>
      <c r="CP34" s="1147"/>
      <c r="CQ34" s="1147"/>
      <c r="CR34" s="1147"/>
      <c r="CS34" s="1147"/>
      <c r="CT34" s="1147"/>
      <c r="CU34" s="1147"/>
      <c r="CV34" s="1147"/>
      <c r="CW34" s="1147"/>
      <c r="CX34" s="1147"/>
      <c r="CY34" s="1147"/>
      <c r="CZ34" s="1147"/>
      <c r="DA34" s="1147"/>
      <c r="DB34" s="1147"/>
      <c r="DC34" s="1147"/>
      <c r="DD34" s="1147"/>
      <c r="DE34" s="1148"/>
      <c r="DH34" s="1145">
        <f t="shared" si="92"/>
        <v>0</v>
      </c>
      <c r="DI34" s="1146">
        <f t="shared" si="1"/>
        <v>0</v>
      </c>
      <c r="DJ34" s="1146">
        <f t="shared" si="1"/>
        <v>0</v>
      </c>
      <c r="DK34" s="1146">
        <f t="shared" si="1"/>
        <v>0</v>
      </c>
      <c r="DL34" s="1146">
        <f t="shared" si="1"/>
        <v>0</v>
      </c>
      <c r="DM34" s="1146">
        <f t="shared" si="1"/>
        <v>0</v>
      </c>
      <c r="DN34" s="1146">
        <f t="shared" si="1"/>
        <v>0</v>
      </c>
      <c r="DO34" s="1146">
        <f t="shared" si="1"/>
        <v>0</v>
      </c>
      <c r="DP34" s="1146">
        <f t="shared" si="1"/>
        <v>0</v>
      </c>
      <c r="DQ34" s="1146">
        <f t="shared" si="2"/>
        <v>0</v>
      </c>
      <c r="DR34" s="1146">
        <f t="shared" si="3"/>
        <v>0</v>
      </c>
      <c r="DS34" s="1146">
        <f t="shared" si="4"/>
        <v>12</v>
      </c>
      <c r="DT34" s="1146">
        <f t="shared" si="5"/>
        <v>0</v>
      </c>
      <c r="DU34" s="1146">
        <f t="shared" si="6"/>
        <v>0</v>
      </c>
      <c r="DV34" s="1146">
        <f t="shared" si="7"/>
        <v>0</v>
      </c>
      <c r="DW34" s="1146">
        <f t="shared" si="8"/>
        <v>0</v>
      </c>
      <c r="DX34" s="1146">
        <f t="shared" si="9"/>
        <v>0</v>
      </c>
      <c r="DY34" s="1146">
        <f t="shared" si="10"/>
        <v>0</v>
      </c>
      <c r="DZ34" s="1146">
        <f t="shared" si="10"/>
        <v>0</v>
      </c>
      <c r="EA34" s="1146">
        <f t="shared" si="11"/>
        <v>0</v>
      </c>
      <c r="EB34" s="1146">
        <f t="shared" si="12"/>
        <v>0</v>
      </c>
      <c r="EC34" s="1146">
        <f t="shared" si="13"/>
        <v>0</v>
      </c>
      <c r="ED34" s="1146">
        <f t="shared" si="14"/>
        <v>0</v>
      </c>
      <c r="EE34" s="1146">
        <f t="shared" si="15"/>
        <v>0</v>
      </c>
      <c r="EF34" s="1146">
        <f t="shared" si="16"/>
        <v>0</v>
      </c>
      <c r="EG34" s="1146">
        <f t="shared" si="17"/>
        <v>0</v>
      </c>
      <c r="EH34" s="1146">
        <f t="shared" si="18"/>
        <v>0</v>
      </c>
      <c r="EI34" s="1146">
        <f t="shared" si="18"/>
        <v>0</v>
      </c>
      <c r="EJ34" s="1146">
        <f t="shared" si="19"/>
        <v>0</v>
      </c>
      <c r="EK34" s="1146">
        <f t="shared" si="20"/>
        <v>0</v>
      </c>
      <c r="EL34" s="1146">
        <f t="shared" si="21"/>
        <v>0</v>
      </c>
      <c r="EM34" s="1146">
        <f t="shared" si="22"/>
        <v>0</v>
      </c>
      <c r="EN34" s="1146">
        <f t="shared" si="23"/>
        <v>0</v>
      </c>
      <c r="EO34" s="1146">
        <f t="shared" si="24"/>
        <v>0</v>
      </c>
      <c r="EP34" s="1146">
        <f t="shared" si="25"/>
        <v>0</v>
      </c>
      <c r="EQ34" s="1146">
        <f t="shared" si="26"/>
        <v>0</v>
      </c>
      <c r="ER34" s="1146">
        <f t="shared" si="26"/>
        <v>0</v>
      </c>
      <c r="ES34" s="1146">
        <f t="shared" si="27"/>
        <v>0</v>
      </c>
      <c r="ET34" s="1146">
        <f t="shared" si="28"/>
        <v>0</v>
      </c>
      <c r="EU34" s="1146">
        <f t="shared" si="29"/>
        <v>0</v>
      </c>
      <c r="EV34" s="1146">
        <f t="shared" si="30"/>
        <v>0</v>
      </c>
      <c r="EW34" s="1146">
        <f t="shared" si="31"/>
        <v>0</v>
      </c>
      <c r="EX34" s="1146">
        <f t="shared" si="32"/>
        <v>0</v>
      </c>
      <c r="EY34" s="1146">
        <f t="shared" si="33"/>
        <v>0</v>
      </c>
      <c r="EZ34" s="1146">
        <f t="shared" si="34"/>
        <v>0</v>
      </c>
      <c r="FA34" s="1146">
        <f t="shared" si="34"/>
        <v>0</v>
      </c>
      <c r="FB34" s="1146">
        <f t="shared" si="35"/>
        <v>0</v>
      </c>
      <c r="FC34" s="1146">
        <f t="shared" si="36"/>
        <v>0</v>
      </c>
      <c r="FD34" s="1146">
        <f t="shared" si="37"/>
        <v>0</v>
      </c>
      <c r="FE34" s="1146">
        <f t="shared" si="38"/>
        <v>0</v>
      </c>
      <c r="FF34" s="1146">
        <f t="shared" si="39"/>
        <v>0</v>
      </c>
      <c r="FG34" s="1146">
        <f t="shared" si="40"/>
        <v>0</v>
      </c>
      <c r="FH34" s="1146">
        <f t="shared" si="41"/>
        <v>0</v>
      </c>
      <c r="FI34" s="1146">
        <f t="shared" si="42"/>
        <v>0</v>
      </c>
      <c r="FJ34" s="1146">
        <f t="shared" si="42"/>
        <v>0</v>
      </c>
      <c r="FK34" s="1146">
        <f t="shared" si="43"/>
        <v>0</v>
      </c>
      <c r="FL34" s="1146">
        <f t="shared" si="44"/>
        <v>0</v>
      </c>
      <c r="FM34" s="1146">
        <f t="shared" si="45"/>
        <v>0</v>
      </c>
      <c r="FN34" s="1146">
        <f t="shared" si="46"/>
        <v>0</v>
      </c>
      <c r="FO34" s="1146">
        <f t="shared" si="47"/>
        <v>0</v>
      </c>
      <c r="FP34" s="1146">
        <f t="shared" si="48"/>
        <v>0</v>
      </c>
      <c r="FQ34" s="1146">
        <f t="shared" si="49"/>
        <v>0</v>
      </c>
      <c r="FR34" s="1146">
        <f t="shared" si="50"/>
        <v>0</v>
      </c>
      <c r="FS34" s="1146">
        <f t="shared" si="50"/>
        <v>0</v>
      </c>
      <c r="FT34" s="1146">
        <f t="shared" si="51"/>
        <v>0</v>
      </c>
      <c r="FU34" s="1146">
        <f t="shared" si="52"/>
        <v>0</v>
      </c>
      <c r="FV34" s="1146">
        <f t="shared" si="53"/>
        <v>0</v>
      </c>
      <c r="FW34" s="1146">
        <f t="shared" si="54"/>
        <v>0</v>
      </c>
      <c r="FX34" s="1146">
        <f t="shared" si="55"/>
        <v>0</v>
      </c>
      <c r="FY34" s="1146">
        <f t="shared" si="56"/>
        <v>0</v>
      </c>
      <c r="FZ34" s="1146">
        <f t="shared" si="57"/>
        <v>0</v>
      </c>
      <c r="GA34" s="1146">
        <f t="shared" si="58"/>
        <v>0</v>
      </c>
      <c r="GB34" s="1146">
        <f t="shared" si="58"/>
        <v>0</v>
      </c>
      <c r="GC34" s="1146">
        <f t="shared" si="59"/>
        <v>0</v>
      </c>
      <c r="GD34" s="1146">
        <f t="shared" si="60"/>
        <v>0</v>
      </c>
      <c r="GE34" s="1146">
        <f t="shared" si="61"/>
        <v>0</v>
      </c>
      <c r="GF34" s="1146">
        <f t="shared" si="62"/>
        <v>0</v>
      </c>
      <c r="GG34" s="1146">
        <f t="shared" si="63"/>
        <v>0</v>
      </c>
      <c r="GH34" s="1146">
        <f t="shared" si="64"/>
        <v>0</v>
      </c>
      <c r="GI34" s="1146">
        <f t="shared" si="65"/>
        <v>0</v>
      </c>
      <c r="GJ34" s="1146">
        <f t="shared" si="66"/>
        <v>0</v>
      </c>
      <c r="GK34" s="1146">
        <f t="shared" si="66"/>
        <v>0</v>
      </c>
      <c r="GL34" s="1146">
        <f t="shared" si="67"/>
        <v>0</v>
      </c>
      <c r="GM34" s="1146">
        <f t="shared" si="68"/>
        <v>0</v>
      </c>
      <c r="GN34" s="1146">
        <f t="shared" si="69"/>
        <v>0</v>
      </c>
      <c r="GO34" s="1146">
        <f t="shared" si="70"/>
        <v>0</v>
      </c>
      <c r="GP34" s="1146">
        <f t="shared" si="71"/>
        <v>0</v>
      </c>
      <c r="GQ34" s="1146">
        <f t="shared" si="72"/>
        <v>0</v>
      </c>
      <c r="GR34" s="1146">
        <f t="shared" si="73"/>
        <v>0</v>
      </c>
      <c r="GS34" s="1146">
        <f t="shared" si="74"/>
        <v>0</v>
      </c>
      <c r="GT34" s="1146">
        <f t="shared" si="74"/>
        <v>0</v>
      </c>
      <c r="GU34" s="1146">
        <f t="shared" si="75"/>
        <v>0</v>
      </c>
      <c r="GV34" s="1146">
        <f t="shared" si="76"/>
        <v>0</v>
      </c>
      <c r="GW34" s="1146">
        <f t="shared" si="77"/>
        <v>0</v>
      </c>
      <c r="GX34" s="1146">
        <f t="shared" si="78"/>
        <v>0</v>
      </c>
      <c r="GY34" s="1146">
        <f t="shared" si="79"/>
        <v>0</v>
      </c>
      <c r="GZ34" s="1146">
        <f t="shared" si="80"/>
        <v>0</v>
      </c>
      <c r="HA34" s="1146">
        <f t="shared" si="81"/>
        <v>0</v>
      </c>
      <c r="HB34" s="1146">
        <f t="shared" si="82"/>
        <v>0</v>
      </c>
      <c r="HC34" s="1146">
        <f t="shared" si="82"/>
        <v>0</v>
      </c>
      <c r="HD34" s="1146">
        <f t="shared" si="83"/>
        <v>0</v>
      </c>
      <c r="HE34" s="1146">
        <f t="shared" si="84"/>
        <v>0</v>
      </c>
      <c r="HF34" s="1146">
        <f t="shared" si="85"/>
        <v>0</v>
      </c>
      <c r="HG34" s="1146">
        <f t="shared" si="86"/>
        <v>0</v>
      </c>
      <c r="HH34" s="1146">
        <f t="shared" si="87"/>
        <v>0</v>
      </c>
      <c r="HI34" s="1146">
        <f t="shared" si="88"/>
        <v>0</v>
      </c>
      <c r="HJ34" s="1146">
        <f t="shared" si="89"/>
        <v>0</v>
      </c>
      <c r="HK34" s="1183">
        <f t="shared" si="90"/>
        <v>0</v>
      </c>
      <c r="HL34" s="1184">
        <f t="shared" si="93"/>
        <v>12</v>
      </c>
    </row>
    <row r="35" spans="1:220" s="998" customFormat="1" x14ac:dyDescent="0.2">
      <c r="A35" s="997" t="str">
        <f t="shared" si="91"/>
        <v>Terrain (Avril 2014)</v>
      </c>
      <c r="B35" s="1150" t="s">
        <v>1282</v>
      </c>
      <c r="C35" s="1151"/>
      <c r="D35" s="1151"/>
      <c r="E35" s="1151"/>
      <c r="F35" s="1152"/>
      <c r="G35" s="1153"/>
      <c r="H35" s="1154"/>
      <c r="I35" s="1149"/>
      <c r="J35" s="1149"/>
      <c r="K35" s="1149"/>
      <c r="L35" s="1149"/>
      <c r="M35" s="1149"/>
      <c r="N35" s="1149"/>
      <c r="O35" s="1149"/>
      <c r="P35" s="1149"/>
      <c r="Q35" s="1149"/>
      <c r="R35" s="1149"/>
      <c r="S35" s="1149"/>
      <c r="T35" s="1149"/>
      <c r="U35" s="1149"/>
      <c r="V35" s="1149"/>
      <c r="W35" s="1149"/>
      <c r="X35" s="1149"/>
      <c r="Y35" s="1149"/>
      <c r="Z35" s="1149"/>
      <c r="AA35" s="1149"/>
      <c r="AB35" s="1149"/>
      <c r="AC35" s="1149"/>
      <c r="AD35" s="1149"/>
      <c r="AE35" s="1149"/>
      <c r="AF35" s="1149"/>
      <c r="AG35" s="1149"/>
      <c r="AH35" s="1149"/>
      <c r="AI35" s="1149"/>
      <c r="AJ35" s="1149"/>
      <c r="AK35" s="1149"/>
      <c r="AL35" s="1146"/>
      <c r="AM35" s="1146"/>
      <c r="AN35" s="1146"/>
      <c r="AO35" s="1146"/>
      <c r="AP35" s="1146"/>
      <c r="AQ35" s="1146"/>
      <c r="AR35" s="1146"/>
      <c r="AS35" s="1146"/>
      <c r="AT35" s="1146"/>
      <c r="AU35" s="1146"/>
      <c r="AV35" s="1146"/>
      <c r="AW35" s="1146"/>
      <c r="AX35" s="1147"/>
      <c r="AY35" s="1147"/>
      <c r="AZ35" s="1147"/>
      <c r="BA35" s="1147"/>
      <c r="BB35" s="1147"/>
      <c r="BC35" s="1147"/>
      <c r="BD35" s="1147"/>
      <c r="BE35" s="1147"/>
      <c r="BF35" s="1147"/>
      <c r="BG35" s="1147"/>
      <c r="BH35" s="1147"/>
      <c r="BI35" s="1147"/>
      <c r="BJ35" s="1147"/>
      <c r="BK35" s="1147"/>
      <c r="BL35" s="1147"/>
      <c r="BM35" s="1147"/>
      <c r="BN35" s="1147"/>
      <c r="BO35" s="1147"/>
      <c r="BP35" s="1147"/>
      <c r="BQ35" s="1147"/>
      <c r="BR35" s="1147"/>
      <c r="BS35" s="1147"/>
      <c r="BT35" s="1147"/>
      <c r="BU35" s="1147"/>
      <c r="BV35" s="1147"/>
      <c r="BW35" s="1147"/>
      <c r="BX35" s="1147"/>
      <c r="BY35" s="1147"/>
      <c r="BZ35" s="1147"/>
      <c r="CA35" s="1147"/>
      <c r="CB35" s="1147"/>
      <c r="CC35" s="1147"/>
      <c r="CD35" s="1147"/>
      <c r="CE35" s="1147"/>
      <c r="CF35" s="1147"/>
      <c r="CG35" s="1147"/>
      <c r="CH35" s="1147"/>
      <c r="CI35" s="1147"/>
      <c r="CJ35" s="1147"/>
      <c r="CK35" s="1147"/>
      <c r="CL35" s="1147"/>
      <c r="CM35" s="1147"/>
      <c r="CN35" s="1147"/>
      <c r="CO35" s="1147"/>
      <c r="CP35" s="1147"/>
      <c r="CQ35" s="1147"/>
      <c r="CR35" s="1147"/>
      <c r="CS35" s="1147"/>
      <c r="CT35" s="1147"/>
      <c r="CU35" s="1147"/>
      <c r="CV35" s="1147"/>
      <c r="CW35" s="1147"/>
      <c r="CX35" s="1147"/>
      <c r="CY35" s="1147"/>
      <c r="CZ35" s="1147"/>
      <c r="DA35" s="1147"/>
      <c r="DB35" s="1147"/>
      <c r="DC35" s="1147"/>
      <c r="DD35" s="1147"/>
      <c r="DE35" s="1148"/>
      <c r="DH35" s="1145">
        <f t="shared" si="92"/>
        <v>0</v>
      </c>
      <c r="DI35" s="1146">
        <f t="shared" si="1"/>
        <v>0</v>
      </c>
      <c r="DJ35" s="1146">
        <f t="shared" si="1"/>
        <v>0</v>
      </c>
      <c r="DK35" s="1146">
        <f t="shared" si="1"/>
        <v>0</v>
      </c>
      <c r="DL35" s="1146">
        <f t="shared" si="1"/>
        <v>0</v>
      </c>
      <c r="DM35" s="1146">
        <f t="shared" si="1"/>
        <v>0</v>
      </c>
      <c r="DN35" s="1146">
        <f t="shared" si="1"/>
        <v>0</v>
      </c>
      <c r="DO35" s="1146">
        <f t="shared" si="1"/>
        <v>0</v>
      </c>
      <c r="DP35" s="1146">
        <f t="shared" si="1"/>
        <v>0</v>
      </c>
      <c r="DQ35" s="1146">
        <f t="shared" si="2"/>
        <v>0</v>
      </c>
      <c r="DR35" s="1146">
        <f t="shared" si="3"/>
        <v>0</v>
      </c>
      <c r="DS35" s="1146">
        <f t="shared" si="4"/>
        <v>0</v>
      </c>
      <c r="DT35" s="1146">
        <f t="shared" si="5"/>
        <v>0</v>
      </c>
      <c r="DU35" s="1146">
        <f t="shared" si="6"/>
        <v>0</v>
      </c>
      <c r="DV35" s="1146">
        <f t="shared" si="7"/>
        <v>0</v>
      </c>
      <c r="DW35" s="1146">
        <f t="shared" si="8"/>
        <v>0</v>
      </c>
      <c r="DX35" s="1146">
        <f t="shared" si="9"/>
        <v>0</v>
      </c>
      <c r="DY35" s="1146">
        <f t="shared" si="10"/>
        <v>0</v>
      </c>
      <c r="DZ35" s="1146">
        <f t="shared" si="10"/>
        <v>0</v>
      </c>
      <c r="EA35" s="1146">
        <f t="shared" si="11"/>
        <v>0</v>
      </c>
      <c r="EB35" s="1146">
        <f t="shared" si="12"/>
        <v>0</v>
      </c>
      <c r="EC35" s="1146">
        <f t="shared" si="13"/>
        <v>0</v>
      </c>
      <c r="ED35" s="1146">
        <f t="shared" si="14"/>
        <v>0</v>
      </c>
      <c r="EE35" s="1146">
        <f t="shared" si="15"/>
        <v>0</v>
      </c>
      <c r="EF35" s="1146">
        <f t="shared" si="16"/>
        <v>0</v>
      </c>
      <c r="EG35" s="1146">
        <f t="shared" si="17"/>
        <v>0</v>
      </c>
      <c r="EH35" s="1146">
        <f t="shared" si="18"/>
        <v>0</v>
      </c>
      <c r="EI35" s="1146">
        <f t="shared" si="18"/>
        <v>0</v>
      </c>
      <c r="EJ35" s="1146">
        <f t="shared" si="19"/>
        <v>0</v>
      </c>
      <c r="EK35" s="1146">
        <f t="shared" si="20"/>
        <v>0</v>
      </c>
      <c r="EL35" s="1146">
        <f t="shared" si="21"/>
        <v>0</v>
      </c>
      <c r="EM35" s="1146">
        <f t="shared" si="22"/>
        <v>0</v>
      </c>
      <c r="EN35" s="1146">
        <f t="shared" si="23"/>
        <v>0</v>
      </c>
      <c r="EO35" s="1146">
        <f t="shared" si="24"/>
        <v>0</v>
      </c>
      <c r="EP35" s="1146">
        <f t="shared" si="25"/>
        <v>0</v>
      </c>
      <c r="EQ35" s="1146">
        <f t="shared" si="26"/>
        <v>0</v>
      </c>
      <c r="ER35" s="1146">
        <f t="shared" si="26"/>
        <v>0</v>
      </c>
      <c r="ES35" s="1146">
        <f t="shared" si="27"/>
        <v>0</v>
      </c>
      <c r="ET35" s="1146">
        <f t="shared" si="28"/>
        <v>0</v>
      </c>
      <c r="EU35" s="1146">
        <f t="shared" si="29"/>
        <v>0</v>
      </c>
      <c r="EV35" s="1146">
        <f t="shared" si="30"/>
        <v>0</v>
      </c>
      <c r="EW35" s="1146">
        <f t="shared" si="31"/>
        <v>0</v>
      </c>
      <c r="EX35" s="1146">
        <f t="shared" si="32"/>
        <v>0</v>
      </c>
      <c r="EY35" s="1146">
        <f t="shared" si="33"/>
        <v>0</v>
      </c>
      <c r="EZ35" s="1146">
        <f t="shared" si="34"/>
        <v>0</v>
      </c>
      <c r="FA35" s="1146">
        <f t="shared" si="34"/>
        <v>0</v>
      </c>
      <c r="FB35" s="1146">
        <f t="shared" si="35"/>
        <v>0</v>
      </c>
      <c r="FC35" s="1146">
        <f t="shared" si="36"/>
        <v>0</v>
      </c>
      <c r="FD35" s="1146">
        <f t="shared" si="37"/>
        <v>0</v>
      </c>
      <c r="FE35" s="1146">
        <f t="shared" si="38"/>
        <v>0</v>
      </c>
      <c r="FF35" s="1146">
        <f t="shared" si="39"/>
        <v>0</v>
      </c>
      <c r="FG35" s="1146">
        <f t="shared" si="40"/>
        <v>0</v>
      </c>
      <c r="FH35" s="1146">
        <f t="shared" si="41"/>
        <v>0</v>
      </c>
      <c r="FI35" s="1146">
        <f t="shared" si="42"/>
        <v>0</v>
      </c>
      <c r="FJ35" s="1146">
        <f t="shared" si="42"/>
        <v>0</v>
      </c>
      <c r="FK35" s="1146">
        <f t="shared" si="43"/>
        <v>0</v>
      </c>
      <c r="FL35" s="1146">
        <f t="shared" si="44"/>
        <v>0</v>
      </c>
      <c r="FM35" s="1146">
        <f t="shared" si="45"/>
        <v>0</v>
      </c>
      <c r="FN35" s="1146">
        <f t="shared" si="46"/>
        <v>0</v>
      </c>
      <c r="FO35" s="1146">
        <f t="shared" si="47"/>
        <v>0</v>
      </c>
      <c r="FP35" s="1146">
        <f t="shared" si="48"/>
        <v>0</v>
      </c>
      <c r="FQ35" s="1146">
        <f t="shared" si="49"/>
        <v>0</v>
      </c>
      <c r="FR35" s="1146">
        <f t="shared" si="50"/>
        <v>0</v>
      </c>
      <c r="FS35" s="1146">
        <f t="shared" si="50"/>
        <v>0</v>
      </c>
      <c r="FT35" s="1146">
        <f t="shared" si="51"/>
        <v>0</v>
      </c>
      <c r="FU35" s="1146">
        <f t="shared" si="52"/>
        <v>0</v>
      </c>
      <c r="FV35" s="1146">
        <f t="shared" si="53"/>
        <v>0</v>
      </c>
      <c r="FW35" s="1146">
        <f t="shared" si="54"/>
        <v>0</v>
      </c>
      <c r="FX35" s="1146">
        <f t="shared" si="55"/>
        <v>0</v>
      </c>
      <c r="FY35" s="1146">
        <f t="shared" si="56"/>
        <v>0</v>
      </c>
      <c r="FZ35" s="1146">
        <f t="shared" si="57"/>
        <v>0</v>
      </c>
      <c r="GA35" s="1146">
        <f t="shared" si="58"/>
        <v>0</v>
      </c>
      <c r="GB35" s="1146">
        <f t="shared" si="58"/>
        <v>0</v>
      </c>
      <c r="GC35" s="1146">
        <f t="shared" si="59"/>
        <v>0</v>
      </c>
      <c r="GD35" s="1146">
        <f t="shared" si="60"/>
        <v>0</v>
      </c>
      <c r="GE35" s="1146">
        <f t="shared" si="61"/>
        <v>0</v>
      </c>
      <c r="GF35" s="1146">
        <f t="shared" si="62"/>
        <v>0</v>
      </c>
      <c r="GG35" s="1146">
        <f t="shared" si="63"/>
        <v>0</v>
      </c>
      <c r="GH35" s="1146">
        <f t="shared" si="64"/>
        <v>0</v>
      </c>
      <c r="GI35" s="1146">
        <f t="shared" si="65"/>
        <v>0</v>
      </c>
      <c r="GJ35" s="1146">
        <f t="shared" si="66"/>
        <v>0</v>
      </c>
      <c r="GK35" s="1146">
        <f t="shared" si="66"/>
        <v>0</v>
      </c>
      <c r="GL35" s="1146">
        <f t="shared" si="67"/>
        <v>0</v>
      </c>
      <c r="GM35" s="1146">
        <f t="shared" si="68"/>
        <v>0</v>
      </c>
      <c r="GN35" s="1146">
        <f t="shared" si="69"/>
        <v>0</v>
      </c>
      <c r="GO35" s="1146">
        <f t="shared" si="70"/>
        <v>0</v>
      </c>
      <c r="GP35" s="1146">
        <f t="shared" si="71"/>
        <v>0</v>
      </c>
      <c r="GQ35" s="1146">
        <f t="shared" si="72"/>
        <v>0</v>
      </c>
      <c r="GR35" s="1146">
        <f t="shared" si="73"/>
        <v>0</v>
      </c>
      <c r="GS35" s="1146">
        <f t="shared" si="74"/>
        <v>0</v>
      </c>
      <c r="GT35" s="1146">
        <f t="shared" si="74"/>
        <v>0</v>
      </c>
      <c r="GU35" s="1146">
        <f t="shared" si="75"/>
        <v>0</v>
      </c>
      <c r="GV35" s="1146">
        <f t="shared" si="76"/>
        <v>0</v>
      </c>
      <c r="GW35" s="1146">
        <f t="shared" si="77"/>
        <v>0</v>
      </c>
      <c r="GX35" s="1146">
        <f t="shared" si="78"/>
        <v>0</v>
      </c>
      <c r="GY35" s="1146">
        <f t="shared" si="79"/>
        <v>0</v>
      </c>
      <c r="GZ35" s="1146">
        <f t="shared" si="80"/>
        <v>0</v>
      </c>
      <c r="HA35" s="1146">
        <f t="shared" si="81"/>
        <v>0</v>
      </c>
      <c r="HB35" s="1146">
        <f t="shared" si="82"/>
        <v>0</v>
      </c>
      <c r="HC35" s="1146">
        <f t="shared" si="82"/>
        <v>0</v>
      </c>
      <c r="HD35" s="1146">
        <f t="shared" si="83"/>
        <v>0</v>
      </c>
      <c r="HE35" s="1146">
        <f t="shared" si="84"/>
        <v>0</v>
      </c>
      <c r="HF35" s="1146">
        <f t="shared" si="85"/>
        <v>0</v>
      </c>
      <c r="HG35" s="1146">
        <f t="shared" si="86"/>
        <v>0</v>
      </c>
      <c r="HH35" s="1146">
        <f t="shared" si="87"/>
        <v>0</v>
      </c>
      <c r="HI35" s="1146">
        <f t="shared" si="88"/>
        <v>0</v>
      </c>
      <c r="HJ35" s="1146">
        <f t="shared" si="89"/>
        <v>0</v>
      </c>
      <c r="HK35" s="1183">
        <f t="shared" si="90"/>
        <v>0</v>
      </c>
      <c r="HL35" s="1184">
        <f t="shared" si="93"/>
        <v>0</v>
      </c>
    </row>
    <row r="36" spans="1:220" s="998" customFormat="1" x14ac:dyDescent="0.2">
      <c r="A36" s="997" t="str">
        <f t="shared" si="91"/>
        <v>SI + MES</v>
      </c>
      <c r="B36" s="1145" t="s">
        <v>1282</v>
      </c>
      <c r="C36" s="1146"/>
      <c r="D36" s="1146"/>
      <c r="E36" s="1146" t="s">
        <v>1283</v>
      </c>
      <c r="F36" s="1146"/>
      <c r="G36" s="1146"/>
      <c r="H36" s="1146" t="s">
        <v>1284</v>
      </c>
      <c r="I36" s="1146"/>
      <c r="J36" s="1146"/>
      <c r="K36" s="1146" t="s">
        <v>1285</v>
      </c>
      <c r="L36" s="1146"/>
      <c r="M36" s="1146"/>
      <c r="N36" s="1146" t="s">
        <v>1286</v>
      </c>
      <c r="O36" s="1146"/>
      <c r="P36" s="1146" t="s">
        <v>1287</v>
      </c>
      <c r="Q36" s="1146"/>
      <c r="R36" s="1146"/>
      <c r="S36" s="1146"/>
      <c r="T36" s="1146"/>
      <c r="U36" s="1146"/>
      <c r="V36" s="1146"/>
      <c r="W36" s="1146"/>
      <c r="X36" s="1146"/>
      <c r="Y36" s="1146"/>
      <c r="Z36" s="1146"/>
      <c r="AA36" s="1146"/>
      <c r="AB36" s="1146" t="s">
        <v>1288</v>
      </c>
      <c r="AC36" s="1149"/>
      <c r="AD36" s="1149"/>
      <c r="AE36" s="1149"/>
      <c r="AF36" s="1149"/>
      <c r="AG36" s="1149"/>
      <c r="AH36" s="1149"/>
      <c r="AI36" s="1149"/>
      <c r="AJ36" s="1149"/>
      <c r="AK36" s="1149"/>
      <c r="AL36" s="1146"/>
      <c r="AM36" s="1146"/>
      <c r="AN36" s="1146"/>
      <c r="AO36" s="1146"/>
      <c r="AP36" s="1146"/>
      <c r="AQ36" s="1146"/>
      <c r="AR36" s="1146"/>
      <c r="AS36" s="1146"/>
      <c r="AT36" s="1146"/>
      <c r="AU36" s="1146"/>
      <c r="AV36" s="1146"/>
      <c r="AW36" s="1146"/>
      <c r="AX36" s="1147"/>
      <c r="AY36" s="1147"/>
      <c r="AZ36" s="1147"/>
      <c r="BA36" s="1147"/>
      <c r="BB36" s="1147"/>
      <c r="BC36" s="1147"/>
      <c r="BD36" s="1147"/>
      <c r="BE36" s="1147"/>
      <c r="BF36" s="1147"/>
      <c r="BG36" s="1147"/>
      <c r="BH36" s="1147"/>
      <c r="BI36" s="1147"/>
      <c r="BJ36" s="1147"/>
      <c r="BK36" s="1147"/>
      <c r="BL36" s="1147"/>
      <c r="BM36" s="1147"/>
      <c r="BN36" s="1147"/>
      <c r="BO36" s="1147"/>
      <c r="BP36" s="1147"/>
      <c r="BQ36" s="1147"/>
      <c r="BR36" s="1147"/>
      <c r="BS36" s="1147"/>
      <c r="BT36" s="1147"/>
      <c r="BU36" s="1147"/>
      <c r="BV36" s="1147"/>
      <c r="BW36" s="1147"/>
      <c r="BX36" s="1147"/>
      <c r="BY36" s="1147"/>
      <c r="BZ36" s="1147"/>
      <c r="CA36" s="1147"/>
      <c r="CB36" s="1147"/>
      <c r="CC36" s="1147"/>
      <c r="CD36" s="1147"/>
      <c r="CE36" s="1147"/>
      <c r="CF36" s="1147"/>
      <c r="CG36" s="1147"/>
      <c r="CH36" s="1147"/>
      <c r="CI36" s="1147"/>
      <c r="CJ36" s="1147"/>
      <c r="CK36" s="1147"/>
      <c r="CL36" s="1147"/>
      <c r="CM36" s="1147"/>
      <c r="CN36" s="1147"/>
      <c r="CO36" s="1147"/>
      <c r="CP36" s="1147"/>
      <c r="CQ36" s="1147"/>
      <c r="CR36" s="1147"/>
      <c r="CS36" s="1147"/>
      <c r="CT36" s="1147"/>
      <c r="CU36" s="1147"/>
      <c r="CV36" s="1147"/>
      <c r="CW36" s="1147"/>
      <c r="CX36" s="1147"/>
      <c r="CY36" s="1147"/>
      <c r="CZ36" s="1147"/>
      <c r="DA36" s="1147"/>
      <c r="DB36" s="1147"/>
      <c r="DC36" s="1147"/>
      <c r="DD36" s="1147"/>
      <c r="DE36" s="1148"/>
      <c r="DH36" s="1145">
        <f t="shared" si="92"/>
        <v>0</v>
      </c>
      <c r="DI36" s="1146">
        <f t="shared" si="1"/>
        <v>0</v>
      </c>
      <c r="DJ36" s="1146">
        <f t="shared" si="1"/>
        <v>0</v>
      </c>
      <c r="DK36" s="1146">
        <f t="shared" si="1"/>
        <v>0</v>
      </c>
      <c r="DL36" s="1146">
        <f t="shared" si="1"/>
        <v>0</v>
      </c>
      <c r="DM36" s="1146">
        <f t="shared" si="1"/>
        <v>0</v>
      </c>
      <c r="DN36" s="1146">
        <f t="shared" si="1"/>
        <v>0</v>
      </c>
      <c r="DO36" s="1146">
        <f t="shared" si="1"/>
        <v>0</v>
      </c>
      <c r="DP36" s="1146">
        <f t="shared" si="1"/>
        <v>0</v>
      </c>
      <c r="DQ36" s="1146">
        <f t="shared" si="2"/>
        <v>0</v>
      </c>
      <c r="DR36" s="1146">
        <f t="shared" si="3"/>
        <v>0</v>
      </c>
      <c r="DS36" s="1146">
        <f t="shared" si="4"/>
        <v>0</v>
      </c>
      <c r="DT36" s="1146">
        <f t="shared" si="5"/>
        <v>13</v>
      </c>
      <c r="DU36" s="1146">
        <f t="shared" si="6"/>
        <v>0</v>
      </c>
      <c r="DV36" s="1146">
        <f t="shared" si="7"/>
        <v>0</v>
      </c>
      <c r="DW36" s="1146">
        <f t="shared" si="8"/>
        <v>0</v>
      </c>
      <c r="DX36" s="1146">
        <f t="shared" si="9"/>
        <v>0</v>
      </c>
      <c r="DY36" s="1146">
        <f t="shared" si="10"/>
        <v>0</v>
      </c>
      <c r="DZ36" s="1146">
        <f t="shared" si="10"/>
        <v>0</v>
      </c>
      <c r="EA36" s="1146">
        <f t="shared" si="11"/>
        <v>0</v>
      </c>
      <c r="EB36" s="1146">
        <f t="shared" si="12"/>
        <v>0</v>
      </c>
      <c r="EC36" s="1146">
        <f t="shared" si="13"/>
        <v>0</v>
      </c>
      <c r="ED36" s="1146">
        <f t="shared" si="14"/>
        <v>0</v>
      </c>
      <c r="EE36" s="1146">
        <f t="shared" si="15"/>
        <v>0</v>
      </c>
      <c r="EF36" s="1146">
        <f t="shared" si="16"/>
        <v>0</v>
      </c>
      <c r="EG36" s="1146">
        <f t="shared" si="17"/>
        <v>0</v>
      </c>
      <c r="EH36" s="1146">
        <f t="shared" si="18"/>
        <v>0</v>
      </c>
      <c r="EI36" s="1146">
        <f t="shared" si="18"/>
        <v>0</v>
      </c>
      <c r="EJ36" s="1146">
        <f t="shared" si="19"/>
        <v>0</v>
      </c>
      <c r="EK36" s="1146">
        <f t="shared" si="20"/>
        <v>0</v>
      </c>
      <c r="EL36" s="1146">
        <f t="shared" si="21"/>
        <v>0</v>
      </c>
      <c r="EM36" s="1146">
        <f t="shared" si="22"/>
        <v>0</v>
      </c>
      <c r="EN36" s="1146">
        <f t="shared" si="23"/>
        <v>0</v>
      </c>
      <c r="EO36" s="1146">
        <f t="shared" si="24"/>
        <v>0</v>
      </c>
      <c r="EP36" s="1146">
        <f t="shared" si="25"/>
        <v>0</v>
      </c>
      <c r="EQ36" s="1146">
        <f t="shared" si="26"/>
        <v>0</v>
      </c>
      <c r="ER36" s="1146">
        <f t="shared" si="26"/>
        <v>0</v>
      </c>
      <c r="ES36" s="1146">
        <f t="shared" si="27"/>
        <v>0</v>
      </c>
      <c r="ET36" s="1146">
        <f t="shared" si="28"/>
        <v>0</v>
      </c>
      <c r="EU36" s="1146">
        <f t="shared" si="29"/>
        <v>0</v>
      </c>
      <c r="EV36" s="1146">
        <f t="shared" si="30"/>
        <v>0</v>
      </c>
      <c r="EW36" s="1146">
        <f t="shared" si="31"/>
        <v>0</v>
      </c>
      <c r="EX36" s="1146">
        <f t="shared" si="32"/>
        <v>0</v>
      </c>
      <c r="EY36" s="1146">
        <f t="shared" si="33"/>
        <v>0</v>
      </c>
      <c r="EZ36" s="1146">
        <f t="shared" si="34"/>
        <v>0</v>
      </c>
      <c r="FA36" s="1146">
        <f t="shared" si="34"/>
        <v>0</v>
      </c>
      <c r="FB36" s="1146">
        <f t="shared" si="35"/>
        <v>0</v>
      </c>
      <c r="FC36" s="1146">
        <f t="shared" si="36"/>
        <v>0</v>
      </c>
      <c r="FD36" s="1146">
        <f t="shared" si="37"/>
        <v>0</v>
      </c>
      <c r="FE36" s="1146">
        <f t="shared" si="38"/>
        <v>0</v>
      </c>
      <c r="FF36" s="1146">
        <f t="shared" si="39"/>
        <v>0</v>
      </c>
      <c r="FG36" s="1146">
        <f t="shared" si="40"/>
        <v>0</v>
      </c>
      <c r="FH36" s="1146">
        <f t="shared" si="41"/>
        <v>0</v>
      </c>
      <c r="FI36" s="1146">
        <f t="shared" si="42"/>
        <v>0</v>
      </c>
      <c r="FJ36" s="1146">
        <f t="shared" si="42"/>
        <v>0</v>
      </c>
      <c r="FK36" s="1146">
        <f t="shared" si="43"/>
        <v>0</v>
      </c>
      <c r="FL36" s="1146">
        <f t="shared" si="44"/>
        <v>0</v>
      </c>
      <c r="FM36" s="1146">
        <f t="shared" si="45"/>
        <v>0</v>
      </c>
      <c r="FN36" s="1146">
        <f t="shared" si="46"/>
        <v>0</v>
      </c>
      <c r="FO36" s="1146">
        <f t="shared" si="47"/>
        <v>0</v>
      </c>
      <c r="FP36" s="1146">
        <f t="shared" si="48"/>
        <v>0</v>
      </c>
      <c r="FQ36" s="1146">
        <f t="shared" si="49"/>
        <v>0</v>
      </c>
      <c r="FR36" s="1146">
        <f t="shared" si="50"/>
        <v>0</v>
      </c>
      <c r="FS36" s="1146">
        <f t="shared" si="50"/>
        <v>0</v>
      </c>
      <c r="FT36" s="1146">
        <f t="shared" si="51"/>
        <v>0</v>
      </c>
      <c r="FU36" s="1146">
        <f t="shared" si="52"/>
        <v>0</v>
      </c>
      <c r="FV36" s="1146">
        <f t="shared" si="53"/>
        <v>0</v>
      </c>
      <c r="FW36" s="1146">
        <f t="shared" si="54"/>
        <v>0</v>
      </c>
      <c r="FX36" s="1146">
        <f t="shared" si="55"/>
        <v>0</v>
      </c>
      <c r="FY36" s="1146">
        <f t="shared" si="56"/>
        <v>0</v>
      </c>
      <c r="FZ36" s="1146">
        <f t="shared" si="57"/>
        <v>0</v>
      </c>
      <c r="GA36" s="1146">
        <f t="shared" si="58"/>
        <v>0</v>
      </c>
      <c r="GB36" s="1146">
        <f t="shared" si="58"/>
        <v>0</v>
      </c>
      <c r="GC36" s="1146">
        <f t="shared" si="59"/>
        <v>0</v>
      </c>
      <c r="GD36" s="1146">
        <f t="shared" si="60"/>
        <v>0</v>
      </c>
      <c r="GE36" s="1146">
        <f t="shared" si="61"/>
        <v>0</v>
      </c>
      <c r="GF36" s="1146">
        <f t="shared" si="62"/>
        <v>0</v>
      </c>
      <c r="GG36" s="1146">
        <f t="shared" si="63"/>
        <v>0</v>
      </c>
      <c r="GH36" s="1146">
        <f t="shared" si="64"/>
        <v>0</v>
      </c>
      <c r="GI36" s="1146">
        <f t="shared" si="65"/>
        <v>0</v>
      </c>
      <c r="GJ36" s="1146">
        <f t="shared" si="66"/>
        <v>0</v>
      </c>
      <c r="GK36" s="1146">
        <f t="shared" si="66"/>
        <v>0</v>
      </c>
      <c r="GL36" s="1146">
        <f t="shared" si="67"/>
        <v>0</v>
      </c>
      <c r="GM36" s="1146">
        <f t="shared" si="68"/>
        <v>0</v>
      </c>
      <c r="GN36" s="1146">
        <f t="shared" si="69"/>
        <v>0</v>
      </c>
      <c r="GO36" s="1146">
        <f t="shared" si="70"/>
        <v>0</v>
      </c>
      <c r="GP36" s="1146">
        <f t="shared" si="71"/>
        <v>0</v>
      </c>
      <c r="GQ36" s="1146">
        <f t="shared" si="72"/>
        <v>0</v>
      </c>
      <c r="GR36" s="1146">
        <f t="shared" si="73"/>
        <v>0</v>
      </c>
      <c r="GS36" s="1146">
        <f t="shared" si="74"/>
        <v>0</v>
      </c>
      <c r="GT36" s="1146">
        <f t="shared" si="74"/>
        <v>0</v>
      </c>
      <c r="GU36" s="1146">
        <f t="shared" si="75"/>
        <v>0</v>
      </c>
      <c r="GV36" s="1146">
        <f t="shared" si="76"/>
        <v>0</v>
      </c>
      <c r="GW36" s="1146">
        <f t="shared" si="77"/>
        <v>0</v>
      </c>
      <c r="GX36" s="1146">
        <f t="shared" si="78"/>
        <v>0</v>
      </c>
      <c r="GY36" s="1146">
        <f t="shared" si="79"/>
        <v>0</v>
      </c>
      <c r="GZ36" s="1146">
        <f t="shared" si="80"/>
        <v>0</v>
      </c>
      <c r="HA36" s="1146">
        <f t="shared" si="81"/>
        <v>0</v>
      </c>
      <c r="HB36" s="1146">
        <f t="shared" si="82"/>
        <v>0</v>
      </c>
      <c r="HC36" s="1146">
        <f t="shared" si="82"/>
        <v>0</v>
      </c>
      <c r="HD36" s="1146">
        <f t="shared" si="83"/>
        <v>0</v>
      </c>
      <c r="HE36" s="1146">
        <f t="shared" si="84"/>
        <v>0</v>
      </c>
      <c r="HF36" s="1146">
        <f t="shared" si="85"/>
        <v>0</v>
      </c>
      <c r="HG36" s="1146">
        <f t="shared" si="86"/>
        <v>0</v>
      </c>
      <c r="HH36" s="1146">
        <f t="shared" si="87"/>
        <v>0</v>
      </c>
      <c r="HI36" s="1146">
        <f t="shared" si="88"/>
        <v>0</v>
      </c>
      <c r="HJ36" s="1146">
        <f t="shared" si="89"/>
        <v>0</v>
      </c>
      <c r="HK36" s="1183">
        <f t="shared" si="90"/>
        <v>0</v>
      </c>
      <c r="HL36" s="1184">
        <f t="shared" si="93"/>
        <v>13</v>
      </c>
    </row>
    <row r="37" spans="1:220" s="998" customFormat="1" x14ac:dyDescent="0.2">
      <c r="A37" s="997" t="str">
        <f t="shared" si="91"/>
        <v>Batiment (charpente, GCs, bureaux)</v>
      </c>
      <c r="B37" s="1145" t="s">
        <v>1282</v>
      </c>
      <c r="C37" s="1146"/>
      <c r="D37" s="1146" t="s">
        <v>1283</v>
      </c>
      <c r="E37" s="1146"/>
      <c r="F37" s="1146"/>
      <c r="G37" s="1146" t="s">
        <v>1284</v>
      </c>
      <c r="H37" s="1146"/>
      <c r="I37" s="1146" t="s">
        <v>1285</v>
      </c>
      <c r="J37" s="1146"/>
      <c r="K37" s="1146"/>
      <c r="L37" s="1146"/>
      <c r="M37" s="1146" t="s">
        <v>1286</v>
      </c>
      <c r="N37" s="1146"/>
      <c r="O37" s="1146"/>
      <c r="P37" s="1146"/>
      <c r="Q37" s="1146" t="s">
        <v>1287</v>
      </c>
      <c r="R37" s="1146"/>
      <c r="S37" s="1146"/>
      <c r="T37" s="1146"/>
      <c r="U37" s="1146"/>
      <c r="V37" s="1146" t="s">
        <v>1288</v>
      </c>
      <c r="W37" s="1149"/>
      <c r="X37" s="1149"/>
      <c r="Y37" s="1149"/>
      <c r="Z37" s="1149"/>
      <c r="AA37" s="1149"/>
      <c r="AB37" s="1149"/>
      <c r="AC37" s="1149"/>
      <c r="AD37" s="1149"/>
      <c r="AE37" s="1149"/>
      <c r="AF37" s="1149"/>
      <c r="AG37" s="1149"/>
      <c r="AH37" s="1149"/>
      <c r="AI37" s="1149"/>
      <c r="AJ37" s="1149"/>
      <c r="AK37" s="1149"/>
      <c r="AL37" s="1146"/>
      <c r="AM37" s="1146"/>
      <c r="AN37" s="1146"/>
      <c r="AO37" s="1146"/>
      <c r="AP37" s="1146"/>
      <c r="AQ37" s="1146"/>
      <c r="AR37" s="1146"/>
      <c r="AS37" s="1146"/>
      <c r="AT37" s="1146"/>
      <c r="AU37" s="1146"/>
      <c r="AV37" s="1146"/>
      <c r="AW37" s="1146"/>
      <c r="AX37" s="1147"/>
      <c r="AY37" s="1147"/>
      <c r="AZ37" s="1147"/>
      <c r="BA37" s="1147"/>
      <c r="BB37" s="1147"/>
      <c r="BC37" s="1147"/>
      <c r="BD37" s="1147"/>
      <c r="BE37" s="1147"/>
      <c r="BF37" s="1147"/>
      <c r="BG37" s="1147"/>
      <c r="BH37" s="1147"/>
      <c r="BI37" s="1147"/>
      <c r="BJ37" s="1147"/>
      <c r="BK37" s="1147"/>
      <c r="BL37" s="1147"/>
      <c r="BM37" s="1147"/>
      <c r="BN37" s="1147"/>
      <c r="BO37" s="1147"/>
      <c r="BP37" s="1147"/>
      <c r="BQ37" s="1147"/>
      <c r="BR37" s="1147"/>
      <c r="BS37" s="1147"/>
      <c r="BT37" s="1147"/>
      <c r="BU37" s="1147"/>
      <c r="BV37" s="1147"/>
      <c r="BW37" s="1147"/>
      <c r="BX37" s="1147"/>
      <c r="BY37" s="1147"/>
      <c r="BZ37" s="1147"/>
      <c r="CA37" s="1147"/>
      <c r="CB37" s="1147"/>
      <c r="CC37" s="1147"/>
      <c r="CD37" s="1147"/>
      <c r="CE37" s="1147"/>
      <c r="CF37" s="1147"/>
      <c r="CG37" s="1147"/>
      <c r="CH37" s="1147"/>
      <c r="CI37" s="1147"/>
      <c r="CJ37" s="1147"/>
      <c r="CK37" s="1147"/>
      <c r="CL37" s="1147"/>
      <c r="CM37" s="1147"/>
      <c r="CN37" s="1147"/>
      <c r="CO37" s="1147"/>
      <c r="CP37" s="1147"/>
      <c r="CQ37" s="1147"/>
      <c r="CR37" s="1147"/>
      <c r="CS37" s="1147"/>
      <c r="CT37" s="1147"/>
      <c r="CU37" s="1147"/>
      <c r="CV37" s="1147"/>
      <c r="CW37" s="1147"/>
      <c r="CX37" s="1147"/>
      <c r="CY37" s="1147"/>
      <c r="CZ37" s="1147"/>
      <c r="DA37" s="1147"/>
      <c r="DB37" s="1147"/>
      <c r="DC37" s="1147"/>
      <c r="DD37" s="1147"/>
      <c r="DE37" s="1148"/>
      <c r="DH37" s="1145">
        <f t="shared" si="92"/>
        <v>0</v>
      </c>
      <c r="DI37" s="1146">
        <f t="shared" si="1"/>
        <v>0</v>
      </c>
      <c r="DJ37" s="1146">
        <f t="shared" si="1"/>
        <v>0</v>
      </c>
      <c r="DK37" s="1146">
        <f t="shared" si="1"/>
        <v>0</v>
      </c>
      <c r="DL37" s="1146">
        <f t="shared" si="1"/>
        <v>0</v>
      </c>
      <c r="DM37" s="1146">
        <f t="shared" si="1"/>
        <v>0</v>
      </c>
      <c r="DN37" s="1146">
        <f t="shared" si="1"/>
        <v>0</v>
      </c>
      <c r="DO37" s="1146">
        <f t="shared" si="1"/>
        <v>0</v>
      </c>
      <c r="DP37" s="1146">
        <f t="shared" si="1"/>
        <v>0</v>
      </c>
      <c r="DQ37" s="1146">
        <f t="shared" si="2"/>
        <v>0</v>
      </c>
      <c r="DR37" s="1146">
        <f t="shared" si="3"/>
        <v>0</v>
      </c>
      <c r="DS37" s="1146">
        <f t="shared" si="4"/>
        <v>12</v>
      </c>
      <c r="DT37" s="1146">
        <f t="shared" si="5"/>
        <v>0</v>
      </c>
      <c r="DU37" s="1146">
        <f t="shared" si="6"/>
        <v>0</v>
      </c>
      <c r="DV37" s="1146">
        <f t="shared" si="7"/>
        <v>0</v>
      </c>
      <c r="DW37" s="1146">
        <f t="shared" si="8"/>
        <v>0</v>
      </c>
      <c r="DX37" s="1146">
        <f t="shared" si="9"/>
        <v>0</v>
      </c>
      <c r="DY37" s="1146">
        <f t="shared" si="10"/>
        <v>0</v>
      </c>
      <c r="DZ37" s="1146">
        <f t="shared" si="10"/>
        <v>0</v>
      </c>
      <c r="EA37" s="1146">
        <f t="shared" si="11"/>
        <v>0</v>
      </c>
      <c r="EB37" s="1146">
        <f t="shared" si="12"/>
        <v>0</v>
      </c>
      <c r="EC37" s="1146">
        <f t="shared" si="13"/>
        <v>0</v>
      </c>
      <c r="ED37" s="1146">
        <f t="shared" si="14"/>
        <v>0</v>
      </c>
      <c r="EE37" s="1146">
        <f t="shared" si="15"/>
        <v>0</v>
      </c>
      <c r="EF37" s="1146">
        <f t="shared" si="16"/>
        <v>0</v>
      </c>
      <c r="EG37" s="1146">
        <f t="shared" si="17"/>
        <v>0</v>
      </c>
      <c r="EH37" s="1146">
        <f t="shared" si="18"/>
        <v>0</v>
      </c>
      <c r="EI37" s="1146">
        <f t="shared" si="18"/>
        <v>0</v>
      </c>
      <c r="EJ37" s="1146">
        <f t="shared" si="19"/>
        <v>0</v>
      </c>
      <c r="EK37" s="1146">
        <f t="shared" si="20"/>
        <v>0</v>
      </c>
      <c r="EL37" s="1146">
        <f t="shared" si="21"/>
        <v>0</v>
      </c>
      <c r="EM37" s="1146">
        <f t="shared" si="22"/>
        <v>0</v>
      </c>
      <c r="EN37" s="1146">
        <f t="shared" si="23"/>
        <v>0</v>
      </c>
      <c r="EO37" s="1146">
        <f t="shared" si="24"/>
        <v>0</v>
      </c>
      <c r="EP37" s="1146">
        <f t="shared" si="25"/>
        <v>0</v>
      </c>
      <c r="EQ37" s="1146">
        <f t="shared" si="26"/>
        <v>0</v>
      </c>
      <c r="ER37" s="1146">
        <f t="shared" si="26"/>
        <v>0</v>
      </c>
      <c r="ES37" s="1146">
        <f t="shared" si="27"/>
        <v>0</v>
      </c>
      <c r="ET37" s="1146">
        <f t="shared" si="28"/>
        <v>0</v>
      </c>
      <c r="EU37" s="1146">
        <f t="shared" si="29"/>
        <v>0</v>
      </c>
      <c r="EV37" s="1146">
        <f t="shared" si="30"/>
        <v>0</v>
      </c>
      <c r="EW37" s="1146">
        <f t="shared" si="31"/>
        <v>0</v>
      </c>
      <c r="EX37" s="1146">
        <f t="shared" si="32"/>
        <v>0</v>
      </c>
      <c r="EY37" s="1146">
        <f t="shared" si="33"/>
        <v>0</v>
      </c>
      <c r="EZ37" s="1146">
        <f t="shared" si="34"/>
        <v>0</v>
      </c>
      <c r="FA37" s="1146">
        <f t="shared" si="34"/>
        <v>0</v>
      </c>
      <c r="FB37" s="1146">
        <f t="shared" si="35"/>
        <v>0</v>
      </c>
      <c r="FC37" s="1146">
        <f t="shared" si="36"/>
        <v>0</v>
      </c>
      <c r="FD37" s="1146">
        <f t="shared" si="37"/>
        <v>0</v>
      </c>
      <c r="FE37" s="1146">
        <f t="shared" si="38"/>
        <v>0</v>
      </c>
      <c r="FF37" s="1146">
        <f t="shared" si="39"/>
        <v>0</v>
      </c>
      <c r="FG37" s="1146">
        <f t="shared" si="40"/>
        <v>0</v>
      </c>
      <c r="FH37" s="1146">
        <f t="shared" si="41"/>
        <v>0</v>
      </c>
      <c r="FI37" s="1146">
        <f t="shared" si="42"/>
        <v>0</v>
      </c>
      <c r="FJ37" s="1146">
        <f t="shared" si="42"/>
        <v>0</v>
      </c>
      <c r="FK37" s="1146">
        <f t="shared" si="43"/>
        <v>0</v>
      </c>
      <c r="FL37" s="1146">
        <f t="shared" si="44"/>
        <v>0</v>
      </c>
      <c r="FM37" s="1146">
        <f t="shared" si="45"/>
        <v>0</v>
      </c>
      <c r="FN37" s="1146">
        <f t="shared" si="46"/>
        <v>0</v>
      </c>
      <c r="FO37" s="1146">
        <f t="shared" si="47"/>
        <v>0</v>
      </c>
      <c r="FP37" s="1146">
        <f t="shared" si="48"/>
        <v>0</v>
      </c>
      <c r="FQ37" s="1146">
        <f t="shared" si="49"/>
        <v>0</v>
      </c>
      <c r="FR37" s="1146">
        <f t="shared" si="50"/>
        <v>0</v>
      </c>
      <c r="FS37" s="1146">
        <f t="shared" si="50"/>
        <v>0</v>
      </c>
      <c r="FT37" s="1146">
        <f t="shared" si="51"/>
        <v>0</v>
      </c>
      <c r="FU37" s="1146">
        <f t="shared" si="52"/>
        <v>0</v>
      </c>
      <c r="FV37" s="1146">
        <f t="shared" si="53"/>
        <v>0</v>
      </c>
      <c r="FW37" s="1146">
        <f t="shared" si="54"/>
        <v>0</v>
      </c>
      <c r="FX37" s="1146">
        <f t="shared" si="55"/>
        <v>0</v>
      </c>
      <c r="FY37" s="1146">
        <f t="shared" si="56"/>
        <v>0</v>
      </c>
      <c r="FZ37" s="1146">
        <f t="shared" si="57"/>
        <v>0</v>
      </c>
      <c r="GA37" s="1146">
        <f t="shared" si="58"/>
        <v>0</v>
      </c>
      <c r="GB37" s="1146">
        <f t="shared" si="58"/>
        <v>0</v>
      </c>
      <c r="GC37" s="1146">
        <f t="shared" si="59"/>
        <v>0</v>
      </c>
      <c r="GD37" s="1146">
        <f t="shared" si="60"/>
        <v>0</v>
      </c>
      <c r="GE37" s="1146">
        <f t="shared" si="61"/>
        <v>0</v>
      </c>
      <c r="GF37" s="1146">
        <f t="shared" si="62"/>
        <v>0</v>
      </c>
      <c r="GG37" s="1146">
        <f t="shared" si="63"/>
        <v>0</v>
      </c>
      <c r="GH37" s="1146">
        <f t="shared" si="64"/>
        <v>0</v>
      </c>
      <c r="GI37" s="1146">
        <f t="shared" si="65"/>
        <v>0</v>
      </c>
      <c r="GJ37" s="1146">
        <f t="shared" si="66"/>
        <v>0</v>
      </c>
      <c r="GK37" s="1146">
        <f t="shared" si="66"/>
        <v>0</v>
      </c>
      <c r="GL37" s="1146">
        <f t="shared" si="67"/>
        <v>0</v>
      </c>
      <c r="GM37" s="1146">
        <f t="shared" si="68"/>
        <v>0</v>
      </c>
      <c r="GN37" s="1146">
        <f t="shared" si="69"/>
        <v>0</v>
      </c>
      <c r="GO37" s="1146">
        <f t="shared" si="70"/>
        <v>0</v>
      </c>
      <c r="GP37" s="1146">
        <f t="shared" si="71"/>
        <v>0</v>
      </c>
      <c r="GQ37" s="1146">
        <f t="shared" si="72"/>
        <v>0</v>
      </c>
      <c r="GR37" s="1146">
        <f t="shared" si="73"/>
        <v>0</v>
      </c>
      <c r="GS37" s="1146">
        <f t="shared" si="74"/>
        <v>0</v>
      </c>
      <c r="GT37" s="1146">
        <f t="shared" si="74"/>
        <v>0</v>
      </c>
      <c r="GU37" s="1146">
        <f t="shared" si="75"/>
        <v>0</v>
      </c>
      <c r="GV37" s="1146">
        <f t="shared" si="76"/>
        <v>0</v>
      </c>
      <c r="GW37" s="1146">
        <f t="shared" si="77"/>
        <v>0</v>
      </c>
      <c r="GX37" s="1146">
        <f t="shared" si="78"/>
        <v>0</v>
      </c>
      <c r="GY37" s="1146">
        <f t="shared" si="79"/>
        <v>0</v>
      </c>
      <c r="GZ37" s="1146">
        <f t="shared" si="80"/>
        <v>0</v>
      </c>
      <c r="HA37" s="1146">
        <f t="shared" si="81"/>
        <v>0</v>
      </c>
      <c r="HB37" s="1146">
        <f t="shared" si="82"/>
        <v>0</v>
      </c>
      <c r="HC37" s="1146">
        <f t="shared" si="82"/>
        <v>0</v>
      </c>
      <c r="HD37" s="1146">
        <f t="shared" si="83"/>
        <v>0</v>
      </c>
      <c r="HE37" s="1146">
        <f t="shared" si="84"/>
        <v>0</v>
      </c>
      <c r="HF37" s="1146">
        <f t="shared" si="85"/>
        <v>0</v>
      </c>
      <c r="HG37" s="1146">
        <f t="shared" si="86"/>
        <v>0</v>
      </c>
      <c r="HH37" s="1146">
        <f t="shared" si="87"/>
        <v>0</v>
      </c>
      <c r="HI37" s="1146">
        <f t="shared" si="88"/>
        <v>0</v>
      </c>
      <c r="HJ37" s="1146">
        <f t="shared" si="89"/>
        <v>0</v>
      </c>
      <c r="HK37" s="1183">
        <f t="shared" si="90"/>
        <v>0</v>
      </c>
      <c r="HL37" s="1184">
        <f t="shared" si="93"/>
        <v>12</v>
      </c>
    </row>
    <row r="38" spans="1:220" s="998" customFormat="1" x14ac:dyDescent="0.2">
      <c r="A38" s="997" t="str">
        <f t="shared" si="91"/>
        <v>Ponts (1 pour EB, 1 pour VAR, 2 prépa)</v>
      </c>
      <c r="B38" s="1145" t="s">
        <v>1282</v>
      </c>
      <c r="C38" s="1146" t="s">
        <v>1283</v>
      </c>
      <c r="D38" s="1146"/>
      <c r="E38" s="1146"/>
      <c r="F38" s="1146"/>
      <c r="G38" s="1146"/>
      <c r="H38" s="1146" t="s">
        <v>1284</v>
      </c>
      <c r="I38" s="1146"/>
      <c r="J38" s="1146" t="s">
        <v>1285</v>
      </c>
      <c r="K38" s="1146" t="s">
        <v>1286</v>
      </c>
      <c r="L38" s="1146"/>
      <c r="M38" s="1146" t="s">
        <v>1287</v>
      </c>
      <c r="N38" s="1146"/>
      <c r="O38" s="1146"/>
      <c r="P38" s="1146"/>
      <c r="Q38" s="1146"/>
      <c r="R38" s="1146"/>
      <c r="S38" s="1146"/>
      <c r="T38" s="1146"/>
      <c r="U38" s="1146"/>
      <c r="V38" s="1146"/>
      <c r="W38" s="1146"/>
      <c r="X38" s="1146"/>
      <c r="Y38" s="1149" t="s">
        <v>1288</v>
      </c>
      <c r="Z38" s="1149"/>
      <c r="AA38" s="1149"/>
      <c r="AB38" s="1149"/>
      <c r="AC38" s="1149"/>
      <c r="AD38" s="1149"/>
      <c r="AE38" s="1149"/>
      <c r="AF38" s="1149"/>
      <c r="AG38" s="1149"/>
      <c r="AH38" s="1149"/>
      <c r="AI38" s="1149"/>
      <c r="AJ38" s="1149"/>
      <c r="AK38" s="1149"/>
      <c r="AL38" s="1146"/>
      <c r="AM38" s="1146"/>
      <c r="AN38" s="1146"/>
      <c r="AO38" s="1146"/>
      <c r="AP38" s="1146"/>
      <c r="AQ38" s="1146"/>
      <c r="AR38" s="1146"/>
      <c r="AS38" s="1146"/>
      <c r="AT38" s="1146"/>
      <c r="AU38" s="1146"/>
      <c r="AV38" s="1146"/>
      <c r="AW38" s="1146"/>
      <c r="AX38" s="1147"/>
      <c r="AY38" s="1147"/>
      <c r="AZ38" s="1147"/>
      <c r="BA38" s="1147"/>
      <c r="BB38" s="1147"/>
      <c r="BC38" s="1147"/>
      <c r="BD38" s="1147"/>
      <c r="BE38" s="1147"/>
      <c r="BF38" s="1147"/>
      <c r="BG38" s="1147"/>
      <c r="BH38" s="1147"/>
      <c r="BI38" s="1147"/>
      <c r="BJ38" s="1147"/>
      <c r="BK38" s="1147"/>
      <c r="BL38" s="1147"/>
      <c r="BM38" s="1147"/>
      <c r="BN38" s="1147"/>
      <c r="BO38" s="1147"/>
      <c r="BP38" s="1147"/>
      <c r="BQ38" s="1147"/>
      <c r="BR38" s="1147"/>
      <c r="BS38" s="1147"/>
      <c r="BT38" s="1147"/>
      <c r="BU38" s="1147"/>
      <c r="BV38" s="1147"/>
      <c r="BW38" s="1147"/>
      <c r="BX38" s="1147"/>
      <c r="BY38" s="1147"/>
      <c r="BZ38" s="1147"/>
      <c r="CA38" s="1147"/>
      <c r="CB38" s="1147"/>
      <c r="CC38" s="1147"/>
      <c r="CD38" s="1147"/>
      <c r="CE38" s="1147"/>
      <c r="CF38" s="1147"/>
      <c r="CG38" s="1147"/>
      <c r="CH38" s="1147"/>
      <c r="CI38" s="1147"/>
      <c r="CJ38" s="1147"/>
      <c r="CK38" s="1147"/>
      <c r="CL38" s="1147"/>
      <c r="CM38" s="1147"/>
      <c r="CN38" s="1147"/>
      <c r="CO38" s="1147"/>
      <c r="CP38" s="1147"/>
      <c r="CQ38" s="1147"/>
      <c r="CR38" s="1147"/>
      <c r="CS38" s="1147"/>
      <c r="CT38" s="1147"/>
      <c r="CU38" s="1147"/>
      <c r="CV38" s="1147"/>
      <c r="CW38" s="1147"/>
      <c r="CX38" s="1147"/>
      <c r="CY38" s="1147"/>
      <c r="CZ38" s="1147"/>
      <c r="DA38" s="1147"/>
      <c r="DB38" s="1147"/>
      <c r="DC38" s="1147"/>
      <c r="DD38" s="1147"/>
      <c r="DE38" s="1148"/>
      <c r="DH38" s="1145">
        <f t="shared" si="92"/>
        <v>0</v>
      </c>
      <c r="DI38" s="1146">
        <f t="shared" si="1"/>
        <v>0</v>
      </c>
      <c r="DJ38" s="1146">
        <f t="shared" si="1"/>
        <v>0</v>
      </c>
      <c r="DK38" s="1146">
        <f t="shared" si="1"/>
        <v>0</v>
      </c>
      <c r="DL38" s="1146">
        <f t="shared" si="1"/>
        <v>0</v>
      </c>
      <c r="DM38" s="1146">
        <f t="shared" si="1"/>
        <v>0</v>
      </c>
      <c r="DN38" s="1146">
        <f t="shared" si="1"/>
        <v>0</v>
      </c>
      <c r="DO38" s="1146">
        <f t="shared" si="1"/>
        <v>0</v>
      </c>
      <c r="DP38" s="1146">
        <f t="shared" si="1"/>
        <v>0</v>
      </c>
      <c r="DQ38" s="1146">
        <f t="shared" si="2"/>
        <v>10</v>
      </c>
      <c r="DR38" s="1146">
        <f t="shared" si="3"/>
        <v>0</v>
      </c>
      <c r="DS38" s="1146">
        <f t="shared" si="4"/>
        <v>0</v>
      </c>
      <c r="DT38" s="1146">
        <f t="shared" si="5"/>
        <v>0</v>
      </c>
      <c r="DU38" s="1146">
        <f t="shared" si="6"/>
        <v>0</v>
      </c>
      <c r="DV38" s="1146">
        <f t="shared" si="7"/>
        <v>0</v>
      </c>
      <c r="DW38" s="1146">
        <f t="shared" si="8"/>
        <v>0</v>
      </c>
      <c r="DX38" s="1146">
        <f t="shared" si="9"/>
        <v>0</v>
      </c>
      <c r="DY38" s="1146">
        <f t="shared" si="10"/>
        <v>0</v>
      </c>
      <c r="DZ38" s="1146">
        <f t="shared" si="10"/>
        <v>0</v>
      </c>
      <c r="EA38" s="1146">
        <f t="shared" si="11"/>
        <v>0</v>
      </c>
      <c r="EB38" s="1146">
        <f t="shared" si="12"/>
        <v>0</v>
      </c>
      <c r="EC38" s="1146">
        <f t="shared" si="13"/>
        <v>0</v>
      </c>
      <c r="ED38" s="1146">
        <f t="shared" si="14"/>
        <v>0</v>
      </c>
      <c r="EE38" s="1146">
        <f t="shared" si="15"/>
        <v>0</v>
      </c>
      <c r="EF38" s="1146">
        <f t="shared" si="16"/>
        <v>0</v>
      </c>
      <c r="EG38" s="1146">
        <f t="shared" si="17"/>
        <v>0</v>
      </c>
      <c r="EH38" s="1146">
        <f t="shared" si="18"/>
        <v>0</v>
      </c>
      <c r="EI38" s="1146">
        <f t="shared" si="18"/>
        <v>0</v>
      </c>
      <c r="EJ38" s="1146">
        <f t="shared" si="19"/>
        <v>0</v>
      </c>
      <c r="EK38" s="1146">
        <f t="shared" si="20"/>
        <v>0</v>
      </c>
      <c r="EL38" s="1146">
        <f t="shared" si="21"/>
        <v>0</v>
      </c>
      <c r="EM38" s="1146">
        <f t="shared" si="22"/>
        <v>0</v>
      </c>
      <c r="EN38" s="1146">
        <f t="shared" si="23"/>
        <v>0</v>
      </c>
      <c r="EO38" s="1146">
        <f t="shared" si="24"/>
        <v>0</v>
      </c>
      <c r="EP38" s="1146">
        <f t="shared" si="25"/>
        <v>0</v>
      </c>
      <c r="EQ38" s="1146">
        <f t="shared" si="26"/>
        <v>0</v>
      </c>
      <c r="ER38" s="1146">
        <f t="shared" si="26"/>
        <v>0</v>
      </c>
      <c r="ES38" s="1146">
        <f t="shared" si="27"/>
        <v>0</v>
      </c>
      <c r="ET38" s="1146">
        <f t="shared" si="28"/>
        <v>0</v>
      </c>
      <c r="EU38" s="1146">
        <f t="shared" si="29"/>
        <v>0</v>
      </c>
      <c r="EV38" s="1146">
        <f t="shared" si="30"/>
        <v>0</v>
      </c>
      <c r="EW38" s="1146">
        <f t="shared" si="31"/>
        <v>0</v>
      </c>
      <c r="EX38" s="1146">
        <f t="shared" si="32"/>
        <v>0</v>
      </c>
      <c r="EY38" s="1146">
        <f t="shared" si="33"/>
        <v>0</v>
      </c>
      <c r="EZ38" s="1146">
        <f t="shared" si="34"/>
        <v>0</v>
      </c>
      <c r="FA38" s="1146">
        <f t="shared" si="34"/>
        <v>0</v>
      </c>
      <c r="FB38" s="1146">
        <f t="shared" si="35"/>
        <v>0</v>
      </c>
      <c r="FC38" s="1146">
        <f t="shared" si="36"/>
        <v>0</v>
      </c>
      <c r="FD38" s="1146">
        <f t="shared" si="37"/>
        <v>0</v>
      </c>
      <c r="FE38" s="1146">
        <f t="shared" si="38"/>
        <v>0</v>
      </c>
      <c r="FF38" s="1146">
        <f t="shared" si="39"/>
        <v>0</v>
      </c>
      <c r="FG38" s="1146">
        <f t="shared" si="40"/>
        <v>0</v>
      </c>
      <c r="FH38" s="1146">
        <f t="shared" si="41"/>
        <v>0</v>
      </c>
      <c r="FI38" s="1146">
        <f t="shared" si="42"/>
        <v>0</v>
      </c>
      <c r="FJ38" s="1146">
        <f t="shared" si="42"/>
        <v>0</v>
      </c>
      <c r="FK38" s="1146">
        <f t="shared" si="43"/>
        <v>0</v>
      </c>
      <c r="FL38" s="1146">
        <f t="shared" si="44"/>
        <v>0</v>
      </c>
      <c r="FM38" s="1146">
        <f t="shared" si="45"/>
        <v>0</v>
      </c>
      <c r="FN38" s="1146">
        <f t="shared" si="46"/>
        <v>0</v>
      </c>
      <c r="FO38" s="1146">
        <f t="shared" si="47"/>
        <v>0</v>
      </c>
      <c r="FP38" s="1146">
        <f t="shared" si="48"/>
        <v>0</v>
      </c>
      <c r="FQ38" s="1146">
        <f t="shared" si="49"/>
        <v>0</v>
      </c>
      <c r="FR38" s="1146">
        <f t="shared" si="50"/>
        <v>0</v>
      </c>
      <c r="FS38" s="1146">
        <f t="shared" si="50"/>
        <v>0</v>
      </c>
      <c r="FT38" s="1146">
        <f t="shared" si="51"/>
        <v>0</v>
      </c>
      <c r="FU38" s="1146">
        <f t="shared" si="52"/>
        <v>0</v>
      </c>
      <c r="FV38" s="1146">
        <f t="shared" si="53"/>
        <v>0</v>
      </c>
      <c r="FW38" s="1146">
        <f t="shared" si="54"/>
        <v>0</v>
      </c>
      <c r="FX38" s="1146">
        <f t="shared" si="55"/>
        <v>0</v>
      </c>
      <c r="FY38" s="1146">
        <f t="shared" si="56"/>
        <v>0</v>
      </c>
      <c r="FZ38" s="1146">
        <f t="shared" si="57"/>
        <v>0</v>
      </c>
      <c r="GA38" s="1146">
        <f t="shared" si="58"/>
        <v>0</v>
      </c>
      <c r="GB38" s="1146">
        <f t="shared" si="58"/>
        <v>0</v>
      </c>
      <c r="GC38" s="1146">
        <f t="shared" si="59"/>
        <v>0</v>
      </c>
      <c r="GD38" s="1146">
        <f t="shared" si="60"/>
        <v>0</v>
      </c>
      <c r="GE38" s="1146">
        <f t="shared" si="61"/>
        <v>0</v>
      </c>
      <c r="GF38" s="1146">
        <f t="shared" si="62"/>
        <v>0</v>
      </c>
      <c r="GG38" s="1146">
        <f t="shared" si="63"/>
        <v>0</v>
      </c>
      <c r="GH38" s="1146">
        <f t="shared" si="64"/>
        <v>0</v>
      </c>
      <c r="GI38" s="1146">
        <f t="shared" si="65"/>
        <v>0</v>
      </c>
      <c r="GJ38" s="1146">
        <f t="shared" si="66"/>
        <v>0</v>
      </c>
      <c r="GK38" s="1146">
        <f t="shared" si="66"/>
        <v>0</v>
      </c>
      <c r="GL38" s="1146">
        <f t="shared" si="67"/>
        <v>0</v>
      </c>
      <c r="GM38" s="1146">
        <f t="shared" si="68"/>
        <v>0</v>
      </c>
      <c r="GN38" s="1146">
        <f t="shared" si="69"/>
        <v>0</v>
      </c>
      <c r="GO38" s="1146">
        <f t="shared" si="70"/>
        <v>0</v>
      </c>
      <c r="GP38" s="1146">
        <f t="shared" si="71"/>
        <v>0</v>
      </c>
      <c r="GQ38" s="1146">
        <f t="shared" si="72"/>
        <v>0</v>
      </c>
      <c r="GR38" s="1146">
        <f t="shared" si="73"/>
        <v>0</v>
      </c>
      <c r="GS38" s="1146">
        <f t="shared" si="74"/>
        <v>0</v>
      </c>
      <c r="GT38" s="1146">
        <f t="shared" si="74"/>
        <v>0</v>
      </c>
      <c r="GU38" s="1146">
        <f t="shared" si="75"/>
        <v>0</v>
      </c>
      <c r="GV38" s="1146">
        <f t="shared" si="76"/>
        <v>0</v>
      </c>
      <c r="GW38" s="1146">
        <f t="shared" si="77"/>
        <v>0</v>
      </c>
      <c r="GX38" s="1146">
        <f t="shared" si="78"/>
        <v>0</v>
      </c>
      <c r="GY38" s="1146">
        <f t="shared" si="79"/>
        <v>0</v>
      </c>
      <c r="GZ38" s="1146">
        <f t="shared" si="80"/>
        <v>0</v>
      </c>
      <c r="HA38" s="1146">
        <f t="shared" si="81"/>
        <v>0</v>
      </c>
      <c r="HB38" s="1146">
        <f t="shared" si="82"/>
        <v>0</v>
      </c>
      <c r="HC38" s="1146">
        <f t="shared" si="82"/>
        <v>0</v>
      </c>
      <c r="HD38" s="1146">
        <f t="shared" si="83"/>
        <v>0</v>
      </c>
      <c r="HE38" s="1146">
        <f t="shared" si="84"/>
        <v>0</v>
      </c>
      <c r="HF38" s="1146">
        <f t="shared" si="85"/>
        <v>0</v>
      </c>
      <c r="HG38" s="1146">
        <f t="shared" si="86"/>
        <v>0</v>
      </c>
      <c r="HH38" s="1146">
        <f t="shared" si="87"/>
        <v>0</v>
      </c>
      <c r="HI38" s="1146">
        <f t="shared" si="88"/>
        <v>0</v>
      </c>
      <c r="HJ38" s="1146">
        <f t="shared" si="89"/>
        <v>0</v>
      </c>
      <c r="HK38" s="1183">
        <f t="shared" si="90"/>
        <v>0</v>
      </c>
      <c r="HL38" s="1184">
        <f t="shared" si="93"/>
        <v>10</v>
      </c>
    </row>
    <row r="39" spans="1:220" s="998" customFormat="1" x14ac:dyDescent="0.2">
      <c r="A39" s="997" t="str">
        <f t="shared" si="91"/>
        <v>Electricité (poste en aout 2015 et 1,2 M€)</v>
      </c>
      <c r="B39" s="1145" t="s">
        <v>1282</v>
      </c>
      <c r="C39" s="1146" t="s">
        <v>1283</v>
      </c>
      <c r="D39" s="1146"/>
      <c r="E39" s="1146"/>
      <c r="F39" s="1146"/>
      <c r="G39" s="1146"/>
      <c r="H39" s="1146" t="s">
        <v>1284</v>
      </c>
      <c r="I39" s="1146"/>
      <c r="J39" s="1146"/>
      <c r="K39" s="1146" t="s">
        <v>1285</v>
      </c>
      <c r="L39" s="1146"/>
      <c r="M39" s="1146" t="s">
        <v>1286</v>
      </c>
      <c r="N39" s="1146"/>
      <c r="O39" s="1146" t="s">
        <v>1287</v>
      </c>
      <c r="P39" s="1146"/>
      <c r="Q39" s="1146"/>
      <c r="R39" s="1146"/>
      <c r="S39" s="1146"/>
      <c r="T39" s="1146"/>
      <c r="U39" s="1146"/>
      <c r="V39" s="1146"/>
      <c r="W39" s="1146"/>
      <c r="X39" s="1146"/>
      <c r="Y39" s="1146"/>
      <c r="Z39" s="1146"/>
      <c r="AA39" s="1149" t="s">
        <v>1288</v>
      </c>
      <c r="AB39" s="1149"/>
      <c r="AC39" s="1149"/>
      <c r="AD39" s="1149"/>
      <c r="AE39" s="1149"/>
      <c r="AF39" s="1149"/>
      <c r="AG39" s="1149"/>
      <c r="AH39" s="1149"/>
      <c r="AI39" s="1149"/>
      <c r="AJ39" s="1149"/>
      <c r="AK39" s="1149"/>
      <c r="AL39" s="1146"/>
      <c r="AM39" s="1146"/>
      <c r="AN39" s="1146"/>
      <c r="AO39" s="1146"/>
      <c r="AP39" s="1146"/>
      <c r="AQ39" s="1146"/>
      <c r="AR39" s="1146"/>
      <c r="AS39" s="1146"/>
      <c r="AT39" s="1146"/>
      <c r="AU39" s="1146"/>
      <c r="AV39" s="1146"/>
      <c r="AW39" s="1146"/>
      <c r="AX39" s="1147"/>
      <c r="AY39" s="1147"/>
      <c r="AZ39" s="1147"/>
      <c r="BA39" s="1147"/>
      <c r="BB39" s="1147"/>
      <c r="BC39" s="1147"/>
      <c r="BD39" s="1147"/>
      <c r="BE39" s="1147"/>
      <c r="BF39" s="1147"/>
      <c r="BG39" s="1147"/>
      <c r="BH39" s="1147"/>
      <c r="BI39" s="1147"/>
      <c r="BJ39" s="1147"/>
      <c r="BK39" s="1147"/>
      <c r="BL39" s="1147"/>
      <c r="BM39" s="1147"/>
      <c r="BN39" s="1147"/>
      <c r="BO39" s="1147"/>
      <c r="BP39" s="1147"/>
      <c r="BQ39" s="1147"/>
      <c r="BR39" s="1147"/>
      <c r="BS39" s="1147"/>
      <c r="BT39" s="1147"/>
      <c r="BU39" s="1147"/>
      <c r="BV39" s="1147"/>
      <c r="BW39" s="1147"/>
      <c r="BX39" s="1147"/>
      <c r="BY39" s="1147"/>
      <c r="BZ39" s="1147"/>
      <c r="CA39" s="1147"/>
      <c r="CB39" s="1147"/>
      <c r="CC39" s="1147"/>
      <c r="CD39" s="1147"/>
      <c r="CE39" s="1147"/>
      <c r="CF39" s="1147"/>
      <c r="CG39" s="1147"/>
      <c r="CH39" s="1147"/>
      <c r="CI39" s="1147"/>
      <c r="CJ39" s="1147"/>
      <c r="CK39" s="1147"/>
      <c r="CL39" s="1147"/>
      <c r="CM39" s="1147"/>
      <c r="CN39" s="1147"/>
      <c r="CO39" s="1147"/>
      <c r="CP39" s="1147"/>
      <c r="CQ39" s="1147"/>
      <c r="CR39" s="1147"/>
      <c r="CS39" s="1147"/>
      <c r="CT39" s="1147"/>
      <c r="CU39" s="1147"/>
      <c r="CV39" s="1147"/>
      <c r="CW39" s="1147"/>
      <c r="CX39" s="1147"/>
      <c r="CY39" s="1147"/>
      <c r="CZ39" s="1147"/>
      <c r="DA39" s="1147"/>
      <c r="DB39" s="1147"/>
      <c r="DC39" s="1147"/>
      <c r="DD39" s="1147"/>
      <c r="DE39" s="1148"/>
      <c r="DH39" s="1145">
        <f t="shared" si="92"/>
        <v>0</v>
      </c>
      <c r="DI39" s="1146">
        <f t="shared" si="1"/>
        <v>0</v>
      </c>
      <c r="DJ39" s="1146">
        <f t="shared" si="1"/>
        <v>0</v>
      </c>
      <c r="DK39" s="1146">
        <f t="shared" si="1"/>
        <v>0</v>
      </c>
      <c r="DL39" s="1146">
        <f t="shared" si="1"/>
        <v>0</v>
      </c>
      <c r="DM39" s="1146">
        <f t="shared" si="1"/>
        <v>0</v>
      </c>
      <c r="DN39" s="1146">
        <f t="shared" si="1"/>
        <v>0</v>
      </c>
      <c r="DO39" s="1146">
        <f t="shared" si="1"/>
        <v>0</v>
      </c>
      <c r="DP39" s="1146">
        <f t="shared" si="1"/>
        <v>0</v>
      </c>
      <c r="DQ39" s="1146">
        <f t="shared" si="2"/>
        <v>0</v>
      </c>
      <c r="DR39" s="1146">
        <f t="shared" si="3"/>
        <v>0</v>
      </c>
      <c r="DS39" s="1146">
        <f t="shared" si="4"/>
        <v>12</v>
      </c>
      <c r="DT39" s="1146">
        <f t="shared" si="5"/>
        <v>0</v>
      </c>
      <c r="DU39" s="1146">
        <f t="shared" si="6"/>
        <v>0</v>
      </c>
      <c r="DV39" s="1146">
        <f t="shared" si="7"/>
        <v>0</v>
      </c>
      <c r="DW39" s="1146">
        <f t="shared" si="8"/>
        <v>0</v>
      </c>
      <c r="DX39" s="1146">
        <f t="shared" si="9"/>
        <v>0</v>
      </c>
      <c r="DY39" s="1146">
        <f t="shared" si="10"/>
        <v>0</v>
      </c>
      <c r="DZ39" s="1146">
        <f t="shared" si="10"/>
        <v>0</v>
      </c>
      <c r="EA39" s="1146">
        <f t="shared" si="11"/>
        <v>0</v>
      </c>
      <c r="EB39" s="1146">
        <f t="shared" si="12"/>
        <v>0</v>
      </c>
      <c r="EC39" s="1146">
        <f t="shared" si="13"/>
        <v>0</v>
      </c>
      <c r="ED39" s="1146">
        <f t="shared" si="14"/>
        <v>0</v>
      </c>
      <c r="EE39" s="1146">
        <f t="shared" si="15"/>
        <v>0</v>
      </c>
      <c r="EF39" s="1146">
        <f t="shared" si="16"/>
        <v>0</v>
      </c>
      <c r="EG39" s="1146">
        <f t="shared" si="17"/>
        <v>0</v>
      </c>
      <c r="EH39" s="1146">
        <f t="shared" si="18"/>
        <v>0</v>
      </c>
      <c r="EI39" s="1146">
        <f t="shared" si="18"/>
        <v>0</v>
      </c>
      <c r="EJ39" s="1146">
        <f t="shared" si="19"/>
        <v>0</v>
      </c>
      <c r="EK39" s="1146">
        <f t="shared" si="20"/>
        <v>0</v>
      </c>
      <c r="EL39" s="1146">
        <f t="shared" si="21"/>
        <v>0</v>
      </c>
      <c r="EM39" s="1146">
        <f t="shared" si="22"/>
        <v>0</v>
      </c>
      <c r="EN39" s="1146">
        <f t="shared" si="23"/>
        <v>0</v>
      </c>
      <c r="EO39" s="1146">
        <f t="shared" si="24"/>
        <v>0</v>
      </c>
      <c r="EP39" s="1146">
        <f t="shared" si="25"/>
        <v>0</v>
      </c>
      <c r="EQ39" s="1146">
        <f t="shared" si="26"/>
        <v>0</v>
      </c>
      <c r="ER39" s="1146">
        <f t="shared" si="26"/>
        <v>0</v>
      </c>
      <c r="ES39" s="1146">
        <f t="shared" si="27"/>
        <v>0</v>
      </c>
      <c r="ET39" s="1146">
        <f t="shared" si="28"/>
        <v>0</v>
      </c>
      <c r="EU39" s="1146">
        <f t="shared" si="29"/>
        <v>0</v>
      </c>
      <c r="EV39" s="1146">
        <f t="shared" si="30"/>
        <v>0</v>
      </c>
      <c r="EW39" s="1146">
        <f t="shared" si="31"/>
        <v>0</v>
      </c>
      <c r="EX39" s="1146">
        <f t="shared" si="32"/>
        <v>0</v>
      </c>
      <c r="EY39" s="1146">
        <f t="shared" si="33"/>
        <v>0</v>
      </c>
      <c r="EZ39" s="1146">
        <f t="shared" si="34"/>
        <v>0</v>
      </c>
      <c r="FA39" s="1146">
        <f t="shared" si="34"/>
        <v>0</v>
      </c>
      <c r="FB39" s="1146">
        <f t="shared" si="35"/>
        <v>0</v>
      </c>
      <c r="FC39" s="1146">
        <f t="shared" si="36"/>
        <v>0</v>
      </c>
      <c r="FD39" s="1146">
        <f t="shared" si="37"/>
        <v>0</v>
      </c>
      <c r="FE39" s="1146">
        <f t="shared" si="38"/>
        <v>0</v>
      </c>
      <c r="FF39" s="1146">
        <f t="shared" si="39"/>
        <v>0</v>
      </c>
      <c r="FG39" s="1146">
        <f t="shared" si="40"/>
        <v>0</v>
      </c>
      <c r="FH39" s="1146">
        <f t="shared" si="41"/>
        <v>0</v>
      </c>
      <c r="FI39" s="1146">
        <f t="shared" si="42"/>
        <v>0</v>
      </c>
      <c r="FJ39" s="1146">
        <f t="shared" si="42"/>
        <v>0</v>
      </c>
      <c r="FK39" s="1146">
        <f t="shared" si="43"/>
        <v>0</v>
      </c>
      <c r="FL39" s="1146">
        <f t="shared" si="44"/>
        <v>0</v>
      </c>
      <c r="FM39" s="1146">
        <f t="shared" si="45"/>
        <v>0</v>
      </c>
      <c r="FN39" s="1146">
        <f t="shared" si="46"/>
        <v>0</v>
      </c>
      <c r="FO39" s="1146">
        <f t="shared" si="47"/>
        <v>0</v>
      </c>
      <c r="FP39" s="1146">
        <f t="shared" si="48"/>
        <v>0</v>
      </c>
      <c r="FQ39" s="1146">
        <f t="shared" si="49"/>
        <v>0</v>
      </c>
      <c r="FR39" s="1146">
        <f t="shared" si="50"/>
        <v>0</v>
      </c>
      <c r="FS39" s="1146">
        <f t="shared" si="50"/>
        <v>0</v>
      </c>
      <c r="FT39" s="1146">
        <f t="shared" si="51"/>
        <v>0</v>
      </c>
      <c r="FU39" s="1146">
        <f t="shared" si="52"/>
        <v>0</v>
      </c>
      <c r="FV39" s="1146">
        <f t="shared" si="53"/>
        <v>0</v>
      </c>
      <c r="FW39" s="1146">
        <f t="shared" si="54"/>
        <v>0</v>
      </c>
      <c r="FX39" s="1146">
        <f t="shared" si="55"/>
        <v>0</v>
      </c>
      <c r="FY39" s="1146">
        <f t="shared" si="56"/>
        <v>0</v>
      </c>
      <c r="FZ39" s="1146">
        <f t="shared" si="57"/>
        <v>0</v>
      </c>
      <c r="GA39" s="1146">
        <f t="shared" si="58"/>
        <v>0</v>
      </c>
      <c r="GB39" s="1146">
        <f t="shared" si="58"/>
        <v>0</v>
      </c>
      <c r="GC39" s="1146">
        <f t="shared" si="59"/>
        <v>0</v>
      </c>
      <c r="GD39" s="1146">
        <f t="shared" si="60"/>
        <v>0</v>
      </c>
      <c r="GE39" s="1146">
        <f t="shared" si="61"/>
        <v>0</v>
      </c>
      <c r="GF39" s="1146">
        <f t="shared" si="62"/>
        <v>0</v>
      </c>
      <c r="GG39" s="1146">
        <f t="shared" si="63"/>
        <v>0</v>
      </c>
      <c r="GH39" s="1146">
        <f t="shared" si="64"/>
        <v>0</v>
      </c>
      <c r="GI39" s="1146">
        <f t="shared" si="65"/>
        <v>0</v>
      </c>
      <c r="GJ39" s="1146">
        <f t="shared" si="66"/>
        <v>0</v>
      </c>
      <c r="GK39" s="1146">
        <f t="shared" si="66"/>
        <v>0</v>
      </c>
      <c r="GL39" s="1146">
        <f t="shared" si="67"/>
        <v>0</v>
      </c>
      <c r="GM39" s="1146">
        <f t="shared" si="68"/>
        <v>0</v>
      </c>
      <c r="GN39" s="1146">
        <f t="shared" si="69"/>
        <v>0</v>
      </c>
      <c r="GO39" s="1146">
        <f t="shared" si="70"/>
        <v>0</v>
      </c>
      <c r="GP39" s="1146">
        <f t="shared" si="71"/>
        <v>0</v>
      </c>
      <c r="GQ39" s="1146">
        <f t="shared" si="72"/>
        <v>0</v>
      </c>
      <c r="GR39" s="1146">
        <f t="shared" si="73"/>
        <v>0</v>
      </c>
      <c r="GS39" s="1146">
        <f t="shared" si="74"/>
        <v>0</v>
      </c>
      <c r="GT39" s="1146">
        <f t="shared" si="74"/>
        <v>0</v>
      </c>
      <c r="GU39" s="1146">
        <f t="shared" si="75"/>
        <v>0</v>
      </c>
      <c r="GV39" s="1146">
        <f t="shared" si="76"/>
        <v>0</v>
      </c>
      <c r="GW39" s="1146">
        <f t="shared" si="77"/>
        <v>0</v>
      </c>
      <c r="GX39" s="1146">
        <f t="shared" si="78"/>
        <v>0</v>
      </c>
      <c r="GY39" s="1146">
        <f t="shared" si="79"/>
        <v>0</v>
      </c>
      <c r="GZ39" s="1146">
        <f t="shared" si="80"/>
        <v>0</v>
      </c>
      <c r="HA39" s="1146">
        <f t="shared" si="81"/>
        <v>0</v>
      </c>
      <c r="HB39" s="1146">
        <f t="shared" si="82"/>
        <v>0</v>
      </c>
      <c r="HC39" s="1146">
        <f t="shared" si="82"/>
        <v>0</v>
      </c>
      <c r="HD39" s="1146">
        <f t="shared" si="83"/>
        <v>0</v>
      </c>
      <c r="HE39" s="1146">
        <f t="shared" si="84"/>
        <v>0</v>
      </c>
      <c r="HF39" s="1146">
        <f t="shared" si="85"/>
        <v>0</v>
      </c>
      <c r="HG39" s="1146">
        <f t="shared" si="86"/>
        <v>0</v>
      </c>
      <c r="HH39" s="1146">
        <f t="shared" si="87"/>
        <v>0</v>
      </c>
      <c r="HI39" s="1146">
        <f t="shared" si="88"/>
        <v>0</v>
      </c>
      <c r="HJ39" s="1146">
        <f t="shared" si="89"/>
        <v>0</v>
      </c>
      <c r="HK39" s="1183">
        <f t="shared" si="90"/>
        <v>0</v>
      </c>
      <c r="HL39" s="1184">
        <f t="shared" si="93"/>
        <v>12</v>
      </c>
    </row>
    <row r="40" spans="1:220" s="999" customFormat="1" x14ac:dyDescent="0.2">
      <c r="A40" s="997" t="str">
        <f t="shared" si="91"/>
        <v>Autre Electricité et utilités</v>
      </c>
      <c r="B40" s="1145" t="s">
        <v>1282</v>
      </c>
      <c r="C40" s="1146" t="s">
        <v>1283</v>
      </c>
      <c r="D40" s="1146"/>
      <c r="E40" s="1146"/>
      <c r="F40" s="1146" t="s">
        <v>1284</v>
      </c>
      <c r="G40" s="1146" t="s">
        <v>1285</v>
      </c>
      <c r="H40" s="1146"/>
      <c r="I40" s="1146"/>
      <c r="J40" s="1146" t="s">
        <v>1286</v>
      </c>
      <c r="K40" s="1146"/>
      <c r="L40" s="1146"/>
      <c r="M40" s="1146"/>
      <c r="N40" s="1146" t="s">
        <v>1287</v>
      </c>
      <c r="O40" s="1146"/>
      <c r="P40" s="1146"/>
      <c r="Q40" s="1146"/>
      <c r="R40" s="1146"/>
      <c r="S40" s="1146"/>
      <c r="T40" s="1149" t="s">
        <v>1288</v>
      </c>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55"/>
      <c r="AY40" s="1155"/>
      <c r="AZ40" s="1155"/>
      <c r="BA40" s="1155"/>
      <c r="BB40" s="1155"/>
      <c r="BC40" s="1155"/>
      <c r="BD40" s="1155"/>
      <c r="BE40" s="1155"/>
      <c r="BF40" s="1155"/>
      <c r="BG40" s="1155"/>
      <c r="BH40" s="1155"/>
      <c r="BI40" s="1155"/>
      <c r="BJ40" s="1155"/>
      <c r="BK40" s="1155"/>
      <c r="BL40" s="1155"/>
      <c r="BM40" s="1155"/>
      <c r="BN40" s="1155"/>
      <c r="BO40" s="1155"/>
      <c r="BP40" s="1155"/>
      <c r="BQ40" s="1155"/>
      <c r="BR40" s="1155"/>
      <c r="BS40" s="1155"/>
      <c r="BT40" s="1155"/>
      <c r="BU40" s="1155"/>
      <c r="BV40" s="1155"/>
      <c r="BW40" s="1155"/>
      <c r="BX40" s="1155"/>
      <c r="BY40" s="1155"/>
      <c r="BZ40" s="1155"/>
      <c r="CA40" s="1155"/>
      <c r="CB40" s="1155"/>
      <c r="CC40" s="1155"/>
      <c r="CD40" s="1155"/>
      <c r="CE40" s="1155"/>
      <c r="CF40" s="1155"/>
      <c r="CG40" s="1155"/>
      <c r="CH40" s="1155"/>
      <c r="CI40" s="1155"/>
      <c r="CJ40" s="1155"/>
      <c r="CK40" s="1155"/>
      <c r="CL40" s="1155"/>
      <c r="CM40" s="1155"/>
      <c r="CN40" s="1155"/>
      <c r="CO40" s="1155"/>
      <c r="CP40" s="1155"/>
      <c r="CQ40" s="1155"/>
      <c r="CR40" s="1155"/>
      <c r="CS40" s="1155"/>
      <c r="CT40" s="1155"/>
      <c r="CU40" s="1155"/>
      <c r="CV40" s="1155"/>
      <c r="CW40" s="1155"/>
      <c r="CX40" s="1155"/>
      <c r="CY40" s="1155"/>
      <c r="CZ40" s="1155"/>
      <c r="DA40" s="1155"/>
      <c r="DB40" s="1155"/>
      <c r="DC40" s="1155"/>
      <c r="DD40" s="1155"/>
      <c r="DE40" s="1156"/>
      <c r="DH40" s="1145">
        <f t="shared" si="92"/>
        <v>0</v>
      </c>
      <c r="DI40" s="1146">
        <f t="shared" si="1"/>
        <v>0</v>
      </c>
      <c r="DJ40" s="1146">
        <f t="shared" si="1"/>
        <v>0</v>
      </c>
      <c r="DK40" s="1146">
        <f t="shared" si="1"/>
        <v>0</v>
      </c>
      <c r="DL40" s="1146">
        <f t="shared" si="1"/>
        <v>0</v>
      </c>
      <c r="DM40" s="1146">
        <f t="shared" si="1"/>
        <v>0</v>
      </c>
      <c r="DN40" s="1146">
        <f t="shared" si="1"/>
        <v>0</v>
      </c>
      <c r="DO40" s="1146">
        <f t="shared" si="1"/>
        <v>0</v>
      </c>
      <c r="DP40" s="1146">
        <f t="shared" si="1"/>
        <v>9</v>
      </c>
      <c r="DQ40" s="1146">
        <f t="shared" si="2"/>
        <v>0</v>
      </c>
      <c r="DR40" s="1146">
        <f t="shared" si="3"/>
        <v>0</v>
      </c>
      <c r="DS40" s="1146">
        <f t="shared" si="4"/>
        <v>0</v>
      </c>
      <c r="DT40" s="1146">
        <f t="shared" si="5"/>
        <v>0</v>
      </c>
      <c r="DU40" s="1146">
        <f t="shared" si="6"/>
        <v>0</v>
      </c>
      <c r="DV40" s="1146">
        <f t="shared" si="7"/>
        <v>0</v>
      </c>
      <c r="DW40" s="1146">
        <f t="shared" si="8"/>
        <v>0</v>
      </c>
      <c r="DX40" s="1146">
        <f t="shared" si="9"/>
        <v>0</v>
      </c>
      <c r="DY40" s="1146">
        <f t="shared" si="10"/>
        <v>0</v>
      </c>
      <c r="DZ40" s="1146">
        <f t="shared" si="10"/>
        <v>0</v>
      </c>
      <c r="EA40" s="1146">
        <f t="shared" si="11"/>
        <v>0</v>
      </c>
      <c r="EB40" s="1146">
        <f t="shared" si="12"/>
        <v>0</v>
      </c>
      <c r="EC40" s="1146">
        <f t="shared" si="13"/>
        <v>0</v>
      </c>
      <c r="ED40" s="1146">
        <f t="shared" si="14"/>
        <v>0</v>
      </c>
      <c r="EE40" s="1146">
        <f t="shared" si="15"/>
        <v>0</v>
      </c>
      <c r="EF40" s="1146">
        <f t="shared" si="16"/>
        <v>0</v>
      </c>
      <c r="EG40" s="1146">
        <f t="shared" si="17"/>
        <v>0</v>
      </c>
      <c r="EH40" s="1146">
        <f t="shared" si="18"/>
        <v>0</v>
      </c>
      <c r="EI40" s="1146">
        <f t="shared" si="18"/>
        <v>0</v>
      </c>
      <c r="EJ40" s="1146">
        <f t="shared" si="19"/>
        <v>0</v>
      </c>
      <c r="EK40" s="1146">
        <f t="shared" si="20"/>
        <v>0</v>
      </c>
      <c r="EL40" s="1146">
        <f t="shared" si="21"/>
        <v>0</v>
      </c>
      <c r="EM40" s="1146">
        <f t="shared" si="22"/>
        <v>0</v>
      </c>
      <c r="EN40" s="1146">
        <f t="shared" si="23"/>
        <v>0</v>
      </c>
      <c r="EO40" s="1146">
        <f t="shared" si="24"/>
        <v>0</v>
      </c>
      <c r="EP40" s="1146">
        <f t="shared" si="25"/>
        <v>0</v>
      </c>
      <c r="EQ40" s="1146">
        <f t="shared" si="26"/>
        <v>0</v>
      </c>
      <c r="ER40" s="1146">
        <f t="shared" si="26"/>
        <v>0</v>
      </c>
      <c r="ES40" s="1146">
        <f t="shared" si="27"/>
        <v>0</v>
      </c>
      <c r="ET40" s="1146">
        <f t="shared" si="28"/>
        <v>0</v>
      </c>
      <c r="EU40" s="1146">
        <f t="shared" si="29"/>
        <v>0</v>
      </c>
      <c r="EV40" s="1146">
        <f t="shared" si="30"/>
        <v>0</v>
      </c>
      <c r="EW40" s="1146">
        <f t="shared" si="31"/>
        <v>0</v>
      </c>
      <c r="EX40" s="1146">
        <f t="shared" si="32"/>
        <v>0</v>
      </c>
      <c r="EY40" s="1146">
        <f t="shared" si="33"/>
        <v>0</v>
      </c>
      <c r="EZ40" s="1146">
        <f t="shared" si="34"/>
        <v>0</v>
      </c>
      <c r="FA40" s="1146">
        <f t="shared" si="34"/>
        <v>0</v>
      </c>
      <c r="FB40" s="1146">
        <f t="shared" si="35"/>
        <v>0</v>
      </c>
      <c r="FC40" s="1146">
        <f t="shared" si="36"/>
        <v>0</v>
      </c>
      <c r="FD40" s="1146">
        <f t="shared" si="37"/>
        <v>0</v>
      </c>
      <c r="FE40" s="1146">
        <f t="shared" si="38"/>
        <v>0</v>
      </c>
      <c r="FF40" s="1146">
        <f t="shared" si="39"/>
        <v>0</v>
      </c>
      <c r="FG40" s="1146">
        <f t="shared" si="40"/>
        <v>0</v>
      </c>
      <c r="FH40" s="1146">
        <f t="shared" si="41"/>
        <v>0</v>
      </c>
      <c r="FI40" s="1146">
        <f t="shared" si="42"/>
        <v>0</v>
      </c>
      <c r="FJ40" s="1146">
        <f t="shared" si="42"/>
        <v>0</v>
      </c>
      <c r="FK40" s="1146">
        <f t="shared" si="43"/>
        <v>0</v>
      </c>
      <c r="FL40" s="1146">
        <f t="shared" si="44"/>
        <v>0</v>
      </c>
      <c r="FM40" s="1146">
        <f t="shared" si="45"/>
        <v>0</v>
      </c>
      <c r="FN40" s="1146">
        <f t="shared" si="46"/>
        <v>0</v>
      </c>
      <c r="FO40" s="1146">
        <f t="shared" si="47"/>
        <v>0</v>
      </c>
      <c r="FP40" s="1146">
        <f t="shared" si="48"/>
        <v>0</v>
      </c>
      <c r="FQ40" s="1146">
        <f t="shared" si="49"/>
        <v>0</v>
      </c>
      <c r="FR40" s="1146">
        <f t="shared" si="50"/>
        <v>0</v>
      </c>
      <c r="FS40" s="1146">
        <f t="shared" si="50"/>
        <v>0</v>
      </c>
      <c r="FT40" s="1146">
        <f t="shared" si="51"/>
        <v>0</v>
      </c>
      <c r="FU40" s="1146">
        <f t="shared" si="52"/>
        <v>0</v>
      </c>
      <c r="FV40" s="1146">
        <f t="shared" si="53"/>
        <v>0</v>
      </c>
      <c r="FW40" s="1146">
        <f t="shared" si="54"/>
        <v>0</v>
      </c>
      <c r="FX40" s="1146">
        <f t="shared" si="55"/>
        <v>0</v>
      </c>
      <c r="FY40" s="1146">
        <f t="shared" si="56"/>
        <v>0</v>
      </c>
      <c r="FZ40" s="1146">
        <f t="shared" si="57"/>
        <v>0</v>
      </c>
      <c r="GA40" s="1146">
        <f t="shared" si="58"/>
        <v>0</v>
      </c>
      <c r="GB40" s="1146">
        <f t="shared" si="58"/>
        <v>0</v>
      </c>
      <c r="GC40" s="1146">
        <f t="shared" si="59"/>
        <v>0</v>
      </c>
      <c r="GD40" s="1146">
        <f t="shared" si="60"/>
        <v>0</v>
      </c>
      <c r="GE40" s="1146">
        <f t="shared" si="61"/>
        <v>0</v>
      </c>
      <c r="GF40" s="1146">
        <f t="shared" si="62"/>
        <v>0</v>
      </c>
      <c r="GG40" s="1146">
        <f t="shared" si="63"/>
        <v>0</v>
      </c>
      <c r="GH40" s="1146">
        <f t="shared" si="64"/>
        <v>0</v>
      </c>
      <c r="GI40" s="1146">
        <f t="shared" si="65"/>
        <v>0</v>
      </c>
      <c r="GJ40" s="1146">
        <f t="shared" si="66"/>
        <v>0</v>
      </c>
      <c r="GK40" s="1146">
        <f t="shared" si="66"/>
        <v>0</v>
      </c>
      <c r="GL40" s="1146">
        <f t="shared" si="67"/>
        <v>0</v>
      </c>
      <c r="GM40" s="1146">
        <f t="shared" si="68"/>
        <v>0</v>
      </c>
      <c r="GN40" s="1146">
        <f t="shared" si="69"/>
        <v>0</v>
      </c>
      <c r="GO40" s="1146">
        <f t="shared" si="70"/>
        <v>0</v>
      </c>
      <c r="GP40" s="1146">
        <f t="shared" si="71"/>
        <v>0</v>
      </c>
      <c r="GQ40" s="1146">
        <f t="shared" si="72"/>
        <v>0</v>
      </c>
      <c r="GR40" s="1146">
        <f t="shared" si="73"/>
        <v>0</v>
      </c>
      <c r="GS40" s="1146">
        <f t="shared" si="74"/>
        <v>0</v>
      </c>
      <c r="GT40" s="1146">
        <f t="shared" si="74"/>
        <v>0</v>
      </c>
      <c r="GU40" s="1146">
        <f t="shared" si="75"/>
        <v>0</v>
      </c>
      <c r="GV40" s="1146">
        <f t="shared" si="76"/>
        <v>0</v>
      </c>
      <c r="GW40" s="1146">
        <f t="shared" si="77"/>
        <v>0</v>
      </c>
      <c r="GX40" s="1146">
        <f t="shared" si="78"/>
        <v>0</v>
      </c>
      <c r="GY40" s="1146">
        <f t="shared" si="79"/>
        <v>0</v>
      </c>
      <c r="GZ40" s="1146">
        <f t="shared" si="80"/>
        <v>0</v>
      </c>
      <c r="HA40" s="1146">
        <f t="shared" si="81"/>
        <v>0</v>
      </c>
      <c r="HB40" s="1146">
        <f t="shared" si="82"/>
        <v>0</v>
      </c>
      <c r="HC40" s="1146">
        <f t="shared" si="82"/>
        <v>0</v>
      </c>
      <c r="HD40" s="1146">
        <f t="shared" si="83"/>
        <v>0</v>
      </c>
      <c r="HE40" s="1146">
        <f t="shared" si="84"/>
        <v>0</v>
      </c>
      <c r="HF40" s="1146">
        <f t="shared" si="85"/>
        <v>0</v>
      </c>
      <c r="HG40" s="1146">
        <f t="shared" si="86"/>
        <v>0</v>
      </c>
      <c r="HH40" s="1146">
        <f t="shared" si="87"/>
        <v>0</v>
      </c>
      <c r="HI40" s="1146">
        <f t="shared" si="88"/>
        <v>0</v>
      </c>
      <c r="HJ40" s="1146">
        <f t="shared" si="89"/>
        <v>0</v>
      </c>
      <c r="HK40" s="1183">
        <f t="shared" si="90"/>
        <v>0</v>
      </c>
      <c r="HL40" s="1184">
        <f t="shared" si="93"/>
        <v>9</v>
      </c>
    </row>
    <row r="41" spans="1:220" s="998" customFormat="1" x14ac:dyDescent="0.2">
      <c r="A41" s="1000" t="s">
        <v>238</v>
      </c>
      <c r="B41" s="1097">
        <v>0.1</v>
      </c>
      <c r="C41" s="1096"/>
      <c r="D41" s="1096">
        <v>0.1</v>
      </c>
      <c r="E41" s="1096"/>
      <c r="F41" s="1086">
        <v>0.1</v>
      </c>
      <c r="G41" s="1086"/>
      <c r="H41" s="1086">
        <v>0.15</v>
      </c>
      <c r="I41" s="1096"/>
      <c r="J41" s="1096">
        <v>0.1</v>
      </c>
      <c r="K41" s="1096"/>
      <c r="L41" s="1096">
        <v>0.1</v>
      </c>
      <c r="M41" s="1096"/>
      <c r="N41" s="1096"/>
      <c r="O41" s="1096">
        <v>0.1</v>
      </c>
      <c r="P41" s="1096"/>
      <c r="Q41" s="1096"/>
      <c r="R41" s="1096">
        <v>0.1</v>
      </c>
      <c r="S41" s="1096"/>
      <c r="T41" s="1096"/>
      <c r="U41" s="1096">
        <v>0.1</v>
      </c>
      <c r="V41" s="1096"/>
      <c r="W41" s="1096"/>
      <c r="X41" s="1096">
        <v>0.05</v>
      </c>
      <c r="Y41" s="1096"/>
      <c r="Z41" s="1096"/>
      <c r="AA41" s="1096"/>
      <c r="AB41" s="1096"/>
      <c r="AC41" s="1096"/>
      <c r="AD41" s="1096"/>
      <c r="AE41" s="1096"/>
      <c r="AF41" s="1096"/>
      <c r="AG41" s="1096"/>
      <c r="AH41" s="1096"/>
      <c r="AI41" s="1096"/>
      <c r="AJ41" s="1096"/>
      <c r="AK41" s="1096"/>
      <c r="AL41" s="1146"/>
      <c r="AM41" s="1146"/>
      <c r="AN41" s="1146"/>
      <c r="AO41" s="1146"/>
      <c r="AP41" s="1146"/>
      <c r="AQ41" s="1146"/>
      <c r="AR41" s="1146"/>
      <c r="AS41" s="1146"/>
      <c r="AT41" s="1146"/>
      <c r="AU41" s="1146"/>
      <c r="AV41" s="1146"/>
      <c r="AW41" s="1146"/>
      <c r="AX41" s="1147"/>
      <c r="AY41" s="1147"/>
      <c r="AZ41" s="1147"/>
      <c r="BA41" s="1147"/>
      <c r="BB41" s="1147"/>
      <c r="BC41" s="1147"/>
      <c r="BD41" s="1147"/>
      <c r="BE41" s="1147"/>
      <c r="BF41" s="1147"/>
      <c r="BG41" s="1147"/>
      <c r="BH41" s="1147"/>
      <c r="BI41" s="1147"/>
      <c r="BJ41" s="1147"/>
      <c r="BK41" s="1147"/>
      <c r="BL41" s="1147"/>
      <c r="BM41" s="1147"/>
      <c r="BN41" s="1147"/>
      <c r="BO41" s="1147"/>
      <c r="BP41" s="1147"/>
      <c r="BQ41" s="1147"/>
      <c r="BR41" s="1147"/>
      <c r="BS41" s="1147"/>
      <c r="BT41" s="1147"/>
      <c r="BU41" s="1147"/>
      <c r="BV41" s="1147"/>
      <c r="BW41" s="1147"/>
      <c r="BX41" s="1147"/>
      <c r="BY41" s="1147"/>
      <c r="BZ41" s="1147"/>
      <c r="CA41" s="1147"/>
      <c r="CB41" s="1147"/>
      <c r="CC41" s="1147"/>
      <c r="CD41" s="1147"/>
      <c r="CE41" s="1147"/>
      <c r="CF41" s="1147"/>
      <c r="CG41" s="1147"/>
      <c r="CH41" s="1147"/>
      <c r="CI41" s="1147"/>
      <c r="CJ41" s="1147"/>
      <c r="CK41" s="1147"/>
      <c r="CL41" s="1147"/>
      <c r="CM41" s="1147"/>
      <c r="CN41" s="1147"/>
      <c r="CO41" s="1147"/>
      <c r="CP41" s="1147"/>
      <c r="CQ41" s="1147"/>
      <c r="CR41" s="1147"/>
      <c r="CS41" s="1147"/>
      <c r="CT41" s="1147"/>
      <c r="CU41" s="1147"/>
      <c r="CV41" s="1147"/>
      <c r="CW41" s="1147"/>
      <c r="CX41" s="1147"/>
      <c r="CY41" s="1147"/>
      <c r="CZ41" s="1147"/>
      <c r="DA41" s="1147"/>
      <c r="DB41" s="1147"/>
      <c r="DC41" s="1147"/>
      <c r="DD41" s="1147"/>
      <c r="DE41" s="1148"/>
      <c r="DH41" s="1097"/>
      <c r="DI41" s="1096"/>
      <c r="DJ41" s="1096">
        <v>0.1</v>
      </c>
      <c r="DK41" s="1096"/>
      <c r="DL41" s="1086">
        <v>0.1</v>
      </c>
      <c r="DM41" s="1086"/>
      <c r="DN41" s="1086">
        <v>0.15</v>
      </c>
      <c r="DO41" s="1096"/>
      <c r="DP41" s="1096">
        <v>0.1</v>
      </c>
      <c r="DQ41" s="1096"/>
      <c r="DR41" s="1096">
        <v>0.1</v>
      </c>
      <c r="DS41" s="1096"/>
      <c r="DT41" s="1096"/>
      <c r="DU41" s="1096">
        <v>0.1</v>
      </c>
      <c r="DV41" s="1096"/>
      <c r="DW41" s="1096"/>
      <c r="DX41" s="1096">
        <v>0.1</v>
      </c>
      <c r="DY41" s="1096"/>
      <c r="DZ41" s="1096"/>
      <c r="EA41" s="1096">
        <v>0.1</v>
      </c>
      <c r="EB41" s="1096"/>
      <c r="EC41" s="1096"/>
      <c r="ED41" s="1096">
        <v>0.05</v>
      </c>
      <c r="EE41" s="1096"/>
      <c r="EF41" s="1096"/>
      <c r="EG41" s="1096"/>
      <c r="EH41" s="1096"/>
      <c r="EI41" s="1096"/>
      <c r="EJ41" s="1096"/>
      <c r="EK41" s="1096"/>
      <c r="EL41" s="1096"/>
      <c r="EM41" s="1096"/>
      <c r="EN41" s="1096"/>
      <c r="EO41" s="1096"/>
      <c r="EP41" s="1096"/>
      <c r="EQ41" s="1096"/>
      <c r="ER41" s="1146"/>
      <c r="ES41" s="1146"/>
      <c r="ET41" s="1146"/>
      <c r="EU41" s="1146"/>
      <c r="EV41" s="1146"/>
      <c r="EW41" s="1146"/>
      <c r="EX41" s="1146"/>
      <c r="EY41" s="1146"/>
      <c r="EZ41" s="1146"/>
      <c r="FA41" s="1146"/>
      <c r="FB41" s="1146"/>
      <c r="FC41" s="1146"/>
      <c r="FD41" s="1147"/>
      <c r="FE41" s="1147"/>
      <c r="FF41" s="1147"/>
      <c r="FG41" s="1147"/>
      <c r="FH41" s="1147"/>
      <c r="FI41" s="1147"/>
      <c r="FJ41" s="1147"/>
      <c r="FK41" s="1147"/>
      <c r="FL41" s="1147"/>
      <c r="FM41" s="1147"/>
      <c r="FN41" s="1147"/>
      <c r="FO41" s="1147"/>
      <c r="FP41" s="1147"/>
      <c r="FQ41" s="1147"/>
      <c r="FR41" s="1147"/>
      <c r="FS41" s="1147"/>
      <c r="FT41" s="1147"/>
      <c r="FU41" s="1147"/>
      <c r="FV41" s="1147"/>
      <c r="FW41" s="1147"/>
      <c r="FX41" s="1147"/>
      <c r="FY41" s="1147"/>
      <c r="FZ41" s="1147"/>
      <c r="GA41" s="1147"/>
      <c r="GB41" s="1147"/>
      <c r="GC41" s="1147"/>
      <c r="GD41" s="1147"/>
      <c r="GE41" s="1147"/>
      <c r="GF41" s="1147"/>
      <c r="GG41" s="1147"/>
      <c r="GH41" s="1147"/>
      <c r="GI41" s="1147"/>
      <c r="GJ41" s="1147"/>
      <c r="GK41" s="1147"/>
      <c r="GL41" s="1147"/>
      <c r="GM41" s="1147"/>
      <c r="GN41" s="1147"/>
      <c r="GO41" s="1147"/>
      <c r="GP41" s="1147"/>
      <c r="GQ41" s="1147"/>
      <c r="GR41" s="1147"/>
      <c r="GS41" s="1147"/>
      <c r="GT41" s="1147"/>
      <c r="GU41" s="1147"/>
      <c r="GV41" s="1147"/>
      <c r="GW41" s="1147"/>
      <c r="GX41" s="1147"/>
      <c r="GY41" s="1147"/>
      <c r="GZ41" s="1147"/>
      <c r="HA41" s="1147"/>
      <c r="HB41" s="1147"/>
      <c r="HC41" s="1147"/>
      <c r="HD41" s="1147"/>
      <c r="HE41" s="1147"/>
      <c r="HF41" s="1147"/>
      <c r="HG41" s="1147"/>
      <c r="HH41" s="1147"/>
      <c r="HI41" s="1147"/>
      <c r="HJ41" s="1147"/>
      <c r="HK41" s="1148"/>
      <c r="HL41" s="1184"/>
    </row>
    <row r="42" spans="1:220" s="998" customFormat="1" x14ac:dyDescent="0.2">
      <c r="A42" s="1000" t="s">
        <v>751</v>
      </c>
      <c r="B42" s="1201">
        <v>0.22500000000000001</v>
      </c>
      <c r="C42" s="1202">
        <v>2.5000000000000001E-2</v>
      </c>
      <c r="D42" s="1202">
        <v>2.5000000000000001E-2</v>
      </c>
      <c r="E42" s="1202">
        <v>2.5000000000000001E-2</v>
      </c>
      <c r="F42" s="1202">
        <v>2.5000000000000001E-2</v>
      </c>
      <c r="G42" s="1202">
        <v>2.5000000000000001E-2</v>
      </c>
      <c r="H42" s="1202">
        <v>2.5000000000000001E-2</v>
      </c>
      <c r="I42" s="1202">
        <v>2.5000000000000001E-2</v>
      </c>
      <c r="J42" s="1202">
        <v>2.5000000000000001E-2</v>
      </c>
      <c r="K42" s="1202">
        <v>2.5000000000000001E-2</v>
      </c>
      <c r="L42" s="1202">
        <v>2.5000000000000001E-2</v>
      </c>
      <c r="M42" s="1202">
        <v>2.5000000000000001E-2</v>
      </c>
      <c r="N42" s="1202">
        <v>2.5000000000000001E-2</v>
      </c>
      <c r="O42" s="1202">
        <v>2.5000000000000001E-2</v>
      </c>
      <c r="P42" s="1202">
        <v>2.5000000000000001E-2</v>
      </c>
      <c r="Q42" s="1202">
        <v>2.5000000000000001E-2</v>
      </c>
      <c r="R42" s="1202">
        <v>2.5000000000000001E-2</v>
      </c>
      <c r="S42" s="1202">
        <v>2.5000000000000001E-2</v>
      </c>
      <c r="T42" s="1202">
        <v>2.5000000000000001E-2</v>
      </c>
      <c r="U42" s="1202">
        <v>2.5000000000000001E-2</v>
      </c>
      <c r="V42" s="1202">
        <v>2.5000000000000001E-2</v>
      </c>
      <c r="W42" s="1202">
        <v>2.5000000000000001E-2</v>
      </c>
      <c r="X42" s="1202">
        <v>2.5000000000000001E-2</v>
      </c>
      <c r="Y42" s="1202">
        <v>2.5000000000000001E-2</v>
      </c>
      <c r="Z42" s="1202">
        <v>2.5000000000000001E-2</v>
      </c>
      <c r="AA42" s="1202">
        <v>2.5000000000000001E-2</v>
      </c>
      <c r="AB42" s="1202">
        <v>2.5000000000000001E-2</v>
      </c>
      <c r="AC42" s="1202">
        <v>2.5000000000000001E-2</v>
      </c>
      <c r="AD42" s="1202">
        <v>2.5000000000000001E-2</v>
      </c>
      <c r="AE42" s="1202">
        <v>2.5000000000000001E-2</v>
      </c>
      <c r="AF42" s="1202">
        <v>2.5000000000000001E-2</v>
      </c>
      <c r="AG42" s="1202">
        <v>2.5000000000000001E-2</v>
      </c>
      <c r="AH42" s="1202"/>
      <c r="AI42" s="1096"/>
      <c r="AJ42" s="1096"/>
      <c r="AK42" s="1096"/>
      <c r="AL42" s="1146"/>
      <c r="AM42" s="1146"/>
      <c r="AN42" s="1146"/>
      <c r="AO42" s="1146"/>
      <c r="AP42" s="1146"/>
      <c r="AQ42" s="1146"/>
      <c r="AR42" s="1146"/>
      <c r="AS42" s="1146"/>
      <c r="AT42" s="1146"/>
      <c r="AU42" s="1146"/>
      <c r="AV42" s="1146"/>
      <c r="AW42" s="1146"/>
      <c r="AX42" s="1147"/>
      <c r="AY42" s="1147"/>
      <c r="AZ42" s="1147"/>
      <c r="BA42" s="1147"/>
      <c r="BB42" s="1147"/>
      <c r="BC42" s="1147"/>
      <c r="BD42" s="1147"/>
      <c r="BE42" s="1147"/>
      <c r="BF42" s="1147"/>
      <c r="BG42" s="1147"/>
      <c r="BH42" s="1147"/>
      <c r="BI42" s="1147"/>
      <c r="BJ42" s="1147"/>
      <c r="BK42" s="1147"/>
      <c r="BL42" s="1147"/>
      <c r="BM42" s="1147"/>
      <c r="BN42" s="1147"/>
      <c r="BO42" s="1147"/>
      <c r="BP42" s="1147"/>
      <c r="BQ42" s="1147"/>
      <c r="BR42" s="1147"/>
      <c r="BS42" s="1147"/>
      <c r="BT42" s="1147"/>
      <c r="BU42" s="1147"/>
      <c r="BV42" s="1147"/>
      <c r="BW42" s="1147"/>
      <c r="BX42" s="1147"/>
      <c r="BY42" s="1147"/>
      <c r="BZ42" s="1147"/>
      <c r="CA42" s="1147"/>
      <c r="CB42" s="1147"/>
      <c r="CC42" s="1147"/>
      <c r="CD42" s="1147"/>
      <c r="CE42" s="1147"/>
      <c r="CF42" s="1147"/>
      <c r="CG42" s="1147"/>
      <c r="CH42" s="1147"/>
      <c r="CI42" s="1147"/>
      <c r="CJ42" s="1147"/>
      <c r="CK42" s="1147"/>
      <c r="CL42" s="1147"/>
      <c r="CM42" s="1147"/>
      <c r="CN42" s="1147"/>
      <c r="CO42" s="1147"/>
      <c r="CP42" s="1147"/>
      <c r="CQ42" s="1147"/>
      <c r="CR42" s="1147"/>
      <c r="CS42" s="1147"/>
      <c r="CT42" s="1147"/>
      <c r="CU42" s="1147"/>
      <c r="CV42" s="1147"/>
      <c r="CW42" s="1147"/>
      <c r="CX42" s="1147"/>
      <c r="CY42" s="1147"/>
      <c r="CZ42" s="1147"/>
      <c r="DA42" s="1147"/>
      <c r="DB42" s="1147"/>
      <c r="DC42" s="1147"/>
      <c r="DD42" s="1147"/>
      <c r="DE42" s="1148"/>
      <c r="DH42" s="1097"/>
      <c r="DI42" s="1096">
        <v>3.125E-2</v>
      </c>
      <c r="DJ42" s="1096">
        <v>3.125E-2</v>
      </c>
      <c r="DK42" s="1096">
        <v>3.125E-2</v>
      </c>
      <c r="DL42" s="1096">
        <v>3.125E-2</v>
      </c>
      <c r="DM42" s="1096">
        <v>3.125E-2</v>
      </c>
      <c r="DN42" s="1096">
        <v>3.125E-2</v>
      </c>
      <c r="DO42" s="1096">
        <v>3.125E-2</v>
      </c>
      <c r="DP42" s="1096">
        <v>3.125E-2</v>
      </c>
      <c r="DQ42" s="1096">
        <v>3.125E-2</v>
      </c>
      <c r="DR42" s="1096">
        <v>3.125E-2</v>
      </c>
      <c r="DS42" s="1096">
        <v>3.125E-2</v>
      </c>
      <c r="DT42" s="1096">
        <v>3.125E-2</v>
      </c>
      <c r="DU42" s="1096">
        <v>3.125E-2</v>
      </c>
      <c r="DV42" s="1096">
        <v>3.125E-2</v>
      </c>
      <c r="DW42" s="1096">
        <v>3.125E-2</v>
      </c>
      <c r="DX42" s="1096">
        <v>3.125E-2</v>
      </c>
      <c r="DY42" s="1096">
        <v>3.125E-2</v>
      </c>
      <c r="DZ42" s="1096">
        <v>3.125E-2</v>
      </c>
      <c r="EA42" s="1096">
        <v>3.125E-2</v>
      </c>
      <c r="EB42" s="1096">
        <v>3.125E-2</v>
      </c>
      <c r="EC42" s="1096">
        <v>3.125E-2</v>
      </c>
      <c r="ED42" s="1096">
        <v>3.125E-2</v>
      </c>
      <c r="EE42" s="1096">
        <v>3.125E-2</v>
      </c>
      <c r="EF42" s="1096">
        <v>3.125E-2</v>
      </c>
      <c r="EG42" s="1096">
        <v>3.125E-2</v>
      </c>
      <c r="EH42" s="1096">
        <v>3.125E-2</v>
      </c>
      <c r="EI42" s="1096">
        <v>3.125E-2</v>
      </c>
      <c r="EJ42" s="1096">
        <v>3.125E-2</v>
      </c>
      <c r="EK42" s="1096">
        <v>3.125E-2</v>
      </c>
      <c r="EL42" s="1096">
        <v>3.125E-2</v>
      </c>
      <c r="EM42" s="1096">
        <v>3.125E-2</v>
      </c>
      <c r="EN42" s="1096"/>
      <c r="EO42" s="1096"/>
      <c r="EP42" s="1096"/>
      <c r="EQ42" s="1096"/>
      <c r="ER42" s="1146"/>
      <c r="ES42" s="1146"/>
      <c r="ET42" s="1146"/>
      <c r="EU42" s="1146"/>
      <c r="EV42" s="1146"/>
      <c r="EW42" s="1146"/>
      <c r="EX42" s="1146"/>
      <c r="EY42" s="1146"/>
      <c r="EZ42" s="1146"/>
      <c r="FA42" s="1146"/>
      <c r="FB42" s="1146"/>
      <c r="FC42" s="1146"/>
      <c r="FD42" s="1147"/>
      <c r="FE42" s="1147"/>
      <c r="FF42" s="1147"/>
      <c r="FG42" s="1147"/>
      <c r="FH42" s="1147"/>
      <c r="FI42" s="1147"/>
      <c r="FJ42" s="1147"/>
      <c r="FK42" s="1147"/>
      <c r="FL42" s="1147"/>
      <c r="FM42" s="1147"/>
      <c r="FN42" s="1147"/>
      <c r="FO42" s="1147"/>
      <c r="FP42" s="1147"/>
      <c r="FQ42" s="1147"/>
      <c r="FR42" s="1147"/>
      <c r="FS42" s="1147"/>
      <c r="FT42" s="1147"/>
      <c r="FU42" s="1147"/>
      <c r="FV42" s="1147"/>
      <c r="FW42" s="1147"/>
      <c r="FX42" s="1147"/>
      <c r="FY42" s="1147"/>
      <c r="FZ42" s="1147"/>
      <c r="GA42" s="1147"/>
      <c r="GB42" s="1147"/>
      <c r="GC42" s="1147"/>
      <c r="GD42" s="1147"/>
      <c r="GE42" s="1147"/>
      <c r="GF42" s="1147"/>
      <c r="GG42" s="1147"/>
      <c r="GH42" s="1147"/>
      <c r="GI42" s="1147"/>
      <c r="GJ42" s="1147"/>
      <c r="GK42" s="1147"/>
      <c r="GL42" s="1147"/>
      <c r="GM42" s="1147"/>
      <c r="GN42" s="1147"/>
      <c r="GO42" s="1147"/>
      <c r="GP42" s="1147"/>
      <c r="GQ42" s="1147"/>
      <c r="GR42" s="1147"/>
      <c r="GS42" s="1147"/>
      <c r="GT42" s="1147"/>
      <c r="GU42" s="1147"/>
      <c r="GV42" s="1147"/>
      <c r="GW42" s="1147"/>
      <c r="GX42" s="1147"/>
      <c r="GY42" s="1147"/>
      <c r="GZ42" s="1147"/>
      <c r="HA42" s="1147"/>
      <c r="HB42" s="1147"/>
      <c r="HC42" s="1147"/>
      <c r="HD42" s="1147"/>
      <c r="HE42" s="1147"/>
      <c r="HF42" s="1147"/>
      <c r="HG42" s="1147"/>
      <c r="HH42" s="1147"/>
      <c r="HI42" s="1147"/>
      <c r="HJ42" s="1147"/>
      <c r="HK42" s="1148"/>
      <c r="HL42" s="1184"/>
    </row>
    <row r="43" spans="1:220" s="998" customFormat="1" ht="13.5" thickBot="1" x14ac:dyDescent="0.25">
      <c r="A43" s="1000" t="s">
        <v>1295</v>
      </c>
      <c r="B43" s="1098"/>
      <c r="C43" s="1099"/>
      <c r="D43" s="1099"/>
      <c r="E43" s="1099">
        <v>0.05</v>
      </c>
      <c r="F43" s="1100"/>
      <c r="G43" s="1100"/>
      <c r="H43" s="1100"/>
      <c r="I43" s="1099">
        <v>0.05</v>
      </c>
      <c r="J43" s="1099"/>
      <c r="K43" s="1099"/>
      <c r="L43" s="1099"/>
      <c r="M43" s="1099">
        <v>0.05</v>
      </c>
      <c r="N43" s="1099">
        <v>0.05</v>
      </c>
      <c r="O43" s="1099">
        <v>0.05</v>
      </c>
      <c r="P43" s="1099">
        <v>0.05</v>
      </c>
      <c r="Q43" s="1099">
        <v>0.05</v>
      </c>
      <c r="R43" s="1099">
        <v>0.05</v>
      </c>
      <c r="S43" s="1099">
        <v>0.05</v>
      </c>
      <c r="T43" s="1099">
        <v>0.05</v>
      </c>
      <c r="U43" s="1099">
        <v>0.05</v>
      </c>
      <c r="V43" s="1099">
        <v>0.05</v>
      </c>
      <c r="W43" s="1099">
        <v>0.05</v>
      </c>
      <c r="X43" s="1099">
        <v>0.05</v>
      </c>
      <c r="Y43" s="1099">
        <v>0.05</v>
      </c>
      <c r="Z43" s="1099">
        <v>0.05</v>
      </c>
      <c r="AA43" s="1099">
        <v>0.05</v>
      </c>
      <c r="AB43" s="1099"/>
      <c r="AC43" s="1099">
        <v>0.05</v>
      </c>
      <c r="AD43" s="1099">
        <v>0.05</v>
      </c>
      <c r="AE43" s="1099"/>
      <c r="AF43" s="1099">
        <v>0.05</v>
      </c>
      <c r="AG43" s="1099"/>
      <c r="AH43" s="1099"/>
      <c r="AI43" s="1099"/>
      <c r="AJ43" s="1099"/>
      <c r="AK43" s="1099"/>
      <c r="AL43" s="1157"/>
      <c r="AM43" s="1157"/>
      <c r="AN43" s="1157"/>
      <c r="AO43" s="1157"/>
      <c r="AP43" s="1157"/>
      <c r="AQ43" s="1157"/>
      <c r="AR43" s="1157"/>
      <c r="AS43" s="1157"/>
      <c r="AT43" s="1157"/>
      <c r="AU43" s="1157"/>
      <c r="AV43" s="1157"/>
      <c r="AW43" s="1157"/>
      <c r="AX43" s="1158"/>
      <c r="AY43" s="1158"/>
      <c r="AZ43" s="1158"/>
      <c r="BA43" s="1158"/>
      <c r="BB43" s="1158"/>
      <c r="BC43" s="1158"/>
      <c r="BD43" s="1158"/>
      <c r="BE43" s="1158"/>
      <c r="BF43" s="1158"/>
      <c r="BG43" s="1158"/>
      <c r="BH43" s="1158"/>
      <c r="BI43" s="1158"/>
      <c r="BJ43" s="1158"/>
      <c r="BK43" s="1158"/>
      <c r="BL43" s="1158"/>
      <c r="BM43" s="1158"/>
      <c r="BN43" s="1158"/>
      <c r="BO43" s="1158"/>
      <c r="BP43" s="1158"/>
      <c r="BQ43" s="1158"/>
      <c r="BR43" s="1158"/>
      <c r="BS43" s="1158"/>
      <c r="BT43" s="1158"/>
      <c r="BU43" s="1158"/>
      <c r="BV43" s="1158"/>
      <c r="BW43" s="1158"/>
      <c r="BX43" s="1158"/>
      <c r="BY43" s="1158"/>
      <c r="BZ43" s="1158"/>
      <c r="CA43" s="1158"/>
      <c r="CB43" s="1158"/>
      <c r="CC43" s="1158"/>
      <c r="CD43" s="1158"/>
      <c r="CE43" s="1158"/>
      <c r="CF43" s="1158"/>
      <c r="CG43" s="1158"/>
      <c r="CH43" s="1158"/>
      <c r="CI43" s="1158"/>
      <c r="CJ43" s="1158"/>
      <c r="CK43" s="1158"/>
      <c r="CL43" s="1158"/>
      <c r="CM43" s="1158"/>
      <c r="CN43" s="1158"/>
      <c r="CO43" s="1158"/>
      <c r="CP43" s="1158"/>
      <c r="CQ43" s="1158"/>
      <c r="CR43" s="1158"/>
      <c r="CS43" s="1158"/>
      <c r="CT43" s="1158"/>
      <c r="CU43" s="1158"/>
      <c r="CV43" s="1158"/>
      <c r="CW43" s="1158"/>
      <c r="CX43" s="1158"/>
      <c r="CY43" s="1158"/>
      <c r="CZ43" s="1158"/>
      <c r="DA43" s="1158"/>
      <c r="DB43" s="1158"/>
      <c r="DC43" s="1158"/>
      <c r="DD43" s="1158"/>
      <c r="DE43" s="1159"/>
      <c r="DH43" s="1098"/>
      <c r="DI43" s="1099"/>
      <c r="DJ43" s="1099"/>
      <c r="DK43" s="1099">
        <v>0.05</v>
      </c>
      <c r="DL43" s="1100"/>
      <c r="DM43" s="1100"/>
      <c r="DN43" s="1100"/>
      <c r="DO43" s="1099">
        <v>0.05</v>
      </c>
      <c r="DP43" s="1099"/>
      <c r="DQ43" s="1099"/>
      <c r="DR43" s="1099"/>
      <c r="DS43" s="1099">
        <v>0.05</v>
      </c>
      <c r="DT43" s="1099">
        <v>0.05</v>
      </c>
      <c r="DU43" s="1099">
        <v>0.05</v>
      </c>
      <c r="DV43" s="1099">
        <v>0.05</v>
      </c>
      <c r="DW43" s="1099">
        <v>0.05</v>
      </c>
      <c r="DX43" s="1099">
        <v>0.05</v>
      </c>
      <c r="DY43" s="1099">
        <v>0.05</v>
      </c>
      <c r="DZ43" s="1099">
        <v>0.05</v>
      </c>
      <c r="EA43" s="1099">
        <v>0.05</v>
      </c>
      <c r="EB43" s="1099">
        <v>0.05</v>
      </c>
      <c r="EC43" s="1099">
        <v>0.05</v>
      </c>
      <c r="ED43" s="1099">
        <v>0.05</v>
      </c>
      <c r="EE43" s="1099">
        <v>0.05</v>
      </c>
      <c r="EF43" s="1099">
        <v>0.05</v>
      </c>
      <c r="EG43" s="1099">
        <v>0.05</v>
      </c>
      <c r="EH43" s="1099"/>
      <c r="EI43" s="1099">
        <v>0.05</v>
      </c>
      <c r="EJ43" s="1099">
        <v>0.05</v>
      </c>
      <c r="EK43" s="1099"/>
      <c r="EL43" s="1099">
        <v>0.05</v>
      </c>
      <c r="EM43" s="1099"/>
      <c r="EN43" s="1099"/>
      <c r="EO43" s="1099"/>
      <c r="EP43" s="1099"/>
      <c r="EQ43" s="1099"/>
      <c r="ER43" s="1157"/>
      <c r="ES43" s="1157"/>
      <c r="ET43" s="1157"/>
      <c r="EU43" s="1157"/>
      <c r="EV43" s="1157"/>
      <c r="EW43" s="1157"/>
      <c r="EX43" s="1157"/>
      <c r="EY43" s="1157"/>
      <c r="EZ43" s="1157"/>
      <c r="FA43" s="1157"/>
      <c r="FB43" s="1157"/>
      <c r="FC43" s="1157"/>
      <c r="FD43" s="1158"/>
      <c r="FE43" s="1158"/>
      <c r="FF43" s="1158"/>
      <c r="FG43" s="1158"/>
      <c r="FH43" s="1158"/>
      <c r="FI43" s="1158"/>
      <c r="FJ43" s="1158"/>
      <c r="FK43" s="1158"/>
      <c r="FL43" s="1158"/>
      <c r="FM43" s="1158"/>
      <c r="FN43" s="1158"/>
      <c r="FO43" s="1158"/>
      <c r="FP43" s="1158"/>
      <c r="FQ43" s="1158"/>
      <c r="FR43" s="1158"/>
      <c r="FS43" s="1158"/>
      <c r="FT43" s="1158"/>
      <c r="FU43" s="1158"/>
      <c r="FV43" s="1158"/>
      <c r="FW43" s="1158"/>
      <c r="FX43" s="1158"/>
      <c r="FY43" s="1158"/>
      <c r="FZ43" s="1158"/>
      <c r="GA43" s="1158"/>
      <c r="GB43" s="1158"/>
      <c r="GC43" s="1158"/>
      <c r="GD43" s="1158"/>
      <c r="GE43" s="1158"/>
      <c r="GF43" s="1158"/>
      <c r="GG43" s="1158"/>
      <c r="GH43" s="1158"/>
      <c r="GI43" s="1158"/>
      <c r="GJ43" s="1158"/>
      <c r="GK43" s="1158"/>
      <c r="GL43" s="1158"/>
      <c r="GM43" s="1158"/>
      <c r="GN43" s="1158"/>
      <c r="GO43" s="1158"/>
      <c r="GP43" s="1158"/>
      <c r="GQ43" s="1158"/>
      <c r="GR43" s="1158"/>
      <c r="GS43" s="1158"/>
      <c r="GT43" s="1158"/>
      <c r="GU43" s="1158"/>
      <c r="GV43" s="1158"/>
      <c r="GW43" s="1158"/>
      <c r="GX43" s="1158"/>
      <c r="GY43" s="1158"/>
      <c r="GZ43" s="1158"/>
      <c r="HA43" s="1158"/>
      <c r="HB43" s="1158"/>
      <c r="HC43" s="1158"/>
      <c r="HD43" s="1158"/>
      <c r="HE43" s="1158"/>
      <c r="HF43" s="1158"/>
      <c r="HG43" s="1158"/>
      <c r="HH43" s="1158"/>
      <c r="HI43" s="1158"/>
      <c r="HJ43" s="1158"/>
      <c r="HK43" s="1159"/>
      <c r="HL43" s="1184"/>
    </row>
    <row r="46" spans="1:220" ht="15.75" x14ac:dyDescent="0.25">
      <c r="A46" s="984" t="s">
        <v>1296</v>
      </c>
    </row>
    <row r="47" spans="1:220" ht="51.75" thickBot="1" x14ac:dyDescent="0.25">
      <c r="B47" s="1001" t="s">
        <v>1297</v>
      </c>
      <c r="C47" s="1303" t="s">
        <v>1298</v>
      </c>
      <c r="D47" s="1304"/>
      <c r="I47" s="1305" t="s">
        <v>1299</v>
      </c>
      <c r="J47" s="1305"/>
      <c r="K47" s="1305"/>
    </row>
    <row r="48" spans="1:220" ht="13.5" thickBot="1" x14ac:dyDescent="0.25">
      <c r="A48" s="24" t="str">
        <f t="shared" ref="A48:A62" si="94">A7</f>
        <v>Four PAMCHR :</v>
      </c>
      <c r="B48" s="1002">
        <v>1</v>
      </c>
      <c r="C48" s="1160" t="s">
        <v>1284</v>
      </c>
      <c r="D48" s="1003">
        <f t="shared" ref="D48:D65" si="95">IF(C48&lt;&gt;"",VLOOKUP(C48,$G$49:$H$65,2,FALSE),"")</f>
        <v>2</v>
      </c>
      <c r="G48" s="1004" t="s">
        <v>1300</v>
      </c>
      <c r="H48" s="1005" t="s">
        <v>1301</v>
      </c>
      <c r="I48" s="1306" t="s">
        <v>1296</v>
      </c>
      <c r="J48" s="1306"/>
      <c r="K48" s="1306"/>
      <c r="L48" s="1306"/>
      <c r="M48" s="1306"/>
      <c r="N48" s="1306"/>
    </row>
    <row r="49" spans="1:14" x14ac:dyDescent="0.2">
      <c r="A49" s="24" t="str">
        <f t="shared" si="94"/>
        <v>Annexe four : outillage</v>
      </c>
      <c r="B49" s="1006">
        <v>1</v>
      </c>
      <c r="C49" s="1161" t="s">
        <v>1284</v>
      </c>
      <c r="D49" s="1003">
        <f t="shared" si="95"/>
        <v>2</v>
      </c>
      <c r="G49" s="1002" t="s">
        <v>1282</v>
      </c>
      <c r="H49" s="1007">
        <v>2</v>
      </c>
      <c r="I49" s="1297" t="s">
        <v>1302</v>
      </c>
      <c r="J49" s="1297"/>
      <c r="K49" s="1297"/>
      <c r="L49" s="1297"/>
      <c r="M49" s="1297"/>
      <c r="N49" s="1298"/>
    </row>
    <row r="50" spans="1:14" x14ac:dyDescent="0.2">
      <c r="A50" s="24" t="str">
        <f t="shared" si="94"/>
        <v>1er Four VAR :</v>
      </c>
      <c r="B50" s="1006">
        <v>1</v>
      </c>
      <c r="C50" s="1161" t="s">
        <v>1284</v>
      </c>
      <c r="D50" s="1003">
        <f t="shared" si="95"/>
        <v>2</v>
      </c>
      <c r="G50" s="1006" t="s">
        <v>1283</v>
      </c>
      <c r="H50" s="16">
        <v>3</v>
      </c>
      <c r="I50" s="1293" t="s">
        <v>1303</v>
      </c>
      <c r="J50" s="1293"/>
      <c r="K50" s="1293"/>
      <c r="L50" s="1293"/>
      <c r="M50" s="1293"/>
      <c r="N50" s="1294"/>
    </row>
    <row r="51" spans="1:14" x14ac:dyDescent="0.2">
      <c r="A51" s="24" t="str">
        <f t="shared" si="94"/>
        <v>2ème four VAR :</v>
      </c>
      <c r="B51" s="1006">
        <v>1</v>
      </c>
      <c r="C51" s="1161" t="s">
        <v>1284</v>
      </c>
      <c r="D51" s="1003">
        <f t="shared" si="95"/>
        <v>2</v>
      </c>
      <c r="G51" s="1006" t="s">
        <v>1284</v>
      </c>
      <c r="H51" s="16">
        <v>2</v>
      </c>
      <c r="I51" s="1293" t="s">
        <v>1304</v>
      </c>
      <c r="J51" s="1293"/>
      <c r="K51" s="1293"/>
      <c r="L51" s="1293"/>
      <c r="M51" s="1293"/>
      <c r="N51" s="1294"/>
    </row>
    <row r="52" spans="1:14" x14ac:dyDescent="0.2">
      <c r="A52" s="24" t="str">
        <f t="shared" si="94"/>
        <v>Annexe VAR : nettoyage haute pression</v>
      </c>
      <c r="B52" s="1006">
        <v>1</v>
      </c>
      <c r="C52" s="1161" t="s">
        <v>1282</v>
      </c>
      <c r="D52" s="1003">
        <f t="shared" si="95"/>
        <v>2</v>
      </c>
      <c r="G52" s="1006" t="s">
        <v>1285</v>
      </c>
      <c r="H52" s="16">
        <v>0</v>
      </c>
      <c r="I52" s="1293" t="s">
        <v>1305</v>
      </c>
      <c r="J52" s="1293"/>
      <c r="K52" s="1293"/>
      <c r="L52" s="1293"/>
      <c r="M52" s="1293"/>
      <c r="N52" s="1294"/>
    </row>
    <row r="53" spans="1:14" x14ac:dyDescent="0.2">
      <c r="A53" s="24" t="str">
        <f t="shared" si="94"/>
        <v>Annexe VAR : outillage (scie)</v>
      </c>
      <c r="B53" s="1006">
        <v>1</v>
      </c>
      <c r="C53" s="1161" t="s">
        <v>1283</v>
      </c>
      <c r="D53" s="1003">
        <f t="shared" si="95"/>
        <v>3</v>
      </c>
      <c r="G53" s="1006"/>
      <c r="H53" s="16"/>
      <c r="I53" s="1293"/>
      <c r="J53" s="1293"/>
      <c r="K53" s="1293"/>
      <c r="L53" s="1293"/>
      <c r="M53" s="1293"/>
      <c r="N53" s="1294"/>
    </row>
    <row r="54" spans="1:14" x14ac:dyDescent="0.2">
      <c r="A54" s="24" t="str">
        <f t="shared" si="94"/>
        <v>Retourneur à lingot</v>
      </c>
      <c r="B54" s="1006">
        <v>1</v>
      </c>
      <c r="C54" s="1161" t="s">
        <v>1282</v>
      </c>
      <c r="D54" s="1003">
        <f t="shared" si="95"/>
        <v>2</v>
      </c>
      <c r="G54" s="1006"/>
      <c r="H54" s="16"/>
      <c r="I54" s="1293"/>
      <c r="J54" s="1293"/>
      <c r="K54" s="1293"/>
      <c r="L54" s="1293"/>
      <c r="M54" s="1293"/>
      <c r="N54" s="1294"/>
    </row>
    <row r="55" spans="1:14" x14ac:dyDescent="0.2">
      <c r="A55" s="24" t="str">
        <f t="shared" si="94"/>
        <v>Unité de pesage et briquetage :</v>
      </c>
      <c r="B55" s="1006">
        <v>1</v>
      </c>
      <c r="C55" s="1161" t="s">
        <v>1283</v>
      </c>
      <c r="D55" s="1003">
        <f t="shared" si="95"/>
        <v>3</v>
      </c>
      <c r="G55" s="1006"/>
      <c r="H55" s="16"/>
      <c r="I55" s="1293"/>
      <c r="J55" s="1293"/>
      <c r="K55" s="1293"/>
      <c r="L55" s="1293"/>
      <c r="M55" s="1293"/>
      <c r="N55" s="1294"/>
    </row>
    <row r="56" spans="1:14" x14ac:dyDescent="0.2">
      <c r="A56" s="24" t="str">
        <f t="shared" si="94"/>
        <v>Equipement prépa chutes et parachèvement :</v>
      </c>
      <c r="B56" s="1006">
        <v>1</v>
      </c>
      <c r="C56" s="1161" t="s">
        <v>1282</v>
      </c>
      <c r="D56" s="1003">
        <f t="shared" si="95"/>
        <v>2</v>
      </c>
      <c r="G56" s="1006"/>
      <c r="H56" s="16"/>
      <c r="I56" s="1293"/>
      <c r="J56" s="1293"/>
      <c r="K56" s="1293"/>
      <c r="L56" s="1293"/>
      <c r="M56" s="1293"/>
      <c r="N56" s="1294"/>
    </row>
    <row r="57" spans="1:14" x14ac:dyDescent="0.2">
      <c r="A57" s="24" t="str">
        <f t="shared" si="94"/>
        <v>Terrain (Avril 2014)</v>
      </c>
      <c r="B57" s="1006">
        <v>0</v>
      </c>
      <c r="C57" s="1162"/>
      <c r="D57" s="1003" t="str">
        <f t="shared" si="95"/>
        <v/>
      </c>
      <c r="E57" t="s">
        <v>1306</v>
      </c>
      <c r="G57" s="1006"/>
      <c r="H57" s="16"/>
      <c r="I57" s="1293"/>
      <c r="J57" s="1293"/>
      <c r="K57" s="1293"/>
      <c r="L57" s="1293"/>
      <c r="M57" s="1293"/>
      <c r="N57" s="1294"/>
    </row>
    <row r="58" spans="1:14" x14ac:dyDescent="0.2">
      <c r="A58" s="24" t="str">
        <f t="shared" si="94"/>
        <v>SI + MES</v>
      </c>
      <c r="B58" s="1006">
        <v>1</v>
      </c>
      <c r="C58" s="1161" t="s">
        <v>1282</v>
      </c>
      <c r="D58" s="1003">
        <f t="shared" si="95"/>
        <v>2</v>
      </c>
      <c r="G58" s="1006"/>
      <c r="H58" s="16"/>
      <c r="I58" s="1293"/>
      <c r="J58" s="1293"/>
      <c r="K58" s="1293"/>
      <c r="L58" s="1293"/>
      <c r="M58" s="1293"/>
      <c r="N58" s="1294"/>
    </row>
    <row r="59" spans="1:14" x14ac:dyDescent="0.2">
      <c r="A59" s="24" t="str">
        <f t="shared" si="94"/>
        <v>Batiment (charpente, GCs, bureaux)</v>
      </c>
      <c r="B59" s="1006">
        <v>1</v>
      </c>
      <c r="C59" s="1161" t="s">
        <v>1282</v>
      </c>
      <c r="D59" s="1003">
        <f t="shared" si="95"/>
        <v>2</v>
      </c>
      <c r="G59" s="1006"/>
      <c r="H59" s="16"/>
      <c r="I59" s="1293"/>
      <c r="J59" s="1293"/>
      <c r="K59" s="1293"/>
      <c r="L59" s="1293"/>
      <c r="M59" s="1293"/>
      <c r="N59" s="1294"/>
    </row>
    <row r="60" spans="1:14" x14ac:dyDescent="0.2">
      <c r="A60" s="24" t="str">
        <f t="shared" si="94"/>
        <v>Ponts (1 pour EB, 1 pour VAR, 2 prépa)</v>
      </c>
      <c r="B60" s="1006">
        <v>1</v>
      </c>
      <c r="C60" s="1161" t="s">
        <v>1283</v>
      </c>
      <c r="D60" s="1003">
        <f t="shared" si="95"/>
        <v>3</v>
      </c>
      <c r="G60" s="1006"/>
      <c r="H60" s="16"/>
      <c r="I60" s="1293"/>
      <c r="J60" s="1293"/>
      <c r="K60" s="1293"/>
      <c r="L60" s="1293"/>
      <c r="M60" s="1293"/>
      <c r="N60" s="1294"/>
    </row>
    <row r="61" spans="1:14" x14ac:dyDescent="0.2">
      <c r="A61" s="24" t="str">
        <f t="shared" si="94"/>
        <v>Electricité (poste en aout 2015 et 1,2 M€)</v>
      </c>
      <c r="B61" s="1006">
        <v>1</v>
      </c>
      <c r="C61" s="1161" t="s">
        <v>1282</v>
      </c>
      <c r="D61" s="1003">
        <f t="shared" si="95"/>
        <v>2</v>
      </c>
      <c r="G61" s="1006"/>
      <c r="H61" s="16"/>
      <c r="I61" s="1293"/>
      <c r="J61" s="1293"/>
      <c r="K61" s="1293"/>
      <c r="L61" s="1293"/>
      <c r="M61" s="1293"/>
      <c r="N61" s="1294"/>
    </row>
    <row r="62" spans="1:14" x14ac:dyDescent="0.2">
      <c r="A62" s="24" t="str">
        <f t="shared" si="94"/>
        <v>Autre Electricité et utilités</v>
      </c>
      <c r="B62" s="1006">
        <v>1</v>
      </c>
      <c r="C62" s="1161" t="s">
        <v>1283</v>
      </c>
      <c r="D62" s="1003">
        <f t="shared" si="95"/>
        <v>3</v>
      </c>
      <c r="G62" s="1006"/>
      <c r="H62" s="16"/>
      <c r="I62" s="1293"/>
      <c r="J62" s="1293"/>
      <c r="K62" s="1293"/>
      <c r="L62" s="1293"/>
      <c r="M62" s="1293"/>
      <c r="N62" s="1294"/>
    </row>
    <row r="63" spans="1:14" x14ac:dyDescent="0.2">
      <c r="A63" s="24" t="str">
        <f>A41</f>
        <v>VRD</v>
      </c>
      <c r="B63" s="1006">
        <v>1</v>
      </c>
      <c r="C63" s="1161" t="s">
        <v>1282</v>
      </c>
      <c r="D63" s="1003">
        <f t="shared" si="95"/>
        <v>2</v>
      </c>
      <c r="G63" s="1006"/>
      <c r="H63" s="16"/>
      <c r="I63" s="1293"/>
      <c r="J63" s="1293"/>
      <c r="K63" s="1293"/>
      <c r="L63" s="1293"/>
      <c r="M63" s="1293"/>
      <c r="N63" s="1294"/>
    </row>
    <row r="64" spans="1:14" x14ac:dyDescent="0.2">
      <c r="A64" s="24" t="str">
        <f>A42</f>
        <v>Projet</v>
      </c>
      <c r="B64" s="1006">
        <v>0</v>
      </c>
      <c r="C64" s="1161" t="s">
        <v>1285</v>
      </c>
      <c r="D64" s="1003">
        <f t="shared" si="95"/>
        <v>0</v>
      </c>
      <c r="G64" s="1006"/>
      <c r="H64" s="16"/>
      <c r="I64" s="1293"/>
      <c r="J64" s="1293"/>
      <c r="K64" s="1293"/>
      <c r="L64" s="1293"/>
      <c r="M64" s="1293"/>
      <c r="N64" s="1294"/>
    </row>
    <row r="65" spans="1:172" ht="13.5" thickBot="1" x14ac:dyDescent="0.25">
      <c r="A65" s="24" t="str">
        <f>A43</f>
        <v>DNR</v>
      </c>
      <c r="B65" s="1008">
        <v>2</v>
      </c>
      <c r="C65" s="1163" t="s">
        <v>1282</v>
      </c>
      <c r="D65" s="1003">
        <f t="shared" si="95"/>
        <v>2</v>
      </c>
      <c r="G65" s="1008"/>
      <c r="H65" s="1009"/>
      <c r="I65" s="1295"/>
      <c r="J65" s="1295"/>
      <c r="K65" s="1295"/>
      <c r="L65" s="1295"/>
      <c r="M65" s="1295"/>
      <c r="N65" s="1296"/>
    </row>
    <row r="66" spans="1:172" x14ac:dyDescent="0.2">
      <c r="A66" s="14"/>
      <c r="B66" s="32"/>
      <c r="C66" s="32"/>
      <c r="D66" s="32"/>
      <c r="G66" s="32"/>
      <c r="H66" s="32"/>
    </row>
    <row r="69" spans="1:172" ht="15.75" x14ac:dyDescent="0.25">
      <c r="A69" s="984" t="s">
        <v>1307</v>
      </c>
    </row>
    <row r="70" spans="1:172" ht="26.25" thickBot="1" x14ac:dyDescent="0.25">
      <c r="B70" s="1001" t="s">
        <v>1308</v>
      </c>
      <c r="C70" s="996" t="s">
        <v>37</v>
      </c>
      <c r="D70" s="996" t="s">
        <v>662</v>
      </c>
      <c r="T70" s="1010" t="s">
        <v>1309</v>
      </c>
      <c r="U70" s="1010"/>
      <c r="V70" s="1011" t="s">
        <v>1310</v>
      </c>
      <c r="W70" s="16" t="str">
        <f>CONCATENATE(W72," ",W73)</f>
        <v>janvier 2014</v>
      </c>
      <c r="X70" s="16" t="str">
        <f t="shared" ref="X70:CI70" si="96">CONCATENATE(X72," ",X73)</f>
        <v>février 2014</v>
      </c>
      <c r="Y70" s="16" t="str">
        <f t="shared" si="96"/>
        <v>mars 2014</v>
      </c>
      <c r="Z70" s="16" t="str">
        <f t="shared" si="96"/>
        <v>avril 2014</v>
      </c>
      <c r="AA70" s="16" t="str">
        <f t="shared" si="96"/>
        <v>mai 2014</v>
      </c>
      <c r="AB70" s="16" t="str">
        <f t="shared" si="96"/>
        <v>juin 2014</v>
      </c>
      <c r="AC70" s="16" t="str">
        <f t="shared" si="96"/>
        <v>juillet 2014</v>
      </c>
      <c r="AD70" s="16" t="str">
        <f t="shared" si="96"/>
        <v>août 2014</v>
      </c>
      <c r="AE70" s="16" t="str">
        <f t="shared" si="96"/>
        <v>septembre 2014</v>
      </c>
      <c r="AF70" s="16" t="str">
        <f t="shared" si="96"/>
        <v>octobre 2014</v>
      </c>
      <c r="AG70" s="16" t="str">
        <f t="shared" si="96"/>
        <v>novembre 2014</v>
      </c>
      <c r="AH70" s="16" t="str">
        <f t="shared" si="96"/>
        <v>décembre 2014</v>
      </c>
      <c r="AI70" s="16" t="str">
        <f t="shared" si="96"/>
        <v>janvier 2015</v>
      </c>
      <c r="AJ70" s="16" t="str">
        <f t="shared" si="96"/>
        <v>février 2015</v>
      </c>
      <c r="AK70" s="16" t="str">
        <f t="shared" si="96"/>
        <v>mars 2015</v>
      </c>
      <c r="AL70" s="16" t="str">
        <f t="shared" si="96"/>
        <v>avril 2015</v>
      </c>
      <c r="AM70" s="16" t="str">
        <f t="shared" si="96"/>
        <v>mai 2015</v>
      </c>
      <c r="AN70" s="16" t="str">
        <f t="shared" si="96"/>
        <v>juin 2015</v>
      </c>
      <c r="AO70" s="16" t="str">
        <f t="shared" si="96"/>
        <v>juillet 2015</v>
      </c>
      <c r="AP70" s="16" t="str">
        <f t="shared" si="96"/>
        <v>août 2015</v>
      </c>
      <c r="AQ70" s="16" t="str">
        <f t="shared" si="96"/>
        <v>septembre 2015</v>
      </c>
      <c r="AR70" s="16" t="str">
        <f t="shared" si="96"/>
        <v>octobre 2015</v>
      </c>
      <c r="AS70" s="16" t="str">
        <f t="shared" si="96"/>
        <v>novembre 2015</v>
      </c>
      <c r="AT70" s="16" t="str">
        <f t="shared" si="96"/>
        <v>décembre 2015</v>
      </c>
      <c r="AU70" s="16" t="str">
        <f t="shared" si="96"/>
        <v>janvier 2016</v>
      </c>
      <c r="AV70" s="16" t="str">
        <f t="shared" si="96"/>
        <v>février 2016</v>
      </c>
      <c r="AW70" s="16" t="str">
        <f t="shared" si="96"/>
        <v>mars 2016</v>
      </c>
      <c r="AX70" s="16" t="str">
        <f t="shared" si="96"/>
        <v>avril 2016</v>
      </c>
      <c r="AY70" s="16" t="str">
        <f t="shared" si="96"/>
        <v>mai 2016</v>
      </c>
      <c r="AZ70" s="16" t="str">
        <f t="shared" si="96"/>
        <v>juin 2016</v>
      </c>
      <c r="BA70" s="16" t="str">
        <f t="shared" si="96"/>
        <v>juillet 2016</v>
      </c>
      <c r="BB70" s="16" t="str">
        <f t="shared" si="96"/>
        <v>août 2016</v>
      </c>
      <c r="BC70" s="16" t="str">
        <f t="shared" si="96"/>
        <v>septembre 2016</v>
      </c>
      <c r="BD70" s="16" t="str">
        <f t="shared" si="96"/>
        <v>octobre 2016</v>
      </c>
      <c r="BE70" s="16" t="str">
        <f t="shared" si="96"/>
        <v>novembre 2016</v>
      </c>
      <c r="BF70" s="16" t="str">
        <f t="shared" si="96"/>
        <v>décembre 2016</v>
      </c>
      <c r="BG70" s="16" t="str">
        <f t="shared" si="96"/>
        <v>janvier 2017</v>
      </c>
      <c r="BH70" s="16" t="str">
        <f t="shared" si="96"/>
        <v>février 2017</v>
      </c>
      <c r="BI70" s="16" t="str">
        <f t="shared" si="96"/>
        <v>mars 2017</v>
      </c>
      <c r="BJ70" s="16" t="str">
        <f t="shared" si="96"/>
        <v>avril 2017</v>
      </c>
      <c r="BK70" s="16" t="str">
        <f t="shared" si="96"/>
        <v>mai 2017</v>
      </c>
      <c r="BL70" s="16" t="str">
        <f t="shared" si="96"/>
        <v>juin 2017</v>
      </c>
      <c r="BM70" s="16" t="str">
        <f t="shared" si="96"/>
        <v>juillet 2017</v>
      </c>
      <c r="BN70" s="16" t="str">
        <f t="shared" si="96"/>
        <v>août 2017</v>
      </c>
      <c r="BO70" s="16" t="str">
        <f t="shared" si="96"/>
        <v>septembre 2017</v>
      </c>
      <c r="BP70" s="16" t="str">
        <f t="shared" si="96"/>
        <v>octobre 2017</v>
      </c>
      <c r="BQ70" s="16" t="str">
        <f t="shared" si="96"/>
        <v>novembre 2017</v>
      </c>
      <c r="BR70" s="16" t="str">
        <f t="shared" si="96"/>
        <v>décembre 2017</v>
      </c>
      <c r="BS70" s="16" t="str">
        <f t="shared" si="96"/>
        <v>janvier 2018</v>
      </c>
      <c r="BT70" s="16" t="str">
        <f t="shared" si="96"/>
        <v>février 2018</v>
      </c>
      <c r="BU70" s="16" t="str">
        <f t="shared" si="96"/>
        <v>mars 2018</v>
      </c>
      <c r="BV70" s="16" t="str">
        <f t="shared" si="96"/>
        <v>avril 2018</v>
      </c>
      <c r="BW70" s="16" t="str">
        <f t="shared" si="96"/>
        <v>mai 2018</v>
      </c>
      <c r="BX70" s="16" t="str">
        <f t="shared" si="96"/>
        <v>juin 2018</v>
      </c>
      <c r="BY70" s="16" t="str">
        <f t="shared" si="96"/>
        <v>juillet 2018</v>
      </c>
      <c r="BZ70" s="16" t="str">
        <f t="shared" si="96"/>
        <v>août 2018</v>
      </c>
      <c r="CA70" s="16" t="str">
        <f t="shared" si="96"/>
        <v>septembre 2018</v>
      </c>
      <c r="CB70" s="16" t="str">
        <f t="shared" si="96"/>
        <v>octobre 2018</v>
      </c>
      <c r="CC70" s="16" t="str">
        <f t="shared" si="96"/>
        <v>novembre 2018</v>
      </c>
      <c r="CD70" s="16" t="str">
        <f t="shared" si="96"/>
        <v>décembre 2018</v>
      </c>
      <c r="CE70" s="16" t="str">
        <f t="shared" si="96"/>
        <v>janvier 2019</v>
      </c>
      <c r="CF70" s="16" t="str">
        <f t="shared" si="96"/>
        <v>février 2019</v>
      </c>
      <c r="CG70" s="16" t="str">
        <f t="shared" si="96"/>
        <v>mars 2019</v>
      </c>
      <c r="CH70" s="16" t="str">
        <f t="shared" si="96"/>
        <v>avril 2019</v>
      </c>
      <c r="CI70" s="16" t="str">
        <f t="shared" si="96"/>
        <v>mai 2019</v>
      </c>
      <c r="CJ70" s="16" t="str">
        <f t="shared" ref="CJ70:EU70" si="97">CONCATENATE(CJ72," ",CJ73)</f>
        <v>juin 2019</v>
      </c>
      <c r="CK70" s="16" t="str">
        <f t="shared" si="97"/>
        <v>juillet 2019</v>
      </c>
      <c r="CL70" s="16" t="str">
        <f t="shared" si="97"/>
        <v>août 2019</v>
      </c>
      <c r="CM70" s="16" t="str">
        <f t="shared" si="97"/>
        <v>septembre 2019</v>
      </c>
      <c r="CN70" s="16" t="str">
        <f t="shared" si="97"/>
        <v>octobre 2019</v>
      </c>
      <c r="CO70" s="16" t="str">
        <f t="shared" si="97"/>
        <v>novembre 2019</v>
      </c>
      <c r="CP70" s="16" t="str">
        <f t="shared" si="97"/>
        <v>décembre 2019</v>
      </c>
      <c r="CQ70" s="16" t="str">
        <f t="shared" si="97"/>
        <v>janvier 2020</v>
      </c>
      <c r="CR70" s="16" t="str">
        <f t="shared" si="97"/>
        <v>février 2020</v>
      </c>
      <c r="CS70" s="16" t="str">
        <f t="shared" si="97"/>
        <v>mars 2020</v>
      </c>
      <c r="CT70" s="16" t="str">
        <f t="shared" si="97"/>
        <v>avril 2020</v>
      </c>
      <c r="CU70" s="16" t="str">
        <f t="shared" si="97"/>
        <v>mai 2020</v>
      </c>
      <c r="CV70" s="16" t="str">
        <f t="shared" si="97"/>
        <v>juin 2020</v>
      </c>
      <c r="CW70" s="16" t="str">
        <f t="shared" si="97"/>
        <v>juillet 2020</v>
      </c>
      <c r="CX70" s="16" t="str">
        <f t="shared" si="97"/>
        <v>août 2020</v>
      </c>
      <c r="CY70" s="16" t="str">
        <f t="shared" si="97"/>
        <v>septembre 2020</v>
      </c>
      <c r="CZ70" s="16" t="str">
        <f t="shared" si="97"/>
        <v>octobre 2020</v>
      </c>
      <c r="DA70" s="16" t="str">
        <f t="shared" si="97"/>
        <v>novembre 2020</v>
      </c>
      <c r="DB70" s="16" t="str">
        <f t="shared" si="97"/>
        <v>décembre 2020</v>
      </c>
      <c r="DC70" s="16" t="str">
        <f t="shared" si="97"/>
        <v>janvier 2021</v>
      </c>
      <c r="DD70" s="16" t="str">
        <f t="shared" si="97"/>
        <v>février 2021</v>
      </c>
      <c r="DE70" s="16" t="str">
        <f t="shared" si="97"/>
        <v>mars 2021</v>
      </c>
      <c r="DF70" s="16" t="str">
        <f t="shared" si="97"/>
        <v>avril 2021</v>
      </c>
      <c r="DG70" s="16" t="str">
        <f t="shared" si="97"/>
        <v>mai 2021</v>
      </c>
      <c r="DH70" s="16" t="str">
        <f t="shared" si="97"/>
        <v>juin 2021</v>
      </c>
      <c r="DI70" s="16" t="str">
        <f t="shared" si="97"/>
        <v>juillet 2021</v>
      </c>
      <c r="DJ70" s="16" t="str">
        <f t="shared" si="97"/>
        <v>août 2021</v>
      </c>
      <c r="DK70" s="16" t="str">
        <f t="shared" si="97"/>
        <v>septembre 2021</v>
      </c>
      <c r="DL70" s="16" t="str">
        <f t="shared" si="97"/>
        <v>octobre 2021</v>
      </c>
      <c r="DM70" s="16" t="str">
        <f t="shared" si="97"/>
        <v>novembre 2021</v>
      </c>
      <c r="DN70" s="16" t="str">
        <f t="shared" si="97"/>
        <v>décembre 2021</v>
      </c>
      <c r="DO70" s="16" t="str">
        <f t="shared" si="97"/>
        <v>janvier 2022</v>
      </c>
      <c r="DP70" s="16" t="str">
        <f t="shared" si="97"/>
        <v>février 2022</v>
      </c>
      <c r="DQ70" s="16" t="str">
        <f t="shared" si="97"/>
        <v>mars 2022</v>
      </c>
      <c r="DR70" s="16" t="str">
        <f t="shared" si="97"/>
        <v>avril 2022</v>
      </c>
      <c r="DS70" s="16" t="str">
        <f t="shared" si="97"/>
        <v>mai 2022</v>
      </c>
      <c r="DT70" s="16" t="str">
        <f t="shared" si="97"/>
        <v>juin 2022</v>
      </c>
      <c r="DU70" s="16" t="str">
        <f t="shared" si="97"/>
        <v>juillet 2022</v>
      </c>
      <c r="DV70" s="16" t="str">
        <f t="shared" si="97"/>
        <v>août 2022</v>
      </c>
      <c r="DW70" s="16" t="str">
        <f t="shared" si="97"/>
        <v>septembre 2022</v>
      </c>
      <c r="DX70" s="16" t="str">
        <f t="shared" si="97"/>
        <v>octobre 2022</v>
      </c>
      <c r="DY70" s="16" t="str">
        <f t="shared" si="97"/>
        <v>novembre 2022</v>
      </c>
      <c r="DZ70" s="16" t="str">
        <f t="shared" si="97"/>
        <v>décembre 2022</v>
      </c>
      <c r="EA70" s="16" t="str">
        <f t="shared" si="97"/>
        <v>janvier 2023</v>
      </c>
      <c r="EB70" s="16" t="str">
        <f t="shared" si="97"/>
        <v>février 2023</v>
      </c>
      <c r="EC70" s="16" t="str">
        <f t="shared" si="97"/>
        <v>mars 2023</v>
      </c>
      <c r="ED70" s="16" t="str">
        <f t="shared" si="97"/>
        <v>avril 2023</v>
      </c>
      <c r="EE70" s="16" t="str">
        <f t="shared" si="97"/>
        <v>mai 2023</v>
      </c>
      <c r="EF70" s="16" t="str">
        <f t="shared" si="97"/>
        <v>juin 2023</v>
      </c>
      <c r="EG70" s="16" t="str">
        <f t="shared" si="97"/>
        <v>juillet 2023</v>
      </c>
      <c r="EH70" s="16" t="str">
        <f t="shared" si="97"/>
        <v>août 2023</v>
      </c>
      <c r="EI70" s="16" t="str">
        <f t="shared" si="97"/>
        <v>septembre 2023</v>
      </c>
      <c r="EJ70" s="16" t="str">
        <f t="shared" si="97"/>
        <v>octobre 2023</v>
      </c>
      <c r="EK70" s="16" t="str">
        <f t="shared" si="97"/>
        <v>novembre 2023</v>
      </c>
      <c r="EL70" s="16" t="str">
        <f t="shared" si="97"/>
        <v>décembre 2023</v>
      </c>
      <c r="EM70" s="16" t="str">
        <f t="shared" si="97"/>
        <v>janvier 2024</v>
      </c>
      <c r="EN70" s="16" t="str">
        <f t="shared" si="97"/>
        <v>février 2024</v>
      </c>
      <c r="EO70" s="16" t="str">
        <f t="shared" si="97"/>
        <v>mars 2024</v>
      </c>
      <c r="EP70" s="16" t="str">
        <f t="shared" si="97"/>
        <v>avril 2024</v>
      </c>
      <c r="EQ70" s="16" t="str">
        <f t="shared" si="97"/>
        <v>mai 2024</v>
      </c>
      <c r="ER70" s="16" t="str">
        <f t="shared" si="97"/>
        <v>juin 2024</v>
      </c>
      <c r="ES70" s="16" t="str">
        <f t="shared" si="97"/>
        <v>juillet 2024</v>
      </c>
      <c r="ET70" s="16" t="str">
        <f t="shared" si="97"/>
        <v>août 2024</v>
      </c>
      <c r="EU70" s="16" t="str">
        <f t="shared" si="97"/>
        <v>septembre 2024</v>
      </c>
      <c r="EV70" s="16" t="str">
        <f t="shared" ref="EV70:FP70" si="98">CONCATENATE(EV72," ",EV73)</f>
        <v>octobre 2024</v>
      </c>
      <c r="EW70" s="16" t="str">
        <f t="shared" si="98"/>
        <v>novembre 2024</v>
      </c>
      <c r="EX70" s="16" t="str">
        <f t="shared" si="98"/>
        <v>décembre 2024</v>
      </c>
      <c r="EY70" s="16" t="str">
        <f t="shared" si="98"/>
        <v>janvier 2025</v>
      </c>
      <c r="EZ70" s="16" t="str">
        <f t="shared" si="98"/>
        <v>février 2025</v>
      </c>
      <c r="FA70" s="16" t="str">
        <f t="shared" si="98"/>
        <v>mars 2025</v>
      </c>
      <c r="FB70" s="16" t="str">
        <f t="shared" si="98"/>
        <v>avril 2025</v>
      </c>
      <c r="FC70" s="16" t="str">
        <f t="shared" si="98"/>
        <v>mai 2025</v>
      </c>
      <c r="FD70" s="16" t="str">
        <f t="shared" si="98"/>
        <v>juin 2025</v>
      </c>
      <c r="FE70" s="16" t="str">
        <f t="shared" si="98"/>
        <v>juillet 2025</v>
      </c>
      <c r="FF70" s="16" t="str">
        <f t="shared" si="98"/>
        <v>août 2025</v>
      </c>
      <c r="FG70" s="16" t="str">
        <f t="shared" si="98"/>
        <v>septembre 2025</v>
      </c>
      <c r="FH70" s="16" t="str">
        <f t="shared" si="98"/>
        <v>octobre 2025</v>
      </c>
      <c r="FI70" s="16" t="str">
        <f t="shared" si="98"/>
        <v>novembre 2025</v>
      </c>
      <c r="FJ70" s="16" t="str">
        <f t="shared" si="98"/>
        <v>décembre 2025</v>
      </c>
      <c r="FK70" s="16" t="str">
        <f t="shared" si="98"/>
        <v>janvier 2026</v>
      </c>
      <c r="FL70" s="16" t="str">
        <f t="shared" si="98"/>
        <v>février 2026</v>
      </c>
      <c r="FM70" s="16" t="str">
        <f t="shared" si="98"/>
        <v>mars 2026</v>
      </c>
      <c r="FN70" s="16" t="str">
        <f t="shared" si="98"/>
        <v>avril 2026</v>
      </c>
      <c r="FO70" s="16" t="str">
        <f t="shared" si="98"/>
        <v>mai 2026</v>
      </c>
      <c r="FP70" s="16" t="str">
        <f t="shared" si="98"/>
        <v>juin 2026</v>
      </c>
    </row>
    <row r="71" spans="1:172" ht="13.5" thickBot="1" x14ac:dyDescent="0.25">
      <c r="A71" s="24" t="str">
        <f>A48</f>
        <v>Four PAMCHR :</v>
      </c>
      <c r="B71" s="1164">
        <v>0</v>
      </c>
      <c r="C71" s="1012" t="str">
        <f t="shared" ref="C71:C88" si="99">HLOOKUP($T$71+B71,$W$71:$DZ$72,2)</f>
        <v>janvier</v>
      </c>
      <c r="D71" s="968">
        <f t="shared" ref="D71:D88" si="100">HLOOKUP($T$71+B71,$W$71:$DZ$73,3)</f>
        <v>2015</v>
      </c>
      <c r="E71" s="1013"/>
      <c r="F71" s="1014" t="s">
        <v>1311</v>
      </c>
      <c r="G71" s="1013"/>
      <c r="H71" s="1013"/>
      <c r="I71" s="1013"/>
      <c r="J71" s="1013"/>
      <c r="K71" s="1013"/>
      <c r="L71" s="1013"/>
      <c r="M71" s="1013"/>
      <c r="N71" s="1013"/>
      <c r="O71" s="1013"/>
      <c r="P71" s="1013"/>
      <c r="Q71" s="1013"/>
      <c r="R71" s="1013"/>
      <c r="S71" s="1013"/>
      <c r="T71" s="1015">
        <f>HLOOKUP(F72,$V$70:$FP$71,2,0)</f>
        <v>13</v>
      </c>
      <c r="U71" s="1016"/>
      <c r="V71" s="16" t="s">
        <v>1312</v>
      </c>
      <c r="W71" s="968">
        <v>1</v>
      </c>
      <c r="X71" s="968">
        <v>2</v>
      </c>
      <c r="Y71" s="968">
        <v>3</v>
      </c>
      <c r="Z71" s="968">
        <v>4</v>
      </c>
      <c r="AA71" s="968">
        <v>5</v>
      </c>
      <c r="AB71" s="968">
        <v>6</v>
      </c>
      <c r="AC71" s="968">
        <v>7</v>
      </c>
      <c r="AD71" s="968">
        <v>8</v>
      </c>
      <c r="AE71" s="968">
        <v>9</v>
      </c>
      <c r="AF71" s="968">
        <v>10</v>
      </c>
      <c r="AG71" s="968">
        <v>11</v>
      </c>
      <c r="AH71" s="968">
        <v>12</v>
      </c>
      <c r="AI71" s="968">
        <v>13</v>
      </c>
      <c r="AJ71" s="968">
        <v>14</v>
      </c>
      <c r="AK71" s="968">
        <v>15</v>
      </c>
      <c r="AL71" s="968">
        <v>16</v>
      </c>
      <c r="AM71" s="968">
        <v>17</v>
      </c>
      <c r="AN71" s="968">
        <v>18</v>
      </c>
      <c r="AO71" s="968">
        <v>19</v>
      </c>
      <c r="AP71" s="968">
        <v>20</v>
      </c>
      <c r="AQ71" s="968">
        <v>21</v>
      </c>
      <c r="AR71" s="968">
        <v>22</v>
      </c>
      <c r="AS71" s="968">
        <v>23</v>
      </c>
      <c r="AT71" s="968">
        <v>24</v>
      </c>
      <c r="AU71" s="968">
        <v>25</v>
      </c>
      <c r="AV71" s="968">
        <v>26</v>
      </c>
      <c r="AW71" s="968">
        <v>27</v>
      </c>
      <c r="AX71" s="968">
        <v>28</v>
      </c>
      <c r="AY71" s="968">
        <v>29</v>
      </c>
      <c r="AZ71" s="968">
        <v>30</v>
      </c>
      <c r="BA71" s="968">
        <v>31</v>
      </c>
      <c r="BB71" s="968">
        <v>32</v>
      </c>
      <c r="BC71" s="968">
        <v>33</v>
      </c>
      <c r="BD71" s="968">
        <v>34</v>
      </c>
      <c r="BE71" s="968">
        <v>35</v>
      </c>
      <c r="BF71" s="968">
        <v>36</v>
      </c>
      <c r="BG71" s="968">
        <v>37</v>
      </c>
      <c r="BH71" s="968">
        <v>38</v>
      </c>
      <c r="BI71" s="968">
        <v>39</v>
      </c>
      <c r="BJ71" s="968">
        <v>40</v>
      </c>
      <c r="BK71" s="968">
        <v>41</v>
      </c>
      <c r="BL71" s="968">
        <v>42</v>
      </c>
      <c r="BM71" s="968">
        <v>43</v>
      </c>
      <c r="BN71" s="968">
        <v>44</v>
      </c>
      <c r="BO71" s="968">
        <v>45</v>
      </c>
      <c r="BP71" s="968">
        <v>46</v>
      </c>
      <c r="BQ71" s="968">
        <v>47</v>
      </c>
      <c r="BR71" s="968">
        <v>48</v>
      </c>
      <c r="BS71" s="968">
        <v>49</v>
      </c>
      <c r="BT71" s="968">
        <v>50</v>
      </c>
      <c r="BU71" s="968">
        <v>51</v>
      </c>
      <c r="BV71" s="968">
        <v>52</v>
      </c>
      <c r="BW71" s="968">
        <v>53</v>
      </c>
      <c r="BX71" s="968">
        <v>54</v>
      </c>
      <c r="BY71" s="968">
        <v>55</v>
      </c>
      <c r="BZ71" s="968">
        <v>56</v>
      </c>
      <c r="CA71" s="968">
        <v>57</v>
      </c>
      <c r="CB71" s="968">
        <v>58</v>
      </c>
      <c r="CC71" s="968">
        <v>59</v>
      </c>
      <c r="CD71" s="968">
        <v>60</v>
      </c>
      <c r="CE71" s="968">
        <v>61</v>
      </c>
      <c r="CF71" s="968">
        <v>62</v>
      </c>
      <c r="CG71" s="968">
        <v>63</v>
      </c>
      <c r="CH71" s="968">
        <v>64</v>
      </c>
      <c r="CI71" s="968">
        <v>65</v>
      </c>
      <c r="CJ71" s="968">
        <v>66</v>
      </c>
      <c r="CK71" s="968">
        <v>67</v>
      </c>
      <c r="CL71" s="968">
        <v>68</v>
      </c>
      <c r="CM71" s="968">
        <v>69</v>
      </c>
      <c r="CN71" s="968">
        <v>70</v>
      </c>
      <c r="CO71" s="968">
        <v>71</v>
      </c>
      <c r="CP71" s="968">
        <v>72</v>
      </c>
      <c r="CQ71" s="968">
        <v>73</v>
      </c>
      <c r="CR71" s="968">
        <v>74</v>
      </c>
      <c r="CS71" s="968">
        <v>75</v>
      </c>
      <c r="CT71" s="968">
        <v>76</v>
      </c>
      <c r="CU71" s="968">
        <v>77</v>
      </c>
      <c r="CV71" s="968">
        <v>78</v>
      </c>
      <c r="CW71" s="968">
        <v>79</v>
      </c>
      <c r="CX71" s="968">
        <v>80</v>
      </c>
      <c r="CY71" s="968">
        <v>81</v>
      </c>
      <c r="CZ71" s="968">
        <v>82</v>
      </c>
      <c r="DA71" s="968">
        <v>83</v>
      </c>
      <c r="DB71" s="968">
        <v>84</v>
      </c>
      <c r="DC71" s="968">
        <v>85</v>
      </c>
      <c r="DD71" s="968">
        <v>86</v>
      </c>
      <c r="DE71" s="968">
        <v>87</v>
      </c>
      <c r="DF71" s="968">
        <v>88</v>
      </c>
      <c r="DG71" s="968">
        <v>89</v>
      </c>
      <c r="DH71" s="968">
        <v>90</v>
      </c>
      <c r="DI71" s="968">
        <v>91</v>
      </c>
      <c r="DJ71" s="968">
        <v>92</v>
      </c>
      <c r="DK71" s="968">
        <v>93</v>
      </c>
      <c r="DL71" s="968">
        <v>94</v>
      </c>
      <c r="DM71" s="968">
        <v>95</v>
      </c>
      <c r="DN71" s="968">
        <v>96</v>
      </c>
      <c r="DO71" s="968">
        <v>97</v>
      </c>
      <c r="DP71" s="968">
        <v>98</v>
      </c>
      <c r="DQ71" s="968">
        <v>99</v>
      </c>
      <c r="DR71" s="968">
        <v>100</v>
      </c>
      <c r="DS71" s="968">
        <v>101</v>
      </c>
      <c r="DT71" s="968">
        <v>102</v>
      </c>
      <c r="DU71" s="968">
        <v>103</v>
      </c>
      <c r="DV71" s="968">
        <v>104</v>
      </c>
      <c r="DW71" s="968">
        <v>105</v>
      </c>
      <c r="DX71" s="968">
        <v>106</v>
      </c>
      <c r="DY71" s="968">
        <v>107</v>
      </c>
      <c r="DZ71" s="968">
        <v>108</v>
      </c>
      <c r="EA71" s="968">
        <v>109</v>
      </c>
      <c r="EB71" s="968">
        <v>110</v>
      </c>
      <c r="EC71" s="968">
        <v>111</v>
      </c>
      <c r="ED71" s="968">
        <v>112</v>
      </c>
      <c r="EE71" s="968">
        <v>113</v>
      </c>
      <c r="EF71" s="968">
        <v>114</v>
      </c>
      <c r="EG71" s="968">
        <v>115</v>
      </c>
      <c r="EH71" s="968">
        <v>116</v>
      </c>
      <c r="EI71" s="968">
        <v>117</v>
      </c>
      <c r="EJ71" s="968">
        <v>118</v>
      </c>
      <c r="EK71" s="968">
        <v>119</v>
      </c>
      <c r="EL71" s="968">
        <v>120</v>
      </c>
      <c r="EM71" s="968">
        <v>121</v>
      </c>
      <c r="EN71" s="968">
        <v>122</v>
      </c>
      <c r="EO71" s="968">
        <v>123</v>
      </c>
      <c r="EP71" s="968">
        <v>124</v>
      </c>
      <c r="EQ71" s="968">
        <v>125</v>
      </c>
      <c r="ER71" s="968">
        <v>126</v>
      </c>
      <c r="ES71" s="968">
        <v>127</v>
      </c>
      <c r="ET71" s="968">
        <v>128</v>
      </c>
      <c r="EU71" s="968">
        <v>129</v>
      </c>
      <c r="EV71" s="968">
        <v>130</v>
      </c>
      <c r="EW71" s="968">
        <v>131</v>
      </c>
      <c r="EX71" s="968">
        <v>132</v>
      </c>
      <c r="EY71" s="968">
        <v>133</v>
      </c>
      <c r="EZ71" s="968">
        <v>134</v>
      </c>
      <c r="FA71" s="968">
        <v>135</v>
      </c>
      <c r="FB71" s="968">
        <v>136</v>
      </c>
      <c r="FC71" s="968">
        <v>137</v>
      </c>
      <c r="FD71" s="968">
        <v>138</v>
      </c>
      <c r="FE71" s="968">
        <v>139</v>
      </c>
      <c r="FF71" s="968">
        <v>140</v>
      </c>
      <c r="FG71" s="968">
        <v>141</v>
      </c>
      <c r="FH71" s="968">
        <v>142</v>
      </c>
      <c r="FI71" s="968">
        <v>143</v>
      </c>
      <c r="FJ71" s="968">
        <v>144</v>
      </c>
      <c r="FK71" s="968">
        <v>145</v>
      </c>
      <c r="FL71" s="968">
        <v>146</v>
      </c>
      <c r="FM71" s="968">
        <v>147</v>
      </c>
      <c r="FN71" s="968">
        <v>148</v>
      </c>
      <c r="FO71" s="968">
        <v>149</v>
      </c>
      <c r="FP71" s="968">
        <v>150</v>
      </c>
    </row>
    <row r="72" spans="1:172" ht="13.5" thickBot="1" x14ac:dyDescent="0.25">
      <c r="A72" s="24" t="str">
        <f t="shared" ref="A72:A88" si="101">A49</f>
        <v>Annexe four : outillage</v>
      </c>
      <c r="B72" s="1165">
        <v>15</v>
      </c>
      <c r="C72" s="1012" t="str">
        <f t="shared" si="99"/>
        <v>avril</v>
      </c>
      <c r="D72" s="968">
        <f t="shared" si="100"/>
        <v>2016</v>
      </c>
      <c r="E72" s="42"/>
      <c r="F72" s="1017" t="s">
        <v>1491</v>
      </c>
      <c r="G72" s="42"/>
      <c r="H72" s="42"/>
      <c r="I72" s="42"/>
      <c r="J72" s="42"/>
      <c r="K72" s="42"/>
      <c r="L72" s="42"/>
      <c r="M72" s="42"/>
      <c r="N72" s="42"/>
      <c r="O72" s="42"/>
      <c r="P72" s="42"/>
      <c r="Q72" s="42"/>
      <c r="R72" s="42"/>
      <c r="S72" s="42"/>
      <c r="T72" s="42"/>
      <c r="V72" s="16" t="s">
        <v>37</v>
      </c>
      <c r="W72" s="1018" t="s">
        <v>1313</v>
      </c>
      <c r="X72" s="1018" t="s">
        <v>1314</v>
      </c>
      <c r="Y72" s="1018" t="s">
        <v>1315</v>
      </c>
      <c r="Z72" s="1018" t="s">
        <v>1316</v>
      </c>
      <c r="AA72" s="1018" t="s">
        <v>1317</v>
      </c>
      <c r="AB72" s="1018" t="s">
        <v>1318</v>
      </c>
      <c r="AC72" s="1018" t="s">
        <v>1319</v>
      </c>
      <c r="AD72" s="1018" t="s">
        <v>1320</v>
      </c>
      <c r="AE72" s="1018" t="s">
        <v>1321</v>
      </c>
      <c r="AF72" s="1018" t="s">
        <v>1322</v>
      </c>
      <c r="AG72" s="1018" t="s">
        <v>1323</v>
      </c>
      <c r="AH72" s="1018" t="s">
        <v>1324</v>
      </c>
      <c r="AI72" s="1018" t="s">
        <v>1313</v>
      </c>
      <c r="AJ72" s="1018" t="s">
        <v>1314</v>
      </c>
      <c r="AK72" s="1018" t="s">
        <v>1315</v>
      </c>
      <c r="AL72" s="1018" t="s">
        <v>1316</v>
      </c>
      <c r="AM72" s="1018" t="s">
        <v>1317</v>
      </c>
      <c r="AN72" s="1018" t="s">
        <v>1318</v>
      </c>
      <c r="AO72" s="1018" t="s">
        <v>1319</v>
      </c>
      <c r="AP72" s="1018" t="s">
        <v>1320</v>
      </c>
      <c r="AQ72" s="1018" t="s">
        <v>1321</v>
      </c>
      <c r="AR72" s="1018" t="s">
        <v>1322</v>
      </c>
      <c r="AS72" s="1018" t="s">
        <v>1323</v>
      </c>
      <c r="AT72" s="1018" t="s">
        <v>1324</v>
      </c>
      <c r="AU72" s="1018" t="s">
        <v>1313</v>
      </c>
      <c r="AV72" s="1018" t="s">
        <v>1314</v>
      </c>
      <c r="AW72" s="1018" t="s">
        <v>1315</v>
      </c>
      <c r="AX72" s="1018" t="s">
        <v>1316</v>
      </c>
      <c r="AY72" s="1018" t="s">
        <v>1317</v>
      </c>
      <c r="AZ72" s="1018" t="s">
        <v>1318</v>
      </c>
      <c r="BA72" s="1018" t="s">
        <v>1319</v>
      </c>
      <c r="BB72" s="1018" t="s">
        <v>1320</v>
      </c>
      <c r="BC72" s="1018" t="s">
        <v>1321</v>
      </c>
      <c r="BD72" s="1018" t="s">
        <v>1322</v>
      </c>
      <c r="BE72" s="1018" t="s">
        <v>1323</v>
      </c>
      <c r="BF72" s="1018" t="s">
        <v>1324</v>
      </c>
      <c r="BG72" s="1018" t="s">
        <v>1313</v>
      </c>
      <c r="BH72" s="1018" t="s">
        <v>1314</v>
      </c>
      <c r="BI72" s="1018" t="s">
        <v>1315</v>
      </c>
      <c r="BJ72" s="1018" t="s">
        <v>1316</v>
      </c>
      <c r="BK72" s="1018" t="s">
        <v>1317</v>
      </c>
      <c r="BL72" s="1018" t="s">
        <v>1318</v>
      </c>
      <c r="BM72" s="1018" t="s">
        <v>1319</v>
      </c>
      <c r="BN72" s="1018" t="s">
        <v>1320</v>
      </c>
      <c r="BO72" s="1018" t="s">
        <v>1321</v>
      </c>
      <c r="BP72" s="1018" t="s">
        <v>1322</v>
      </c>
      <c r="BQ72" s="1018" t="s">
        <v>1323</v>
      </c>
      <c r="BR72" s="1018" t="s">
        <v>1324</v>
      </c>
      <c r="BS72" s="1018" t="s">
        <v>1313</v>
      </c>
      <c r="BT72" s="1018" t="s">
        <v>1314</v>
      </c>
      <c r="BU72" s="1018" t="s">
        <v>1315</v>
      </c>
      <c r="BV72" s="1018" t="s">
        <v>1316</v>
      </c>
      <c r="BW72" s="1018" t="s">
        <v>1317</v>
      </c>
      <c r="BX72" s="1018" t="s">
        <v>1318</v>
      </c>
      <c r="BY72" s="1018" t="s">
        <v>1319</v>
      </c>
      <c r="BZ72" s="1018" t="s">
        <v>1320</v>
      </c>
      <c r="CA72" s="1018" t="s">
        <v>1321</v>
      </c>
      <c r="CB72" s="1018" t="s">
        <v>1322</v>
      </c>
      <c r="CC72" s="1018" t="s">
        <v>1323</v>
      </c>
      <c r="CD72" s="1018" t="s">
        <v>1324</v>
      </c>
      <c r="CE72" s="1018" t="s">
        <v>1313</v>
      </c>
      <c r="CF72" s="1018" t="s">
        <v>1314</v>
      </c>
      <c r="CG72" s="1018" t="s">
        <v>1315</v>
      </c>
      <c r="CH72" s="1018" t="s">
        <v>1316</v>
      </c>
      <c r="CI72" s="1018" t="s">
        <v>1317</v>
      </c>
      <c r="CJ72" s="1018" t="s">
        <v>1318</v>
      </c>
      <c r="CK72" s="1018" t="s">
        <v>1319</v>
      </c>
      <c r="CL72" s="1018" t="s">
        <v>1320</v>
      </c>
      <c r="CM72" s="1018" t="s">
        <v>1321</v>
      </c>
      <c r="CN72" s="1018" t="s">
        <v>1322</v>
      </c>
      <c r="CO72" s="1018" t="s">
        <v>1323</v>
      </c>
      <c r="CP72" s="1018" t="s">
        <v>1324</v>
      </c>
      <c r="CQ72" s="1018" t="s">
        <v>1313</v>
      </c>
      <c r="CR72" s="1018" t="s">
        <v>1314</v>
      </c>
      <c r="CS72" s="1018" t="s">
        <v>1315</v>
      </c>
      <c r="CT72" s="1018" t="s">
        <v>1316</v>
      </c>
      <c r="CU72" s="1018" t="s">
        <v>1317</v>
      </c>
      <c r="CV72" s="1018" t="s">
        <v>1318</v>
      </c>
      <c r="CW72" s="1018" t="s">
        <v>1319</v>
      </c>
      <c r="CX72" s="1018" t="s">
        <v>1320</v>
      </c>
      <c r="CY72" s="1018" t="s">
        <v>1321</v>
      </c>
      <c r="CZ72" s="1018" t="s">
        <v>1322</v>
      </c>
      <c r="DA72" s="1018" t="s">
        <v>1323</v>
      </c>
      <c r="DB72" s="1018" t="s">
        <v>1324</v>
      </c>
      <c r="DC72" s="1018" t="s">
        <v>1313</v>
      </c>
      <c r="DD72" s="1018" t="s">
        <v>1314</v>
      </c>
      <c r="DE72" s="1018" t="s">
        <v>1315</v>
      </c>
      <c r="DF72" s="1018" t="s">
        <v>1316</v>
      </c>
      <c r="DG72" s="1018" t="s">
        <v>1317</v>
      </c>
      <c r="DH72" s="1018" t="s">
        <v>1318</v>
      </c>
      <c r="DI72" s="1018" t="s">
        <v>1319</v>
      </c>
      <c r="DJ72" s="1018" t="s">
        <v>1320</v>
      </c>
      <c r="DK72" s="1018" t="s">
        <v>1321</v>
      </c>
      <c r="DL72" s="1018" t="s">
        <v>1322</v>
      </c>
      <c r="DM72" s="1018" t="s">
        <v>1323</v>
      </c>
      <c r="DN72" s="1018" t="s">
        <v>1324</v>
      </c>
      <c r="DO72" s="1018" t="s">
        <v>1313</v>
      </c>
      <c r="DP72" s="1018" t="s">
        <v>1314</v>
      </c>
      <c r="DQ72" s="1018" t="s">
        <v>1315</v>
      </c>
      <c r="DR72" s="1018" t="s">
        <v>1316</v>
      </c>
      <c r="DS72" s="1018" t="s">
        <v>1317</v>
      </c>
      <c r="DT72" s="1018" t="s">
        <v>1318</v>
      </c>
      <c r="DU72" s="1018" t="s">
        <v>1319</v>
      </c>
      <c r="DV72" s="1018" t="s">
        <v>1320</v>
      </c>
      <c r="DW72" s="1018" t="s">
        <v>1321</v>
      </c>
      <c r="DX72" s="1018" t="s">
        <v>1322</v>
      </c>
      <c r="DY72" s="1018" t="s">
        <v>1323</v>
      </c>
      <c r="DZ72" s="1018" t="s">
        <v>1324</v>
      </c>
      <c r="EA72" s="1018" t="s">
        <v>1313</v>
      </c>
      <c r="EB72" s="1018" t="s">
        <v>1314</v>
      </c>
      <c r="EC72" s="1018" t="s">
        <v>1315</v>
      </c>
      <c r="ED72" s="1018" t="s">
        <v>1316</v>
      </c>
      <c r="EE72" s="1018" t="s">
        <v>1317</v>
      </c>
      <c r="EF72" s="1018" t="s">
        <v>1318</v>
      </c>
      <c r="EG72" s="1018" t="s">
        <v>1319</v>
      </c>
      <c r="EH72" s="1018" t="s">
        <v>1320</v>
      </c>
      <c r="EI72" s="1018" t="s">
        <v>1321</v>
      </c>
      <c r="EJ72" s="1018" t="s">
        <v>1322</v>
      </c>
      <c r="EK72" s="1018" t="s">
        <v>1323</v>
      </c>
      <c r="EL72" s="1018" t="s">
        <v>1324</v>
      </c>
      <c r="EM72" s="1018" t="s">
        <v>1313</v>
      </c>
      <c r="EN72" s="1018" t="s">
        <v>1314</v>
      </c>
      <c r="EO72" s="1018" t="s">
        <v>1315</v>
      </c>
      <c r="EP72" s="1018" t="s">
        <v>1316</v>
      </c>
      <c r="EQ72" s="1018" t="s">
        <v>1317</v>
      </c>
      <c r="ER72" s="1018" t="s">
        <v>1318</v>
      </c>
      <c r="ES72" s="1018" t="s">
        <v>1319</v>
      </c>
      <c r="ET72" s="1018" t="s">
        <v>1320</v>
      </c>
      <c r="EU72" s="1018" t="s">
        <v>1321</v>
      </c>
      <c r="EV72" s="1018" t="s">
        <v>1322</v>
      </c>
      <c r="EW72" s="1018" t="s">
        <v>1323</v>
      </c>
      <c r="EX72" s="1018" t="s">
        <v>1324</v>
      </c>
      <c r="EY72" s="1018" t="s">
        <v>1313</v>
      </c>
      <c r="EZ72" s="1018" t="s">
        <v>1314</v>
      </c>
      <c r="FA72" s="1018" t="s">
        <v>1315</v>
      </c>
      <c r="FB72" s="1018" t="s">
        <v>1316</v>
      </c>
      <c r="FC72" s="1018" t="s">
        <v>1317</v>
      </c>
      <c r="FD72" s="1018" t="s">
        <v>1318</v>
      </c>
      <c r="FE72" s="1018" t="s">
        <v>1319</v>
      </c>
      <c r="FF72" s="1018" t="s">
        <v>1320</v>
      </c>
      <c r="FG72" s="1018" t="s">
        <v>1321</v>
      </c>
      <c r="FH72" s="1018" t="s">
        <v>1322</v>
      </c>
      <c r="FI72" s="1018" t="s">
        <v>1323</v>
      </c>
      <c r="FJ72" s="1018" t="s">
        <v>1324</v>
      </c>
      <c r="FK72" s="1018" t="s">
        <v>1313</v>
      </c>
      <c r="FL72" s="1018" t="s">
        <v>1314</v>
      </c>
      <c r="FM72" s="1018" t="s">
        <v>1315</v>
      </c>
      <c r="FN72" s="1018" t="s">
        <v>1316</v>
      </c>
      <c r="FO72" s="1018" t="s">
        <v>1317</v>
      </c>
      <c r="FP72" s="1018" t="s">
        <v>1318</v>
      </c>
    </row>
    <row r="73" spans="1:172" x14ac:dyDescent="0.2">
      <c r="A73" s="24" t="str">
        <f t="shared" si="101"/>
        <v>1er Four VAR :</v>
      </c>
      <c r="B73" s="1165">
        <v>10</v>
      </c>
      <c r="C73" s="1012" t="str">
        <f t="shared" si="99"/>
        <v>novembre</v>
      </c>
      <c r="D73" s="968">
        <f t="shared" si="100"/>
        <v>2015</v>
      </c>
      <c r="V73" s="16" t="s">
        <v>662</v>
      </c>
      <c r="W73" s="968">
        <v>2014</v>
      </c>
      <c r="X73" s="968">
        <v>2014</v>
      </c>
      <c r="Y73" s="968">
        <v>2014</v>
      </c>
      <c r="Z73" s="968">
        <v>2014</v>
      </c>
      <c r="AA73" s="968">
        <v>2014</v>
      </c>
      <c r="AB73" s="968">
        <v>2014</v>
      </c>
      <c r="AC73" s="968">
        <v>2014</v>
      </c>
      <c r="AD73" s="968">
        <v>2014</v>
      </c>
      <c r="AE73" s="968">
        <v>2014</v>
      </c>
      <c r="AF73" s="968">
        <v>2014</v>
      </c>
      <c r="AG73" s="968">
        <v>2014</v>
      </c>
      <c r="AH73" s="968">
        <v>2014</v>
      </c>
      <c r="AI73" s="968">
        <v>2015</v>
      </c>
      <c r="AJ73" s="968">
        <v>2015</v>
      </c>
      <c r="AK73" s="968">
        <v>2015</v>
      </c>
      <c r="AL73" s="968">
        <v>2015</v>
      </c>
      <c r="AM73" s="968">
        <v>2015</v>
      </c>
      <c r="AN73" s="968">
        <v>2015</v>
      </c>
      <c r="AO73" s="968">
        <v>2015</v>
      </c>
      <c r="AP73" s="968">
        <v>2015</v>
      </c>
      <c r="AQ73" s="968">
        <v>2015</v>
      </c>
      <c r="AR73" s="968">
        <v>2015</v>
      </c>
      <c r="AS73" s="968">
        <v>2015</v>
      </c>
      <c r="AT73" s="968">
        <v>2015</v>
      </c>
      <c r="AU73" s="968">
        <v>2016</v>
      </c>
      <c r="AV73" s="968">
        <v>2016</v>
      </c>
      <c r="AW73" s="968">
        <v>2016</v>
      </c>
      <c r="AX73" s="968">
        <v>2016</v>
      </c>
      <c r="AY73" s="968">
        <v>2016</v>
      </c>
      <c r="AZ73" s="968">
        <v>2016</v>
      </c>
      <c r="BA73" s="968">
        <v>2016</v>
      </c>
      <c r="BB73" s="968">
        <v>2016</v>
      </c>
      <c r="BC73" s="968">
        <v>2016</v>
      </c>
      <c r="BD73" s="968">
        <v>2016</v>
      </c>
      <c r="BE73" s="968">
        <v>2016</v>
      </c>
      <c r="BF73" s="968">
        <v>2016</v>
      </c>
      <c r="BG73" s="968">
        <v>2017</v>
      </c>
      <c r="BH73" s="968">
        <v>2017</v>
      </c>
      <c r="BI73" s="968">
        <v>2017</v>
      </c>
      <c r="BJ73" s="968">
        <v>2017</v>
      </c>
      <c r="BK73" s="968">
        <v>2017</v>
      </c>
      <c r="BL73" s="968">
        <v>2017</v>
      </c>
      <c r="BM73" s="968">
        <v>2017</v>
      </c>
      <c r="BN73" s="968">
        <v>2017</v>
      </c>
      <c r="BO73" s="968">
        <v>2017</v>
      </c>
      <c r="BP73" s="968">
        <v>2017</v>
      </c>
      <c r="BQ73" s="968">
        <v>2017</v>
      </c>
      <c r="BR73" s="968">
        <v>2017</v>
      </c>
      <c r="BS73" s="968">
        <v>2018</v>
      </c>
      <c r="BT73" s="968">
        <v>2018</v>
      </c>
      <c r="BU73" s="968">
        <v>2018</v>
      </c>
      <c r="BV73" s="968">
        <v>2018</v>
      </c>
      <c r="BW73" s="968">
        <v>2018</v>
      </c>
      <c r="BX73" s="968">
        <v>2018</v>
      </c>
      <c r="BY73" s="968">
        <v>2018</v>
      </c>
      <c r="BZ73" s="968">
        <v>2018</v>
      </c>
      <c r="CA73" s="968">
        <v>2018</v>
      </c>
      <c r="CB73" s="968">
        <v>2018</v>
      </c>
      <c r="CC73" s="968">
        <v>2018</v>
      </c>
      <c r="CD73" s="968">
        <v>2018</v>
      </c>
      <c r="CE73" s="968">
        <v>2019</v>
      </c>
      <c r="CF73" s="968">
        <v>2019</v>
      </c>
      <c r="CG73" s="968">
        <v>2019</v>
      </c>
      <c r="CH73" s="968">
        <v>2019</v>
      </c>
      <c r="CI73" s="968">
        <v>2019</v>
      </c>
      <c r="CJ73" s="968">
        <v>2019</v>
      </c>
      <c r="CK73" s="968">
        <v>2019</v>
      </c>
      <c r="CL73" s="968">
        <v>2019</v>
      </c>
      <c r="CM73" s="968">
        <v>2019</v>
      </c>
      <c r="CN73" s="968">
        <v>2019</v>
      </c>
      <c r="CO73" s="968">
        <v>2019</v>
      </c>
      <c r="CP73" s="968">
        <v>2019</v>
      </c>
      <c r="CQ73" s="968">
        <v>2020</v>
      </c>
      <c r="CR73" s="968">
        <v>2020</v>
      </c>
      <c r="CS73" s="968">
        <v>2020</v>
      </c>
      <c r="CT73" s="968">
        <v>2020</v>
      </c>
      <c r="CU73" s="968">
        <v>2020</v>
      </c>
      <c r="CV73" s="968">
        <v>2020</v>
      </c>
      <c r="CW73" s="968">
        <v>2020</v>
      </c>
      <c r="CX73" s="968">
        <v>2020</v>
      </c>
      <c r="CY73" s="968">
        <v>2020</v>
      </c>
      <c r="CZ73" s="968">
        <v>2020</v>
      </c>
      <c r="DA73" s="968">
        <v>2020</v>
      </c>
      <c r="DB73" s="968">
        <v>2020</v>
      </c>
      <c r="DC73" s="968">
        <v>2021</v>
      </c>
      <c r="DD73" s="968">
        <v>2021</v>
      </c>
      <c r="DE73" s="968">
        <v>2021</v>
      </c>
      <c r="DF73" s="968">
        <v>2021</v>
      </c>
      <c r="DG73" s="968">
        <v>2021</v>
      </c>
      <c r="DH73" s="968">
        <v>2021</v>
      </c>
      <c r="DI73" s="968">
        <v>2021</v>
      </c>
      <c r="DJ73" s="968">
        <v>2021</v>
      </c>
      <c r="DK73" s="968">
        <v>2021</v>
      </c>
      <c r="DL73" s="968">
        <v>2021</v>
      </c>
      <c r="DM73" s="968">
        <v>2021</v>
      </c>
      <c r="DN73" s="968">
        <v>2021</v>
      </c>
      <c r="DO73" s="968">
        <v>2022</v>
      </c>
      <c r="DP73" s="968">
        <v>2022</v>
      </c>
      <c r="DQ73" s="968">
        <v>2022</v>
      </c>
      <c r="DR73" s="968">
        <v>2022</v>
      </c>
      <c r="DS73" s="968">
        <v>2022</v>
      </c>
      <c r="DT73" s="968">
        <v>2022</v>
      </c>
      <c r="DU73" s="968">
        <v>2022</v>
      </c>
      <c r="DV73" s="968">
        <v>2022</v>
      </c>
      <c r="DW73" s="968">
        <v>2022</v>
      </c>
      <c r="DX73" s="968">
        <v>2022</v>
      </c>
      <c r="DY73" s="968">
        <v>2022</v>
      </c>
      <c r="DZ73" s="968">
        <v>2022</v>
      </c>
      <c r="EA73" s="968">
        <v>2023</v>
      </c>
      <c r="EB73" s="968">
        <v>2023</v>
      </c>
      <c r="EC73" s="968">
        <v>2023</v>
      </c>
      <c r="ED73" s="968">
        <v>2023</v>
      </c>
      <c r="EE73" s="968">
        <v>2023</v>
      </c>
      <c r="EF73" s="968">
        <v>2023</v>
      </c>
      <c r="EG73" s="968">
        <v>2023</v>
      </c>
      <c r="EH73" s="968">
        <v>2023</v>
      </c>
      <c r="EI73" s="968">
        <v>2023</v>
      </c>
      <c r="EJ73" s="968">
        <v>2023</v>
      </c>
      <c r="EK73" s="968">
        <v>2023</v>
      </c>
      <c r="EL73" s="968">
        <v>2023</v>
      </c>
      <c r="EM73" s="968">
        <v>2024</v>
      </c>
      <c r="EN73" s="968">
        <v>2024</v>
      </c>
      <c r="EO73" s="968">
        <v>2024</v>
      </c>
      <c r="EP73" s="968">
        <v>2024</v>
      </c>
      <c r="EQ73" s="968">
        <v>2024</v>
      </c>
      <c r="ER73" s="968">
        <v>2024</v>
      </c>
      <c r="ES73" s="968">
        <v>2024</v>
      </c>
      <c r="ET73" s="968">
        <v>2024</v>
      </c>
      <c r="EU73" s="968">
        <v>2024</v>
      </c>
      <c r="EV73" s="968">
        <v>2024</v>
      </c>
      <c r="EW73" s="968">
        <v>2024</v>
      </c>
      <c r="EX73" s="968">
        <v>2024</v>
      </c>
      <c r="EY73" s="968">
        <v>2025</v>
      </c>
      <c r="EZ73" s="968">
        <v>2025</v>
      </c>
      <c r="FA73" s="968">
        <v>2025</v>
      </c>
      <c r="FB73" s="968">
        <v>2025</v>
      </c>
      <c r="FC73" s="968">
        <v>2025</v>
      </c>
      <c r="FD73" s="968">
        <v>2025</v>
      </c>
      <c r="FE73" s="968">
        <v>2025</v>
      </c>
      <c r="FF73" s="968">
        <v>2025</v>
      </c>
      <c r="FG73" s="968">
        <v>2025</v>
      </c>
      <c r="FH73" s="968">
        <v>2025</v>
      </c>
      <c r="FI73" s="968">
        <v>2025</v>
      </c>
      <c r="FJ73" s="968">
        <v>2025</v>
      </c>
      <c r="FK73" s="968">
        <v>2026</v>
      </c>
      <c r="FL73" s="968">
        <v>2026</v>
      </c>
      <c r="FM73" s="968">
        <v>2026</v>
      </c>
      <c r="FN73" s="968">
        <v>2026</v>
      </c>
      <c r="FO73" s="968">
        <v>2026</v>
      </c>
      <c r="FP73" s="968">
        <v>2026</v>
      </c>
    </row>
    <row r="74" spans="1:172" x14ac:dyDescent="0.2">
      <c r="A74" s="24" t="str">
        <f t="shared" si="101"/>
        <v>2ème four VAR :</v>
      </c>
      <c r="B74" s="1165">
        <v>45</v>
      </c>
      <c r="C74" s="1012" t="str">
        <f t="shared" si="99"/>
        <v>octobre</v>
      </c>
      <c r="D74" s="968">
        <f t="shared" si="100"/>
        <v>2018</v>
      </c>
    </row>
    <row r="75" spans="1:172" x14ac:dyDescent="0.2">
      <c r="A75" s="24" t="str">
        <f t="shared" si="101"/>
        <v>Annexe VAR : nettoyage haute pression</v>
      </c>
      <c r="B75" s="1165">
        <v>15</v>
      </c>
      <c r="C75" s="1012" t="str">
        <f t="shared" si="99"/>
        <v>avril</v>
      </c>
      <c r="D75" s="968">
        <f t="shared" si="100"/>
        <v>2016</v>
      </c>
    </row>
    <row r="76" spans="1:172" x14ac:dyDescent="0.2">
      <c r="A76" s="24" t="str">
        <f t="shared" si="101"/>
        <v>Annexe VAR : outillage (scie)</v>
      </c>
      <c r="B76" s="1165">
        <v>18</v>
      </c>
      <c r="C76" s="1012" t="str">
        <f t="shared" si="99"/>
        <v>juillet</v>
      </c>
      <c r="D76" s="968">
        <f t="shared" si="100"/>
        <v>2016</v>
      </c>
    </row>
    <row r="77" spans="1:172" x14ac:dyDescent="0.2">
      <c r="A77" s="24" t="str">
        <f t="shared" si="101"/>
        <v>Retourneur à lingot</v>
      </c>
      <c r="B77" s="1165">
        <v>16</v>
      </c>
      <c r="C77" s="1012" t="str">
        <f t="shared" si="99"/>
        <v>mai</v>
      </c>
      <c r="D77" s="968">
        <f t="shared" si="100"/>
        <v>2016</v>
      </c>
    </row>
    <row r="78" spans="1:172" x14ac:dyDescent="0.2">
      <c r="A78" s="24" t="str">
        <f t="shared" si="101"/>
        <v>Unité de pesage et briquetage :</v>
      </c>
      <c r="B78" s="1165">
        <v>12</v>
      </c>
      <c r="C78" s="1012" t="str">
        <f t="shared" si="99"/>
        <v>janvier</v>
      </c>
      <c r="D78" s="968">
        <f t="shared" si="100"/>
        <v>2016</v>
      </c>
    </row>
    <row r="79" spans="1:172" x14ac:dyDescent="0.2">
      <c r="A79" s="24" t="str">
        <f t="shared" si="101"/>
        <v>Equipement prépa chutes et parachèvement :</v>
      </c>
      <c r="B79" s="1165">
        <v>12</v>
      </c>
      <c r="C79" s="1012" t="str">
        <f t="shared" si="99"/>
        <v>janvier</v>
      </c>
      <c r="D79" s="968">
        <f t="shared" si="100"/>
        <v>2016</v>
      </c>
    </row>
    <row r="80" spans="1:172" x14ac:dyDescent="0.2">
      <c r="A80" s="24" t="str">
        <f t="shared" si="101"/>
        <v>Terrain (Avril 2014)</v>
      </c>
      <c r="B80" s="1166">
        <f>IF(T71&lt;=4,4-T71,0)</f>
        <v>0</v>
      </c>
      <c r="C80" s="1012" t="str">
        <f t="shared" si="99"/>
        <v>janvier</v>
      </c>
      <c r="D80" s="968">
        <f t="shared" si="100"/>
        <v>2015</v>
      </c>
    </row>
    <row r="81" spans="1:7" x14ac:dyDescent="0.2">
      <c r="A81" s="24" t="str">
        <f t="shared" si="101"/>
        <v>SI + MES</v>
      </c>
      <c r="B81" s="1165">
        <v>8</v>
      </c>
      <c r="C81" s="1012" t="str">
        <f t="shared" si="99"/>
        <v>septembre</v>
      </c>
      <c r="D81" s="968">
        <f t="shared" si="100"/>
        <v>2015</v>
      </c>
    </row>
    <row r="82" spans="1:7" x14ac:dyDescent="0.2">
      <c r="A82" s="24" t="str">
        <f t="shared" si="101"/>
        <v>Batiment (charpente, GCs, bureaux)</v>
      </c>
      <c r="B82" s="1165">
        <v>2</v>
      </c>
      <c r="C82" s="1012" t="str">
        <f t="shared" si="99"/>
        <v>mars</v>
      </c>
      <c r="D82" s="968">
        <f t="shared" si="100"/>
        <v>2015</v>
      </c>
    </row>
    <row r="83" spans="1:7" x14ac:dyDescent="0.2">
      <c r="A83" s="24" t="str">
        <f t="shared" si="101"/>
        <v>Ponts (1 pour EB, 1 pour VAR, 2 prépa)</v>
      </c>
      <c r="B83" s="1165">
        <v>8</v>
      </c>
      <c r="C83" s="1012" t="str">
        <f t="shared" si="99"/>
        <v>septembre</v>
      </c>
      <c r="D83" s="968">
        <f t="shared" si="100"/>
        <v>2015</v>
      </c>
    </row>
    <row r="84" spans="1:7" x14ac:dyDescent="0.2">
      <c r="A84" s="24" t="str">
        <f t="shared" si="101"/>
        <v>Electricité (poste en aout 2015 et 1,2 M€)</v>
      </c>
      <c r="B84" s="1166">
        <f>IF(T71&lt;=9,10-T71,IF(T71&lt;=21,22-T71,34-T71))</f>
        <v>9</v>
      </c>
      <c r="C84" s="1012" t="str">
        <f t="shared" si="99"/>
        <v>octobre</v>
      </c>
      <c r="D84" s="968">
        <f t="shared" si="100"/>
        <v>2015</v>
      </c>
    </row>
    <row r="85" spans="1:7" x14ac:dyDescent="0.2">
      <c r="A85" s="24" t="str">
        <f t="shared" si="101"/>
        <v>Autre Electricité et utilités</v>
      </c>
      <c r="B85" s="1165">
        <v>9</v>
      </c>
      <c r="C85" s="1012" t="str">
        <f t="shared" si="99"/>
        <v>octobre</v>
      </c>
      <c r="D85" s="968">
        <f t="shared" si="100"/>
        <v>2015</v>
      </c>
    </row>
    <row r="86" spans="1:7" x14ac:dyDescent="0.2">
      <c r="A86" s="24" t="str">
        <f t="shared" si="101"/>
        <v>VRD</v>
      </c>
      <c r="B86" s="1165">
        <v>0</v>
      </c>
      <c r="C86" s="1012" t="str">
        <f t="shared" si="99"/>
        <v>janvier</v>
      </c>
      <c r="D86" s="968">
        <f t="shared" si="100"/>
        <v>2015</v>
      </c>
    </row>
    <row r="87" spans="1:7" x14ac:dyDescent="0.2">
      <c r="A87" s="24" t="str">
        <f t="shared" si="101"/>
        <v>Projet</v>
      </c>
      <c r="B87" s="1165">
        <v>0</v>
      </c>
      <c r="C87" s="1012" t="str">
        <f t="shared" si="99"/>
        <v>janvier</v>
      </c>
      <c r="D87" s="968">
        <f t="shared" si="100"/>
        <v>2015</v>
      </c>
    </row>
    <row r="88" spans="1:7" ht="13.5" thickBot="1" x14ac:dyDescent="0.25">
      <c r="A88" s="24" t="str">
        <f t="shared" si="101"/>
        <v>DNR</v>
      </c>
      <c r="B88" s="1167">
        <v>0</v>
      </c>
      <c r="C88" s="1012" t="str">
        <f t="shared" si="99"/>
        <v>janvier</v>
      </c>
      <c r="D88" s="968">
        <f t="shared" si="100"/>
        <v>2015</v>
      </c>
    </row>
    <row r="92" spans="1:7" ht="15.75" x14ac:dyDescent="0.25">
      <c r="A92" s="984" t="s">
        <v>1484</v>
      </c>
      <c r="D92" s="137" t="s">
        <v>1486</v>
      </c>
      <c r="G92" s="137" t="s">
        <v>1488</v>
      </c>
    </row>
    <row r="93" spans="1:7" ht="13.5" thickBot="1" x14ac:dyDescent="0.25">
      <c r="B93" s="1176" t="s">
        <v>1483</v>
      </c>
      <c r="D93" s="137" t="s">
        <v>1487</v>
      </c>
      <c r="G93" s="137" t="s">
        <v>1489</v>
      </c>
    </row>
    <row r="94" spans="1:7" x14ac:dyDescent="0.2">
      <c r="A94" s="24" t="str">
        <f>A71</f>
        <v>Four PAMCHR :</v>
      </c>
      <c r="B94" s="1179">
        <f>'Données Investissement'!F6</f>
        <v>18.3</v>
      </c>
      <c r="D94" s="1164">
        <f>HL26</f>
        <v>26</v>
      </c>
      <c r="G94" s="1187">
        <f>B94*J7</f>
        <v>15.555000000000001</v>
      </c>
    </row>
    <row r="95" spans="1:7" x14ac:dyDescent="0.2">
      <c r="A95" s="24" t="str">
        <f t="shared" ref="A95:A111" si="102">A72</f>
        <v>Annexe four : outillage</v>
      </c>
      <c r="B95" s="1180">
        <f>'Données Investissement'!F7</f>
        <v>0.4</v>
      </c>
      <c r="D95" s="1165">
        <f t="shared" ref="D95:D108" si="103">HL27</f>
        <v>10</v>
      </c>
      <c r="G95" s="1187">
        <f t="shared" ref="G95:G108" si="104">B95*J8</f>
        <v>0.32000000000000006</v>
      </c>
    </row>
    <row r="96" spans="1:7" x14ac:dyDescent="0.2">
      <c r="A96" s="24" t="str">
        <f t="shared" si="102"/>
        <v>1er Four VAR :</v>
      </c>
      <c r="B96" s="1180">
        <f>'Données Investissement'!F8</f>
        <v>2.6</v>
      </c>
      <c r="D96" s="1165">
        <f t="shared" si="103"/>
        <v>17</v>
      </c>
      <c r="G96" s="1187">
        <f t="shared" si="104"/>
        <v>2.2100000000000004</v>
      </c>
    </row>
    <row r="97" spans="1:7" x14ac:dyDescent="0.2">
      <c r="A97" s="24" t="str">
        <f t="shared" si="102"/>
        <v>2ème four VAR :</v>
      </c>
      <c r="B97" s="1180">
        <f>'Données Investissement'!F9</f>
        <v>2.6</v>
      </c>
      <c r="D97" s="1165">
        <f t="shared" si="103"/>
        <v>17</v>
      </c>
      <c r="G97" s="1187">
        <f t="shared" si="104"/>
        <v>2.2100000000000004</v>
      </c>
    </row>
    <row r="98" spans="1:7" x14ac:dyDescent="0.2">
      <c r="A98" s="24" t="str">
        <f t="shared" si="102"/>
        <v>Annexe VAR : nettoyage haute pression</v>
      </c>
      <c r="B98" s="1180">
        <f>'Données Investissement'!F10</f>
        <v>0.28999999999999998</v>
      </c>
      <c r="D98" s="1165">
        <f t="shared" si="103"/>
        <v>11</v>
      </c>
      <c r="G98" s="1187">
        <f t="shared" si="104"/>
        <v>0.23199999999999998</v>
      </c>
    </row>
    <row r="99" spans="1:7" x14ac:dyDescent="0.2">
      <c r="A99" s="24" t="str">
        <f t="shared" si="102"/>
        <v>Annexe VAR : outillage (scie)</v>
      </c>
      <c r="B99" s="1180">
        <f>'Données Investissement'!F11</f>
        <v>0.3</v>
      </c>
      <c r="D99" s="1165">
        <f t="shared" si="103"/>
        <v>8</v>
      </c>
      <c r="G99" s="1187">
        <f t="shared" si="104"/>
        <v>0.24</v>
      </c>
    </row>
    <row r="100" spans="1:7" x14ac:dyDescent="0.2">
      <c r="A100" s="24" t="str">
        <f t="shared" si="102"/>
        <v>Retourneur à lingot</v>
      </c>
      <c r="B100" s="1180">
        <f>'Données Investissement'!F12</f>
        <v>0.14000000000000001</v>
      </c>
      <c r="D100" s="1165">
        <f t="shared" si="103"/>
        <v>10</v>
      </c>
      <c r="G100" s="1187">
        <f t="shared" si="104"/>
        <v>0.11200000000000002</v>
      </c>
    </row>
    <row r="101" spans="1:7" x14ac:dyDescent="0.2">
      <c r="A101" s="24" t="str">
        <f t="shared" si="102"/>
        <v>Unité de pesage et briquetage :</v>
      </c>
      <c r="B101" s="1180">
        <f>'Données Investissement'!F14</f>
        <v>2.95</v>
      </c>
      <c r="D101" s="1165">
        <f t="shared" si="103"/>
        <v>11</v>
      </c>
      <c r="G101" s="1187">
        <f t="shared" si="104"/>
        <v>2.3600000000000003</v>
      </c>
    </row>
    <row r="102" spans="1:7" x14ac:dyDescent="0.2">
      <c r="A102" s="24" t="str">
        <f t="shared" si="102"/>
        <v>Equipement prépa chutes et parachèvement :</v>
      </c>
      <c r="B102" s="1180">
        <f>'Données Investissement'!F15</f>
        <v>1.7</v>
      </c>
      <c r="D102" s="1165">
        <f t="shared" si="103"/>
        <v>12</v>
      </c>
      <c r="G102" s="1187">
        <f t="shared" si="104"/>
        <v>1.36</v>
      </c>
    </row>
    <row r="103" spans="1:7" x14ac:dyDescent="0.2">
      <c r="A103" s="24" t="str">
        <f t="shared" si="102"/>
        <v>Terrain (Avril 2014)</v>
      </c>
      <c r="B103" s="1180">
        <f>'Données Investissement'!F17</f>
        <v>0.43</v>
      </c>
      <c r="D103" s="1165">
        <f t="shared" si="103"/>
        <v>0</v>
      </c>
      <c r="G103" s="1187">
        <f t="shared" si="104"/>
        <v>0.43</v>
      </c>
    </row>
    <row r="104" spans="1:7" x14ac:dyDescent="0.2">
      <c r="A104" s="24" t="str">
        <f t="shared" si="102"/>
        <v>SI + MES</v>
      </c>
      <c r="B104" s="1180">
        <f>'Données Investissement'!F18</f>
        <v>1.4</v>
      </c>
      <c r="D104" s="1165">
        <f t="shared" si="103"/>
        <v>13</v>
      </c>
      <c r="G104" s="1187">
        <f t="shared" si="104"/>
        <v>1.19</v>
      </c>
    </row>
    <row r="105" spans="1:7" x14ac:dyDescent="0.2">
      <c r="A105" s="24" t="str">
        <f t="shared" si="102"/>
        <v>Batiment (charpente, GCs, bureaux)</v>
      </c>
      <c r="B105" s="1180">
        <f>'Données Investissement'!F19</f>
        <v>9</v>
      </c>
      <c r="D105" s="1165">
        <f t="shared" si="103"/>
        <v>12</v>
      </c>
      <c r="G105" s="1187">
        <f t="shared" si="104"/>
        <v>5.4</v>
      </c>
    </row>
    <row r="106" spans="1:7" x14ac:dyDescent="0.2">
      <c r="A106" s="24" t="str">
        <f t="shared" si="102"/>
        <v>Ponts (1 pour EB, 1 pour VAR, 2 prépa)</v>
      </c>
      <c r="B106" s="1180">
        <f>'Données Investissement'!F20</f>
        <v>0.45</v>
      </c>
      <c r="D106" s="1165">
        <f t="shared" si="103"/>
        <v>10</v>
      </c>
      <c r="G106" s="1187">
        <f t="shared" si="104"/>
        <v>0.36000000000000004</v>
      </c>
    </row>
    <row r="107" spans="1:7" x14ac:dyDescent="0.2">
      <c r="A107" s="24" t="str">
        <f t="shared" si="102"/>
        <v>Electricité (poste en aout 2015 et 1,2 M€)</v>
      </c>
      <c r="B107" s="1180">
        <f>1.2*0.95</f>
        <v>1.1399999999999999</v>
      </c>
      <c r="D107" s="1165">
        <f t="shared" si="103"/>
        <v>12</v>
      </c>
      <c r="G107" s="1187">
        <f t="shared" si="104"/>
        <v>0.91199999999999992</v>
      </c>
    </row>
    <row r="108" spans="1:7" x14ac:dyDescent="0.2">
      <c r="A108" s="24" t="str">
        <f t="shared" si="102"/>
        <v>Autre Electricité et utilités</v>
      </c>
      <c r="B108" s="1180">
        <f>'Données Investissement'!F21-B107</f>
        <v>4.16</v>
      </c>
      <c r="D108" s="1165">
        <f t="shared" si="103"/>
        <v>9</v>
      </c>
      <c r="G108" s="1187">
        <f t="shared" si="104"/>
        <v>3.5360000000000005</v>
      </c>
    </row>
    <row r="109" spans="1:7" x14ac:dyDescent="0.2">
      <c r="A109" s="24" t="str">
        <f t="shared" si="102"/>
        <v>VRD</v>
      </c>
      <c r="B109" s="1180">
        <f>'Données Investissement'!F22</f>
        <v>1.9</v>
      </c>
      <c r="D109" s="1165"/>
      <c r="G109" s="1188"/>
    </row>
    <row r="110" spans="1:7" x14ac:dyDescent="0.2">
      <c r="A110" s="24" t="str">
        <f t="shared" si="102"/>
        <v>Projet</v>
      </c>
      <c r="B110" s="1180">
        <f>'Données Investissement'!F23</f>
        <v>4.9000000000000004</v>
      </c>
      <c r="D110" s="1165"/>
      <c r="G110" s="1188"/>
    </row>
    <row r="111" spans="1:7" ht="13.5" thickBot="1" x14ac:dyDescent="0.25">
      <c r="A111" s="24" t="str">
        <f t="shared" si="102"/>
        <v>DNR</v>
      </c>
      <c r="B111" s="1181">
        <f>'Données Investissement'!F24</f>
        <v>4</v>
      </c>
      <c r="D111" s="1167"/>
      <c r="G111" s="1188"/>
    </row>
    <row r="112" spans="1:7" x14ac:dyDescent="0.2">
      <c r="B112" s="1186">
        <f>SUM(B94:B111)</f>
        <v>56.66</v>
      </c>
      <c r="G112" s="1187">
        <f>SUM(G94:G111)</f>
        <v>36.427</v>
      </c>
    </row>
  </sheetData>
  <mergeCells count="28">
    <mergeCell ref="B3:B5"/>
    <mergeCell ref="C3:C5"/>
    <mergeCell ref="D3:D5"/>
    <mergeCell ref="E3:E5"/>
    <mergeCell ref="F3:F5"/>
    <mergeCell ref="G3:G5"/>
    <mergeCell ref="H3:H5"/>
    <mergeCell ref="C47:D47"/>
    <mergeCell ref="I47:K47"/>
    <mergeCell ref="I48:N48"/>
    <mergeCell ref="I49:N49"/>
    <mergeCell ref="I50:N50"/>
    <mergeCell ref="J3:J5"/>
    <mergeCell ref="I51:N51"/>
    <mergeCell ref="I52:N52"/>
    <mergeCell ref="I53:N53"/>
    <mergeCell ref="I54:N54"/>
    <mergeCell ref="I55:N55"/>
    <mergeCell ref="I56:N56"/>
    <mergeCell ref="I63:N63"/>
    <mergeCell ref="I64:N64"/>
    <mergeCell ref="I65:N65"/>
    <mergeCell ref="I57:N57"/>
    <mergeCell ref="I58:N58"/>
    <mergeCell ref="I59:N59"/>
    <mergeCell ref="I60:N60"/>
    <mergeCell ref="I61:N61"/>
    <mergeCell ref="I62:N62"/>
  </mergeCells>
  <dataValidations count="1">
    <dataValidation type="list" allowBlank="1" showInputMessage="1" showErrorMessage="1" sqref="F72">
      <formula1>$W$70:$FP$70</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3" tint="0.39997558519241921"/>
  </sheetPr>
  <dimension ref="A1:FB154"/>
  <sheetViews>
    <sheetView topLeftCell="A105" workbookViewId="0">
      <selection activeCell="C116" sqref="C116"/>
    </sheetView>
  </sheetViews>
  <sheetFormatPr baseColWidth="10" defaultRowHeight="12.75" x14ac:dyDescent="0.2"/>
  <cols>
    <col min="1" max="1" width="42.140625" bestFit="1" customWidth="1"/>
  </cols>
  <sheetData>
    <row r="1" spans="1:111" ht="26.25" x14ac:dyDescent="0.4">
      <c r="A1" s="983" t="s">
        <v>1325</v>
      </c>
    </row>
    <row r="2" spans="1:111" x14ac:dyDescent="0.2">
      <c r="C2" s="43" t="s">
        <v>1326</v>
      </c>
    </row>
    <row r="3" spans="1:111" ht="15.75" x14ac:dyDescent="0.25">
      <c r="A3" s="984" t="s">
        <v>1327</v>
      </c>
      <c r="B3" s="1313"/>
      <c r="C3" s="975">
        <v>1</v>
      </c>
      <c r="D3" s="975">
        <v>2</v>
      </c>
      <c r="E3" s="975">
        <v>3</v>
      </c>
      <c r="F3" s="975">
        <v>4</v>
      </c>
      <c r="G3" s="975">
        <v>5</v>
      </c>
      <c r="H3" s="975">
        <v>6</v>
      </c>
      <c r="I3" s="975">
        <v>7</v>
      </c>
      <c r="J3" s="975">
        <v>8</v>
      </c>
      <c r="K3" s="975">
        <v>9</v>
      </c>
      <c r="L3" s="975">
        <v>10</v>
      </c>
      <c r="M3" s="975">
        <v>11</v>
      </c>
      <c r="N3" s="975">
        <v>12</v>
      </c>
      <c r="O3" s="975">
        <v>13</v>
      </c>
      <c r="P3" s="975">
        <v>14</v>
      </c>
      <c r="Q3" s="975">
        <v>15</v>
      </c>
      <c r="R3" s="975">
        <v>16</v>
      </c>
      <c r="S3" s="975">
        <v>17</v>
      </c>
      <c r="T3" s="975">
        <v>18</v>
      </c>
      <c r="U3" s="975">
        <v>19</v>
      </c>
      <c r="V3" s="975">
        <v>20</v>
      </c>
      <c r="W3" s="975">
        <v>21</v>
      </c>
      <c r="X3" s="975">
        <v>22</v>
      </c>
      <c r="Y3" s="975">
        <v>23</v>
      </c>
      <c r="Z3" s="975">
        <v>24</v>
      </c>
      <c r="AA3" s="975">
        <v>25</v>
      </c>
      <c r="AB3" s="975">
        <v>26</v>
      </c>
      <c r="AC3" s="975">
        <v>27</v>
      </c>
      <c r="AD3" s="975">
        <v>28</v>
      </c>
      <c r="AE3" s="975">
        <v>29</v>
      </c>
      <c r="AF3" s="975">
        <v>30</v>
      </c>
      <c r="AG3" s="975">
        <v>31</v>
      </c>
      <c r="AH3" s="975">
        <v>32</v>
      </c>
      <c r="AI3" s="975">
        <v>33</v>
      </c>
      <c r="AJ3" s="975">
        <v>34</v>
      </c>
      <c r="AK3" s="975">
        <v>35</v>
      </c>
      <c r="AL3" s="975">
        <v>36</v>
      </c>
      <c r="AM3" s="975">
        <v>37</v>
      </c>
      <c r="AN3" s="975">
        <v>38</v>
      </c>
      <c r="AO3" s="975">
        <v>39</v>
      </c>
      <c r="AP3" s="975">
        <v>40</v>
      </c>
      <c r="AQ3" s="975">
        <v>41</v>
      </c>
      <c r="AR3" s="975">
        <v>42</v>
      </c>
      <c r="AS3" s="975">
        <v>43</v>
      </c>
      <c r="AT3" s="975">
        <v>44</v>
      </c>
      <c r="AU3" s="975">
        <v>45</v>
      </c>
      <c r="AV3" s="975">
        <v>46</v>
      </c>
      <c r="AW3" s="975">
        <v>47</v>
      </c>
      <c r="AX3" s="975">
        <v>48</v>
      </c>
      <c r="AY3" s="975">
        <v>49</v>
      </c>
      <c r="AZ3" s="975">
        <v>50</v>
      </c>
      <c r="BA3" s="975">
        <v>51</v>
      </c>
      <c r="BB3" s="975">
        <v>52</v>
      </c>
      <c r="BC3" s="975">
        <v>53</v>
      </c>
      <c r="BD3" s="975">
        <v>54</v>
      </c>
      <c r="BE3" s="975">
        <v>55</v>
      </c>
      <c r="BF3" s="975">
        <v>56</v>
      </c>
      <c r="BG3" s="975">
        <v>57</v>
      </c>
      <c r="BH3" s="975">
        <v>58</v>
      </c>
      <c r="BI3" s="975">
        <v>59</v>
      </c>
      <c r="BJ3" s="975">
        <v>60</v>
      </c>
      <c r="BK3" s="975">
        <v>61</v>
      </c>
      <c r="BL3" s="975">
        <v>62</v>
      </c>
      <c r="BM3" s="975">
        <v>63</v>
      </c>
      <c r="BN3" s="975">
        <v>64</v>
      </c>
      <c r="BO3" s="975">
        <v>65</v>
      </c>
      <c r="BP3" s="975">
        <v>66</v>
      </c>
      <c r="BQ3" s="975">
        <v>67</v>
      </c>
      <c r="BR3" s="975">
        <v>68</v>
      </c>
      <c r="BS3" s="975">
        <v>69</v>
      </c>
      <c r="BT3" s="975">
        <v>70</v>
      </c>
      <c r="BU3" s="975">
        <v>71</v>
      </c>
      <c r="BV3" s="975">
        <v>72</v>
      </c>
      <c r="BW3" s="975">
        <v>73</v>
      </c>
      <c r="BX3" s="975">
        <v>74</v>
      </c>
      <c r="BY3" s="975">
        <v>75</v>
      </c>
      <c r="BZ3" s="975">
        <v>76</v>
      </c>
      <c r="CA3" s="975">
        <v>77</v>
      </c>
      <c r="CB3" s="975">
        <v>78</v>
      </c>
      <c r="CC3" s="975">
        <v>79</v>
      </c>
      <c r="CD3" s="975">
        <v>80</v>
      </c>
      <c r="CE3" s="975">
        <v>81</v>
      </c>
      <c r="CF3" s="975">
        <v>82</v>
      </c>
      <c r="CG3" s="975">
        <v>83</v>
      </c>
      <c r="CH3" s="975">
        <v>84</v>
      </c>
      <c r="CI3" s="975">
        <v>85</v>
      </c>
      <c r="CJ3" s="975">
        <v>86</v>
      </c>
      <c r="CK3" s="975">
        <v>87</v>
      </c>
      <c r="CL3" s="975">
        <v>88</v>
      </c>
      <c r="CM3" s="975">
        <v>89</v>
      </c>
      <c r="CN3" s="975">
        <v>90</v>
      </c>
      <c r="CO3" s="975">
        <v>91</v>
      </c>
      <c r="CP3" s="975">
        <v>92</v>
      </c>
      <c r="CQ3" s="975">
        <v>93</v>
      </c>
      <c r="CR3" s="975">
        <v>94</v>
      </c>
      <c r="CS3" s="975">
        <v>95</v>
      </c>
      <c r="CT3" s="975">
        <v>96</v>
      </c>
      <c r="CU3" s="975">
        <v>97</v>
      </c>
      <c r="CV3" s="975">
        <v>98</v>
      </c>
      <c r="CW3" s="975">
        <v>99</v>
      </c>
      <c r="CX3" s="975">
        <v>100</v>
      </c>
      <c r="CY3" s="975">
        <v>101</v>
      </c>
      <c r="CZ3" s="975">
        <v>102</v>
      </c>
      <c r="DA3" s="975">
        <v>103</v>
      </c>
      <c r="DB3" s="975">
        <v>104</v>
      </c>
      <c r="DC3" s="975">
        <v>105</v>
      </c>
      <c r="DD3" s="975">
        <v>106</v>
      </c>
      <c r="DE3" s="975">
        <v>107</v>
      </c>
      <c r="DF3" s="975">
        <v>108</v>
      </c>
    </row>
    <row r="4" spans="1:111" x14ac:dyDescent="0.2">
      <c r="B4" s="1313"/>
      <c r="C4" s="975" t="str">
        <f>'détails investissements'!C71</f>
        <v>janvier</v>
      </c>
      <c r="D4" s="980" t="str">
        <f>HLOOKUP('détails investissements'!$T$71+D3-$C$3,'détails investissements'!$W$71:$FP$73,2)</f>
        <v>février</v>
      </c>
      <c r="E4" s="975" t="str">
        <f>HLOOKUP('détails investissements'!$T$71+E3-$C$3,'détails investissements'!$W$71:$FP$73,2)</f>
        <v>mars</v>
      </c>
      <c r="F4" s="975" t="str">
        <f>HLOOKUP('détails investissements'!$T$71+F3-$C$3,'détails investissements'!$W$71:$FP$73,2)</f>
        <v>avril</v>
      </c>
      <c r="G4" s="975" t="str">
        <f>HLOOKUP('détails investissements'!$T$71+G3-$C$3,'détails investissements'!$W$71:$FP$73,2)</f>
        <v>mai</v>
      </c>
      <c r="H4" s="975" t="str">
        <f>HLOOKUP('détails investissements'!$T$71+H3-$C$3,'détails investissements'!$W$71:$FP$73,2)</f>
        <v>juin</v>
      </c>
      <c r="I4" s="975" t="str">
        <f>HLOOKUP('détails investissements'!$T$71+I3-$C$3,'détails investissements'!$W$71:$FP$73,2)</f>
        <v>juillet</v>
      </c>
      <c r="J4" s="975" t="str">
        <f>HLOOKUP('détails investissements'!$T$71+J3-$C$3,'détails investissements'!$W$71:$FP$73,2)</f>
        <v>août</v>
      </c>
      <c r="K4" s="975" t="str">
        <f>HLOOKUP('détails investissements'!$T$71+K3-$C$3,'détails investissements'!$W$71:$FP$73,2)</f>
        <v>septembre</v>
      </c>
      <c r="L4" s="975" t="str">
        <f>HLOOKUP('détails investissements'!$T$71+L3-$C$3,'détails investissements'!$W$71:$FP$73,2)</f>
        <v>octobre</v>
      </c>
      <c r="M4" s="975" t="str">
        <f>HLOOKUP('détails investissements'!$T$71+M3-$C$3,'détails investissements'!$W$71:$FP$73,2)</f>
        <v>novembre</v>
      </c>
      <c r="N4" s="975" t="str">
        <f>HLOOKUP('détails investissements'!$T$71+N3-$C$3,'détails investissements'!$W$71:$FP$73,2)</f>
        <v>décembre</v>
      </c>
      <c r="O4" s="975" t="str">
        <f>HLOOKUP('détails investissements'!$T$71+O3-$C$3,'détails investissements'!$W$71:$FP$73,2)</f>
        <v>janvier</v>
      </c>
      <c r="P4" s="975" t="str">
        <f>HLOOKUP('détails investissements'!$T$71+P3-$C$3,'détails investissements'!$W$71:$FP$73,2)</f>
        <v>février</v>
      </c>
      <c r="Q4" s="975" t="str">
        <f>HLOOKUP('détails investissements'!$T$71+Q3-$C$3,'détails investissements'!$W$71:$FP$73,2)</f>
        <v>mars</v>
      </c>
      <c r="R4" s="975" t="str">
        <f>HLOOKUP('détails investissements'!$T$71+R3-$C$3,'détails investissements'!$W$71:$FP$73,2)</f>
        <v>avril</v>
      </c>
      <c r="S4" s="975" t="str">
        <f>HLOOKUP('détails investissements'!$T$71+S3-$C$3,'détails investissements'!$W$71:$FP$73,2)</f>
        <v>mai</v>
      </c>
      <c r="T4" s="975" t="str">
        <f>HLOOKUP('détails investissements'!$T$71+T3-$C$3,'détails investissements'!$W$71:$FP$73,2)</f>
        <v>juin</v>
      </c>
      <c r="U4" s="975" t="str">
        <f>HLOOKUP('détails investissements'!$T$71+U3-$C$3,'détails investissements'!$W$71:$FP$73,2)</f>
        <v>juillet</v>
      </c>
      <c r="V4" s="975" t="str">
        <f>HLOOKUP('détails investissements'!$T$71+V3-$C$3,'détails investissements'!$W$71:$FP$73,2)</f>
        <v>août</v>
      </c>
      <c r="W4" s="975" t="str">
        <f>HLOOKUP('détails investissements'!$T$71+W3-$C$3,'détails investissements'!$W$71:$FP$73,2)</f>
        <v>septembre</v>
      </c>
      <c r="X4" s="975" t="str">
        <f>HLOOKUP('détails investissements'!$T$71+X3-$C$3,'détails investissements'!$W$71:$FP$73,2)</f>
        <v>octobre</v>
      </c>
      <c r="Y4" s="975" t="str">
        <f>HLOOKUP('détails investissements'!$T$71+Y3-$C$3,'détails investissements'!$W$71:$FP$73,2)</f>
        <v>novembre</v>
      </c>
      <c r="Z4" s="975" t="str">
        <f>HLOOKUP('détails investissements'!$T$71+Z3-$C$3,'détails investissements'!$W$71:$FP$73,2)</f>
        <v>décembre</v>
      </c>
      <c r="AA4" s="975" t="str">
        <f>HLOOKUP('détails investissements'!$T$71+AA3-$C$3,'détails investissements'!$W$71:$FP$73,2)</f>
        <v>janvier</v>
      </c>
      <c r="AB4" s="975" t="str">
        <f>HLOOKUP('détails investissements'!$T$71+AB3-$C$3,'détails investissements'!$W$71:$FP$73,2)</f>
        <v>février</v>
      </c>
      <c r="AC4" s="975" t="str">
        <f>HLOOKUP('détails investissements'!$T$71+AC3-$C$3,'détails investissements'!$W$71:$FP$73,2)</f>
        <v>mars</v>
      </c>
      <c r="AD4" s="975" t="str">
        <f>HLOOKUP('détails investissements'!$T$71+AD3-$C$3,'détails investissements'!$W$71:$FP$73,2)</f>
        <v>avril</v>
      </c>
      <c r="AE4" s="975" t="str">
        <f>HLOOKUP('détails investissements'!$T$71+AE3-$C$3,'détails investissements'!$W$71:$FP$73,2)</f>
        <v>mai</v>
      </c>
      <c r="AF4" s="975" t="str">
        <f>HLOOKUP('détails investissements'!$T$71+AF3-$C$3,'détails investissements'!$W$71:$FP$73,2)</f>
        <v>juin</v>
      </c>
      <c r="AG4" s="975" t="str">
        <f>HLOOKUP('détails investissements'!$T$71+AG3-$C$3,'détails investissements'!$W$71:$FP$73,2)</f>
        <v>juillet</v>
      </c>
      <c r="AH4" s="975" t="str">
        <f>HLOOKUP('détails investissements'!$T$71+AH3-$C$3,'détails investissements'!$W$71:$FP$73,2)</f>
        <v>août</v>
      </c>
      <c r="AI4" s="975" t="str">
        <f>HLOOKUP('détails investissements'!$T$71+AI3-$C$3,'détails investissements'!$W$71:$FP$73,2)</f>
        <v>septembre</v>
      </c>
      <c r="AJ4" s="975" t="str">
        <f>HLOOKUP('détails investissements'!$T$71+AJ3-$C$3,'détails investissements'!$W$71:$FP$73,2)</f>
        <v>octobre</v>
      </c>
      <c r="AK4" s="975" t="str">
        <f>HLOOKUP('détails investissements'!$T$71+AK3-$C$3,'détails investissements'!$W$71:$FP$73,2)</f>
        <v>novembre</v>
      </c>
      <c r="AL4" s="975" t="str">
        <f>HLOOKUP('détails investissements'!$T$71+AL3-$C$3,'détails investissements'!$W$71:$FP$73,2)</f>
        <v>décembre</v>
      </c>
      <c r="AM4" s="975" t="str">
        <f>HLOOKUP('détails investissements'!$T$71+AM3-$C$3,'détails investissements'!$W$71:$FP$73,2)</f>
        <v>janvier</v>
      </c>
      <c r="AN4" s="975" t="str">
        <f>HLOOKUP('détails investissements'!$T$71+AN3-$C$3,'détails investissements'!$W$71:$FP$73,2)</f>
        <v>février</v>
      </c>
      <c r="AO4" s="975" t="str">
        <f>HLOOKUP('détails investissements'!$T$71+AO3-$C$3,'détails investissements'!$W$71:$FP$73,2)</f>
        <v>mars</v>
      </c>
      <c r="AP4" s="975" t="str">
        <f>HLOOKUP('détails investissements'!$T$71+AP3-$C$3,'détails investissements'!$W$71:$FP$73,2)</f>
        <v>avril</v>
      </c>
      <c r="AQ4" s="975" t="str">
        <f>HLOOKUP('détails investissements'!$T$71+AQ3-$C$3,'détails investissements'!$W$71:$FP$73,2)</f>
        <v>mai</v>
      </c>
      <c r="AR4" s="975" t="str">
        <f>HLOOKUP('détails investissements'!$T$71+AR3-$C$3,'détails investissements'!$W$71:$FP$73,2)</f>
        <v>juin</v>
      </c>
      <c r="AS4" s="975" t="str">
        <f>HLOOKUP('détails investissements'!$T$71+AS3-$C$3,'détails investissements'!$W$71:$FP$73,2)</f>
        <v>juillet</v>
      </c>
      <c r="AT4" s="975" t="str">
        <f>HLOOKUP('détails investissements'!$T$71+AT3-$C$3,'détails investissements'!$W$71:$FP$73,2)</f>
        <v>août</v>
      </c>
      <c r="AU4" s="975" t="str">
        <f>HLOOKUP('détails investissements'!$T$71+AU3-$C$3,'détails investissements'!$W$71:$FP$73,2)</f>
        <v>septembre</v>
      </c>
      <c r="AV4" s="975" t="str">
        <f>HLOOKUP('détails investissements'!$T$71+AV3-$C$3,'détails investissements'!$W$71:$FP$73,2)</f>
        <v>octobre</v>
      </c>
      <c r="AW4" s="975" t="str">
        <f>HLOOKUP('détails investissements'!$T$71+AW3-$C$3,'détails investissements'!$W$71:$FP$73,2)</f>
        <v>novembre</v>
      </c>
      <c r="AX4" s="975" t="str">
        <f>HLOOKUP('détails investissements'!$T$71+AX3-$C$3,'détails investissements'!$W$71:$FP$73,2)</f>
        <v>décembre</v>
      </c>
      <c r="AY4" s="975" t="str">
        <f>HLOOKUP('détails investissements'!$T$71+AY3-$C$3,'détails investissements'!$W$71:$FP$73,2)</f>
        <v>janvier</v>
      </c>
      <c r="AZ4" s="975" t="str">
        <f>HLOOKUP('détails investissements'!$T$71+AZ3-$C$3,'détails investissements'!$W$71:$FP$73,2)</f>
        <v>février</v>
      </c>
      <c r="BA4" s="975" t="str">
        <f>HLOOKUP('détails investissements'!$T$71+BA3-$C$3,'détails investissements'!$W$71:$FP$73,2)</f>
        <v>mars</v>
      </c>
      <c r="BB4" s="975" t="str">
        <f>HLOOKUP('détails investissements'!$T$71+BB3-$C$3,'détails investissements'!$W$71:$FP$73,2)</f>
        <v>avril</v>
      </c>
      <c r="BC4" s="975" t="str">
        <f>HLOOKUP('détails investissements'!$T$71+BC3-$C$3,'détails investissements'!$W$71:$FP$73,2)</f>
        <v>mai</v>
      </c>
      <c r="BD4" s="975" t="str">
        <f>HLOOKUP('détails investissements'!$T$71+BD3-$C$3,'détails investissements'!$W$71:$FP$73,2)</f>
        <v>juin</v>
      </c>
      <c r="BE4" s="975" t="str">
        <f>HLOOKUP('détails investissements'!$T$71+BE3-$C$3,'détails investissements'!$W$71:$FP$73,2)</f>
        <v>juillet</v>
      </c>
      <c r="BF4" s="975" t="str">
        <f>HLOOKUP('détails investissements'!$T$71+BF3-$C$3,'détails investissements'!$W$71:$FP$73,2)</f>
        <v>août</v>
      </c>
      <c r="BG4" s="975" t="str">
        <f>HLOOKUP('détails investissements'!$T$71+BG3-$C$3,'détails investissements'!$W$71:$FP$73,2)</f>
        <v>septembre</v>
      </c>
      <c r="BH4" s="975" t="str">
        <f>HLOOKUP('détails investissements'!$T$71+BH3-$C$3,'détails investissements'!$W$71:$FP$73,2)</f>
        <v>octobre</v>
      </c>
      <c r="BI4" s="975" t="str">
        <f>HLOOKUP('détails investissements'!$T$71+BI3-$C$3,'détails investissements'!$W$71:$FP$73,2)</f>
        <v>novembre</v>
      </c>
      <c r="BJ4" s="975" t="str">
        <f>HLOOKUP('détails investissements'!$T$71+BJ3-$C$3,'détails investissements'!$W$71:$FP$73,2)</f>
        <v>décembre</v>
      </c>
      <c r="BK4" s="975" t="str">
        <f>HLOOKUP('détails investissements'!$T$71+BK3-$C$3,'détails investissements'!$W$71:$FP$73,2)</f>
        <v>janvier</v>
      </c>
      <c r="BL4" s="975" t="str">
        <f>HLOOKUP('détails investissements'!$T$71+BL3-$C$3,'détails investissements'!$W$71:$FP$73,2)</f>
        <v>février</v>
      </c>
      <c r="BM4" s="975" t="str">
        <f>HLOOKUP('détails investissements'!$T$71+BM3-$C$3,'détails investissements'!$W$71:$FP$73,2)</f>
        <v>mars</v>
      </c>
      <c r="BN4" s="975" t="str">
        <f>HLOOKUP('détails investissements'!$T$71+BN3-$C$3,'détails investissements'!$W$71:$FP$73,2)</f>
        <v>avril</v>
      </c>
      <c r="BO4" s="975" t="str">
        <f>HLOOKUP('détails investissements'!$T$71+BO3-$C$3,'détails investissements'!$W$71:$FP$73,2)</f>
        <v>mai</v>
      </c>
      <c r="BP4" s="975" t="str">
        <f>HLOOKUP('détails investissements'!$T$71+BP3-$C$3,'détails investissements'!$W$71:$FP$73,2)</f>
        <v>juin</v>
      </c>
      <c r="BQ4" s="975" t="str">
        <f>HLOOKUP('détails investissements'!$T$71+BQ3-$C$3,'détails investissements'!$W$71:$FP$73,2)</f>
        <v>juillet</v>
      </c>
      <c r="BR4" s="975" t="str">
        <f>HLOOKUP('détails investissements'!$T$71+BR3-$C$3,'détails investissements'!$W$71:$FP$73,2)</f>
        <v>août</v>
      </c>
      <c r="BS4" s="975" t="str">
        <f>HLOOKUP('détails investissements'!$T$71+BS3-$C$3,'détails investissements'!$W$71:$FP$73,2)</f>
        <v>septembre</v>
      </c>
      <c r="BT4" s="975" t="str">
        <f>HLOOKUP('détails investissements'!$T$71+BT3-$C$3,'détails investissements'!$W$71:$FP$73,2)</f>
        <v>octobre</v>
      </c>
      <c r="BU4" s="975" t="str">
        <f>HLOOKUP('détails investissements'!$T$71+BU3-$C$3,'détails investissements'!$W$71:$FP$73,2)</f>
        <v>novembre</v>
      </c>
      <c r="BV4" s="975" t="str">
        <f>HLOOKUP('détails investissements'!$T$71+BV3-$C$3,'détails investissements'!$W$71:$FP$73,2)</f>
        <v>décembre</v>
      </c>
      <c r="BW4" s="975" t="str">
        <f>HLOOKUP('détails investissements'!$T$71+BW3-$C$3,'détails investissements'!$W$71:$FP$73,2)</f>
        <v>janvier</v>
      </c>
      <c r="BX4" s="975" t="str">
        <f>HLOOKUP('détails investissements'!$T$71+BX3-$C$3,'détails investissements'!$W$71:$FP$73,2)</f>
        <v>février</v>
      </c>
      <c r="BY4" s="975" t="str">
        <f>HLOOKUP('détails investissements'!$T$71+BY3-$C$3,'détails investissements'!$W$71:$FP$73,2)</f>
        <v>mars</v>
      </c>
      <c r="BZ4" s="975" t="str">
        <f>HLOOKUP('détails investissements'!$T$71+BZ3-$C$3,'détails investissements'!$W$71:$FP$73,2)</f>
        <v>avril</v>
      </c>
      <c r="CA4" s="975" t="str">
        <f>HLOOKUP('détails investissements'!$T$71+CA3-$C$3,'détails investissements'!$W$71:$FP$73,2)</f>
        <v>mai</v>
      </c>
      <c r="CB4" s="975" t="str">
        <f>HLOOKUP('détails investissements'!$T$71+CB3-$C$3,'détails investissements'!$W$71:$FP$73,2)</f>
        <v>juin</v>
      </c>
      <c r="CC4" s="975" t="str">
        <f>HLOOKUP('détails investissements'!$T$71+CC3-$C$3,'détails investissements'!$W$71:$FP$73,2)</f>
        <v>juillet</v>
      </c>
      <c r="CD4" s="975" t="str">
        <f>HLOOKUP('détails investissements'!$T$71+CD3-$C$3,'détails investissements'!$W$71:$FP$73,2)</f>
        <v>août</v>
      </c>
      <c r="CE4" s="975" t="str">
        <f>HLOOKUP('détails investissements'!$T$71+CE3-$C$3,'détails investissements'!$W$71:$FP$73,2)</f>
        <v>septembre</v>
      </c>
      <c r="CF4" s="975" t="str">
        <f>HLOOKUP('détails investissements'!$T$71+CF3-$C$3,'détails investissements'!$W$71:$FP$73,2)</f>
        <v>octobre</v>
      </c>
      <c r="CG4" s="975" t="str">
        <f>HLOOKUP('détails investissements'!$T$71+CG3-$C$3,'détails investissements'!$W$71:$FP$73,2)</f>
        <v>novembre</v>
      </c>
      <c r="CH4" s="975" t="str">
        <f>HLOOKUP('détails investissements'!$T$71+CH3-$C$3,'détails investissements'!$W$71:$FP$73,2)</f>
        <v>décembre</v>
      </c>
      <c r="CI4" s="975" t="str">
        <f>HLOOKUP('détails investissements'!$T$71+CI3-$C$3,'détails investissements'!$W$71:$FP$73,2)</f>
        <v>janvier</v>
      </c>
      <c r="CJ4" s="975" t="str">
        <f>HLOOKUP('détails investissements'!$T$71+CJ3-$C$3,'détails investissements'!$W$71:$FP$73,2)</f>
        <v>février</v>
      </c>
      <c r="CK4" s="975" t="str">
        <f>HLOOKUP('détails investissements'!$T$71+CK3-$C$3,'détails investissements'!$W$71:$FP$73,2)</f>
        <v>mars</v>
      </c>
      <c r="CL4" s="975" t="str">
        <f>HLOOKUP('détails investissements'!$T$71+CL3-$C$3,'détails investissements'!$W$71:$FP$73,2)</f>
        <v>avril</v>
      </c>
      <c r="CM4" s="975" t="str">
        <f>HLOOKUP('détails investissements'!$T$71+CM3-$C$3,'détails investissements'!$W$71:$FP$73,2)</f>
        <v>mai</v>
      </c>
      <c r="CN4" s="975" t="str">
        <f>HLOOKUP('détails investissements'!$T$71+CN3-$C$3,'détails investissements'!$W$71:$FP$73,2)</f>
        <v>juin</v>
      </c>
      <c r="CO4" s="975" t="str">
        <f>HLOOKUP('détails investissements'!$T$71+CO3-$C$3,'détails investissements'!$W$71:$FP$73,2)</f>
        <v>juillet</v>
      </c>
      <c r="CP4" s="975" t="str">
        <f>HLOOKUP('détails investissements'!$T$71+CP3-$C$3,'détails investissements'!$W$71:$FP$73,2)</f>
        <v>août</v>
      </c>
      <c r="CQ4" s="975" t="str">
        <f>HLOOKUP('détails investissements'!$T$71+CQ3-$C$3,'détails investissements'!$W$71:$FP$73,2)</f>
        <v>septembre</v>
      </c>
      <c r="CR4" s="975" t="str">
        <f>HLOOKUP('détails investissements'!$T$71+CR3-$C$3,'détails investissements'!$W$71:$FP$73,2)</f>
        <v>octobre</v>
      </c>
      <c r="CS4" s="975" t="str">
        <f>HLOOKUP('détails investissements'!$T$71+CS3-$C$3,'détails investissements'!$W$71:$FP$73,2)</f>
        <v>novembre</v>
      </c>
      <c r="CT4" s="975" t="str">
        <f>HLOOKUP('détails investissements'!$T$71+CT3-$C$3,'détails investissements'!$W$71:$FP$73,2)</f>
        <v>décembre</v>
      </c>
      <c r="CU4" s="975" t="str">
        <f>HLOOKUP('détails investissements'!$T$71+CU3-$C$3,'détails investissements'!$W$71:$FP$73,2)</f>
        <v>janvier</v>
      </c>
      <c r="CV4" s="975" t="str">
        <f>HLOOKUP('détails investissements'!$T$71+CV3-$C$3,'détails investissements'!$W$71:$FP$73,2)</f>
        <v>février</v>
      </c>
      <c r="CW4" s="975" t="str">
        <f>HLOOKUP('détails investissements'!$T$71+CW3-$C$3,'détails investissements'!$W$71:$FP$73,2)</f>
        <v>mars</v>
      </c>
      <c r="CX4" s="975" t="str">
        <f>HLOOKUP('détails investissements'!$T$71+CX3-$C$3,'détails investissements'!$W$71:$FP$73,2)</f>
        <v>avril</v>
      </c>
      <c r="CY4" s="975" t="str">
        <f>HLOOKUP('détails investissements'!$T$71+CY3-$C$3,'détails investissements'!$W$71:$FP$73,2)</f>
        <v>mai</v>
      </c>
      <c r="CZ4" s="975" t="str">
        <f>HLOOKUP('détails investissements'!$T$71+CZ3-$C$3,'détails investissements'!$W$71:$FP$73,2)</f>
        <v>juin</v>
      </c>
      <c r="DA4" s="975" t="str">
        <f>HLOOKUP('détails investissements'!$T$71+DA3-$C$3,'détails investissements'!$W$71:$FP$73,2)</f>
        <v>juillet</v>
      </c>
      <c r="DB4" s="975" t="str">
        <f>HLOOKUP('détails investissements'!$T$71+DB3-$C$3,'détails investissements'!$W$71:$FP$73,2)</f>
        <v>août</v>
      </c>
      <c r="DC4" s="975" t="str">
        <f>HLOOKUP('détails investissements'!$T$71+DC3-$C$3,'détails investissements'!$W$71:$FP$73,2)</f>
        <v>septembre</v>
      </c>
      <c r="DD4" s="975" t="str">
        <f>HLOOKUP('détails investissements'!$T$71+DD3-$C$3,'détails investissements'!$W$71:$FP$73,2)</f>
        <v>octobre</v>
      </c>
      <c r="DE4" s="975" t="str">
        <f>HLOOKUP('détails investissements'!$T$71+DE3-$C$3,'détails investissements'!$W$71:$FP$73,2)</f>
        <v>novembre</v>
      </c>
      <c r="DF4" s="975" t="str">
        <f>HLOOKUP('détails investissements'!$T$71+DF3-$C$3,'détails investissements'!$W$71:$FP$73,2)</f>
        <v>décembre</v>
      </c>
    </row>
    <row r="5" spans="1:111" x14ac:dyDescent="0.2">
      <c r="B5" s="1314"/>
      <c r="C5" s="975">
        <f>'détails investissements'!D71</f>
        <v>2015</v>
      </c>
      <c r="D5" s="980">
        <f>HLOOKUP('détails investissements'!$T$71+'[4]Résultats investissements'!D3-'[4]Résultats investissements'!$C$3,'détails investissements'!$W$71:$FP$73,3)</f>
        <v>2015</v>
      </c>
      <c r="E5" s="975">
        <f>HLOOKUP('détails investissements'!$T$71+'[4]Résultats investissements'!E3-'[4]Résultats investissements'!$C$3,'détails investissements'!$W$71:$FP$73,3)</f>
        <v>2015</v>
      </c>
      <c r="F5" s="975">
        <f>HLOOKUP('détails investissements'!$T$71+'[4]Résultats investissements'!F3-'[4]Résultats investissements'!$C$3,'détails investissements'!$W$71:$FP$73,3)</f>
        <v>2015</v>
      </c>
      <c r="G5" s="975">
        <f>HLOOKUP('détails investissements'!$T$71+'[4]Résultats investissements'!G3-'[4]Résultats investissements'!$C$3,'détails investissements'!$W$71:$FP$73,3)</f>
        <v>2015</v>
      </c>
      <c r="H5" s="975">
        <f>HLOOKUP('détails investissements'!$T$71+'[4]Résultats investissements'!H3-'[4]Résultats investissements'!$C$3,'détails investissements'!$W$71:$FP$73,3)</f>
        <v>2015</v>
      </c>
      <c r="I5" s="975">
        <f>HLOOKUP('détails investissements'!$T$71+'[4]Résultats investissements'!I3-'[4]Résultats investissements'!$C$3,'détails investissements'!$W$71:$FP$73,3)</f>
        <v>2015</v>
      </c>
      <c r="J5" s="975">
        <f>HLOOKUP('détails investissements'!$T$71+'[4]Résultats investissements'!J3-'[4]Résultats investissements'!$C$3,'détails investissements'!$W$71:$FP$73,3)</f>
        <v>2015</v>
      </c>
      <c r="K5" s="975">
        <f>HLOOKUP('détails investissements'!$T$71+'[4]Résultats investissements'!K3-'[4]Résultats investissements'!$C$3,'détails investissements'!$W$71:$FP$73,3)</f>
        <v>2015</v>
      </c>
      <c r="L5" s="975">
        <f>HLOOKUP('détails investissements'!$T$71+'[4]Résultats investissements'!L3-'[4]Résultats investissements'!$C$3,'détails investissements'!$W$71:$FP$73,3)</f>
        <v>2015</v>
      </c>
      <c r="M5" s="975">
        <f>HLOOKUP('détails investissements'!$T$71+'[4]Résultats investissements'!M3-'[4]Résultats investissements'!$C$3,'détails investissements'!$W$71:$FP$73,3)</f>
        <v>2015</v>
      </c>
      <c r="N5" s="975">
        <f>HLOOKUP('détails investissements'!$T$71+'[4]Résultats investissements'!N3-'[4]Résultats investissements'!$C$3,'détails investissements'!$W$71:$FP$73,3)</f>
        <v>2015</v>
      </c>
      <c r="O5" s="975">
        <f>HLOOKUP('détails investissements'!$T$71+'[4]Résultats investissements'!O3-'[4]Résultats investissements'!$C$3,'détails investissements'!$W$71:$FP$73,3)</f>
        <v>2016</v>
      </c>
      <c r="P5" s="975">
        <f>HLOOKUP('détails investissements'!$T$71+'[4]Résultats investissements'!P3-'[4]Résultats investissements'!$C$3,'détails investissements'!$W$71:$FP$73,3)</f>
        <v>2016</v>
      </c>
      <c r="Q5" s="975">
        <f>HLOOKUP('détails investissements'!$T$71+'[4]Résultats investissements'!Q3-'[4]Résultats investissements'!$C$3,'détails investissements'!$W$71:$FP$73,3)</f>
        <v>2016</v>
      </c>
      <c r="R5" s="975">
        <f>HLOOKUP('détails investissements'!$T$71+'[4]Résultats investissements'!R3-'[4]Résultats investissements'!$C$3,'détails investissements'!$W$71:$FP$73,3)</f>
        <v>2016</v>
      </c>
      <c r="S5" s="975">
        <f>HLOOKUP('détails investissements'!$T$71+'[4]Résultats investissements'!S3-'[4]Résultats investissements'!$C$3,'détails investissements'!$W$71:$FP$73,3)</f>
        <v>2016</v>
      </c>
      <c r="T5" s="975">
        <f>HLOOKUP('détails investissements'!$T$71+'[4]Résultats investissements'!T3-'[4]Résultats investissements'!$C$3,'détails investissements'!$W$71:$FP$73,3)</f>
        <v>2016</v>
      </c>
      <c r="U5" s="975">
        <f>HLOOKUP('détails investissements'!$T$71+'[4]Résultats investissements'!U3-'[4]Résultats investissements'!$C$3,'détails investissements'!$W$71:$FP$73,3)</f>
        <v>2016</v>
      </c>
      <c r="V5" s="975">
        <f>HLOOKUP('détails investissements'!$T$71+'[4]Résultats investissements'!V3-'[4]Résultats investissements'!$C$3,'détails investissements'!$W$71:$FP$73,3)</f>
        <v>2016</v>
      </c>
      <c r="W5" s="975">
        <f>HLOOKUP('détails investissements'!$T$71+'[4]Résultats investissements'!W3-'[4]Résultats investissements'!$C$3,'détails investissements'!$W$71:$FP$73,3)</f>
        <v>2016</v>
      </c>
      <c r="X5" s="975">
        <f>HLOOKUP('détails investissements'!$T$71+'[4]Résultats investissements'!X3-'[4]Résultats investissements'!$C$3,'détails investissements'!$W$71:$FP$73,3)</f>
        <v>2016</v>
      </c>
      <c r="Y5" s="975">
        <f>HLOOKUP('détails investissements'!$T$71+'[4]Résultats investissements'!Y3-'[4]Résultats investissements'!$C$3,'détails investissements'!$W$71:$FP$73,3)</f>
        <v>2016</v>
      </c>
      <c r="Z5" s="975">
        <f>HLOOKUP('détails investissements'!$T$71+'[4]Résultats investissements'!Z3-'[4]Résultats investissements'!$C$3,'détails investissements'!$W$71:$FP$73,3)</f>
        <v>2016</v>
      </c>
      <c r="AA5" s="975">
        <f>HLOOKUP('détails investissements'!$T$71+'[4]Résultats investissements'!AA3-'[4]Résultats investissements'!$C$3,'détails investissements'!$W$71:$FP$73,3)</f>
        <v>2017</v>
      </c>
      <c r="AB5" s="975">
        <f>HLOOKUP('détails investissements'!$T$71+'[4]Résultats investissements'!AB3-'[4]Résultats investissements'!$C$3,'détails investissements'!$W$71:$FP$73,3)</f>
        <v>2017</v>
      </c>
      <c r="AC5" s="975">
        <f>HLOOKUP('détails investissements'!$T$71+'[4]Résultats investissements'!AC3-'[4]Résultats investissements'!$C$3,'détails investissements'!$W$71:$FP$73,3)</f>
        <v>2017</v>
      </c>
      <c r="AD5" s="975">
        <f>HLOOKUP('détails investissements'!$T$71+'[4]Résultats investissements'!AD3-'[4]Résultats investissements'!$C$3,'détails investissements'!$W$71:$FP$73,3)</f>
        <v>2017</v>
      </c>
      <c r="AE5" s="975">
        <f>HLOOKUP('détails investissements'!$T$71+'[4]Résultats investissements'!AE3-'[4]Résultats investissements'!$C$3,'détails investissements'!$W$71:$FP$73,3)</f>
        <v>2017</v>
      </c>
      <c r="AF5" s="975">
        <f>HLOOKUP('détails investissements'!$T$71+'[4]Résultats investissements'!AF3-'[4]Résultats investissements'!$C$3,'détails investissements'!$W$71:$FP$73,3)</f>
        <v>2017</v>
      </c>
      <c r="AG5" s="975">
        <f>HLOOKUP('détails investissements'!$T$71+'[4]Résultats investissements'!AG3-'[4]Résultats investissements'!$C$3,'détails investissements'!$W$71:$FP$73,3)</f>
        <v>2017</v>
      </c>
      <c r="AH5" s="975">
        <f>HLOOKUP('détails investissements'!$T$71+'[4]Résultats investissements'!AH3-'[4]Résultats investissements'!$C$3,'détails investissements'!$W$71:$FP$73,3)</f>
        <v>2017</v>
      </c>
      <c r="AI5" s="975">
        <f>HLOOKUP('détails investissements'!$T$71+'[4]Résultats investissements'!AI3-'[4]Résultats investissements'!$C$3,'détails investissements'!$W$71:$FP$73,3)</f>
        <v>2017</v>
      </c>
      <c r="AJ5" s="975">
        <f>HLOOKUP('détails investissements'!$T$71+'[4]Résultats investissements'!AJ3-'[4]Résultats investissements'!$C$3,'détails investissements'!$W$71:$FP$73,3)</f>
        <v>2017</v>
      </c>
      <c r="AK5" s="975">
        <f>HLOOKUP('détails investissements'!$T$71+'[4]Résultats investissements'!AK3-'[4]Résultats investissements'!$C$3,'détails investissements'!$W$71:$FP$73,3)</f>
        <v>2017</v>
      </c>
      <c r="AL5" s="975">
        <f>HLOOKUP('détails investissements'!$T$71+'[4]Résultats investissements'!AL3-'[4]Résultats investissements'!$C$3,'détails investissements'!$W$71:$FP$73,3)</f>
        <v>2017</v>
      </c>
      <c r="AM5" s="975">
        <f>HLOOKUP('détails investissements'!$T$71+'[4]Résultats investissements'!AM3-'[4]Résultats investissements'!$C$3,'détails investissements'!$W$71:$FP$73,3)</f>
        <v>2018</v>
      </c>
      <c r="AN5" s="975">
        <f>HLOOKUP('détails investissements'!$T$71+'[4]Résultats investissements'!AN3-'[4]Résultats investissements'!$C$3,'détails investissements'!$W$71:$FP$73,3)</f>
        <v>2018</v>
      </c>
      <c r="AO5" s="975">
        <f>HLOOKUP('détails investissements'!$T$71+'[4]Résultats investissements'!AO3-'[4]Résultats investissements'!$C$3,'détails investissements'!$W$71:$FP$73,3)</f>
        <v>2018</v>
      </c>
      <c r="AP5" s="975">
        <f>HLOOKUP('détails investissements'!$T$71+'[4]Résultats investissements'!AP3-'[4]Résultats investissements'!$C$3,'détails investissements'!$W$71:$FP$73,3)</f>
        <v>2018</v>
      </c>
      <c r="AQ5" s="975">
        <f>HLOOKUP('détails investissements'!$T$71+'[4]Résultats investissements'!AQ3-'[4]Résultats investissements'!$C$3,'détails investissements'!$W$71:$FP$73,3)</f>
        <v>2018</v>
      </c>
      <c r="AR5" s="975">
        <f>HLOOKUP('détails investissements'!$T$71+'[4]Résultats investissements'!AR3-'[4]Résultats investissements'!$C$3,'détails investissements'!$W$71:$FP$73,3)</f>
        <v>2018</v>
      </c>
      <c r="AS5" s="975">
        <f>HLOOKUP('détails investissements'!$T$71+'[4]Résultats investissements'!AS3-'[4]Résultats investissements'!$C$3,'détails investissements'!$W$71:$FP$73,3)</f>
        <v>2018</v>
      </c>
      <c r="AT5" s="975">
        <f>HLOOKUP('détails investissements'!$T$71+'[4]Résultats investissements'!AT3-'[4]Résultats investissements'!$C$3,'détails investissements'!$W$71:$FP$73,3)</f>
        <v>2018</v>
      </c>
      <c r="AU5" s="975">
        <f>HLOOKUP('détails investissements'!$T$71+'[4]Résultats investissements'!AU3-'[4]Résultats investissements'!$C$3,'détails investissements'!$W$71:$FP$73,3)</f>
        <v>2018</v>
      </c>
      <c r="AV5" s="975">
        <f>HLOOKUP('détails investissements'!$T$71+'[4]Résultats investissements'!AV3-'[4]Résultats investissements'!$C$3,'détails investissements'!$W$71:$FP$73,3)</f>
        <v>2018</v>
      </c>
      <c r="AW5" s="975">
        <f>HLOOKUP('détails investissements'!$T$71+'[4]Résultats investissements'!AW3-'[4]Résultats investissements'!$C$3,'détails investissements'!$W$71:$FP$73,3)</f>
        <v>2018</v>
      </c>
      <c r="AX5" s="975">
        <f>HLOOKUP('détails investissements'!$T$71+'[4]Résultats investissements'!AX3-'[4]Résultats investissements'!$C$3,'détails investissements'!$W$71:$FP$73,3)</f>
        <v>2018</v>
      </c>
      <c r="AY5" s="975">
        <f>HLOOKUP('détails investissements'!$T$71+'[4]Résultats investissements'!AY3-'[4]Résultats investissements'!$C$3,'détails investissements'!$W$71:$FP$73,3)</f>
        <v>2019</v>
      </c>
      <c r="AZ5" s="975">
        <f>HLOOKUP('détails investissements'!$T$71+'[4]Résultats investissements'!AZ3-'[4]Résultats investissements'!$C$3,'détails investissements'!$W$71:$FP$73,3)</f>
        <v>2019</v>
      </c>
      <c r="BA5" s="975">
        <f>HLOOKUP('détails investissements'!$T$71+'[4]Résultats investissements'!BA3-'[4]Résultats investissements'!$C$3,'détails investissements'!$W$71:$FP$73,3)</f>
        <v>2019</v>
      </c>
      <c r="BB5" s="975">
        <f>HLOOKUP('détails investissements'!$T$71+'[4]Résultats investissements'!BB3-'[4]Résultats investissements'!$C$3,'détails investissements'!$W$71:$FP$73,3)</f>
        <v>2019</v>
      </c>
      <c r="BC5" s="975">
        <f>HLOOKUP('détails investissements'!$T$71+'[4]Résultats investissements'!BC3-'[4]Résultats investissements'!$C$3,'détails investissements'!$W$71:$FP$73,3)</f>
        <v>2019</v>
      </c>
      <c r="BD5" s="975">
        <f>HLOOKUP('détails investissements'!$T$71+'[4]Résultats investissements'!BD3-'[4]Résultats investissements'!$C$3,'détails investissements'!$W$71:$FP$73,3)</f>
        <v>2019</v>
      </c>
      <c r="BE5" s="975">
        <f>HLOOKUP('détails investissements'!$T$71+'[4]Résultats investissements'!BE3-'[4]Résultats investissements'!$C$3,'détails investissements'!$W$71:$FP$73,3)</f>
        <v>2019</v>
      </c>
      <c r="BF5" s="975">
        <f>HLOOKUP('détails investissements'!$T$71+'[4]Résultats investissements'!BF3-'[4]Résultats investissements'!$C$3,'détails investissements'!$W$71:$FP$73,3)</f>
        <v>2019</v>
      </c>
      <c r="BG5" s="975">
        <f>HLOOKUP('détails investissements'!$T$71+'[4]Résultats investissements'!BG3-'[4]Résultats investissements'!$C$3,'détails investissements'!$W$71:$FP$73,3)</f>
        <v>2019</v>
      </c>
      <c r="BH5" s="975">
        <f>HLOOKUP('détails investissements'!$T$71+'[4]Résultats investissements'!BH3-'[4]Résultats investissements'!$C$3,'détails investissements'!$W$71:$FP$73,3)</f>
        <v>2019</v>
      </c>
      <c r="BI5" s="975">
        <f>HLOOKUP('détails investissements'!$T$71+'[4]Résultats investissements'!BI3-'[4]Résultats investissements'!$C$3,'détails investissements'!$W$71:$FP$73,3)</f>
        <v>2019</v>
      </c>
      <c r="BJ5" s="975">
        <f>HLOOKUP('détails investissements'!$T$71+'[4]Résultats investissements'!BJ3-'[4]Résultats investissements'!$C$3,'détails investissements'!$W$71:$FP$73,3)</f>
        <v>2019</v>
      </c>
      <c r="BK5" s="975">
        <f>HLOOKUP('détails investissements'!$T$71+'[4]Résultats investissements'!BK3-'[4]Résultats investissements'!$C$3,'détails investissements'!$W$71:$FP$73,3)</f>
        <v>2020</v>
      </c>
      <c r="BL5" s="975">
        <f>HLOOKUP('détails investissements'!$T$71+'[4]Résultats investissements'!BL3-'[4]Résultats investissements'!$C$3,'détails investissements'!$W$71:$FP$73,3)</f>
        <v>2020</v>
      </c>
      <c r="BM5" s="975">
        <f>HLOOKUP('détails investissements'!$T$71+'[4]Résultats investissements'!BM3-'[4]Résultats investissements'!$C$3,'détails investissements'!$W$71:$FP$73,3)</f>
        <v>2020</v>
      </c>
      <c r="BN5" s="975">
        <f>HLOOKUP('détails investissements'!$T$71+'[4]Résultats investissements'!BN3-'[4]Résultats investissements'!$C$3,'détails investissements'!$W$71:$FP$73,3)</f>
        <v>2020</v>
      </c>
      <c r="BO5" s="975">
        <f>HLOOKUP('détails investissements'!$T$71+'[4]Résultats investissements'!BO3-'[4]Résultats investissements'!$C$3,'détails investissements'!$W$71:$FP$73,3)</f>
        <v>2020</v>
      </c>
      <c r="BP5" s="975">
        <f>HLOOKUP('détails investissements'!$T$71+'[4]Résultats investissements'!BP3-'[4]Résultats investissements'!$C$3,'détails investissements'!$W$71:$FP$73,3)</f>
        <v>2020</v>
      </c>
      <c r="BQ5" s="975">
        <f>HLOOKUP('détails investissements'!$T$71+'[4]Résultats investissements'!BQ3-'[4]Résultats investissements'!$C$3,'détails investissements'!$W$71:$FP$73,3)</f>
        <v>2020</v>
      </c>
      <c r="BR5" s="975">
        <f>HLOOKUP('détails investissements'!$T$71+'[4]Résultats investissements'!BR3-'[4]Résultats investissements'!$C$3,'détails investissements'!$W$71:$FP$73,3)</f>
        <v>2020</v>
      </c>
      <c r="BS5" s="975">
        <f>HLOOKUP('détails investissements'!$T$71+'[4]Résultats investissements'!BS3-'[4]Résultats investissements'!$C$3,'détails investissements'!$W$71:$FP$73,3)</f>
        <v>2020</v>
      </c>
      <c r="BT5" s="975">
        <f>HLOOKUP('détails investissements'!$T$71+'[4]Résultats investissements'!BT3-'[4]Résultats investissements'!$C$3,'détails investissements'!$W$71:$FP$73,3)</f>
        <v>2020</v>
      </c>
      <c r="BU5" s="975">
        <f>HLOOKUP('détails investissements'!$T$71+'[4]Résultats investissements'!BU3-'[4]Résultats investissements'!$C$3,'détails investissements'!$W$71:$FP$73,3)</f>
        <v>2020</v>
      </c>
      <c r="BV5" s="975">
        <f>HLOOKUP('détails investissements'!$T$71+'[4]Résultats investissements'!BV3-'[4]Résultats investissements'!$C$3,'détails investissements'!$W$71:$FP$73,3)</f>
        <v>2020</v>
      </c>
      <c r="BW5" s="975">
        <f>HLOOKUP('détails investissements'!$T$71+'[4]Résultats investissements'!BW3-'[4]Résultats investissements'!$C$3,'détails investissements'!$W$71:$FP$73,3)</f>
        <v>2021</v>
      </c>
      <c r="BX5" s="975">
        <f>HLOOKUP('détails investissements'!$T$71+'[4]Résultats investissements'!BX3-'[4]Résultats investissements'!$C$3,'détails investissements'!$W$71:$FP$73,3)</f>
        <v>2021</v>
      </c>
      <c r="BY5" s="975">
        <f>HLOOKUP('détails investissements'!$T$71+'[4]Résultats investissements'!BY3-'[4]Résultats investissements'!$C$3,'détails investissements'!$W$71:$FP$73,3)</f>
        <v>2021</v>
      </c>
      <c r="BZ5" s="975">
        <f>HLOOKUP('détails investissements'!$T$71+'[4]Résultats investissements'!BZ3-'[4]Résultats investissements'!$C$3,'détails investissements'!$W$71:$FP$73,3)</f>
        <v>2021</v>
      </c>
      <c r="CA5" s="975">
        <f>HLOOKUP('détails investissements'!$T$71+'[4]Résultats investissements'!CA3-'[4]Résultats investissements'!$C$3,'détails investissements'!$W$71:$FP$73,3)</f>
        <v>2021</v>
      </c>
      <c r="CB5" s="975">
        <f>HLOOKUP('détails investissements'!$T$71+'[4]Résultats investissements'!CB3-'[4]Résultats investissements'!$C$3,'détails investissements'!$W$71:$FP$73,3)</f>
        <v>2021</v>
      </c>
      <c r="CC5" s="975">
        <f>HLOOKUP('détails investissements'!$T$71+'[4]Résultats investissements'!CC3-'[4]Résultats investissements'!$C$3,'détails investissements'!$W$71:$FP$73,3)</f>
        <v>2021</v>
      </c>
      <c r="CD5" s="975">
        <f>HLOOKUP('détails investissements'!$T$71+'[4]Résultats investissements'!CD3-'[4]Résultats investissements'!$C$3,'détails investissements'!$W$71:$FP$73,3)</f>
        <v>2021</v>
      </c>
      <c r="CE5" s="975">
        <f>HLOOKUP('détails investissements'!$T$71+'[4]Résultats investissements'!CE3-'[4]Résultats investissements'!$C$3,'détails investissements'!$W$71:$FP$73,3)</f>
        <v>2021</v>
      </c>
      <c r="CF5" s="975">
        <f>HLOOKUP('détails investissements'!$T$71+'[4]Résultats investissements'!CF3-'[4]Résultats investissements'!$C$3,'détails investissements'!$W$71:$FP$73,3)</f>
        <v>2021</v>
      </c>
      <c r="CG5" s="975">
        <f>HLOOKUP('détails investissements'!$T$71+'[4]Résultats investissements'!CG3-'[4]Résultats investissements'!$C$3,'détails investissements'!$W$71:$FP$73,3)</f>
        <v>2021</v>
      </c>
      <c r="CH5" s="975">
        <f>HLOOKUP('détails investissements'!$T$71+'[4]Résultats investissements'!CH3-'[4]Résultats investissements'!$C$3,'détails investissements'!$W$71:$FP$73,3)</f>
        <v>2021</v>
      </c>
      <c r="CI5" s="975">
        <f>HLOOKUP('détails investissements'!$T$71+'[4]Résultats investissements'!CI3-'[4]Résultats investissements'!$C$3,'détails investissements'!$W$71:$FP$73,3)</f>
        <v>2022</v>
      </c>
      <c r="CJ5" s="975">
        <f>HLOOKUP('détails investissements'!$T$71+'[4]Résultats investissements'!CJ3-'[4]Résultats investissements'!$C$3,'détails investissements'!$W$71:$FP$73,3)</f>
        <v>2022</v>
      </c>
      <c r="CK5" s="975">
        <f>HLOOKUP('détails investissements'!$T$71+'[4]Résultats investissements'!CK3-'[4]Résultats investissements'!$C$3,'détails investissements'!$W$71:$FP$73,3)</f>
        <v>2022</v>
      </c>
      <c r="CL5" s="975">
        <f>HLOOKUP('détails investissements'!$T$71+'[4]Résultats investissements'!CL3-'[4]Résultats investissements'!$C$3,'détails investissements'!$W$71:$FP$73,3)</f>
        <v>2022</v>
      </c>
      <c r="CM5" s="975">
        <f>HLOOKUP('détails investissements'!$T$71+'[4]Résultats investissements'!CM3-'[4]Résultats investissements'!$C$3,'détails investissements'!$W$71:$FP$73,3)</f>
        <v>2022</v>
      </c>
      <c r="CN5" s="975">
        <f>HLOOKUP('détails investissements'!$T$71+'[4]Résultats investissements'!CN3-'[4]Résultats investissements'!$C$3,'détails investissements'!$W$71:$FP$73,3)</f>
        <v>2022</v>
      </c>
      <c r="CO5" s="975">
        <f>HLOOKUP('détails investissements'!$T$71+'[4]Résultats investissements'!CO3-'[4]Résultats investissements'!$C$3,'détails investissements'!$W$71:$FP$73,3)</f>
        <v>2022</v>
      </c>
      <c r="CP5" s="975">
        <f>HLOOKUP('détails investissements'!$T$71+'[4]Résultats investissements'!CP3-'[4]Résultats investissements'!$C$3,'détails investissements'!$W$71:$FP$73,3)</f>
        <v>2022</v>
      </c>
      <c r="CQ5" s="975">
        <f>HLOOKUP('détails investissements'!$T$71+'[4]Résultats investissements'!CQ3-'[4]Résultats investissements'!$C$3,'détails investissements'!$W$71:$FP$73,3)</f>
        <v>2022</v>
      </c>
      <c r="CR5" s="975">
        <f>HLOOKUP('détails investissements'!$T$71+'[4]Résultats investissements'!CR3-'[4]Résultats investissements'!$C$3,'détails investissements'!$W$71:$FP$73,3)</f>
        <v>2022</v>
      </c>
      <c r="CS5" s="975">
        <f>HLOOKUP('détails investissements'!$T$71+'[4]Résultats investissements'!CS3-'[4]Résultats investissements'!$C$3,'détails investissements'!$W$71:$FP$73,3)</f>
        <v>2022</v>
      </c>
      <c r="CT5" s="975">
        <f>HLOOKUP('détails investissements'!$T$71+'[4]Résultats investissements'!CT3-'[4]Résultats investissements'!$C$3,'détails investissements'!$W$71:$FP$73,3)</f>
        <v>2022</v>
      </c>
      <c r="CU5" s="975">
        <f>HLOOKUP('détails investissements'!$T$71+'[4]Résultats investissements'!CU3-'[4]Résultats investissements'!$C$3,'détails investissements'!$W$71:$FP$73,3)</f>
        <v>2023</v>
      </c>
      <c r="CV5" s="975">
        <f>HLOOKUP('détails investissements'!$T$71+'[4]Résultats investissements'!CV3-'[4]Résultats investissements'!$C$3,'détails investissements'!$W$71:$FP$73,3)</f>
        <v>2023</v>
      </c>
      <c r="CW5" s="975">
        <f>HLOOKUP('détails investissements'!$T$71+'[4]Résultats investissements'!CW3-'[4]Résultats investissements'!$C$3,'détails investissements'!$W$71:$FP$73,3)</f>
        <v>2023</v>
      </c>
      <c r="CX5" s="975">
        <f>HLOOKUP('détails investissements'!$T$71+'[4]Résultats investissements'!CX3-'[4]Résultats investissements'!$C$3,'détails investissements'!$W$71:$FP$73,3)</f>
        <v>2023</v>
      </c>
      <c r="CY5" s="975">
        <f>HLOOKUP('détails investissements'!$T$71+'[4]Résultats investissements'!CY3-'[4]Résultats investissements'!$C$3,'détails investissements'!$W$71:$FP$73,3)</f>
        <v>2023</v>
      </c>
      <c r="CZ5" s="975">
        <f>HLOOKUP('détails investissements'!$T$71+'[4]Résultats investissements'!CZ3-'[4]Résultats investissements'!$C$3,'détails investissements'!$W$71:$FP$73,3)</f>
        <v>2023</v>
      </c>
      <c r="DA5" s="975">
        <f>HLOOKUP('détails investissements'!$T$71+'[4]Résultats investissements'!DA3-'[4]Résultats investissements'!$C$3,'détails investissements'!$W$71:$FP$73,3)</f>
        <v>2023</v>
      </c>
      <c r="DB5" s="975">
        <f>HLOOKUP('détails investissements'!$T$71+'[4]Résultats investissements'!DB3-'[4]Résultats investissements'!$C$3,'détails investissements'!$W$71:$FP$73,3)</f>
        <v>2023</v>
      </c>
      <c r="DC5" s="975">
        <f>HLOOKUP('détails investissements'!$T$71+'[4]Résultats investissements'!DC3-'[4]Résultats investissements'!$C$3,'détails investissements'!$W$71:$FP$73,3)</f>
        <v>2023</v>
      </c>
      <c r="DD5" s="975">
        <f>HLOOKUP('détails investissements'!$T$71+'[4]Résultats investissements'!DD3-'[4]Résultats investissements'!$C$3,'détails investissements'!$W$71:$FP$73,3)</f>
        <v>2023</v>
      </c>
      <c r="DE5" s="975">
        <f>HLOOKUP('détails investissements'!$T$71+'[4]Résultats investissements'!DE3-'[4]Résultats investissements'!$C$3,'détails investissements'!$W$71:$FP$73,3)</f>
        <v>2023</v>
      </c>
      <c r="DF5" s="975">
        <f>HLOOKUP('détails investissements'!$T$71+'[4]Résultats investissements'!DF3-'[4]Résultats investissements'!$C$3,'détails investissements'!$W$71:$FP$73,3)</f>
        <v>2023</v>
      </c>
    </row>
    <row r="6" spans="1:111" x14ac:dyDescent="0.2">
      <c r="A6" s="15" t="str">
        <f>'[4]Données investissements'!A26</f>
        <v>Four PAMCHR :</v>
      </c>
      <c r="B6" s="23">
        <f>'détails investissements'!B94</f>
        <v>18.3</v>
      </c>
      <c r="C6" s="45">
        <f>IF(IF(IF(C$3-VLOOKUP($A6,'détails investissements'!$A$71:$B$88,2,FALSE)&lt;=0,"",IF(VLOOKUP($A6,'détails investissements'!$A$26:$DE$43,C$3-VLOOKUP($A6,'détails investissements'!$A$71:$B$88,2,FALSE)+1,FALSE)="","",VLOOKUP($A6,'détails investissements'!$A$26:$DE$43,C$3-VLOOKUP($A6,'détails investissements'!$A$71:$B$88,2,FALSE)+1,FALSE)))&lt;&gt;"",HLOOKUP(IF(C$3-VLOOKUP($A6,'détails investissements'!$A$71:$B$88,2,FALSE)&lt;=0,"",IF(VLOOKUP($A6,'détails investissements'!$A$26:$DE$43,C$3-VLOOKUP($A6,'détails investissements'!$A$71:$B$88,2,FALSE)+1,FALSE)="","",VLOOKUP($A6,'détails investissements'!$A$26:$DE$43,C$3-VLOOKUP($A6,'détails investissements'!$A$71:$B$88,2,FALSE)+1,FALSE))),'détails investissements'!$U$6:$AB$7,2,FALSE),"")&lt;&gt;"",VLOOKUP($A6,'détails investissements'!$A$7:$H$21,1+IF(IF(C$3-VLOOKUP($A6,'détails investissements'!$A$71:$B$88,2,FALSE)&lt;=0,"",IF(VLOOKUP($A6,'détails investissements'!$A$26:$DE$43,C$3-VLOOKUP($A6,'détails investissements'!$A$71:$B$88,2,FALSE)+1,FALSE)="","",VLOOKUP($A6,'détails investissements'!$A$26:$DE$43,C$3-VLOOKUP($A6,'détails investissements'!$A$71:$B$88,2,FALSE)+1,FALSE)))&lt;&gt;"",HLOOKUP(IF(C$3-VLOOKUP($A6,'détails investissements'!$A$71:$B$88,2,FALSE)&lt;=0,"",IF(VLOOKUP($A6,'détails investissements'!$A$26:$DE$43,C$3-VLOOKUP($A6,'détails investissements'!$A$71:$B$88,2,FALSE)+1,FALSE)="","",VLOOKUP($A6,'détails investissements'!$A$26:$DE$43,C$3-VLOOKUP($A6,'détails investissements'!$A$71:$B$88,2,FALSE)+1,FALSE))),'détails investissements'!$U$6:$AB$7,2,FALSE),""),FALSE),"")</f>
        <v>0.15</v>
      </c>
      <c r="D6" s="45" t="str">
        <f>IF(IF(IF(D$3-VLOOKUP($A6,'détails investissements'!$A$71:$B$88,2,FALSE)&lt;=0,"",IF(VLOOKUP($A6,'détails investissements'!$A$26:$DE$43,D$3-VLOOKUP($A6,'détails investissements'!$A$71:$B$88,2,FALSE)+1,FALSE)="","",VLOOKUP($A6,'détails investissements'!$A$26:$DE$43,D$3-VLOOKUP($A6,'détails investissements'!$A$71:$B$88,2,FALSE)+1,FALSE)))&lt;&gt;"",HLOOKUP(IF(D$3-VLOOKUP($A6,'détails investissements'!$A$71:$B$88,2,FALSE)&lt;=0,"",IF(VLOOKUP($A6,'détails investissements'!$A$26:$DE$43,D$3-VLOOKUP($A6,'détails investissements'!$A$71:$B$88,2,FALSE)+1,FALSE)="","",VLOOKUP($A6,'détails investissements'!$A$26:$DE$43,D$3-VLOOKUP($A6,'détails investissements'!$A$71:$B$88,2,FALSE)+1,FALSE))),'détails investissements'!$U$6:$AB$7,2,FALSE),"")&lt;&gt;"",VLOOKUP($A6,'détails investissements'!$A$7:$H$21,1+IF(IF(D$3-VLOOKUP($A6,'détails investissements'!$A$71:$B$88,2,FALSE)&lt;=0,"",IF(VLOOKUP($A6,'détails investissements'!$A$26:$DE$43,D$3-VLOOKUP($A6,'détails investissements'!$A$71:$B$88,2,FALSE)+1,FALSE)="","",VLOOKUP($A6,'détails investissements'!$A$26:$DE$43,D$3-VLOOKUP($A6,'détails investissements'!$A$71:$B$88,2,FALSE)+1,FALSE)))&lt;&gt;"",HLOOKUP(IF(D$3-VLOOKUP($A6,'détails investissements'!$A$71:$B$88,2,FALSE)&lt;=0,"",IF(VLOOKUP($A6,'détails investissements'!$A$26:$DE$43,D$3-VLOOKUP($A6,'détails investissements'!$A$71:$B$88,2,FALSE)+1,FALSE)="","",VLOOKUP($A6,'détails investissements'!$A$26:$DE$43,D$3-VLOOKUP($A6,'détails investissements'!$A$71:$B$88,2,FALSE)+1,FALSE))),'détails investissements'!$U$6:$AB$7,2,FALSE),""),FALSE),"")</f>
        <v/>
      </c>
      <c r="E6" s="45">
        <f>IF(IF(IF(E$3-VLOOKUP($A6,'détails investissements'!$A$71:$B$88,2,FALSE)&lt;=0,"",IF(VLOOKUP($A6,'détails investissements'!$A$26:$DE$43,E$3-VLOOKUP($A6,'détails investissements'!$A$71:$B$88,2,FALSE)+1,FALSE)="","",VLOOKUP($A6,'détails investissements'!$A$26:$DE$43,E$3-VLOOKUP($A6,'détails investissements'!$A$71:$B$88,2,FALSE)+1,FALSE)))&lt;&gt;"",HLOOKUP(IF(E$3-VLOOKUP($A6,'détails investissements'!$A$71:$B$88,2,FALSE)&lt;=0,"",IF(VLOOKUP($A6,'détails investissements'!$A$26:$DE$43,E$3-VLOOKUP($A6,'détails investissements'!$A$71:$B$88,2,FALSE)+1,FALSE)="","",VLOOKUP($A6,'détails investissements'!$A$26:$DE$43,E$3-VLOOKUP($A6,'détails investissements'!$A$71:$B$88,2,FALSE)+1,FALSE))),'détails investissements'!$U$6:$AB$7,2,FALSE),"")&lt;&gt;"",VLOOKUP($A6,'détails investissements'!$A$7:$H$21,1+IF(IF(E$3-VLOOKUP($A6,'détails investissements'!$A$71:$B$88,2,FALSE)&lt;=0,"",IF(VLOOKUP($A6,'détails investissements'!$A$26:$DE$43,E$3-VLOOKUP($A6,'détails investissements'!$A$71:$B$88,2,FALSE)+1,FALSE)="","",VLOOKUP($A6,'détails investissements'!$A$26:$DE$43,E$3-VLOOKUP($A6,'détails investissements'!$A$71:$B$88,2,FALSE)+1,FALSE)))&lt;&gt;"",HLOOKUP(IF(E$3-VLOOKUP($A6,'détails investissements'!$A$71:$B$88,2,FALSE)&lt;=0,"",IF(VLOOKUP($A6,'détails investissements'!$A$26:$DE$43,E$3-VLOOKUP($A6,'détails investissements'!$A$71:$B$88,2,FALSE)+1,FALSE)="","",VLOOKUP($A6,'détails investissements'!$A$26:$DE$43,E$3-VLOOKUP($A6,'détails investissements'!$A$71:$B$88,2,FALSE)+1,FALSE))),'détails investissements'!$U$6:$AB$7,2,FALSE),""),FALSE),"")</f>
        <v>0.1</v>
      </c>
      <c r="F6" s="45" t="str">
        <f>IF(IF(IF(F$3-VLOOKUP($A6,'détails investissements'!$A$71:$B$88,2,FALSE)&lt;=0,"",IF(VLOOKUP($A6,'détails investissements'!$A$26:$DE$43,F$3-VLOOKUP($A6,'détails investissements'!$A$71:$B$88,2,FALSE)+1,FALSE)="","",VLOOKUP($A6,'détails investissements'!$A$26:$DE$43,F$3-VLOOKUP($A6,'détails investissements'!$A$71:$B$88,2,FALSE)+1,FALSE)))&lt;&gt;"",HLOOKUP(IF(F$3-VLOOKUP($A6,'détails investissements'!$A$71:$B$88,2,FALSE)&lt;=0,"",IF(VLOOKUP($A6,'détails investissements'!$A$26:$DE$43,F$3-VLOOKUP($A6,'détails investissements'!$A$71:$B$88,2,FALSE)+1,FALSE)="","",VLOOKUP($A6,'détails investissements'!$A$26:$DE$43,F$3-VLOOKUP($A6,'détails investissements'!$A$71:$B$88,2,FALSE)+1,FALSE))),'détails investissements'!$U$6:$AB$7,2,FALSE),"")&lt;&gt;"",VLOOKUP($A6,'détails investissements'!$A$7:$H$21,1+IF(IF(F$3-VLOOKUP($A6,'détails investissements'!$A$71:$B$88,2,FALSE)&lt;=0,"",IF(VLOOKUP($A6,'détails investissements'!$A$26:$DE$43,F$3-VLOOKUP($A6,'détails investissements'!$A$71:$B$88,2,FALSE)+1,FALSE)="","",VLOOKUP($A6,'détails investissements'!$A$26:$DE$43,F$3-VLOOKUP($A6,'détails investissements'!$A$71:$B$88,2,FALSE)+1,FALSE)))&lt;&gt;"",HLOOKUP(IF(F$3-VLOOKUP($A6,'détails investissements'!$A$71:$B$88,2,FALSE)&lt;=0,"",IF(VLOOKUP($A6,'détails investissements'!$A$26:$DE$43,F$3-VLOOKUP($A6,'détails investissements'!$A$71:$B$88,2,FALSE)+1,FALSE)="","",VLOOKUP($A6,'détails investissements'!$A$26:$DE$43,F$3-VLOOKUP($A6,'détails investissements'!$A$71:$B$88,2,FALSE)+1,FALSE))),'détails investissements'!$U$6:$AB$7,2,FALSE),""),FALSE),"")</f>
        <v/>
      </c>
      <c r="G6" s="45" t="str">
        <f>IF(IF(IF(G$3-VLOOKUP($A6,'détails investissements'!$A$71:$B$88,2,FALSE)&lt;=0,"",IF(VLOOKUP($A6,'détails investissements'!$A$26:$DE$43,G$3-VLOOKUP($A6,'détails investissements'!$A$71:$B$88,2,FALSE)+1,FALSE)="","",VLOOKUP($A6,'détails investissements'!$A$26:$DE$43,G$3-VLOOKUP($A6,'détails investissements'!$A$71:$B$88,2,FALSE)+1,FALSE)))&lt;&gt;"",HLOOKUP(IF(G$3-VLOOKUP($A6,'détails investissements'!$A$71:$B$88,2,FALSE)&lt;=0,"",IF(VLOOKUP($A6,'détails investissements'!$A$26:$DE$43,G$3-VLOOKUP($A6,'détails investissements'!$A$71:$B$88,2,FALSE)+1,FALSE)="","",VLOOKUP($A6,'détails investissements'!$A$26:$DE$43,G$3-VLOOKUP($A6,'détails investissements'!$A$71:$B$88,2,FALSE)+1,FALSE))),'détails investissements'!$U$6:$AB$7,2,FALSE),"")&lt;&gt;"",VLOOKUP($A6,'détails investissements'!$A$7:$H$21,1+IF(IF(G$3-VLOOKUP($A6,'détails investissements'!$A$71:$B$88,2,FALSE)&lt;=0,"",IF(VLOOKUP($A6,'détails investissements'!$A$26:$DE$43,G$3-VLOOKUP($A6,'détails investissements'!$A$71:$B$88,2,FALSE)+1,FALSE)="","",VLOOKUP($A6,'détails investissements'!$A$26:$DE$43,G$3-VLOOKUP($A6,'détails investissements'!$A$71:$B$88,2,FALSE)+1,FALSE)))&lt;&gt;"",HLOOKUP(IF(G$3-VLOOKUP($A6,'détails investissements'!$A$71:$B$88,2,FALSE)&lt;=0,"",IF(VLOOKUP($A6,'détails investissements'!$A$26:$DE$43,G$3-VLOOKUP($A6,'détails investissements'!$A$71:$B$88,2,FALSE)+1,FALSE)="","",VLOOKUP($A6,'détails investissements'!$A$26:$DE$43,G$3-VLOOKUP($A6,'détails investissements'!$A$71:$B$88,2,FALSE)+1,FALSE))),'détails investissements'!$U$6:$AB$7,2,FALSE),""),FALSE),"")</f>
        <v/>
      </c>
      <c r="H6" s="45" t="str">
        <f>IF(IF(IF(H$3-VLOOKUP($A6,'détails investissements'!$A$71:$B$88,2,FALSE)&lt;=0,"",IF(VLOOKUP($A6,'détails investissements'!$A$26:$DE$43,H$3-VLOOKUP($A6,'détails investissements'!$A$71:$B$88,2,FALSE)+1,FALSE)="","",VLOOKUP($A6,'détails investissements'!$A$26:$DE$43,H$3-VLOOKUP($A6,'détails investissements'!$A$71:$B$88,2,FALSE)+1,FALSE)))&lt;&gt;"",HLOOKUP(IF(H$3-VLOOKUP($A6,'détails investissements'!$A$71:$B$88,2,FALSE)&lt;=0,"",IF(VLOOKUP($A6,'détails investissements'!$A$26:$DE$43,H$3-VLOOKUP($A6,'détails investissements'!$A$71:$B$88,2,FALSE)+1,FALSE)="","",VLOOKUP($A6,'détails investissements'!$A$26:$DE$43,H$3-VLOOKUP($A6,'détails investissements'!$A$71:$B$88,2,FALSE)+1,FALSE))),'détails investissements'!$U$6:$AB$7,2,FALSE),"")&lt;&gt;"",VLOOKUP($A6,'détails investissements'!$A$7:$H$21,1+IF(IF(H$3-VLOOKUP($A6,'détails investissements'!$A$71:$B$88,2,FALSE)&lt;=0,"",IF(VLOOKUP($A6,'détails investissements'!$A$26:$DE$43,H$3-VLOOKUP($A6,'détails investissements'!$A$71:$B$88,2,FALSE)+1,FALSE)="","",VLOOKUP($A6,'détails investissements'!$A$26:$DE$43,H$3-VLOOKUP($A6,'détails investissements'!$A$71:$B$88,2,FALSE)+1,FALSE)))&lt;&gt;"",HLOOKUP(IF(H$3-VLOOKUP($A6,'détails investissements'!$A$71:$B$88,2,FALSE)&lt;=0,"",IF(VLOOKUP($A6,'détails investissements'!$A$26:$DE$43,H$3-VLOOKUP($A6,'détails investissements'!$A$71:$B$88,2,FALSE)+1,FALSE)="","",VLOOKUP($A6,'détails investissements'!$A$26:$DE$43,H$3-VLOOKUP($A6,'détails investissements'!$A$71:$B$88,2,FALSE)+1,FALSE))),'détails investissements'!$U$6:$AB$7,2,FALSE),""),FALSE),"")</f>
        <v/>
      </c>
      <c r="I6" s="45" t="str">
        <f>IF(IF(IF(I$3-VLOOKUP($A6,'détails investissements'!$A$71:$B$88,2,FALSE)&lt;=0,"",IF(VLOOKUP($A6,'détails investissements'!$A$26:$DE$43,I$3-VLOOKUP($A6,'détails investissements'!$A$71:$B$88,2,FALSE)+1,FALSE)="","",VLOOKUP($A6,'détails investissements'!$A$26:$DE$43,I$3-VLOOKUP($A6,'détails investissements'!$A$71:$B$88,2,FALSE)+1,FALSE)))&lt;&gt;"",HLOOKUP(IF(I$3-VLOOKUP($A6,'détails investissements'!$A$71:$B$88,2,FALSE)&lt;=0,"",IF(VLOOKUP($A6,'détails investissements'!$A$26:$DE$43,I$3-VLOOKUP($A6,'détails investissements'!$A$71:$B$88,2,FALSE)+1,FALSE)="","",VLOOKUP($A6,'détails investissements'!$A$26:$DE$43,I$3-VLOOKUP($A6,'détails investissements'!$A$71:$B$88,2,FALSE)+1,FALSE))),'détails investissements'!$U$6:$AB$7,2,FALSE),"")&lt;&gt;"",VLOOKUP($A6,'détails investissements'!$A$7:$H$21,1+IF(IF(I$3-VLOOKUP($A6,'détails investissements'!$A$71:$B$88,2,FALSE)&lt;=0,"",IF(VLOOKUP($A6,'détails investissements'!$A$26:$DE$43,I$3-VLOOKUP($A6,'détails investissements'!$A$71:$B$88,2,FALSE)+1,FALSE)="","",VLOOKUP($A6,'détails investissements'!$A$26:$DE$43,I$3-VLOOKUP($A6,'détails investissements'!$A$71:$B$88,2,FALSE)+1,FALSE)))&lt;&gt;"",HLOOKUP(IF(I$3-VLOOKUP($A6,'détails investissements'!$A$71:$B$88,2,FALSE)&lt;=0,"",IF(VLOOKUP($A6,'détails investissements'!$A$26:$DE$43,I$3-VLOOKUP($A6,'détails investissements'!$A$71:$B$88,2,FALSE)+1,FALSE)="","",VLOOKUP($A6,'détails investissements'!$A$26:$DE$43,I$3-VLOOKUP($A6,'détails investissements'!$A$71:$B$88,2,FALSE)+1,FALSE))),'détails investissements'!$U$6:$AB$7,2,FALSE),""),FALSE),"")</f>
        <v/>
      </c>
      <c r="J6" s="45" t="str">
        <f>IF(IF(IF(J$3-VLOOKUP($A6,'détails investissements'!$A$71:$B$88,2,FALSE)&lt;=0,"",IF(VLOOKUP($A6,'détails investissements'!$A$26:$DE$43,J$3-VLOOKUP($A6,'détails investissements'!$A$71:$B$88,2,FALSE)+1,FALSE)="","",VLOOKUP($A6,'détails investissements'!$A$26:$DE$43,J$3-VLOOKUP($A6,'détails investissements'!$A$71:$B$88,2,FALSE)+1,FALSE)))&lt;&gt;"",HLOOKUP(IF(J$3-VLOOKUP($A6,'détails investissements'!$A$71:$B$88,2,FALSE)&lt;=0,"",IF(VLOOKUP($A6,'détails investissements'!$A$26:$DE$43,J$3-VLOOKUP($A6,'détails investissements'!$A$71:$B$88,2,FALSE)+1,FALSE)="","",VLOOKUP($A6,'détails investissements'!$A$26:$DE$43,J$3-VLOOKUP($A6,'détails investissements'!$A$71:$B$88,2,FALSE)+1,FALSE))),'détails investissements'!$U$6:$AB$7,2,FALSE),"")&lt;&gt;"",VLOOKUP($A6,'détails investissements'!$A$7:$H$21,1+IF(IF(J$3-VLOOKUP($A6,'détails investissements'!$A$71:$B$88,2,FALSE)&lt;=0,"",IF(VLOOKUP($A6,'détails investissements'!$A$26:$DE$43,J$3-VLOOKUP($A6,'détails investissements'!$A$71:$B$88,2,FALSE)+1,FALSE)="","",VLOOKUP($A6,'détails investissements'!$A$26:$DE$43,J$3-VLOOKUP($A6,'détails investissements'!$A$71:$B$88,2,FALSE)+1,FALSE)))&lt;&gt;"",HLOOKUP(IF(J$3-VLOOKUP($A6,'détails investissements'!$A$71:$B$88,2,FALSE)&lt;=0,"",IF(VLOOKUP($A6,'détails investissements'!$A$26:$DE$43,J$3-VLOOKUP($A6,'détails investissements'!$A$71:$B$88,2,FALSE)+1,FALSE)="","",VLOOKUP($A6,'détails investissements'!$A$26:$DE$43,J$3-VLOOKUP($A6,'détails investissements'!$A$71:$B$88,2,FALSE)+1,FALSE))),'détails investissements'!$U$6:$AB$7,2,FALSE),""),FALSE),"")</f>
        <v/>
      </c>
      <c r="K6" s="45" t="str">
        <f>IF(IF(IF(K$3-VLOOKUP($A6,'détails investissements'!$A$71:$B$88,2,FALSE)&lt;=0,"",IF(VLOOKUP($A6,'détails investissements'!$A$26:$DE$43,K$3-VLOOKUP($A6,'détails investissements'!$A$71:$B$88,2,FALSE)+1,FALSE)="","",VLOOKUP($A6,'détails investissements'!$A$26:$DE$43,K$3-VLOOKUP($A6,'détails investissements'!$A$71:$B$88,2,FALSE)+1,FALSE)))&lt;&gt;"",HLOOKUP(IF(K$3-VLOOKUP($A6,'détails investissements'!$A$71:$B$88,2,FALSE)&lt;=0,"",IF(VLOOKUP($A6,'détails investissements'!$A$26:$DE$43,K$3-VLOOKUP($A6,'détails investissements'!$A$71:$B$88,2,FALSE)+1,FALSE)="","",VLOOKUP($A6,'détails investissements'!$A$26:$DE$43,K$3-VLOOKUP($A6,'détails investissements'!$A$71:$B$88,2,FALSE)+1,FALSE))),'détails investissements'!$U$6:$AB$7,2,FALSE),"")&lt;&gt;"",VLOOKUP($A6,'détails investissements'!$A$7:$H$21,1+IF(IF(K$3-VLOOKUP($A6,'détails investissements'!$A$71:$B$88,2,FALSE)&lt;=0,"",IF(VLOOKUP($A6,'détails investissements'!$A$26:$DE$43,K$3-VLOOKUP($A6,'détails investissements'!$A$71:$B$88,2,FALSE)+1,FALSE)="","",VLOOKUP($A6,'détails investissements'!$A$26:$DE$43,K$3-VLOOKUP($A6,'détails investissements'!$A$71:$B$88,2,FALSE)+1,FALSE)))&lt;&gt;"",HLOOKUP(IF(K$3-VLOOKUP($A6,'détails investissements'!$A$71:$B$88,2,FALSE)&lt;=0,"",IF(VLOOKUP($A6,'détails investissements'!$A$26:$DE$43,K$3-VLOOKUP($A6,'détails investissements'!$A$71:$B$88,2,FALSE)+1,FALSE)="","",VLOOKUP($A6,'détails investissements'!$A$26:$DE$43,K$3-VLOOKUP($A6,'détails investissements'!$A$71:$B$88,2,FALSE)+1,FALSE))),'détails investissements'!$U$6:$AB$7,2,FALSE),""),FALSE),"")</f>
        <v/>
      </c>
      <c r="L6" s="45" t="str">
        <f>IF(IF(IF(L$3-VLOOKUP($A6,'détails investissements'!$A$71:$B$88,2,FALSE)&lt;=0,"",IF(VLOOKUP($A6,'détails investissements'!$A$26:$DE$43,L$3-VLOOKUP($A6,'détails investissements'!$A$71:$B$88,2,FALSE)+1,FALSE)="","",VLOOKUP($A6,'détails investissements'!$A$26:$DE$43,L$3-VLOOKUP($A6,'détails investissements'!$A$71:$B$88,2,FALSE)+1,FALSE)))&lt;&gt;"",HLOOKUP(IF(L$3-VLOOKUP($A6,'détails investissements'!$A$71:$B$88,2,FALSE)&lt;=0,"",IF(VLOOKUP($A6,'détails investissements'!$A$26:$DE$43,L$3-VLOOKUP($A6,'détails investissements'!$A$71:$B$88,2,FALSE)+1,FALSE)="","",VLOOKUP($A6,'détails investissements'!$A$26:$DE$43,L$3-VLOOKUP($A6,'détails investissements'!$A$71:$B$88,2,FALSE)+1,FALSE))),'détails investissements'!$U$6:$AB$7,2,FALSE),"")&lt;&gt;"",VLOOKUP($A6,'détails investissements'!$A$7:$H$21,1+IF(IF(L$3-VLOOKUP($A6,'détails investissements'!$A$71:$B$88,2,FALSE)&lt;=0,"",IF(VLOOKUP($A6,'détails investissements'!$A$26:$DE$43,L$3-VLOOKUP($A6,'détails investissements'!$A$71:$B$88,2,FALSE)+1,FALSE)="","",VLOOKUP($A6,'détails investissements'!$A$26:$DE$43,L$3-VLOOKUP($A6,'détails investissements'!$A$71:$B$88,2,FALSE)+1,FALSE)))&lt;&gt;"",HLOOKUP(IF(L$3-VLOOKUP($A6,'détails investissements'!$A$71:$B$88,2,FALSE)&lt;=0,"",IF(VLOOKUP($A6,'détails investissements'!$A$26:$DE$43,L$3-VLOOKUP($A6,'détails investissements'!$A$71:$B$88,2,FALSE)+1,FALSE)="","",VLOOKUP($A6,'détails investissements'!$A$26:$DE$43,L$3-VLOOKUP($A6,'détails investissements'!$A$71:$B$88,2,FALSE)+1,FALSE))),'détails investissements'!$U$6:$AB$7,2,FALSE),""),FALSE),"")</f>
        <v/>
      </c>
      <c r="M6" s="45" t="str">
        <f>IF(IF(IF(M$3-VLOOKUP($A6,'détails investissements'!$A$71:$B$88,2,FALSE)&lt;=0,"",IF(VLOOKUP($A6,'détails investissements'!$A$26:$DE$43,M$3-VLOOKUP($A6,'détails investissements'!$A$71:$B$88,2,FALSE)+1,FALSE)="","",VLOOKUP($A6,'détails investissements'!$A$26:$DE$43,M$3-VLOOKUP($A6,'détails investissements'!$A$71:$B$88,2,FALSE)+1,FALSE)))&lt;&gt;"",HLOOKUP(IF(M$3-VLOOKUP($A6,'détails investissements'!$A$71:$B$88,2,FALSE)&lt;=0,"",IF(VLOOKUP($A6,'détails investissements'!$A$26:$DE$43,M$3-VLOOKUP($A6,'détails investissements'!$A$71:$B$88,2,FALSE)+1,FALSE)="","",VLOOKUP($A6,'détails investissements'!$A$26:$DE$43,M$3-VLOOKUP($A6,'détails investissements'!$A$71:$B$88,2,FALSE)+1,FALSE))),'détails investissements'!$U$6:$AB$7,2,FALSE),"")&lt;&gt;"",VLOOKUP($A6,'détails investissements'!$A$7:$H$21,1+IF(IF(M$3-VLOOKUP($A6,'détails investissements'!$A$71:$B$88,2,FALSE)&lt;=0,"",IF(VLOOKUP($A6,'détails investissements'!$A$26:$DE$43,M$3-VLOOKUP($A6,'détails investissements'!$A$71:$B$88,2,FALSE)+1,FALSE)="","",VLOOKUP($A6,'détails investissements'!$A$26:$DE$43,M$3-VLOOKUP($A6,'détails investissements'!$A$71:$B$88,2,FALSE)+1,FALSE)))&lt;&gt;"",HLOOKUP(IF(M$3-VLOOKUP($A6,'détails investissements'!$A$71:$B$88,2,FALSE)&lt;=0,"",IF(VLOOKUP($A6,'détails investissements'!$A$26:$DE$43,M$3-VLOOKUP($A6,'détails investissements'!$A$71:$B$88,2,FALSE)+1,FALSE)="","",VLOOKUP($A6,'détails investissements'!$A$26:$DE$43,M$3-VLOOKUP($A6,'détails investissements'!$A$71:$B$88,2,FALSE)+1,FALSE))),'détails investissements'!$U$6:$AB$7,2,FALSE),""),FALSE),"")</f>
        <v/>
      </c>
      <c r="N6" s="45" t="str">
        <f>IF(IF(IF(N$3-VLOOKUP($A6,'détails investissements'!$A$71:$B$88,2,FALSE)&lt;=0,"",IF(VLOOKUP($A6,'détails investissements'!$A$26:$DE$43,N$3-VLOOKUP($A6,'détails investissements'!$A$71:$B$88,2,FALSE)+1,FALSE)="","",VLOOKUP($A6,'détails investissements'!$A$26:$DE$43,N$3-VLOOKUP($A6,'détails investissements'!$A$71:$B$88,2,FALSE)+1,FALSE)))&lt;&gt;"",HLOOKUP(IF(N$3-VLOOKUP($A6,'détails investissements'!$A$71:$B$88,2,FALSE)&lt;=0,"",IF(VLOOKUP($A6,'détails investissements'!$A$26:$DE$43,N$3-VLOOKUP($A6,'détails investissements'!$A$71:$B$88,2,FALSE)+1,FALSE)="","",VLOOKUP($A6,'détails investissements'!$A$26:$DE$43,N$3-VLOOKUP($A6,'détails investissements'!$A$71:$B$88,2,FALSE)+1,FALSE))),'détails investissements'!$U$6:$AB$7,2,FALSE),"")&lt;&gt;"",VLOOKUP($A6,'détails investissements'!$A$7:$H$21,1+IF(IF(N$3-VLOOKUP($A6,'détails investissements'!$A$71:$B$88,2,FALSE)&lt;=0,"",IF(VLOOKUP($A6,'détails investissements'!$A$26:$DE$43,N$3-VLOOKUP($A6,'détails investissements'!$A$71:$B$88,2,FALSE)+1,FALSE)="","",VLOOKUP($A6,'détails investissements'!$A$26:$DE$43,N$3-VLOOKUP($A6,'détails investissements'!$A$71:$B$88,2,FALSE)+1,FALSE)))&lt;&gt;"",HLOOKUP(IF(N$3-VLOOKUP($A6,'détails investissements'!$A$71:$B$88,2,FALSE)&lt;=0,"",IF(VLOOKUP($A6,'détails investissements'!$A$26:$DE$43,N$3-VLOOKUP($A6,'détails investissements'!$A$71:$B$88,2,FALSE)+1,FALSE)="","",VLOOKUP($A6,'détails investissements'!$A$26:$DE$43,N$3-VLOOKUP($A6,'détails investissements'!$A$71:$B$88,2,FALSE)+1,FALSE))),'détails investissements'!$U$6:$AB$7,2,FALSE),""),FALSE),"")</f>
        <v/>
      </c>
      <c r="O6" s="45" t="str">
        <f>IF(IF(IF(O$3-VLOOKUP($A6,'détails investissements'!$A$71:$B$88,2,FALSE)&lt;=0,"",IF(VLOOKUP($A6,'détails investissements'!$A$26:$DE$43,O$3-VLOOKUP($A6,'détails investissements'!$A$71:$B$88,2,FALSE)+1,FALSE)="","",VLOOKUP($A6,'détails investissements'!$A$26:$DE$43,O$3-VLOOKUP($A6,'détails investissements'!$A$71:$B$88,2,FALSE)+1,FALSE)))&lt;&gt;"",HLOOKUP(IF(O$3-VLOOKUP($A6,'détails investissements'!$A$71:$B$88,2,FALSE)&lt;=0,"",IF(VLOOKUP($A6,'détails investissements'!$A$26:$DE$43,O$3-VLOOKUP($A6,'détails investissements'!$A$71:$B$88,2,FALSE)+1,FALSE)="","",VLOOKUP($A6,'détails investissements'!$A$26:$DE$43,O$3-VLOOKUP($A6,'détails investissements'!$A$71:$B$88,2,FALSE)+1,FALSE))),'détails investissements'!$U$6:$AB$7,2,FALSE),"")&lt;&gt;"",VLOOKUP($A6,'détails investissements'!$A$7:$H$21,1+IF(IF(O$3-VLOOKUP($A6,'détails investissements'!$A$71:$B$88,2,FALSE)&lt;=0,"",IF(VLOOKUP($A6,'détails investissements'!$A$26:$DE$43,O$3-VLOOKUP($A6,'détails investissements'!$A$71:$B$88,2,FALSE)+1,FALSE)="","",VLOOKUP($A6,'détails investissements'!$A$26:$DE$43,O$3-VLOOKUP($A6,'détails investissements'!$A$71:$B$88,2,FALSE)+1,FALSE)))&lt;&gt;"",HLOOKUP(IF(O$3-VLOOKUP($A6,'détails investissements'!$A$71:$B$88,2,FALSE)&lt;=0,"",IF(VLOOKUP($A6,'détails investissements'!$A$26:$DE$43,O$3-VLOOKUP($A6,'détails investissements'!$A$71:$B$88,2,FALSE)+1,FALSE)="","",VLOOKUP($A6,'détails investissements'!$A$26:$DE$43,O$3-VLOOKUP($A6,'détails investissements'!$A$71:$B$88,2,FALSE)+1,FALSE))),'détails investissements'!$U$6:$AB$7,2,FALSE),""),FALSE),"")</f>
        <v/>
      </c>
      <c r="P6" s="45">
        <f>IF(IF(IF(P$3-VLOOKUP($A6,'détails investissements'!$A$71:$B$88,2,FALSE)&lt;=0,"",IF(VLOOKUP($A6,'détails investissements'!$A$26:$DE$43,P$3-VLOOKUP($A6,'détails investissements'!$A$71:$B$88,2,FALSE)+1,FALSE)="","",VLOOKUP($A6,'détails investissements'!$A$26:$DE$43,P$3-VLOOKUP($A6,'détails investissements'!$A$71:$B$88,2,FALSE)+1,FALSE)))&lt;&gt;"",HLOOKUP(IF(P$3-VLOOKUP($A6,'détails investissements'!$A$71:$B$88,2,FALSE)&lt;=0,"",IF(VLOOKUP($A6,'détails investissements'!$A$26:$DE$43,P$3-VLOOKUP($A6,'détails investissements'!$A$71:$B$88,2,FALSE)+1,FALSE)="","",VLOOKUP($A6,'détails investissements'!$A$26:$DE$43,P$3-VLOOKUP($A6,'détails investissements'!$A$71:$B$88,2,FALSE)+1,FALSE))),'détails investissements'!$U$6:$AB$7,2,FALSE),"")&lt;&gt;"",VLOOKUP($A6,'détails investissements'!$A$7:$H$21,1+IF(IF(P$3-VLOOKUP($A6,'détails investissements'!$A$71:$B$88,2,FALSE)&lt;=0,"",IF(VLOOKUP($A6,'détails investissements'!$A$26:$DE$43,P$3-VLOOKUP($A6,'détails investissements'!$A$71:$B$88,2,FALSE)+1,FALSE)="","",VLOOKUP($A6,'détails investissements'!$A$26:$DE$43,P$3-VLOOKUP($A6,'détails investissements'!$A$71:$B$88,2,FALSE)+1,FALSE)))&lt;&gt;"",HLOOKUP(IF(P$3-VLOOKUP($A6,'détails investissements'!$A$71:$B$88,2,FALSE)&lt;=0,"",IF(VLOOKUP($A6,'détails investissements'!$A$26:$DE$43,P$3-VLOOKUP($A6,'détails investissements'!$A$71:$B$88,2,FALSE)+1,FALSE)="","",VLOOKUP($A6,'détails investissements'!$A$26:$DE$43,P$3-VLOOKUP($A6,'détails investissements'!$A$71:$B$88,2,FALSE)+1,FALSE))),'détails investissements'!$U$6:$AB$7,2,FALSE),""),FALSE),"")</f>
        <v>0.2</v>
      </c>
      <c r="Q6" s="45" t="str">
        <f>IF(IF(IF(Q$3-VLOOKUP($A6,'détails investissements'!$A$71:$B$88,2,FALSE)&lt;=0,"",IF(VLOOKUP($A6,'détails investissements'!$A$26:$DE$43,Q$3-VLOOKUP($A6,'détails investissements'!$A$71:$B$88,2,FALSE)+1,FALSE)="","",VLOOKUP($A6,'détails investissements'!$A$26:$DE$43,Q$3-VLOOKUP($A6,'détails investissements'!$A$71:$B$88,2,FALSE)+1,FALSE)))&lt;&gt;"",HLOOKUP(IF(Q$3-VLOOKUP($A6,'détails investissements'!$A$71:$B$88,2,FALSE)&lt;=0,"",IF(VLOOKUP($A6,'détails investissements'!$A$26:$DE$43,Q$3-VLOOKUP($A6,'détails investissements'!$A$71:$B$88,2,FALSE)+1,FALSE)="","",VLOOKUP($A6,'détails investissements'!$A$26:$DE$43,Q$3-VLOOKUP($A6,'détails investissements'!$A$71:$B$88,2,FALSE)+1,FALSE))),'détails investissements'!$U$6:$AB$7,2,FALSE),"")&lt;&gt;"",VLOOKUP($A6,'détails investissements'!$A$7:$H$21,1+IF(IF(Q$3-VLOOKUP($A6,'détails investissements'!$A$71:$B$88,2,FALSE)&lt;=0,"",IF(VLOOKUP($A6,'détails investissements'!$A$26:$DE$43,Q$3-VLOOKUP($A6,'détails investissements'!$A$71:$B$88,2,FALSE)+1,FALSE)="","",VLOOKUP($A6,'détails investissements'!$A$26:$DE$43,Q$3-VLOOKUP($A6,'détails investissements'!$A$71:$B$88,2,FALSE)+1,FALSE)))&lt;&gt;"",HLOOKUP(IF(Q$3-VLOOKUP($A6,'détails investissements'!$A$71:$B$88,2,FALSE)&lt;=0,"",IF(VLOOKUP($A6,'détails investissements'!$A$26:$DE$43,Q$3-VLOOKUP($A6,'détails investissements'!$A$71:$B$88,2,FALSE)+1,FALSE)="","",VLOOKUP($A6,'détails investissements'!$A$26:$DE$43,Q$3-VLOOKUP($A6,'détails investissements'!$A$71:$B$88,2,FALSE)+1,FALSE))),'détails investissements'!$U$6:$AB$7,2,FALSE),""),FALSE),"")</f>
        <v/>
      </c>
      <c r="R6" s="45" t="str">
        <f>IF(IF(IF(R$3-VLOOKUP($A6,'détails investissements'!$A$71:$B$88,2,FALSE)&lt;=0,"",IF(VLOOKUP($A6,'détails investissements'!$A$26:$DE$43,R$3-VLOOKUP($A6,'détails investissements'!$A$71:$B$88,2,FALSE)+1,FALSE)="","",VLOOKUP($A6,'détails investissements'!$A$26:$DE$43,R$3-VLOOKUP($A6,'détails investissements'!$A$71:$B$88,2,FALSE)+1,FALSE)))&lt;&gt;"",HLOOKUP(IF(R$3-VLOOKUP($A6,'détails investissements'!$A$71:$B$88,2,FALSE)&lt;=0,"",IF(VLOOKUP($A6,'détails investissements'!$A$26:$DE$43,R$3-VLOOKUP($A6,'détails investissements'!$A$71:$B$88,2,FALSE)+1,FALSE)="","",VLOOKUP($A6,'détails investissements'!$A$26:$DE$43,R$3-VLOOKUP($A6,'détails investissements'!$A$71:$B$88,2,FALSE)+1,FALSE))),'détails investissements'!$U$6:$AB$7,2,FALSE),"")&lt;&gt;"",VLOOKUP($A6,'détails investissements'!$A$7:$H$21,1+IF(IF(R$3-VLOOKUP($A6,'détails investissements'!$A$71:$B$88,2,FALSE)&lt;=0,"",IF(VLOOKUP($A6,'détails investissements'!$A$26:$DE$43,R$3-VLOOKUP($A6,'détails investissements'!$A$71:$B$88,2,FALSE)+1,FALSE)="","",VLOOKUP($A6,'détails investissements'!$A$26:$DE$43,R$3-VLOOKUP($A6,'détails investissements'!$A$71:$B$88,2,FALSE)+1,FALSE)))&lt;&gt;"",HLOOKUP(IF(R$3-VLOOKUP($A6,'détails investissements'!$A$71:$B$88,2,FALSE)&lt;=0,"",IF(VLOOKUP($A6,'détails investissements'!$A$26:$DE$43,R$3-VLOOKUP($A6,'détails investissements'!$A$71:$B$88,2,FALSE)+1,FALSE)="","",VLOOKUP($A6,'détails investissements'!$A$26:$DE$43,R$3-VLOOKUP($A6,'détails investissements'!$A$71:$B$88,2,FALSE)+1,FALSE))),'détails investissements'!$U$6:$AB$7,2,FALSE),""),FALSE),"")</f>
        <v/>
      </c>
      <c r="S6" s="45" t="str">
        <f>IF(IF(IF(S$3-VLOOKUP($A6,'détails investissements'!$A$71:$B$88,2,FALSE)&lt;=0,"",IF(VLOOKUP($A6,'détails investissements'!$A$26:$DE$43,S$3-VLOOKUP($A6,'détails investissements'!$A$71:$B$88,2,FALSE)+1,FALSE)="","",VLOOKUP($A6,'détails investissements'!$A$26:$DE$43,S$3-VLOOKUP($A6,'détails investissements'!$A$71:$B$88,2,FALSE)+1,FALSE)))&lt;&gt;"",HLOOKUP(IF(S$3-VLOOKUP($A6,'détails investissements'!$A$71:$B$88,2,FALSE)&lt;=0,"",IF(VLOOKUP($A6,'détails investissements'!$A$26:$DE$43,S$3-VLOOKUP($A6,'détails investissements'!$A$71:$B$88,2,FALSE)+1,FALSE)="","",VLOOKUP($A6,'détails investissements'!$A$26:$DE$43,S$3-VLOOKUP($A6,'détails investissements'!$A$71:$B$88,2,FALSE)+1,FALSE))),'détails investissements'!$U$6:$AB$7,2,FALSE),"")&lt;&gt;"",VLOOKUP($A6,'détails investissements'!$A$7:$H$21,1+IF(IF(S$3-VLOOKUP($A6,'détails investissements'!$A$71:$B$88,2,FALSE)&lt;=0,"",IF(VLOOKUP($A6,'détails investissements'!$A$26:$DE$43,S$3-VLOOKUP($A6,'détails investissements'!$A$71:$B$88,2,FALSE)+1,FALSE)="","",VLOOKUP($A6,'détails investissements'!$A$26:$DE$43,S$3-VLOOKUP($A6,'détails investissements'!$A$71:$B$88,2,FALSE)+1,FALSE)))&lt;&gt;"",HLOOKUP(IF(S$3-VLOOKUP($A6,'détails investissements'!$A$71:$B$88,2,FALSE)&lt;=0,"",IF(VLOOKUP($A6,'détails investissements'!$A$26:$DE$43,S$3-VLOOKUP($A6,'détails investissements'!$A$71:$B$88,2,FALSE)+1,FALSE)="","",VLOOKUP($A6,'détails investissements'!$A$26:$DE$43,S$3-VLOOKUP($A6,'détails investissements'!$A$71:$B$88,2,FALSE)+1,FALSE))),'détails investissements'!$U$6:$AB$7,2,FALSE),""),FALSE),"")</f>
        <v/>
      </c>
      <c r="T6" s="45">
        <f>IF(IF(IF(T$3-VLOOKUP($A6,'détails investissements'!$A$71:$B$88,2,FALSE)&lt;=0,"",IF(VLOOKUP($A6,'détails investissements'!$A$26:$DE$43,T$3-VLOOKUP($A6,'détails investissements'!$A$71:$B$88,2,FALSE)+1,FALSE)="","",VLOOKUP($A6,'détails investissements'!$A$26:$DE$43,T$3-VLOOKUP($A6,'détails investissements'!$A$71:$B$88,2,FALSE)+1,FALSE)))&lt;&gt;"",HLOOKUP(IF(T$3-VLOOKUP($A6,'détails investissements'!$A$71:$B$88,2,FALSE)&lt;=0,"",IF(VLOOKUP($A6,'détails investissements'!$A$26:$DE$43,T$3-VLOOKUP($A6,'détails investissements'!$A$71:$B$88,2,FALSE)+1,FALSE)="","",VLOOKUP($A6,'détails investissements'!$A$26:$DE$43,T$3-VLOOKUP($A6,'détails investissements'!$A$71:$B$88,2,FALSE)+1,FALSE))),'détails investissements'!$U$6:$AB$7,2,FALSE),"")&lt;&gt;"",VLOOKUP($A6,'détails investissements'!$A$7:$H$21,1+IF(IF(T$3-VLOOKUP($A6,'détails investissements'!$A$71:$B$88,2,FALSE)&lt;=0,"",IF(VLOOKUP($A6,'détails investissements'!$A$26:$DE$43,T$3-VLOOKUP($A6,'détails investissements'!$A$71:$B$88,2,FALSE)+1,FALSE)="","",VLOOKUP($A6,'détails investissements'!$A$26:$DE$43,T$3-VLOOKUP($A6,'détails investissements'!$A$71:$B$88,2,FALSE)+1,FALSE)))&lt;&gt;"",HLOOKUP(IF(T$3-VLOOKUP($A6,'détails investissements'!$A$71:$B$88,2,FALSE)&lt;=0,"",IF(VLOOKUP($A6,'détails investissements'!$A$26:$DE$43,T$3-VLOOKUP($A6,'détails investissements'!$A$71:$B$88,2,FALSE)+1,FALSE)="","",VLOOKUP($A6,'détails investissements'!$A$26:$DE$43,T$3-VLOOKUP($A6,'détails investissements'!$A$71:$B$88,2,FALSE)+1,FALSE))),'détails investissements'!$U$6:$AB$7,2,FALSE),""),FALSE),"")</f>
        <v>0.2</v>
      </c>
      <c r="U6" s="45" t="str">
        <f>IF(IF(IF(U$3-VLOOKUP($A6,'détails investissements'!$A$71:$B$88,2,FALSE)&lt;=0,"",IF(VLOOKUP($A6,'détails investissements'!$A$26:$DE$43,U$3-VLOOKUP($A6,'détails investissements'!$A$71:$B$88,2,FALSE)+1,FALSE)="","",VLOOKUP($A6,'détails investissements'!$A$26:$DE$43,U$3-VLOOKUP($A6,'détails investissements'!$A$71:$B$88,2,FALSE)+1,FALSE)))&lt;&gt;"",HLOOKUP(IF(U$3-VLOOKUP($A6,'détails investissements'!$A$71:$B$88,2,FALSE)&lt;=0,"",IF(VLOOKUP($A6,'détails investissements'!$A$26:$DE$43,U$3-VLOOKUP($A6,'détails investissements'!$A$71:$B$88,2,FALSE)+1,FALSE)="","",VLOOKUP($A6,'détails investissements'!$A$26:$DE$43,U$3-VLOOKUP($A6,'détails investissements'!$A$71:$B$88,2,FALSE)+1,FALSE))),'détails investissements'!$U$6:$AB$7,2,FALSE),"")&lt;&gt;"",VLOOKUP($A6,'détails investissements'!$A$7:$H$21,1+IF(IF(U$3-VLOOKUP($A6,'détails investissements'!$A$71:$B$88,2,FALSE)&lt;=0,"",IF(VLOOKUP($A6,'détails investissements'!$A$26:$DE$43,U$3-VLOOKUP($A6,'détails investissements'!$A$71:$B$88,2,FALSE)+1,FALSE)="","",VLOOKUP($A6,'détails investissements'!$A$26:$DE$43,U$3-VLOOKUP($A6,'détails investissements'!$A$71:$B$88,2,FALSE)+1,FALSE)))&lt;&gt;"",HLOOKUP(IF(U$3-VLOOKUP($A6,'détails investissements'!$A$71:$B$88,2,FALSE)&lt;=0,"",IF(VLOOKUP($A6,'détails investissements'!$A$26:$DE$43,U$3-VLOOKUP($A6,'détails investissements'!$A$71:$B$88,2,FALSE)+1,FALSE)="","",VLOOKUP($A6,'détails investissements'!$A$26:$DE$43,U$3-VLOOKUP($A6,'détails investissements'!$A$71:$B$88,2,FALSE)+1,FALSE))),'détails investissements'!$U$6:$AB$7,2,FALSE),""),FALSE),"")</f>
        <v/>
      </c>
      <c r="V6" s="45" t="str">
        <f>IF(IF(IF(V$3-VLOOKUP($A6,'détails investissements'!$A$71:$B$88,2,FALSE)&lt;=0,"",IF(VLOOKUP($A6,'détails investissements'!$A$26:$DE$43,V$3-VLOOKUP($A6,'détails investissements'!$A$71:$B$88,2,FALSE)+1,FALSE)="","",VLOOKUP($A6,'détails investissements'!$A$26:$DE$43,V$3-VLOOKUP($A6,'détails investissements'!$A$71:$B$88,2,FALSE)+1,FALSE)))&lt;&gt;"",HLOOKUP(IF(V$3-VLOOKUP($A6,'détails investissements'!$A$71:$B$88,2,FALSE)&lt;=0,"",IF(VLOOKUP($A6,'détails investissements'!$A$26:$DE$43,V$3-VLOOKUP($A6,'détails investissements'!$A$71:$B$88,2,FALSE)+1,FALSE)="","",VLOOKUP($A6,'détails investissements'!$A$26:$DE$43,V$3-VLOOKUP($A6,'détails investissements'!$A$71:$B$88,2,FALSE)+1,FALSE))),'détails investissements'!$U$6:$AB$7,2,FALSE),"")&lt;&gt;"",VLOOKUP($A6,'détails investissements'!$A$7:$H$21,1+IF(IF(V$3-VLOOKUP($A6,'détails investissements'!$A$71:$B$88,2,FALSE)&lt;=0,"",IF(VLOOKUP($A6,'détails investissements'!$A$26:$DE$43,V$3-VLOOKUP($A6,'détails investissements'!$A$71:$B$88,2,FALSE)+1,FALSE)="","",VLOOKUP($A6,'détails investissements'!$A$26:$DE$43,V$3-VLOOKUP($A6,'détails investissements'!$A$71:$B$88,2,FALSE)+1,FALSE)))&lt;&gt;"",HLOOKUP(IF(V$3-VLOOKUP($A6,'détails investissements'!$A$71:$B$88,2,FALSE)&lt;=0,"",IF(VLOOKUP($A6,'détails investissements'!$A$26:$DE$43,V$3-VLOOKUP($A6,'détails investissements'!$A$71:$B$88,2,FALSE)+1,FALSE)="","",VLOOKUP($A6,'détails investissements'!$A$26:$DE$43,V$3-VLOOKUP($A6,'détails investissements'!$A$71:$B$88,2,FALSE)+1,FALSE))),'détails investissements'!$U$6:$AB$7,2,FALSE),""),FALSE),"")</f>
        <v/>
      </c>
      <c r="W6" s="45" t="str">
        <f>IF(IF(IF(W$3-VLOOKUP($A6,'détails investissements'!$A$71:$B$88,2,FALSE)&lt;=0,"",IF(VLOOKUP($A6,'détails investissements'!$A$26:$DE$43,W$3-VLOOKUP($A6,'détails investissements'!$A$71:$B$88,2,FALSE)+1,FALSE)="","",VLOOKUP($A6,'détails investissements'!$A$26:$DE$43,W$3-VLOOKUP($A6,'détails investissements'!$A$71:$B$88,2,FALSE)+1,FALSE)))&lt;&gt;"",HLOOKUP(IF(W$3-VLOOKUP($A6,'détails investissements'!$A$71:$B$88,2,FALSE)&lt;=0,"",IF(VLOOKUP($A6,'détails investissements'!$A$26:$DE$43,W$3-VLOOKUP($A6,'détails investissements'!$A$71:$B$88,2,FALSE)+1,FALSE)="","",VLOOKUP($A6,'détails investissements'!$A$26:$DE$43,W$3-VLOOKUP($A6,'détails investissements'!$A$71:$B$88,2,FALSE)+1,FALSE))),'détails investissements'!$U$6:$AB$7,2,FALSE),"")&lt;&gt;"",VLOOKUP($A6,'détails investissements'!$A$7:$H$21,1+IF(IF(W$3-VLOOKUP($A6,'détails investissements'!$A$71:$B$88,2,FALSE)&lt;=0,"",IF(VLOOKUP($A6,'détails investissements'!$A$26:$DE$43,W$3-VLOOKUP($A6,'détails investissements'!$A$71:$B$88,2,FALSE)+1,FALSE)="","",VLOOKUP($A6,'détails investissements'!$A$26:$DE$43,W$3-VLOOKUP($A6,'détails investissements'!$A$71:$B$88,2,FALSE)+1,FALSE)))&lt;&gt;"",HLOOKUP(IF(W$3-VLOOKUP($A6,'détails investissements'!$A$71:$B$88,2,FALSE)&lt;=0,"",IF(VLOOKUP($A6,'détails investissements'!$A$26:$DE$43,W$3-VLOOKUP($A6,'détails investissements'!$A$71:$B$88,2,FALSE)+1,FALSE)="","",VLOOKUP($A6,'détails investissements'!$A$26:$DE$43,W$3-VLOOKUP($A6,'détails investissements'!$A$71:$B$88,2,FALSE)+1,FALSE))),'détails investissements'!$U$6:$AB$7,2,FALSE),""),FALSE),"")</f>
        <v/>
      </c>
      <c r="X6" s="45" t="str">
        <f>IF(IF(IF(X$3-VLOOKUP($A6,'détails investissements'!$A$71:$B$88,2,FALSE)&lt;=0,"",IF(VLOOKUP($A6,'détails investissements'!$A$26:$DE$43,X$3-VLOOKUP($A6,'détails investissements'!$A$71:$B$88,2,FALSE)+1,FALSE)="","",VLOOKUP($A6,'détails investissements'!$A$26:$DE$43,X$3-VLOOKUP($A6,'détails investissements'!$A$71:$B$88,2,FALSE)+1,FALSE)))&lt;&gt;"",HLOOKUP(IF(X$3-VLOOKUP($A6,'détails investissements'!$A$71:$B$88,2,FALSE)&lt;=0,"",IF(VLOOKUP($A6,'détails investissements'!$A$26:$DE$43,X$3-VLOOKUP($A6,'détails investissements'!$A$71:$B$88,2,FALSE)+1,FALSE)="","",VLOOKUP($A6,'détails investissements'!$A$26:$DE$43,X$3-VLOOKUP($A6,'détails investissements'!$A$71:$B$88,2,FALSE)+1,FALSE))),'détails investissements'!$U$6:$AB$7,2,FALSE),"")&lt;&gt;"",VLOOKUP($A6,'détails investissements'!$A$7:$H$21,1+IF(IF(X$3-VLOOKUP($A6,'détails investissements'!$A$71:$B$88,2,FALSE)&lt;=0,"",IF(VLOOKUP($A6,'détails investissements'!$A$26:$DE$43,X$3-VLOOKUP($A6,'détails investissements'!$A$71:$B$88,2,FALSE)+1,FALSE)="","",VLOOKUP($A6,'détails investissements'!$A$26:$DE$43,X$3-VLOOKUP($A6,'détails investissements'!$A$71:$B$88,2,FALSE)+1,FALSE)))&lt;&gt;"",HLOOKUP(IF(X$3-VLOOKUP($A6,'détails investissements'!$A$71:$B$88,2,FALSE)&lt;=0,"",IF(VLOOKUP($A6,'détails investissements'!$A$26:$DE$43,X$3-VLOOKUP($A6,'détails investissements'!$A$71:$B$88,2,FALSE)+1,FALSE)="","",VLOOKUP($A6,'détails investissements'!$A$26:$DE$43,X$3-VLOOKUP($A6,'détails investissements'!$A$71:$B$88,2,FALSE)+1,FALSE))),'détails investissements'!$U$6:$AB$7,2,FALSE),""),FALSE),"")</f>
        <v/>
      </c>
      <c r="Y6" s="45" t="str">
        <f>IF(IF(IF(Y$3-VLOOKUP($A6,'détails investissements'!$A$71:$B$88,2,FALSE)&lt;=0,"",IF(VLOOKUP($A6,'détails investissements'!$A$26:$DE$43,Y$3-VLOOKUP($A6,'détails investissements'!$A$71:$B$88,2,FALSE)+1,FALSE)="","",VLOOKUP($A6,'détails investissements'!$A$26:$DE$43,Y$3-VLOOKUP($A6,'détails investissements'!$A$71:$B$88,2,FALSE)+1,FALSE)))&lt;&gt;"",HLOOKUP(IF(Y$3-VLOOKUP($A6,'détails investissements'!$A$71:$B$88,2,FALSE)&lt;=0,"",IF(VLOOKUP($A6,'détails investissements'!$A$26:$DE$43,Y$3-VLOOKUP($A6,'détails investissements'!$A$71:$B$88,2,FALSE)+1,FALSE)="","",VLOOKUP($A6,'détails investissements'!$A$26:$DE$43,Y$3-VLOOKUP($A6,'détails investissements'!$A$71:$B$88,2,FALSE)+1,FALSE))),'détails investissements'!$U$6:$AB$7,2,FALSE),"")&lt;&gt;"",VLOOKUP($A6,'détails investissements'!$A$7:$H$21,1+IF(IF(Y$3-VLOOKUP($A6,'détails investissements'!$A$71:$B$88,2,FALSE)&lt;=0,"",IF(VLOOKUP($A6,'détails investissements'!$A$26:$DE$43,Y$3-VLOOKUP($A6,'détails investissements'!$A$71:$B$88,2,FALSE)+1,FALSE)="","",VLOOKUP($A6,'détails investissements'!$A$26:$DE$43,Y$3-VLOOKUP($A6,'détails investissements'!$A$71:$B$88,2,FALSE)+1,FALSE)))&lt;&gt;"",HLOOKUP(IF(Y$3-VLOOKUP($A6,'détails investissements'!$A$71:$B$88,2,FALSE)&lt;=0,"",IF(VLOOKUP($A6,'détails investissements'!$A$26:$DE$43,Y$3-VLOOKUP($A6,'détails investissements'!$A$71:$B$88,2,FALSE)+1,FALSE)="","",VLOOKUP($A6,'détails investissements'!$A$26:$DE$43,Y$3-VLOOKUP($A6,'détails investissements'!$A$71:$B$88,2,FALSE)+1,FALSE))),'détails investissements'!$U$6:$AB$7,2,FALSE),""),FALSE),"")</f>
        <v/>
      </c>
      <c r="Z6" s="45" t="str">
        <f>IF(IF(IF(Z$3-VLOOKUP($A6,'détails investissements'!$A$71:$B$88,2,FALSE)&lt;=0,"",IF(VLOOKUP($A6,'détails investissements'!$A$26:$DE$43,Z$3-VLOOKUP($A6,'détails investissements'!$A$71:$B$88,2,FALSE)+1,FALSE)="","",VLOOKUP($A6,'détails investissements'!$A$26:$DE$43,Z$3-VLOOKUP($A6,'détails investissements'!$A$71:$B$88,2,FALSE)+1,FALSE)))&lt;&gt;"",HLOOKUP(IF(Z$3-VLOOKUP($A6,'détails investissements'!$A$71:$B$88,2,FALSE)&lt;=0,"",IF(VLOOKUP($A6,'détails investissements'!$A$26:$DE$43,Z$3-VLOOKUP($A6,'détails investissements'!$A$71:$B$88,2,FALSE)+1,FALSE)="","",VLOOKUP($A6,'détails investissements'!$A$26:$DE$43,Z$3-VLOOKUP($A6,'détails investissements'!$A$71:$B$88,2,FALSE)+1,FALSE))),'détails investissements'!$U$6:$AB$7,2,FALSE),"")&lt;&gt;"",VLOOKUP($A6,'détails investissements'!$A$7:$H$21,1+IF(IF(Z$3-VLOOKUP($A6,'détails investissements'!$A$71:$B$88,2,FALSE)&lt;=0,"",IF(VLOOKUP($A6,'détails investissements'!$A$26:$DE$43,Z$3-VLOOKUP($A6,'détails investissements'!$A$71:$B$88,2,FALSE)+1,FALSE)="","",VLOOKUP($A6,'détails investissements'!$A$26:$DE$43,Z$3-VLOOKUP($A6,'détails investissements'!$A$71:$B$88,2,FALSE)+1,FALSE)))&lt;&gt;"",HLOOKUP(IF(Z$3-VLOOKUP($A6,'détails investissements'!$A$71:$B$88,2,FALSE)&lt;=0,"",IF(VLOOKUP($A6,'détails investissements'!$A$26:$DE$43,Z$3-VLOOKUP($A6,'détails investissements'!$A$71:$B$88,2,FALSE)+1,FALSE)="","",VLOOKUP($A6,'détails investissements'!$A$26:$DE$43,Z$3-VLOOKUP($A6,'détails investissements'!$A$71:$B$88,2,FALSE)+1,FALSE))),'détails investissements'!$U$6:$AB$7,2,FALSE),""),FALSE),"")</f>
        <v/>
      </c>
      <c r="AA6" s="45" t="str">
        <f>IF(IF(IF(AA$3-VLOOKUP($A6,'détails investissements'!$A$71:$B$88,2,FALSE)&lt;=0,"",IF(VLOOKUP($A6,'détails investissements'!$A$26:$DE$43,AA$3-VLOOKUP($A6,'détails investissements'!$A$71:$B$88,2,FALSE)+1,FALSE)="","",VLOOKUP($A6,'détails investissements'!$A$26:$DE$43,AA$3-VLOOKUP($A6,'détails investissements'!$A$71:$B$88,2,FALSE)+1,FALSE)))&lt;&gt;"",HLOOKUP(IF(AA$3-VLOOKUP($A6,'détails investissements'!$A$71:$B$88,2,FALSE)&lt;=0,"",IF(VLOOKUP($A6,'détails investissements'!$A$26:$DE$43,AA$3-VLOOKUP($A6,'détails investissements'!$A$71:$B$88,2,FALSE)+1,FALSE)="","",VLOOKUP($A6,'détails investissements'!$A$26:$DE$43,AA$3-VLOOKUP($A6,'détails investissements'!$A$71:$B$88,2,FALSE)+1,FALSE))),'détails investissements'!$U$6:$AB$7,2,FALSE),"")&lt;&gt;"",VLOOKUP($A6,'détails investissements'!$A$7:$H$21,1+IF(IF(AA$3-VLOOKUP($A6,'détails investissements'!$A$71:$B$88,2,FALSE)&lt;=0,"",IF(VLOOKUP($A6,'détails investissements'!$A$26:$DE$43,AA$3-VLOOKUP($A6,'détails investissements'!$A$71:$B$88,2,FALSE)+1,FALSE)="","",VLOOKUP($A6,'détails investissements'!$A$26:$DE$43,AA$3-VLOOKUP($A6,'détails investissements'!$A$71:$B$88,2,FALSE)+1,FALSE)))&lt;&gt;"",HLOOKUP(IF(AA$3-VLOOKUP($A6,'détails investissements'!$A$71:$B$88,2,FALSE)&lt;=0,"",IF(VLOOKUP($A6,'détails investissements'!$A$26:$DE$43,AA$3-VLOOKUP($A6,'détails investissements'!$A$71:$B$88,2,FALSE)+1,FALSE)="","",VLOOKUP($A6,'détails investissements'!$A$26:$DE$43,AA$3-VLOOKUP($A6,'détails investissements'!$A$71:$B$88,2,FALSE)+1,FALSE))),'détails investissements'!$U$6:$AB$7,2,FALSE),""),FALSE),"")</f>
        <v/>
      </c>
      <c r="AB6" s="45">
        <f>IF(IF(IF(AB$3-VLOOKUP($A6,'détails investissements'!$A$71:$B$88,2,FALSE)&lt;=0,"",IF(VLOOKUP($A6,'détails investissements'!$A$26:$DE$43,AB$3-VLOOKUP($A6,'détails investissements'!$A$71:$B$88,2,FALSE)+1,FALSE)="","",VLOOKUP($A6,'détails investissements'!$A$26:$DE$43,AB$3-VLOOKUP($A6,'détails investissements'!$A$71:$B$88,2,FALSE)+1,FALSE)))&lt;&gt;"",HLOOKUP(IF(AB$3-VLOOKUP($A6,'détails investissements'!$A$71:$B$88,2,FALSE)&lt;=0,"",IF(VLOOKUP($A6,'détails investissements'!$A$26:$DE$43,AB$3-VLOOKUP($A6,'détails investissements'!$A$71:$B$88,2,FALSE)+1,FALSE)="","",VLOOKUP($A6,'détails investissements'!$A$26:$DE$43,AB$3-VLOOKUP($A6,'détails investissements'!$A$71:$B$88,2,FALSE)+1,FALSE))),'détails investissements'!$U$6:$AB$7,2,FALSE),"")&lt;&gt;"",VLOOKUP($A6,'détails investissements'!$A$7:$H$21,1+IF(IF(AB$3-VLOOKUP($A6,'détails investissements'!$A$71:$B$88,2,FALSE)&lt;=0,"",IF(VLOOKUP($A6,'détails investissements'!$A$26:$DE$43,AB$3-VLOOKUP($A6,'détails investissements'!$A$71:$B$88,2,FALSE)+1,FALSE)="","",VLOOKUP($A6,'détails investissements'!$A$26:$DE$43,AB$3-VLOOKUP($A6,'détails investissements'!$A$71:$B$88,2,FALSE)+1,FALSE)))&lt;&gt;"",HLOOKUP(IF(AB$3-VLOOKUP($A6,'détails investissements'!$A$71:$B$88,2,FALSE)&lt;=0,"",IF(VLOOKUP($A6,'détails investissements'!$A$26:$DE$43,AB$3-VLOOKUP($A6,'détails investissements'!$A$71:$B$88,2,FALSE)+1,FALSE)="","",VLOOKUP($A6,'détails investissements'!$A$26:$DE$43,AB$3-VLOOKUP($A6,'détails investissements'!$A$71:$B$88,2,FALSE)+1,FALSE))),'détails investissements'!$U$6:$AB$7,2,FALSE),""),FALSE),"")</f>
        <v>0.2</v>
      </c>
      <c r="AC6" s="45" t="str">
        <f>IF(IF(IF(AC$3-VLOOKUP($A6,'détails investissements'!$A$71:$B$88,2,FALSE)&lt;=0,"",IF(VLOOKUP($A6,'détails investissements'!$A$26:$DE$43,AC$3-VLOOKUP($A6,'détails investissements'!$A$71:$B$88,2,FALSE)+1,FALSE)="","",VLOOKUP($A6,'détails investissements'!$A$26:$DE$43,AC$3-VLOOKUP($A6,'détails investissements'!$A$71:$B$88,2,FALSE)+1,FALSE)))&lt;&gt;"",HLOOKUP(IF(AC$3-VLOOKUP($A6,'détails investissements'!$A$71:$B$88,2,FALSE)&lt;=0,"",IF(VLOOKUP($A6,'détails investissements'!$A$26:$DE$43,AC$3-VLOOKUP($A6,'détails investissements'!$A$71:$B$88,2,FALSE)+1,FALSE)="","",VLOOKUP($A6,'détails investissements'!$A$26:$DE$43,AC$3-VLOOKUP($A6,'détails investissements'!$A$71:$B$88,2,FALSE)+1,FALSE))),'détails investissements'!$U$6:$AB$7,2,FALSE),"")&lt;&gt;"",VLOOKUP($A6,'détails investissements'!$A$7:$H$21,1+IF(IF(AC$3-VLOOKUP($A6,'détails investissements'!$A$71:$B$88,2,FALSE)&lt;=0,"",IF(VLOOKUP($A6,'détails investissements'!$A$26:$DE$43,AC$3-VLOOKUP($A6,'détails investissements'!$A$71:$B$88,2,FALSE)+1,FALSE)="","",VLOOKUP($A6,'détails investissements'!$A$26:$DE$43,AC$3-VLOOKUP($A6,'détails investissements'!$A$71:$B$88,2,FALSE)+1,FALSE)))&lt;&gt;"",HLOOKUP(IF(AC$3-VLOOKUP($A6,'détails investissements'!$A$71:$B$88,2,FALSE)&lt;=0,"",IF(VLOOKUP($A6,'détails investissements'!$A$26:$DE$43,AC$3-VLOOKUP($A6,'détails investissements'!$A$71:$B$88,2,FALSE)+1,FALSE)="","",VLOOKUP($A6,'détails investissements'!$A$26:$DE$43,AC$3-VLOOKUP($A6,'détails investissements'!$A$71:$B$88,2,FALSE)+1,FALSE))),'détails investissements'!$U$6:$AB$7,2,FALSE),""),FALSE),"")</f>
        <v/>
      </c>
      <c r="AD6" s="45" t="str">
        <f>IF(IF(IF(AD$3-VLOOKUP($A6,'détails investissements'!$A$71:$B$88,2,FALSE)&lt;=0,"",IF(VLOOKUP($A6,'détails investissements'!$A$26:$DE$43,AD$3-VLOOKUP($A6,'détails investissements'!$A$71:$B$88,2,FALSE)+1,FALSE)="","",VLOOKUP($A6,'détails investissements'!$A$26:$DE$43,AD$3-VLOOKUP($A6,'détails investissements'!$A$71:$B$88,2,FALSE)+1,FALSE)))&lt;&gt;"",HLOOKUP(IF(AD$3-VLOOKUP($A6,'détails investissements'!$A$71:$B$88,2,FALSE)&lt;=0,"",IF(VLOOKUP($A6,'détails investissements'!$A$26:$DE$43,AD$3-VLOOKUP($A6,'détails investissements'!$A$71:$B$88,2,FALSE)+1,FALSE)="","",VLOOKUP($A6,'détails investissements'!$A$26:$DE$43,AD$3-VLOOKUP($A6,'détails investissements'!$A$71:$B$88,2,FALSE)+1,FALSE))),'détails investissements'!$U$6:$AB$7,2,FALSE),"")&lt;&gt;"",VLOOKUP($A6,'détails investissements'!$A$7:$H$21,1+IF(IF(AD$3-VLOOKUP($A6,'détails investissements'!$A$71:$B$88,2,FALSE)&lt;=0,"",IF(VLOOKUP($A6,'détails investissements'!$A$26:$DE$43,AD$3-VLOOKUP($A6,'détails investissements'!$A$71:$B$88,2,FALSE)+1,FALSE)="","",VLOOKUP($A6,'détails investissements'!$A$26:$DE$43,AD$3-VLOOKUP($A6,'détails investissements'!$A$71:$B$88,2,FALSE)+1,FALSE)))&lt;&gt;"",HLOOKUP(IF(AD$3-VLOOKUP($A6,'détails investissements'!$A$71:$B$88,2,FALSE)&lt;=0,"",IF(VLOOKUP($A6,'détails investissements'!$A$26:$DE$43,AD$3-VLOOKUP($A6,'détails investissements'!$A$71:$B$88,2,FALSE)+1,FALSE)="","",VLOOKUP($A6,'détails investissements'!$A$26:$DE$43,AD$3-VLOOKUP($A6,'détails investissements'!$A$71:$B$88,2,FALSE)+1,FALSE))),'détails investissements'!$U$6:$AB$7,2,FALSE),""),FALSE),"")</f>
        <v/>
      </c>
      <c r="AE6" s="45">
        <f>IF(IF(IF(AE$3-VLOOKUP($A6,'détails investissements'!$A$71:$B$88,2,FALSE)&lt;=0,"",IF(VLOOKUP($A6,'détails investissements'!$A$26:$DE$43,AE$3-VLOOKUP($A6,'détails investissements'!$A$71:$B$88,2,FALSE)+1,FALSE)="","",VLOOKUP($A6,'détails investissements'!$A$26:$DE$43,AE$3-VLOOKUP($A6,'détails investissements'!$A$71:$B$88,2,FALSE)+1,FALSE)))&lt;&gt;"",HLOOKUP(IF(AE$3-VLOOKUP($A6,'détails investissements'!$A$71:$B$88,2,FALSE)&lt;=0,"",IF(VLOOKUP($A6,'détails investissements'!$A$26:$DE$43,AE$3-VLOOKUP($A6,'détails investissements'!$A$71:$B$88,2,FALSE)+1,FALSE)="","",VLOOKUP($A6,'détails investissements'!$A$26:$DE$43,AE$3-VLOOKUP($A6,'détails investissements'!$A$71:$B$88,2,FALSE)+1,FALSE))),'détails investissements'!$U$6:$AB$7,2,FALSE),"")&lt;&gt;"",VLOOKUP($A6,'détails investissements'!$A$7:$H$21,1+IF(IF(AE$3-VLOOKUP($A6,'détails investissements'!$A$71:$B$88,2,FALSE)&lt;=0,"",IF(VLOOKUP($A6,'détails investissements'!$A$26:$DE$43,AE$3-VLOOKUP($A6,'détails investissements'!$A$71:$B$88,2,FALSE)+1,FALSE)="","",VLOOKUP($A6,'détails investissements'!$A$26:$DE$43,AE$3-VLOOKUP($A6,'détails investissements'!$A$71:$B$88,2,FALSE)+1,FALSE)))&lt;&gt;"",HLOOKUP(IF(AE$3-VLOOKUP($A6,'détails investissements'!$A$71:$B$88,2,FALSE)&lt;=0,"",IF(VLOOKUP($A6,'détails investissements'!$A$26:$DE$43,AE$3-VLOOKUP($A6,'détails investissements'!$A$71:$B$88,2,FALSE)+1,FALSE)="","",VLOOKUP($A6,'détails investissements'!$A$26:$DE$43,AE$3-VLOOKUP($A6,'détails investissements'!$A$71:$B$88,2,FALSE)+1,FALSE))),'détails investissements'!$U$6:$AB$7,2,FALSE),""),FALSE),"")</f>
        <v>0.1</v>
      </c>
      <c r="AF6" s="45" t="str">
        <f>IF(IF(IF(AF$3-VLOOKUP($A6,'détails investissements'!$A$71:$B$88,2,FALSE)&lt;=0,"",IF(VLOOKUP($A6,'détails investissements'!$A$26:$DE$43,AF$3-VLOOKUP($A6,'détails investissements'!$A$71:$B$88,2,FALSE)+1,FALSE)="","",VLOOKUP($A6,'détails investissements'!$A$26:$DE$43,AF$3-VLOOKUP($A6,'détails investissements'!$A$71:$B$88,2,FALSE)+1,FALSE)))&lt;&gt;"",HLOOKUP(IF(AF$3-VLOOKUP($A6,'détails investissements'!$A$71:$B$88,2,FALSE)&lt;=0,"",IF(VLOOKUP($A6,'détails investissements'!$A$26:$DE$43,AF$3-VLOOKUP($A6,'détails investissements'!$A$71:$B$88,2,FALSE)+1,FALSE)="","",VLOOKUP($A6,'détails investissements'!$A$26:$DE$43,AF$3-VLOOKUP($A6,'détails investissements'!$A$71:$B$88,2,FALSE)+1,FALSE))),'détails investissements'!$U$6:$AB$7,2,FALSE),"")&lt;&gt;"",VLOOKUP($A6,'détails investissements'!$A$7:$H$21,1+IF(IF(AF$3-VLOOKUP($A6,'détails investissements'!$A$71:$B$88,2,FALSE)&lt;=0,"",IF(VLOOKUP($A6,'détails investissements'!$A$26:$DE$43,AF$3-VLOOKUP($A6,'détails investissements'!$A$71:$B$88,2,FALSE)+1,FALSE)="","",VLOOKUP($A6,'détails investissements'!$A$26:$DE$43,AF$3-VLOOKUP($A6,'détails investissements'!$A$71:$B$88,2,FALSE)+1,FALSE)))&lt;&gt;"",HLOOKUP(IF(AF$3-VLOOKUP($A6,'détails investissements'!$A$71:$B$88,2,FALSE)&lt;=0,"",IF(VLOOKUP($A6,'détails investissements'!$A$26:$DE$43,AF$3-VLOOKUP($A6,'détails investissements'!$A$71:$B$88,2,FALSE)+1,FALSE)="","",VLOOKUP($A6,'détails investissements'!$A$26:$DE$43,AF$3-VLOOKUP($A6,'détails investissements'!$A$71:$B$88,2,FALSE)+1,FALSE))),'détails investissements'!$U$6:$AB$7,2,FALSE),""),FALSE),"")</f>
        <v/>
      </c>
      <c r="AG6" s="45" t="str">
        <f>IF(IF(IF(AG$3-VLOOKUP($A6,'détails investissements'!$A$71:$B$88,2,FALSE)&lt;=0,"",IF(VLOOKUP($A6,'détails investissements'!$A$26:$DE$43,AG$3-VLOOKUP($A6,'détails investissements'!$A$71:$B$88,2,FALSE)+1,FALSE)="","",VLOOKUP($A6,'détails investissements'!$A$26:$DE$43,AG$3-VLOOKUP($A6,'détails investissements'!$A$71:$B$88,2,FALSE)+1,FALSE)))&lt;&gt;"",HLOOKUP(IF(AG$3-VLOOKUP($A6,'détails investissements'!$A$71:$B$88,2,FALSE)&lt;=0,"",IF(VLOOKUP($A6,'détails investissements'!$A$26:$DE$43,AG$3-VLOOKUP($A6,'détails investissements'!$A$71:$B$88,2,FALSE)+1,FALSE)="","",VLOOKUP($A6,'détails investissements'!$A$26:$DE$43,AG$3-VLOOKUP($A6,'détails investissements'!$A$71:$B$88,2,FALSE)+1,FALSE))),'détails investissements'!$U$6:$AB$7,2,FALSE),"")&lt;&gt;"",VLOOKUP($A6,'détails investissements'!$A$7:$H$21,1+IF(IF(AG$3-VLOOKUP($A6,'détails investissements'!$A$71:$B$88,2,FALSE)&lt;=0,"",IF(VLOOKUP($A6,'détails investissements'!$A$26:$DE$43,AG$3-VLOOKUP($A6,'détails investissements'!$A$71:$B$88,2,FALSE)+1,FALSE)="","",VLOOKUP($A6,'détails investissements'!$A$26:$DE$43,AG$3-VLOOKUP($A6,'détails investissements'!$A$71:$B$88,2,FALSE)+1,FALSE)))&lt;&gt;"",HLOOKUP(IF(AG$3-VLOOKUP($A6,'détails investissements'!$A$71:$B$88,2,FALSE)&lt;=0,"",IF(VLOOKUP($A6,'détails investissements'!$A$26:$DE$43,AG$3-VLOOKUP($A6,'détails investissements'!$A$71:$B$88,2,FALSE)+1,FALSE)="","",VLOOKUP($A6,'détails investissements'!$A$26:$DE$43,AG$3-VLOOKUP($A6,'détails investissements'!$A$71:$B$88,2,FALSE)+1,FALSE))),'détails investissements'!$U$6:$AB$7,2,FALSE),""),FALSE),"")</f>
        <v/>
      </c>
      <c r="AH6" s="45" t="str">
        <f>IF(IF(IF(AH$3-VLOOKUP($A6,'détails investissements'!$A$71:$B$88,2,FALSE)&lt;=0,"",IF(VLOOKUP($A6,'détails investissements'!$A$26:$DE$43,AH$3-VLOOKUP($A6,'détails investissements'!$A$71:$B$88,2,FALSE)+1,FALSE)="","",VLOOKUP($A6,'détails investissements'!$A$26:$DE$43,AH$3-VLOOKUP($A6,'détails investissements'!$A$71:$B$88,2,FALSE)+1,FALSE)))&lt;&gt;"",HLOOKUP(IF(AH$3-VLOOKUP($A6,'détails investissements'!$A$71:$B$88,2,FALSE)&lt;=0,"",IF(VLOOKUP($A6,'détails investissements'!$A$26:$DE$43,AH$3-VLOOKUP($A6,'détails investissements'!$A$71:$B$88,2,FALSE)+1,FALSE)="","",VLOOKUP($A6,'détails investissements'!$A$26:$DE$43,AH$3-VLOOKUP($A6,'détails investissements'!$A$71:$B$88,2,FALSE)+1,FALSE))),'détails investissements'!$U$6:$AB$7,2,FALSE),"")&lt;&gt;"",VLOOKUP($A6,'détails investissements'!$A$7:$H$21,1+IF(IF(AH$3-VLOOKUP($A6,'détails investissements'!$A$71:$B$88,2,FALSE)&lt;=0,"",IF(VLOOKUP($A6,'détails investissements'!$A$26:$DE$43,AH$3-VLOOKUP($A6,'détails investissements'!$A$71:$B$88,2,FALSE)+1,FALSE)="","",VLOOKUP($A6,'détails investissements'!$A$26:$DE$43,AH$3-VLOOKUP($A6,'détails investissements'!$A$71:$B$88,2,FALSE)+1,FALSE)))&lt;&gt;"",HLOOKUP(IF(AH$3-VLOOKUP($A6,'détails investissements'!$A$71:$B$88,2,FALSE)&lt;=0,"",IF(VLOOKUP($A6,'détails investissements'!$A$26:$DE$43,AH$3-VLOOKUP($A6,'détails investissements'!$A$71:$B$88,2,FALSE)+1,FALSE)="","",VLOOKUP($A6,'détails investissements'!$A$26:$DE$43,AH$3-VLOOKUP($A6,'détails investissements'!$A$71:$B$88,2,FALSE)+1,FALSE))),'détails investissements'!$U$6:$AB$7,2,FALSE),""),FALSE),"")</f>
        <v/>
      </c>
      <c r="AI6" s="45" t="str">
        <f>IF(IF(IF(AI$3-VLOOKUP($A6,'détails investissements'!$A$71:$B$88,2,FALSE)&lt;=0,"",IF(VLOOKUP($A6,'détails investissements'!$A$26:$DE$43,AI$3-VLOOKUP($A6,'détails investissements'!$A$71:$B$88,2,FALSE)+1,FALSE)="","",VLOOKUP($A6,'détails investissements'!$A$26:$DE$43,AI$3-VLOOKUP($A6,'détails investissements'!$A$71:$B$88,2,FALSE)+1,FALSE)))&lt;&gt;"",HLOOKUP(IF(AI$3-VLOOKUP($A6,'détails investissements'!$A$71:$B$88,2,FALSE)&lt;=0,"",IF(VLOOKUP($A6,'détails investissements'!$A$26:$DE$43,AI$3-VLOOKUP($A6,'détails investissements'!$A$71:$B$88,2,FALSE)+1,FALSE)="","",VLOOKUP($A6,'détails investissements'!$A$26:$DE$43,AI$3-VLOOKUP($A6,'détails investissements'!$A$71:$B$88,2,FALSE)+1,FALSE))),'détails investissements'!$U$6:$AB$7,2,FALSE),"")&lt;&gt;"",VLOOKUP($A6,'détails investissements'!$A$7:$H$21,1+IF(IF(AI$3-VLOOKUP($A6,'détails investissements'!$A$71:$B$88,2,FALSE)&lt;=0,"",IF(VLOOKUP($A6,'détails investissements'!$A$26:$DE$43,AI$3-VLOOKUP($A6,'détails investissements'!$A$71:$B$88,2,FALSE)+1,FALSE)="","",VLOOKUP($A6,'détails investissements'!$A$26:$DE$43,AI$3-VLOOKUP($A6,'détails investissements'!$A$71:$B$88,2,FALSE)+1,FALSE)))&lt;&gt;"",HLOOKUP(IF(AI$3-VLOOKUP($A6,'détails investissements'!$A$71:$B$88,2,FALSE)&lt;=0,"",IF(VLOOKUP($A6,'détails investissements'!$A$26:$DE$43,AI$3-VLOOKUP($A6,'détails investissements'!$A$71:$B$88,2,FALSE)+1,FALSE)="","",VLOOKUP($A6,'détails investissements'!$A$26:$DE$43,AI$3-VLOOKUP($A6,'détails investissements'!$A$71:$B$88,2,FALSE)+1,FALSE))),'détails investissements'!$U$6:$AB$7,2,FALSE),""),FALSE),"")</f>
        <v/>
      </c>
      <c r="AJ6" s="45" t="str">
        <f>IF(IF(IF(AJ$3-VLOOKUP($A6,'détails investissements'!$A$71:$B$88,2,FALSE)&lt;=0,"",IF(VLOOKUP($A6,'détails investissements'!$A$26:$DE$43,AJ$3-VLOOKUP($A6,'détails investissements'!$A$71:$B$88,2,FALSE)+1,FALSE)="","",VLOOKUP($A6,'détails investissements'!$A$26:$DE$43,AJ$3-VLOOKUP($A6,'détails investissements'!$A$71:$B$88,2,FALSE)+1,FALSE)))&lt;&gt;"",HLOOKUP(IF(AJ$3-VLOOKUP($A6,'détails investissements'!$A$71:$B$88,2,FALSE)&lt;=0,"",IF(VLOOKUP($A6,'détails investissements'!$A$26:$DE$43,AJ$3-VLOOKUP($A6,'détails investissements'!$A$71:$B$88,2,FALSE)+1,FALSE)="","",VLOOKUP($A6,'détails investissements'!$A$26:$DE$43,AJ$3-VLOOKUP($A6,'détails investissements'!$A$71:$B$88,2,FALSE)+1,FALSE))),'détails investissements'!$U$6:$AB$7,2,FALSE),"")&lt;&gt;"",VLOOKUP($A6,'détails investissements'!$A$7:$H$21,1+IF(IF(AJ$3-VLOOKUP($A6,'détails investissements'!$A$71:$B$88,2,FALSE)&lt;=0,"",IF(VLOOKUP($A6,'détails investissements'!$A$26:$DE$43,AJ$3-VLOOKUP($A6,'détails investissements'!$A$71:$B$88,2,FALSE)+1,FALSE)="","",VLOOKUP($A6,'détails investissements'!$A$26:$DE$43,AJ$3-VLOOKUP($A6,'détails investissements'!$A$71:$B$88,2,FALSE)+1,FALSE)))&lt;&gt;"",HLOOKUP(IF(AJ$3-VLOOKUP($A6,'détails investissements'!$A$71:$B$88,2,FALSE)&lt;=0,"",IF(VLOOKUP($A6,'détails investissements'!$A$26:$DE$43,AJ$3-VLOOKUP($A6,'détails investissements'!$A$71:$B$88,2,FALSE)+1,FALSE)="","",VLOOKUP($A6,'détails investissements'!$A$26:$DE$43,AJ$3-VLOOKUP($A6,'détails investissements'!$A$71:$B$88,2,FALSE)+1,FALSE))),'détails investissements'!$U$6:$AB$7,2,FALSE),""),FALSE),"")</f>
        <v/>
      </c>
      <c r="AK6" s="45" t="str">
        <f>IF(IF(IF(AK$3-VLOOKUP($A6,'détails investissements'!$A$71:$B$88,2,FALSE)&lt;=0,"",IF(VLOOKUP($A6,'détails investissements'!$A$26:$DE$43,AK$3-VLOOKUP($A6,'détails investissements'!$A$71:$B$88,2,FALSE)+1,FALSE)="","",VLOOKUP($A6,'détails investissements'!$A$26:$DE$43,AK$3-VLOOKUP($A6,'détails investissements'!$A$71:$B$88,2,FALSE)+1,FALSE)))&lt;&gt;"",HLOOKUP(IF(AK$3-VLOOKUP($A6,'détails investissements'!$A$71:$B$88,2,FALSE)&lt;=0,"",IF(VLOOKUP($A6,'détails investissements'!$A$26:$DE$43,AK$3-VLOOKUP($A6,'détails investissements'!$A$71:$B$88,2,FALSE)+1,FALSE)="","",VLOOKUP($A6,'détails investissements'!$A$26:$DE$43,AK$3-VLOOKUP($A6,'détails investissements'!$A$71:$B$88,2,FALSE)+1,FALSE))),'détails investissements'!$U$6:$AB$7,2,FALSE),"")&lt;&gt;"",VLOOKUP($A6,'détails investissements'!$A$7:$H$21,1+IF(IF(AK$3-VLOOKUP($A6,'détails investissements'!$A$71:$B$88,2,FALSE)&lt;=0,"",IF(VLOOKUP($A6,'détails investissements'!$A$26:$DE$43,AK$3-VLOOKUP($A6,'détails investissements'!$A$71:$B$88,2,FALSE)+1,FALSE)="","",VLOOKUP($A6,'détails investissements'!$A$26:$DE$43,AK$3-VLOOKUP($A6,'détails investissements'!$A$71:$B$88,2,FALSE)+1,FALSE)))&lt;&gt;"",HLOOKUP(IF(AK$3-VLOOKUP($A6,'détails investissements'!$A$71:$B$88,2,FALSE)&lt;=0,"",IF(VLOOKUP($A6,'détails investissements'!$A$26:$DE$43,AK$3-VLOOKUP($A6,'détails investissements'!$A$71:$B$88,2,FALSE)+1,FALSE)="","",VLOOKUP($A6,'détails investissements'!$A$26:$DE$43,AK$3-VLOOKUP($A6,'détails investissements'!$A$71:$B$88,2,FALSE)+1,FALSE))),'détails investissements'!$U$6:$AB$7,2,FALSE),""),FALSE),"")</f>
        <v/>
      </c>
      <c r="AL6" s="45" t="str">
        <f>IF(IF(IF(AL$3-VLOOKUP($A6,'détails investissements'!$A$71:$B$88,2,FALSE)&lt;=0,"",IF(VLOOKUP($A6,'détails investissements'!$A$26:$DE$43,AL$3-VLOOKUP($A6,'détails investissements'!$A$71:$B$88,2,FALSE)+1,FALSE)="","",VLOOKUP($A6,'détails investissements'!$A$26:$DE$43,AL$3-VLOOKUP($A6,'détails investissements'!$A$71:$B$88,2,FALSE)+1,FALSE)))&lt;&gt;"",HLOOKUP(IF(AL$3-VLOOKUP($A6,'détails investissements'!$A$71:$B$88,2,FALSE)&lt;=0,"",IF(VLOOKUP($A6,'détails investissements'!$A$26:$DE$43,AL$3-VLOOKUP($A6,'détails investissements'!$A$71:$B$88,2,FALSE)+1,FALSE)="","",VLOOKUP($A6,'détails investissements'!$A$26:$DE$43,AL$3-VLOOKUP($A6,'détails investissements'!$A$71:$B$88,2,FALSE)+1,FALSE))),'détails investissements'!$U$6:$AB$7,2,FALSE),"")&lt;&gt;"",VLOOKUP($A6,'détails investissements'!$A$7:$H$21,1+IF(IF(AL$3-VLOOKUP($A6,'détails investissements'!$A$71:$B$88,2,FALSE)&lt;=0,"",IF(VLOOKUP($A6,'détails investissements'!$A$26:$DE$43,AL$3-VLOOKUP($A6,'détails investissements'!$A$71:$B$88,2,FALSE)+1,FALSE)="","",VLOOKUP($A6,'détails investissements'!$A$26:$DE$43,AL$3-VLOOKUP($A6,'détails investissements'!$A$71:$B$88,2,FALSE)+1,FALSE)))&lt;&gt;"",HLOOKUP(IF(AL$3-VLOOKUP($A6,'détails investissements'!$A$71:$B$88,2,FALSE)&lt;=0,"",IF(VLOOKUP($A6,'détails investissements'!$A$26:$DE$43,AL$3-VLOOKUP($A6,'détails investissements'!$A$71:$B$88,2,FALSE)+1,FALSE)="","",VLOOKUP($A6,'détails investissements'!$A$26:$DE$43,AL$3-VLOOKUP($A6,'détails investissements'!$A$71:$B$88,2,FALSE)+1,FALSE))),'détails investissements'!$U$6:$AB$7,2,FALSE),""),FALSE),"")</f>
        <v/>
      </c>
      <c r="AM6" s="45" t="str">
        <f>IF(IF(IF(AM$3-VLOOKUP($A6,'détails investissements'!$A$71:$B$88,2,FALSE)&lt;=0,"",IF(VLOOKUP($A6,'détails investissements'!$A$26:$DE$43,AM$3-VLOOKUP($A6,'détails investissements'!$A$71:$B$88,2,FALSE)+1,FALSE)="","",VLOOKUP($A6,'détails investissements'!$A$26:$DE$43,AM$3-VLOOKUP($A6,'détails investissements'!$A$71:$B$88,2,FALSE)+1,FALSE)))&lt;&gt;"",HLOOKUP(IF(AM$3-VLOOKUP($A6,'détails investissements'!$A$71:$B$88,2,FALSE)&lt;=0,"",IF(VLOOKUP($A6,'détails investissements'!$A$26:$DE$43,AM$3-VLOOKUP($A6,'détails investissements'!$A$71:$B$88,2,FALSE)+1,FALSE)="","",VLOOKUP($A6,'détails investissements'!$A$26:$DE$43,AM$3-VLOOKUP($A6,'détails investissements'!$A$71:$B$88,2,FALSE)+1,FALSE))),'détails investissements'!$U$6:$AB$7,2,FALSE),"")&lt;&gt;"",VLOOKUP($A6,'détails investissements'!$A$7:$H$21,1+IF(IF(AM$3-VLOOKUP($A6,'détails investissements'!$A$71:$B$88,2,FALSE)&lt;=0,"",IF(VLOOKUP($A6,'détails investissements'!$A$26:$DE$43,AM$3-VLOOKUP($A6,'détails investissements'!$A$71:$B$88,2,FALSE)+1,FALSE)="","",VLOOKUP($A6,'détails investissements'!$A$26:$DE$43,AM$3-VLOOKUP($A6,'détails investissements'!$A$71:$B$88,2,FALSE)+1,FALSE)))&lt;&gt;"",HLOOKUP(IF(AM$3-VLOOKUP($A6,'détails investissements'!$A$71:$B$88,2,FALSE)&lt;=0,"",IF(VLOOKUP($A6,'détails investissements'!$A$26:$DE$43,AM$3-VLOOKUP($A6,'détails investissements'!$A$71:$B$88,2,FALSE)+1,FALSE)="","",VLOOKUP($A6,'détails investissements'!$A$26:$DE$43,AM$3-VLOOKUP($A6,'détails investissements'!$A$71:$B$88,2,FALSE)+1,FALSE))),'détails investissements'!$U$6:$AB$7,2,FALSE),""),FALSE),"")</f>
        <v/>
      </c>
      <c r="AN6" s="45" t="str">
        <f>IF(IF(IF(AN$3-VLOOKUP($A6,'détails investissements'!$A$71:$B$88,2,FALSE)&lt;=0,"",IF(VLOOKUP($A6,'détails investissements'!$A$26:$DE$43,AN$3-VLOOKUP($A6,'détails investissements'!$A$71:$B$88,2,FALSE)+1,FALSE)="","",VLOOKUP($A6,'détails investissements'!$A$26:$DE$43,AN$3-VLOOKUP($A6,'détails investissements'!$A$71:$B$88,2,FALSE)+1,FALSE)))&lt;&gt;"",HLOOKUP(IF(AN$3-VLOOKUP($A6,'détails investissements'!$A$71:$B$88,2,FALSE)&lt;=0,"",IF(VLOOKUP($A6,'détails investissements'!$A$26:$DE$43,AN$3-VLOOKUP($A6,'détails investissements'!$A$71:$B$88,2,FALSE)+1,FALSE)="","",VLOOKUP($A6,'détails investissements'!$A$26:$DE$43,AN$3-VLOOKUP($A6,'détails investissements'!$A$71:$B$88,2,FALSE)+1,FALSE))),'détails investissements'!$U$6:$AB$7,2,FALSE),"")&lt;&gt;"",VLOOKUP($A6,'détails investissements'!$A$7:$H$21,1+IF(IF(AN$3-VLOOKUP($A6,'détails investissements'!$A$71:$B$88,2,FALSE)&lt;=0,"",IF(VLOOKUP($A6,'détails investissements'!$A$26:$DE$43,AN$3-VLOOKUP($A6,'détails investissements'!$A$71:$B$88,2,FALSE)+1,FALSE)="","",VLOOKUP($A6,'détails investissements'!$A$26:$DE$43,AN$3-VLOOKUP($A6,'détails investissements'!$A$71:$B$88,2,FALSE)+1,FALSE)))&lt;&gt;"",HLOOKUP(IF(AN$3-VLOOKUP($A6,'détails investissements'!$A$71:$B$88,2,FALSE)&lt;=0,"",IF(VLOOKUP($A6,'détails investissements'!$A$26:$DE$43,AN$3-VLOOKUP($A6,'détails investissements'!$A$71:$B$88,2,FALSE)+1,FALSE)="","",VLOOKUP($A6,'détails investissements'!$A$26:$DE$43,AN$3-VLOOKUP($A6,'détails investissements'!$A$71:$B$88,2,FALSE)+1,FALSE))),'détails investissements'!$U$6:$AB$7,2,FALSE),""),FALSE),"")</f>
        <v/>
      </c>
      <c r="AO6" s="45" t="str">
        <f>IF(IF(IF(AO$3-VLOOKUP($A6,'détails investissements'!$A$71:$B$88,2,FALSE)&lt;=0,"",IF(VLOOKUP($A6,'détails investissements'!$A$26:$DE$43,AO$3-VLOOKUP($A6,'détails investissements'!$A$71:$B$88,2,FALSE)+1,FALSE)="","",VLOOKUP($A6,'détails investissements'!$A$26:$DE$43,AO$3-VLOOKUP($A6,'détails investissements'!$A$71:$B$88,2,FALSE)+1,FALSE)))&lt;&gt;"",HLOOKUP(IF(AO$3-VLOOKUP($A6,'détails investissements'!$A$71:$B$88,2,FALSE)&lt;=0,"",IF(VLOOKUP($A6,'détails investissements'!$A$26:$DE$43,AO$3-VLOOKUP($A6,'détails investissements'!$A$71:$B$88,2,FALSE)+1,FALSE)="","",VLOOKUP($A6,'détails investissements'!$A$26:$DE$43,AO$3-VLOOKUP($A6,'détails investissements'!$A$71:$B$88,2,FALSE)+1,FALSE))),'détails investissements'!$U$6:$AB$7,2,FALSE),"")&lt;&gt;"",VLOOKUP($A6,'détails investissements'!$A$7:$H$21,1+IF(IF(AO$3-VLOOKUP($A6,'détails investissements'!$A$71:$B$88,2,FALSE)&lt;=0,"",IF(VLOOKUP($A6,'détails investissements'!$A$26:$DE$43,AO$3-VLOOKUP($A6,'détails investissements'!$A$71:$B$88,2,FALSE)+1,FALSE)="","",VLOOKUP($A6,'détails investissements'!$A$26:$DE$43,AO$3-VLOOKUP($A6,'détails investissements'!$A$71:$B$88,2,FALSE)+1,FALSE)))&lt;&gt;"",HLOOKUP(IF(AO$3-VLOOKUP($A6,'détails investissements'!$A$71:$B$88,2,FALSE)&lt;=0,"",IF(VLOOKUP($A6,'détails investissements'!$A$26:$DE$43,AO$3-VLOOKUP($A6,'détails investissements'!$A$71:$B$88,2,FALSE)+1,FALSE)="","",VLOOKUP($A6,'détails investissements'!$A$26:$DE$43,AO$3-VLOOKUP($A6,'détails investissements'!$A$71:$B$88,2,FALSE)+1,FALSE))),'détails investissements'!$U$6:$AB$7,2,FALSE),""),FALSE),"")</f>
        <v/>
      </c>
      <c r="AP6" s="45" t="str">
        <f>IF(IF(IF(AP$3-VLOOKUP($A6,'détails investissements'!$A$71:$B$88,2,FALSE)&lt;=0,"",IF(VLOOKUP($A6,'détails investissements'!$A$26:$DE$43,AP$3-VLOOKUP($A6,'détails investissements'!$A$71:$B$88,2,FALSE)+1,FALSE)="","",VLOOKUP($A6,'détails investissements'!$A$26:$DE$43,AP$3-VLOOKUP($A6,'détails investissements'!$A$71:$B$88,2,FALSE)+1,FALSE)))&lt;&gt;"",HLOOKUP(IF(AP$3-VLOOKUP($A6,'détails investissements'!$A$71:$B$88,2,FALSE)&lt;=0,"",IF(VLOOKUP($A6,'détails investissements'!$A$26:$DE$43,AP$3-VLOOKUP($A6,'détails investissements'!$A$71:$B$88,2,FALSE)+1,FALSE)="","",VLOOKUP($A6,'détails investissements'!$A$26:$DE$43,AP$3-VLOOKUP($A6,'détails investissements'!$A$71:$B$88,2,FALSE)+1,FALSE))),'détails investissements'!$U$6:$AB$7,2,FALSE),"")&lt;&gt;"",VLOOKUP($A6,'détails investissements'!$A$7:$H$21,1+IF(IF(AP$3-VLOOKUP($A6,'détails investissements'!$A$71:$B$88,2,FALSE)&lt;=0,"",IF(VLOOKUP($A6,'détails investissements'!$A$26:$DE$43,AP$3-VLOOKUP($A6,'détails investissements'!$A$71:$B$88,2,FALSE)+1,FALSE)="","",VLOOKUP($A6,'détails investissements'!$A$26:$DE$43,AP$3-VLOOKUP($A6,'détails investissements'!$A$71:$B$88,2,FALSE)+1,FALSE)))&lt;&gt;"",HLOOKUP(IF(AP$3-VLOOKUP($A6,'détails investissements'!$A$71:$B$88,2,FALSE)&lt;=0,"",IF(VLOOKUP($A6,'détails investissements'!$A$26:$DE$43,AP$3-VLOOKUP($A6,'détails investissements'!$A$71:$B$88,2,FALSE)+1,FALSE)="","",VLOOKUP($A6,'détails investissements'!$A$26:$DE$43,AP$3-VLOOKUP($A6,'détails investissements'!$A$71:$B$88,2,FALSE)+1,FALSE))),'détails investissements'!$U$6:$AB$7,2,FALSE),""),FALSE),"")</f>
        <v/>
      </c>
      <c r="AQ6" s="45">
        <f>IF(IF(IF(AQ$3-VLOOKUP($A6,'détails investissements'!$A$71:$B$88,2,FALSE)&lt;=0,"",IF(VLOOKUP($A6,'détails investissements'!$A$26:$DE$43,AQ$3-VLOOKUP($A6,'détails investissements'!$A$71:$B$88,2,FALSE)+1,FALSE)="","",VLOOKUP($A6,'détails investissements'!$A$26:$DE$43,AQ$3-VLOOKUP($A6,'détails investissements'!$A$71:$B$88,2,FALSE)+1,FALSE)))&lt;&gt;"",HLOOKUP(IF(AQ$3-VLOOKUP($A6,'détails investissements'!$A$71:$B$88,2,FALSE)&lt;=0,"",IF(VLOOKUP($A6,'détails investissements'!$A$26:$DE$43,AQ$3-VLOOKUP($A6,'détails investissements'!$A$71:$B$88,2,FALSE)+1,FALSE)="","",VLOOKUP($A6,'détails investissements'!$A$26:$DE$43,AQ$3-VLOOKUP($A6,'détails investissements'!$A$71:$B$88,2,FALSE)+1,FALSE))),'détails investissements'!$U$6:$AB$7,2,FALSE),"")&lt;&gt;"",VLOOKUP($A6,'détails investissements'!$A$7:$H$21,1+IF(IF(AQ$3-VLOOKUP($A6,'détails investissements'!$A$71:$B$88,2,FALSE)&lt;=0,"",IF(VLOOKUP($A6,'détails investissements'!$A$26:$DE$43,AQ$3-VLOOKUP($A6,'détails investissements'!$A$71:$B$88,2,FALSE)+1,FALSE)="","",VLOOKUP($A6,'détails investissements'!$A$26:$DE$43,AQ$3-VLOOKUP($A6,'détails investissements'!$A$71:$B$88,2,FALSE)+1,FALSE)))&lt;&gt;"",HLOOKUP(IF(AQ$3-VLOOKUP($A6,'détails investissements'!$A$71:$B$88,2,FALSE)&lt;=0,"",IF(VLOOKUP($A6,'détails investissements'!$A$26:$DE$43,AQ$3-VLOOKUP($A6,'détails investissements'!$A$71:$B$88,2,FALSE)+1,FALSE)="","",VLOOKUP($A6,'détails investissements'!$A$26:$DE$43,AQ$3-VLOOKUP($A6,'détails investissements'!$A$71:$B$88,2,FALSE)+1,FALSE))),'détails investissements'!$U$6:$AB$7,2,FALSE),""),FALSE),"")</f>
        <v>0.05</v>
      </c>
      <c r="AR6" s="45" t="str">
        <f>IF(IF(IF(AR$3-VLOOKUP($A6,'détails investissements'!$A$71:$B$88,2,FALSE)&lt;=0,"",IF(VLOOKUP($A6,'détails investissements'!$A$26:$DE$43,AR$3-VLOOKUP($A6,'détails investissements'!$A$71:$B$88,2,FALSE)+1,FALSE)="","",VLOOKUP($A6,'détails investissements'!$A$26:$DE$43,AR$3-VLOOKUP($A6,'détails investissements'!$A$71:$B$88,2,FALSE)+1,FALSE)))&lt;&gt;"",HLOOKUP(IF(AR$3-VLOOKUP($A6,'détails investissements'!$A$71:$B$88,2,FALSE)&lt;=0,"",IF(VLOOKUP($A6,'détails investissements'!$A$26:$DE$43,AR$3-VLOOKUP($A6,'détails investissements'!$A$71:$B$88,2,FALSE)+1,FALSE)="","",VLOOKUP($A6,'détails investissements'!$A$26:$DE$43,AR$3-VLOOKUP($A6,'détails investissements'!$A$71:$B$88,2,FALSE)+1,FALSE))),'détails investissements'!$U$6:$AB$7,2,FALSE),"")&lt;&gt;"",VLOOKUP($A6,'détails investissements'!$A$7:$H$21,1+IF(IF(AR$3-VLOOKUP($A6,'détails investissements'!$A$71:$B$88,2,FALSE)&lt;=0,"",IF(VLOOKUP($A6,'détails investissements'!$A$26:$DE$43,AR$3-VLOOKUP($A6,'détails investissements'!$A$71:$B$88,2,FALSE)+1,FALSE)="","",VLOOKUP($A6,'détails investissements'!$A$26:$DE$43,AR$3-VLOOKUP($A6,'détails investissements'!$A$71:$B$88,2,FALSE)+1,FALSE)))&lt;&gt;"",HLOOKUP(IF(AR$3-VLOOKUP($A6,'détails investissements'!$A$71:$B$88,2,FALSE)&lt;=0,"",IF(VLOOKUP($A6,'détails investissements'!$A$26:$DE$43,AR$3-VLOOKUP($A6,'détails investissements'!$A$71:$B$88,2,FALSE)+1,FALSE)="","",VLOOKUP($A6,'détails investissements'!$A$26:$DE$43,AR$3-VLOOKUP($A6,'détails investissements'!$A$71:$B$88,2,FALSE)+1,FALSE))),'détails investissements'!$U$6:$AB$7,2,FALSE),""),FALSE),"")</f>
        <v/>
      </c>
      <c r="AS6" s="45" t="str">
        <f>IF(IF(IF(AS$3-VLOOKUP($A6,'détails investissements'!$A$71:$B$88,2,FALSE)&lt;=0,"",IF(VLOOKUP($A6,'détails investissements'!$A$26:$DE$43,AS$3-VLOOKUP($A6,'détails investissements'!$A$71:$B$88,2,FALSE)+1,FALSE)="","",VLOOKUP($A6,'détails investissements'!$A$26:$DE$43,AS$3-VLOOKUP($A6,'détails investissements'!$A$71:$B$88,2,FALSE)+1,FALSE)))&lt;&gt;"",HLOOKUP(IF(AS$3-VLOOKUP($A6,'détails investissements'!$A$71:$B$88,2,FALSE)&lt;=0,"",IF(VLOOKUP($A6,'détails investissements'!$A$26:$DE$43,AS$3-VLOOKUP($A6,'détails investissements'!$A$71:$B$88,2,FALSE)+1,FALSE)="","",VLOOKUP($A6,'détails investissements'!$A$26:$DE$43,AS$3-VLOOKUP($A6,'détails investissements'!$A$71:$B$88,2,FALSE)+1,FALSE))),'détails investissements'!$U$6:$AB$7,2,FALSE),"")&lt;&gt;"",VLOOKUP($A6,'détails investissements'!$A$7:$H$21,1+IF(IF(AS$3-VLOOKUP($A6,'détails investissements'!$A$71:$B$88,2,FALSE)&lt;=0,"",IF(VLOOKUP($A6,'détails investissements'!$A$26:$DE$43,AS$3-VLOOKUP($A6,'détails investissements'!$A$71:$B$88,2,FALSE)+1,FALSE)="","",VLOOKUP($A6,'détails investissements'!$A$26:$DE$43,AS$3-VLOOKUP($A6,'détails investissements'!$A$71:$B$88,2,FALSE)+1,FALSE)))&lt;&gt;"",HLOOKUP(IF(AS$3-VLOOKUP($A6,'détails investissements'!$A$71:$B$88,2,FALSE)&lt;=0,"",IF(VLOOKUP($A6,'détails investissements'!$A$26:$DE$43,AS$3-VLOOKUP($A6,'détails investissements'!$A$71:$B$88,2,FALSE)+1,FALSE)="","",VLOOKUP($A6,'détails investissements'!$A$26:$DE$43,AS$3-VLOOKUP($A6,'détails investissements'!$A$71:$B$88,2,FALSE)+1,FALSE))),'détails investissements'!$U$6:$AB$7,2,FALSE),""),FALSE),"")</f>
        <v/>
      </c>
      <c r="AT6" s="45" t="str">
        <f>IF(IF(IF(AT$3-VLOOKUP($A6,'détails investissements'!$A$71:$B$88,2,FALSE)&lt;=0,"",IF(VLOOKUP($A6,'détails investissements'!$A$26:$DE$43,AT$3-VLOOKUP($A6,'détails investissements'!$A$71:$B$88,2,FALSE)+1,FALSE)="","",VLOOKUP($A6,'détails investissements'!$A$26:$DE$43,AT$3-VLOOKUP($A6,'détails investissements'!$A$71:$B$88,2,FALSE)+1,FALSE)))&lt;&gt;"",HLOOKUP(IF(AT$3-VLOOKUP($A6,'détails investissements'!$A$71:$B$88,2,FALSE)&lt;=0,"",IF(VLOOKUP($A6,'détails investissements'!$A$26:$DE$43,AT$3-VLOOKUP($A6,'détails investissements'!$A$71:$B$88,2,FALSE)+1,FALSE)="","",VLOOKUP($A6,'détails investissements'!$A$26:$DE$43,AT$3-VLOOKUP($A6,'détails investissements'!$A$71:$B$88,2,FALSE)+1,FALSE))),'détails investissements'!$U$6:$AB$7,2,FALSE),"")&lt;&gt;"",VLOOKUP($A6,'détails investissements'!$A$7:$H$21,1+IF(IF(AT$3-VLOOKUP($A6,'détails investissements'!$A$71:$B$88,2,FALSE)&lt;=0,"",IF(VLOOKUP($A6,'détails investissements'!$A$26:$DE$43,AT$3-VLOOKUP($A6,'détails investissements'!$A$71:$B$88,2,FALSE)+1,FALSE)="","",VLOOKUP($A6,'détails investissements'!$A$26:$DE$43,AT$3-VLOOKUP($A6,'détails investissements'!$A$71:$B$88,2,FALSE)+1,FALSE)))&lt;&gt;"",HLOOKUP(IF(AT$3-VLOOKUP($A6,'détails investissements'!$A$71:$B$88,2,FALSE)&lt;=0,"",IF(VLOOKUP($A6,'détails investissements'!$A$26:$DE$43,AT$3-VLOOKUP($A6,'détails investissements'!$A$71:$B$88,2,FALSE)+1,FALSE)="","",VLOOKUP($A6,'détails investissements'!$A$26:$DE$43,AT$3-VLOOKUP($A6,'détails investissements'!$A$71:$B$88,2,FALSE)+1,FALSE))),'détails investissements'!$U$6:$AB$7,2,FALSE),""),FALSE),"")</f>
        <v/>
      </c>
      <c r="AU6" s="45" t="str">
        <f>IF(IF(IF(AU$3-VLOOKUP($A6,'détails investissements'!$A$71:$B$88,2,FALSE)&lt;=0,"",IF(VLOOKUP($A6,'détails investissements'!$A$26:$DE$43,AU$3-VLOOKUP($A6,'détails investissements'!$A$71:$B$88,2,FALSE)+1,FALSE)="","",VLOOKUP($A6,'détails investissements'!$A$26:$DE$43,AU$3-VLOOKUP($A6,'détails investissements'!$A$71:$B$88,2,FALSE)+1,FALSE)))&lt;&gt;"",HLOOKUP(IF(AU$3-VLOOKUP($A6,'détails investissements'!$A$71:$B$88,2,FALSE)&lt;=0,"",IF(VLOOKUP($A6,'détails investissements'!$A$26:$DE$43,AU$3-VLOOKUP($A6,'détails investissements'!$A$71:$B$88,2,FALSE)+1,FALSE)="","",VLOOKUP($A6,'détails investissements'!$A$26:$DE$43,AU$3-VLOOKUP($A6,'détails investissements'!$A$71:$B$88,2,FALSE)+1,FALSE))),'détails investissements'!$U$6:$AB$7,2,FALSE),"")&lt;&gt;"",VLOOKUP($A6,'détails investissements'!$A$7:$H$21,1+IF(IF(AU$3-VLOOKUP($A6,'détails investissements'!$A$71:$B$88,2,FALSE)&lt;=0,"",IF(VLOOKUP($A6,'détails investissements'!$A$26:$DE$43,AU$3-VLOOKUP($A6,'détails investissements'!$A$71:$B$88,2,FALSE)+1,FALSE)="","",VLOOKUP($A6,'détails investissements'!$A$26:$DE$43,AU$3-VLOOKUP($A6,'détails investissements'!$A$71:$B$88,2,FALSE)+1,FALSE)))&lt;&gt;"",HLOOKUP(IF(AU$3-VLOOKUP($A6,'détails investissements'!$A$71:$B$88,2,FALSE)&lt;=0,"",IF(VLOOKUP($A6,'détails investissements'!$A$26:$DE$43,AU$3-VLOOKUP($A6,'détails investissements'!$A$71:$B$88,2,FALSE)+1,FALSE)="","",VLOOKUP($A6,'détails investissements'!$A$26:$DE$43,AU$3-VLOOKUP($A6,'détails investissements'!$A$71:$B$88,2,FALSE)+1,FALSE))),'détails investissements'!$U$6:$AB$7,2,FALSE),""),FALSE),"")</f>
        <v/>
      </c>
      <c r="AV6" s="45" t="str">
        <f>IF(IF(IF(AV$3-VLOOKUP($A6,'détails investissements'!$A$71:$B$88,2,FALSE)&lt;=0,"",IF(VLOOKUP($A6,'détails investissements'!$A$26:$DE$43,AV$3-VLOOKUP($A6,'détails investissements'!$A$71:$B$88,2,FALSE)+1,FALSE)="","",VLOOKUP($A6,'détails investissements'!$A$26:$DE$43,AV$3-VLOOKUP($A6,'détails investissements'!$A$71:$B$88,2,FALSE)+1,FALSE)))&lt;&gt;"",HLOOKUP(IF(AV$3-VLOOKUP($A6,'détails investissements'!$A$71:$B$88,2,FALSE)&lt;=0,"",IF(VLOOKUP($A6,'détails investissements'!$A$26:$DE$43,AV$3-VLOOKUP($A6,'détails investissements'!$A$71:$B$88,2,FALSE)+1,FALSE)="","",VLOOKUP($A6,'détails investissements'!$A$26:$DE$43,AV$3-VLOOKUP($A6,'détails investissements'!$A$71:$B$88,2,FALSE)+1,FALSE))),'détails investissements'!$U$6:$AB$7,2,FALSE),"")&lt;&gt;"",VLOOKUP($A6,'détails investissements'!$A$7:$H$21,1+IF(IF(AV$3-VLOOKUP($A6,'détails investissements'!$A$71:$B$88,2,FALSE)&lt;=0,"",IF(VLOOKUP($A6,'détails investissements'!$A$26:$DE$43,AV$3-VLOOKUP($A6,'détails investissements'!$A$71:$B$88,2,FALSE)+1,FALSE)="","",VLOOKUP($A6,'détails investissements'!$A$26:$DE$43,AV$3-VLOOKUP($A6,'détails investissements'!$A$71:$B$88,2,FALSE)+1,FALSE)))&lt;&gt;"",HLOOKUP(IF(AV$3-VLOOKUP($A6,'détails investissements'!$A$71:$B$88,2,FALSE)&lt;=0,"",IF(VLOOKUP($A6,'détails investissements'!$A$26:$DE$43,AV$3-VLOOKUP($A6,'détails investissements'!$A$71:$B$88,2,FALSE)+1,FALSE)="","",VLOOKUP($A6,'détails investissements'!$A$26:$DE$43,AV$3-VLOOKUP($A6,'détails investissements'!$A$71:$B$88,2,FALSE)+1,FALSE))),'détails investissements'!$U$6:$AB$7,2,FALSE),""),FALSE),"")</f>
        <v/>
      </c>
      <c r="AW6" s="45" t="str">
        <f>IF(IF(IF(AW$3-VLOOKUP($A6,'détails investissements'!$A$71:$B$88,2,FALSE)&lt;=0,"",IF(VLOOKUP($A6,'détails investissements'!$A$26:$DE$43,AW$3-VLOOKUP($A6,'détails investissements'!$A$71:$B$88,2,FALSE)+1,FALSE)="","",VLOOKUP($A6,'détails investissements'!$A$26:$DE$43,AW$3-VLOOKUP($A6,'détails investissements'!$A$71:$B$88,2,FALSE)+1,FALSE)))&lt;&gt;"",HLOOKUP(IF(AW$3-VLOOKUP($A6,'détails investissements'!$A$71:$B$88,2,FALSE)&lt;=0,"",IF(VLOOKUP($A6,'détails investissements'!$A$26:$DE$43,AW$3-VLOOKUP($A6,'détails investissements'!$A$71:$B$88,2,FALSE)+1,FALSE)="","",VLOOKUP($A6,'détails investissements'!$A$26:$DE$43,AW$3-VLOOKUP($A6,'détails investissements'!$A$71:$B$88,2,FALSE)+1,FALSE))),'détails investissements'!$U$6:$AB$7,2,FALSE),"")&lt;&gt;"",VLOOKUP($A6,'détails investissements'!$A$7:$H$21,1+IF(IF(AW$3-VLOOKUP($A6,'détails investissements'!$A$71:$B$88,2,FALSE)&lt;=0,"",IF(VLOOKUP($A6,'détails investissements'!$A$26:$DE$43,AW$3-VLOOKUP($A6,'détails investissements'!$A$71:$B$88,2,FALSE)+1,FALSE)="","",VLOOKUP($A6,'détails investissements'!$A$26:$DE$43,AW$3-VLOOKUP($A6,'détails investissements'!$A$71:$B$88,2,FALSE)+1,FALSE)))&lt;&gt;"",HLOOKUP(IF(AW$3-VLOOKUP($A6,'détails investissements'!$A$71:$B$88,2,FALSE)&lt;=0,"",IF(VLOOKUP($A6,'détails investissements'!$A$26:$DE$43,AW$3-VLOOKUP($A6,'détails investissements'!$A$71:$B$88,2,FALSE)+1,FALSE)="","",VLOOKUP($A6,'détails investissements'!$A$26:$DE$43,AW$3-VLOOKUP($A6,'détails investissements'!$A$71:$B$88,2,FALSE)+1,FALSE))),'détails investissements'!$U$6:$AB$7,2,FALSE),""),FALSE),"")</f>
        <v/>
      </c>
      <c r="AX6" s="45" t="str">
        <f>IF(IF(IF(AX$3-VLOOKUP($A6,'détails investissements'!$A$71:$B$88,2,FALSE)&lt;=0,"",IF(VLOOKUP($A6,'détails investissements'!$A$26:$DE$43,AX$3-VLOOKUP($A6,'détails investissements'!$A$71:$B$88,2,FALSE)+1,FALSE)="","",VLOOKUP($A6,'détails investissements'!$A$26:$DE$43,AX$3-VLOOKUP($A6,'détails investissements'!$A$71:$B$88,2,FALSE)+1,FALSE)))&lt;&gt;"",HLOOKUP(IF(AX$3-VLOOKUP($A6,'détails investissements'!$A$71:$B$88,2,FALSE)&lt;=0,"",IF(VLOOKUP($A6,'détails investissements'!$A$26:$DE$43,AX$3-VLOOKUP($A6,'détails investissements'!$A$71:$B$88,2,FALSE)+1,FALSE)="","",VLOOKUP($A6,'détails investissements'!$A$26:$DE$43,AX$3-VLOOKUP($A6,'détails investissements'!$A$71:$B$88,2,FALSE)+1,FALSE))),'détails investissements'!$U$6:$AB$7,2,FALSE),"")&lt;&gt;"",VLOOKUP($A6,'détails investissements'!$A$7:$H$21,1+IF(IF(AX$3-VLOOKUP($A6,'détails investissements'!$A$71:$B$88,2,FALSE)&lt;=0,"",IF(VLOOKUP($A6,'détails investissements'!$A$26:$DE$43,AX$3-VLOOKUP($A6,'détails investissements'!$A$71:$B$88,2,FALSE)+1,FALSE)="","",VLOOKUP($A6,'détails investissements'!$A$26:$DE$43,AX$3-VLOOKUP($A6,'détails investissements'!$A$71:$B$88,2,FALSE)+1,FALSE)))&lt;&gt;"",HLOOKUP(IF(AX$3-VLOOKUP($A6,'détails investissements'!$A$71:$B$88,2,FALSE)&lt;=0,"",IF(VLOOKUP($A6,'détails investissements'!$A$26:$DE$43,AX$3-VLOOKUP($A6,'détails investissements'!$A$71:$B$88,2,FALSE)+1,FALSE)="","",VLOOKUP($A6,'détails investissements'!$A$26:$DE$43,AX$3-VLOOKUP($A6,'détails investissements'!$A$71:$B$88,2,FALSE)+1,FALSE))),'détails investissements'!$U$6:$AB$7,2,FALSE),""),FALSE),"")</f>
        <v/>
      </c>
      <c r="AY6" s="45" t="str">
        <f>IF(IF(IF(AY$3-VLOOKUP($A6,'détails investissements'!$A$71:$B$88,2,FALSE)&lt;=0,"",IF(VLOOKUP($A6,'détails investissements'!$A$26:$DE$43,AY$3-VLOOKUP($A6,'détails investissements'!$A$71:$B$88,2,FALSE)+1,FALSE)="","",VLOOKUP($A6,'détails investissements'!$A$26:$DE$43,AY$3-VLOOKUP($A6,'détails investissements'!$A$71:$B$88,2,FALSE)+1,FALSE)))&lt;&gt;"",HLOOKUP(IF(AY$3-VLOOKUP($A6,'détails investissements'!$A$71:$B$88,2,FALSE)&lt;=0,"",IF(VLOOKUP($A6,'détails investissements'!$A$26:$DE$43,AY$3-VLOOKUP($A6,'détails investissements'!$A$71:$B$88,2,FALSE)+1,FALSE)="","",VLOOKUP($A6,'détails investissements'!$A$26:$DE$43,AY$3-VLOOKUP($A6,'détails investissements'!$A$71:$B$88,2,FALSE)+1,FALSE))),'détails investissements'!$U$6:$AB$7,2,FALSE),"")&lt;&gt;"",VLOOKUP($A6,'détails investissements'!$A$7:$H$21,1+IF(IF(AY$3-VLOOKUP($A6,'détails investissements'!$A$71:$B$88,2,FALSE)&lt;=0,"",IF(VLOOKUP($A6,'détails investissements'!$A$26:$DE$43,AY$3-VLOOKUP($A6,'détails investissements'!$A$71:$B$88,2,FALSE)+1,FALSE)="","",VLOOKUP($A6,'détails investissements'!$A$26:$DE$43,AY$3-VLOOKUP($A6,'détails investissements'!$A$71:$B$88,2,FALSE)+1,FALSE)))&lt;&gt;"",HLOOKUP(IF(AY$3-VLOOKUP($A6,'détails investissements'!$A$71:$B$88,2,FALSE)&lt;=0,"",IF(VLOOKUP($A6,'détails investissements'!$A$26:$DE$43,AY$3-VLOOKUP($A6,'détails investissements'!$A$71:$B$88,2,FALSE)+1,FALSE)="","",VLOOKUP($A6,'détails investissements'!$A$26:$DE$43,AY$3-VLOOKUP($A6,'détails investissements'!$A$71:$B$88,2,FALSE)+1,FALSE))),'détails investissements'!$U$6:$AB$7,2,FALSE),""),FALSE),"")</f>
        <v/>
      </c>
      <c r="AZ6" s="45" t="str">
        <f>IF(IF(IF(AZ$3-VLOOKUP($A6,'détails investissements'!$A$71:$B$88,2,FALSE)&lt;=0,"",IF(VLOOKUP($A6,'détails investissements'!$A$26:$DE$43,AZ$3-VLOOKUP($A6,'détails investissements'!$A$71:$B$88,2,FALSE)+1,FALSE)="","",VLOOKUP($A6,'détails investissements'!$A$26:$DE$43,AZ$3-VLOOKUP($A6,'détails investissements'!$A$71:$B$88,2,FALSE)+1,FALSE)))&lt;&gt;"",HLOOKUP(IF(AZ$3-VLOOKUP($A6,'détails investissements'!$A$71:$B$88,2,FALSE)&lt;=0,"",IF(VLOOKUP($A6,'détails investissements'!$A$26:$DE$43,AZ$3-VLOOKUP($A6,'détails investissements'!$A$71:$B$88,2,FALSE)+1,FALSE)="","",VLOOKUP($A6,'détails investissements'!$A$26:$DE$43,AZ$3-VLOOKUP($A6,'détails investissements'!$A$71:$B$88,2,FALSE)+1,FALSE))),'détails investissements'!$U$6:$AB$7,2,FALSE),"")&lt;&gt;"",VLOOKUP($A6,'détails investissements'!$A$7:$H$21,1+IF(IF(AZ$3-VLOOKUP($A6,'détails investissements'!$A$71:$B$88,2,FALSE)&lt;=0,"",IF(VLOOKUP($A6,'détails investissements'!$A$26:$DE$43,AZ$3-VLOOKUP($A6,'détails investissements'!$A$71:$B$88,2,FALSE)+1,FALSE)="","",VLOOKUP($A6,'détails investissements'!$A$26:$DE$43,AZ$3-VLOOKUP($A6,'détails investissements'!$A$71:$B$88,2,FALSE)+1,FALSE)))&lt;&gt;"",HLOOKUP(IF(AZ$3-VLOOKUP($A6,'détails investissements'!$A$71:$B$88,2,FALSE)&lt;=0,"",IF(VLOOKUP($A6,'détails investissements'!$A$26:$DE$43,AZ$3-VLOOKUP($A6,'détails investissements'!$A$71:$B$88,2,FALSE)+1,FALSE)="","",VLOOKUP($A6,'détails investissements'!$A$26:$DE$43,AZ$3-VLOOKUP($A6,'détails investissements'!$A$71:$B$88,2,FALSE)+1,FALSE))),'détails investissements'!$U$6:$AB$7,2,FALSE),""),FALSE),"")</f>
        <v/>
      </c>
      <c r="BA6" s="45" t="str">
        <f>IF(IF(IF(BA$3-VLOOKUP($A6,'détails investissements'!$A$71:$B$88,2,FALSE)&lt;=0,"",IF(VLOOKUP($A6,'détails investissements'!$A$26:$DE$43,BA$3-VLOOKUP($A6,'détails investissements'!$A$71:$B$88,2,FALSE)+1,FALSE)="","",VLOOKUP($A6,'détails investissements'!$A$26:$DE$43,BA$3-VLOOKUP($A6,'détails investissements'!$A$71:$B$88,2,FALSE)+1,FALSE)))&lt;&gt;"",HLOOKUP(IF(BA$3-VLOOKUP($A6,'détails investissements'!$A$71:$B$88,2,FALSE)&lt;=0,"",IF(VLOOKUP($A6,'détails investissements'!$A$26:$DE$43,BA$3-VLOOKUP($A6,'détails investissements'!$A$71:$B$88,2,FALSE)+1,FALSE)="","",VLOOKUP($A6,'détails investissements'!$A$26:$DE$43,BA$3-VLOOKUP($A6,'détails investissements'!$A$71:$B$88,2,FALSE)+1,FALSE))),'détails investissements'!$U$6:$AB$7,2,FALSE),"")&lt;&gt;"",VLOOKUP($A6,'détails investissements'!$A$7:$H$21,1+IF(IF(BA$3-VLOOKUP($A6,'détails investissements'!$A$71:$B$88,2,FALSE)&lt;=0,"",IF(VLOOKUP($A6,'détails investissements'!$A$26:$DE$43,BA$3-VLOOKUP($A6,'détails investissements'!$A$71:$B$88,2,FALSE)+1,FALSE)="","",VLOOKUP($A6,'détails investissements'!$A$26:$DE$43,BA$3-VLOOKUP($A6,'détails investissements'!$A$71:$B$88,2,FALSE)+1,FALSE)))&lt;&gt;"",HLOOKUP(IF(BA$3-VLOOKUP($A6,'détails investissements'!$A$71:$B$88,2,FALSE)&lt;=0,"",IF(VLOOKUP($A6,'détails investissements'!$A$26:$DE$43,BA$3-VLOOKUP($A6,'détails investissements'!$A$71:$B$88,2,FALSE)+1,FALSE)="","",VLOOKUP($A6,'détails investissements'!$A$26:$DE$43,BA$3-VLOOKUP($A6,'détails investissements'!$A$71:$B$88,2,FALSE)+1,FALSE))),'détails investissements'!$U$6:$AB$7,2,FALSE),""),FALSE),"")</f>
        <v/>
      </c>
      <c r="BB6" s="45" t="str">
        <f>IF(IF(IF(BB$3-VLOOKUP($A6,'détails investissements'!$A$71:$B$88,2,FALSE)&lt;=0,"",IF(VLOOKUP($A6,'détails investissements'!$A$26:$DE$43,BB$3-VLOOKUP($A6,'détails investissements'!$A$71:$B$88,2,FALSE)+1,FALSE)="","",VLOOKUP($A6,'détails investissements'!$A$26:$DE$43,BB$3-VLOOKUP($A6,'détails investissements'!$A$71:$B$88,2,FALSE)+1,FALSE)))&lt;&gt;"",HLOOKUP(IF(BB$3-VLOOKUP($A6,'détails investissements'!$A$71:$B$88,2,FALSE)&lt;=0,"",IF(VLOOKUP($A6,'détails investissements'!$A$26:$DE$43,BB$3-VLOOKUP($A6,'détails investissements'!$A$71:$B$88,2,FALSE)+1,FALSE)="","",VLOOKUP($A6,'détails investissements'!$A$26:$DE$43,BB$3-VLOOKUP($A6,'détails investissements'!$A$71:$B$88,2,FALSE)+1,FALSE))),'détails investissements'!$U$6:$AB$7,2,FALSE),"")&lt;&gt;"",VLOOKUP($A6,'détails investissements'!$A$7:$H$21,1+IF(IF(BB$3-VLOOKUP($A6,'détails investissements'!$A$71:$B$88,2,FALSE)&lt;=0,"",IF(VLOOKUP($A6,'détails investissements'!$A$26:$DE$43,BB$3-VLOOKUP($A6,'détails investissements'!$A$71:$B$88,2,FALSE)+1,FALSE)="","",VLOOKUP($A6,'détails investissements'!$A$26:$DE$43,BB$3-VLOOKUP($A6,'détails investissements'!$A$71:$B$88,2,FALSE)+1,FALSE)))&lt;&gt;"",HLOOKUP(IF(BB$3-VLOOKUP($A6,'détails investissements'!$A$71:$B$88,2,FALSE)&lt;=0,"",IF(VLOOKUP($A6,'détails investissements'!$A$26:$DE$43,BB$3-VLOOKUP($A6,'détails investissements'!$A$71:$B$88,2,FALSE)+1,FALSE)="","",VLOOKUP($A6,'détails investissements'!$A$26:$DE$43,BB$3-VLOOKUP($A6,'détails investissements'!$A$71:$B$88,2,FALSE)+1,FALSE))),'détails investissements'!$U$6:$AB$7,2,FALSE),""),FALSE),"")</f>
        <v/>
      </c>
      <c r="BC6" s="45" t="str">
        <f>IF(IF(IF(BC$3-VLOOKUP($A6,'détails investissements'!$A$71:$B$88,2,FALSE)&lt;=0,"",IF(VLOOKUP($A6,'détails investissements'!$A$26:$DE$43,BC$3-VLOOKUP($A6,'détails investissements'!$A$71:$B$88,2,FALSE)+1,FALSE)="","",VLOOKUP($A6,'détails investissements'!$A$26:$DE$43,BC$3-VLOOKUP($A6,'détails investissements'!$A$71:$B$88,2,FALSE)+1,FALSE)))&lt;&gt;"",HLOOKUP(IF(BC$3-VLOOKUP($A6,'détails investissements'!$A$71:$B$88,2,FALSE)&lt;=0,"",IF(VLOOKUP($A6,'détails investissements'!$A$26:$DE$43,BC$3-VLOOKUP($A6,'détails investissements'!$A$71:$B$88,2,FALSE)+1,FALSE)="","",VLOOKUP($A6,'détails investissements'!$A$26:$DE$43,BC$3-VLOOKUP($A6,'détails investissements'!$A$71:$B$88,2,FALSE)+1,FALSE))),'détails investissements'!$U$6:$AB$7,2,FALSE),"")&lt;&gt;"",VLOOKUP($A6,'détails investissements'!$A$7:$H$21,1+IF(IF(BC$3-VLOOKUP($A6,'détails investissements'!$A$71:$B$88,2,FALSE)&lt;=0,"",IF(VLOOKUP($A6,'détails investissements'!$A$26:$DE$43,BC$3-VLOOKUP($A6,'détails investissements'!$A$71:$B$88,2,FALSE)+1,FALSE)="","",VLOOKUP($A6,'détails investissements'!$A$26:$DE$43,BC$3-VLOOKUP($A6,'détails investissements'!$A$71:$B$88,2,FALSE)+1,FALSE)))&lt;&gt;"",HLOOKUP(IF(BC$3-VLOOKUP($A6,'détails investissements'!$A$71:$B$88,2,FALSE)&lt;=0,"",IF(VLOOKUP($A6,'détails investissements'!$A$26:$DE$43,BC$3-VLOOKUP($A6,'détails investissements'!$A$71:$B$88,2,FALSE)+1,FALSE)="","",VLOOKUP($A6,'détails investissements'!$A$26:$DE$43,BC$3-VLOOKUP($A6,'détails investissements'!$A$71:$B$88,2,FALSE)+1,FALSE))),'détails investissements'!$U$6:$AB$7,2,FALSE),""),FALSE),"")</f>
        <v/>
      </c>
      <c r="BD6" s="45" t="str">
        <f>IF(IF(IF(BD$3-VLOOKUP($A6,'détails investissements'!$A$71:$B$88,2,FALSE)&lt;=0,"",IF(VLOOKUP($A6,'détails investissements'!$A$26:$DE$43,BD$3-VLOOKUP($A6,'détails investissements'!$A$71:$B$88,2,FALSE)+1,FALSE)="","",VLOOKUP($A6,'détails investissements'!$A$26:$DE$43,BD$3-VLOOKUP($A6,'détails investissements'!$A$71:$B$88,2,FALSE)+1,FALSE)))&lt;&gt;"",HLOOKUP(IF(BD$3-VLOOKUP($A6,'détails investissements'!$A$71:$B$88,2,FALSE)&lt;=0,"",IF(VLOOKUP($A6,'détails investissements'!$A$26:$DE$43,BD$3-VLOOKUP($A6,'détails investissements'!$A$71:$B$88,2,FALSE)+1,FALSE)="","",VLOOKUP($A6,'détails investissements'!$A$26:$DE$43,BD$3-VLOOKUP($A6,'détails investissements'!$A$71:$B$88,2,FALSE)+1,FALSE))),'détails investissements'!$U$6:$AB$7,2,FALSE),"")&lt;&gt;"",VLOOKUP($A6,'détails investissements'!$A$7:$H$21,1+IF(IF(BD$3-VLOOKUP($A6,'détails investissements'!$A$71:$B$88,2,FALSE)&lt;=0,"",IF(VLOOKUP($A6,'détails investissements'!$A$26:$DE$43,BD$3-VLOOKUP($A6,'détails investissements'!$A$71:$B$88,2,FALSE)+1,FALSE)="","",VLOOKUP($A6,'détails investissements'!$A$26:$DE$43,BD$3-VLOOKUP($A6,'détails investissements'!$A$71:$B$88,2,FALSE)+1,FALSE)))&lt;&gt;"",HLOOKUP(IF(BD$3-VLOOKUP($A6,'détails investissements'!$A$71:$B$88,2,FALSE)&lt;=0,"",IF(VLOOKUP($A6,'détails investissements'!$A$26:$DE$43,BD$3-VLOOKUP($A6,'détails investissements'!$A$71:$B$88,2,FALSE)+1,FALSE)="","",VLOOKUP($A6,'détails investissements'!$A$26:$DE$43,BD$3-VLOOKUP($A6,'détails investissements'!$A$71:$B$88,2,FALSE)+1,FALSE))),'détails investissements'!$U$6:$AB$7,2,FALSE),""),FALSE),"")</f>
        <v/>
      </c>
      <c r="BE6" s="45" t="str">
        <f>IF(IF(IF(BE$3-VLOOKUP($A6,'détails investissements'!$A$71:$B$88,2,FALSE)&lt;=0,"",IF(VLOOKUP($A6,'détails investissements'!$A$26:$DE$43,BE$3-VLOOKUP($A6,'détails investissements'!$A$71:$B$88,2,FALSE)+1,FALSE)="","",VLOOKUP($A6,'détails investissements'!$A$26:$DE$43,BE$3-VLOOKUP($A6,'détails investissements'!$A$71:$B$88,2,FALSE)+1,FALSE)))&lt;&gt;"",HLOOKUP(IF(BE$3-VLOOKUP($A6,'détails investissements'!$A$71:$B$88,2,FALSE)&lt;=0,"",IF(VLOOKUP($A6,'détails investissements'!$A$26:$DE$43,BE$3-VLOOKUP($A6,'détails investissements'!$A$71:$B$88,2,FALSE)+1,FALSE)="","",VLOOKUP($A6,'détails investissements'!$A$26:$DE$43,BE$3-VLOOKUP($A6,'détails investissements'!$A$71:$B$88,2,FALSE)+1,FALSE))),'détails investissements'!$U$6:$AB$7,2,FALSE),"")&lt;&gt;"",VLOOKUP($A6,'détails investissements'!$A$7:$H$21,1+IF(IF(BE$3-VLOOKUP($A6,'détails investissements'!$A$71:$B$88,2,FALSE)&lt;=0,"",IF(VLOOKUP($A6,'détails investissements'!$A$26:$DE$43,BE$3-VLOOKUP($A6,'détails investissements'!$A$71:$B$88,2,FALSE)+1,FALSE)="","",VLOOKUP($A6,'détails investissements'!$A$26:$DE$43,BE$3-VLOOKUP($A6,'détails investissements'!$A$71:$B$88,2,FALSE)+1,FALSE)))&lt;&gt;"",HLOOKUP(IF(BE$3-VLOOKUP($A6,'détails investissements'!$A$71:$B$88,2,FALSE)&lt;=0,"",IF(VLOOKUP($A6,'détails investissements'!$A$26:$DE$43,BE$3-VLOOKUP($A6,'détails investissements'!$A$71:$B$88,2,FALSE)+1,FALSE)="","",VLOOKUP($A6,'détails investissements'!$A$26:$DE$43,BE$3-VLOOKUP($A6,'détails investissements'!$A$71:$B$88,2,FALSE)+1,FALSE))),'détails investissements'!$U$6:$AB$7,2,FALSE),""),FALSE),"")</f>
        <v/>
      </c>
      <c r="BF6" s="45" t="str">
        <f>IF(IF(IF(BF$3-VLOOKUP($A6,'détails investissements'!$A$71:$B$88,2,FALSE)&lt;=0,"",IF(VLOOKUP($A6,'détails investissements'!$A$26:$DE$43,BF$3-VLOOKUP($A6,'détails investissements'!$A$71:$B$88,2,FALSE)+1,FALSE)="","",VLOOKUP($A6,'détails investissements'!$A$26:$DE$43,BF$3-VLOOKUP($A6,'détails investissements'!$A$71:$B$88,2,FALSE)+1,FALSE)))&lt;&gt;"",HLOOKUP(IF(BF$3-VLOOKUP($A6,'détails investissements'!$A$71:$B$88,2,FALSE)&lt;=0,"",IF(VLOOKUP($A6,'détails investissements'!$A$26:$DE$43,BF$3-VLOOKUP($A6,'détails investissements'!$A$71:$B$88,2,FALSE)+1,FALSE)="","",VLOOKUP($A6,'détails investissements'!$A$26:$DE$43,BF$3-VLOOKUP($A6,'détails investissements'!$A$71:$B$88,2,FALSE)+1,FALSE))),'détails investissements'!$U$6:$AB$7,2,FALSE),"")&lt;&gt;"",VLOOKUP($A6,'détails investissements'!$A$7:$H$21,1+IF(IF(BF$3-VLOOKUP($A6,'détails investissements'!$A$71:$B$88,2,FALSE)&lt;=0,"",IF(VLOOKUP($A6,'détails investissements'!$A$26:$DE$43,BF$3-VLOOKUP($A6,'détails investissements'!$A$71:$B$88,2,FALSE)+1,FALSE)="","",VLOOKUP($A6,'détails investissements'!$A$26:$DE$43,BF$3-VLOOKUP($A6,'détails investissements'!$A$71:$B$88,2,FALSE)+1,FALSE)))&lt;&gt;"",HLOOKUP(IF(BF$3-VLOOKUP($A6,'détails investissements'!$A$71:$B$88,2,FALSE)&lt;=0,"",IF(VLOOKUP($A6,'détails investissements'!$A$26:$DE$43,BF$3-VLOOKUP($A6,'détails investissements'!$A$71:$B$88,2,FALSE)+1,FALSE)="","",VLOOKUP($A6,'détails investissements'!$A$26:$DE$43,BF$3-VLOOKUP($A6,'détails investissements'!$A$71:$B$88,2,FALSE)+1,FALSE))),'détails investissements'!$U$6:$AB$7,2,FALSE),""),FALSE),"")</f>
        <v/>
      </c>
      <c r="BG6" s="45" t="str">
        <f>IF(IF(IF(BG$3-VLOOKUP($A6,'détails investissements'!$A$71:$B$88,2,FALSE)&lt;=0,"",IF(VLOOKUP($A6,'détails investissements'!$A$26:$DE$43,BG$3-VLOOKUP($A6,'détails investissements'!$A$71:$B$88,2,FALSE)+1,FALSE)="","",VLOOKUP($A6,'détails investissements'!$A$26:$DE$43,BG$3-VLOOKUP($A6,'détails investissements'!$A$71:$B$88,2,FALSE)+1,FALSE)))&lt;&gt;"",HLOOKUP(IF(BG$3-VLOOKUP($A6,'détails investissements'!$A$71:$B$88,2,FALSE)&lt;=0,"",IF(VLOOKUP($A6,'détails investissements'!$A$26:$DE$43,BG$3-VLOOKUP($A6,'détails investissements'!$A$71:$B$88,2,FALSE)+1,FALSE)="","",VLOOKUP($A6,'détails investissements'!$A$26:$DE$43,BG$3-VLOOKUP($A6,'détails investissements'!$A$71:$B$88,2,FALSE)+1,FALSE))),'détails investissements'!$U$6:$AB$7,2,FALSE),"")&lt;&gt;"",VLOOKUP($A6,'détails investissements'!$A$7:$H$21,1+IF(IF(BG$3-VLOOKUP($A6,'détails investissements'!$A$71:$B$88,2,FALSE)&lt;=0,"",IF(VLOOKUP($A6,'détails investissements'!$A$26:$DE$43,BG$3-VLOOKUP($A6,'détails investissements'!$A$71:$B$88,2,FALSE)+1,FALSE)="","",VLOOKUP($A6,'détails investissements'!$A$26:$DE$43,BG$3-VLOOKUP($A6,'détails investissements'!$A$71:$B$88,2,FALSE)+1,FALSE)))&lt;&gt;"",HLOOKUP(IF(BG$3-VLOOKUP($A6,'détails investissements'!$A$71:$B$88,2,FALSE)&lt;=0,"",IF(VLOOKUP($A6,'détails investissements'!$A$26:$DE$43,BG$3-VLOOKUP($A6,'détails investissements'!$A$71:$B$88,2,FALSE)+1,FALSE)="","",VLOOKUP($A6,'détails investissements'!$A$26:$DE$43,BG$3-VLOOKUP($A6,'détails investissements'!$A$71:$B$88,2,FALSE)+1,FALSE))),'détails investissements'!$U$6:$AB$7,2,FALSE),""),FALSE),"")</f>
        <v/>
      </c>
      <c r="BH6" s="45" t="str">
        <f>IF(IF(IF(BH$3-VLOOKUP($A6,'détails investissements'!$A$71:$B$88,2,FALSE)&lt;=0,"",IF(VLOOKUP($A6,'détails investissements'!$A$26:$DE$43,BH$3-VLOOKUP($A6,'détails investissements'!$A$71:$B$88,2,FALSE)+1,FALSE)="","",VLOOKUP($A6,'détails investissements'!$A$26:$DE$43,BH$3-VLOOKUP($A6,'détails investissements'!$A$71:$B$88,2,FALSE)+1,FALSE)))&lt;&gt;"",HLOOKUP(IF(BH$3-VLOOKUP($A6,'détails investissements'!$A$71:$B$88,2,FALSE)&lt;=0,"",IF(VLOOKUP($A6,'détails investissements'!$A$26:$DE$43,BH$3-VLOOKUP($A6,'détails investissements'!$A$71:$B$88,2,FALSE)+1,FALSE)="","",VLOOKUP($A6,'détails investissements'!$A$26:$DE$43,BH$3-VLOOKUP($A6,'détails investissements'!$A$71:$B$88,2,FALSE)+1,FALSE))),'détails investissements'!$U$6:$AB$7,2,FALSE),"")&lt;&gt;"",VLOOKUP($A6,'détails investissements'!$A$7:$H$21,1+IF(IF(BH$3-VLOOKUP($A6,'détails investissements'!$A$71:$B$88,2,FALSE)&lt;=0,"",IF(VLOOKUP($A6,'détails investissements'!$A$26:$DE$43,BH$3-VLOOKUP($A6,'détails investissements'!$A$71:$B$88,2,FALSE)+1,FALSE)="","",VLOOKUP($A6,'détails investissements'!$A$26:$DE$43,BH$3-VLOOKUP($A6,'détails investissements'!$A$71:$B$88,2,FALSE)+1,FALSE)))&lt;&gt;"",HLOOKUP(IF(BH$3-VLOOKUP($A6,'détails investissements'!$A$71:$B$88,2,FALSE)&lt;=0,"",IF(VLOOKUP($A6,'détails investissements'!$A$26:$DE$43,BH$3-VLOOKUP($A6,'détails investissements'!$A$71:$B$88,2,FALSE)+1,FALSE)="","",VLOOKUP($A6,'détails investissements'!$A$26:$DE$43,BH$3-VLOOKUP($A6,'détails investissements'!$A$71:$B$88,2,FALSE)+1,FALSE))),'détails investissements'!$U$6:$AB$7,2,FALSE),""),FALSE),"")</f>
        <v/>
      </c>
      <c r="BI6" s="45" t="str">
        <f>IF(IF(IF(BI$3-VLOOKUP($A6,'détails investissements'!$A$71:$B$88,2,FALSE)&lt;=0,"",IF(VLOOKUP($A6,'détails investissements'!$A$26:$DE$43,BI$3-VLOOKUP($A6,'détails investissements'!$A$71:$B$88,2,FALSE)+1,FALSE)="","",VLOOKUP($A6,'détails investissements'!$A$26:$DE$43,BI$3-VLOOKUP($A6,'détails investissements'!$A$71:$B$88,2,FALSE)+1,FALSE)))&lt;&gt;"",HLOOKUP(IF(BI$3-VLOOKUP($A6,'détails investissements'!$A$71:$B$88,2,FALSE)&lt;=0,"",IF(VLOOKUP($A6,'détails investissements'!$A$26:$DE$43,BI$3-VLOOKUP($A6,'détails investissements'!$A$71:$B$88,2,FALSE)+1,FALSE)="","",VLOOKUP($A6,'détails investissements'!$A$26:$DE$43,BI$3-VLOOKUP($A6,'détails investissements'!$A$71:$B$88,2,FALSE)+1,FALSE))),'détails investissements'!$U$6:$AB$7,2,FALSE),"")&lt;&gt;"",VLOOKUP($A6,'détails investissements'!$A$7:$H$21,1+IF(IF(BI$3-VLOOKUP($A6,'détails investissements'!$A$71:$B$88,2,FALSE)&lt;=0,"",IF(VLOOKUP($A6,'détails investissements'!$A$26:$DE$43,BI$3-VLOOKUP($A6,'détails investissements'!$A$71:$B$88,2,FALSE)+1,FALSE)="","",VLOOKUP($A6,'détails investissements'!$A$26:$DE$43,BI$3-VLOOKUP($A6,'détails investissements'!$A$71:$B$88,2,FALSE)+1,FALSE)))&lt;&gt;"",HLOOKUP(IF(BI$3-VLOOKUP($A6,'détails investissements'!$A$71:$B$88,2,FALSE)&lt;=0,"",IF(VLOOKUP($A6,'détails investissements'!$A$26:$DE$43,BI$3-VLOOKUP($A6,'détails investissements'!$A$71:$B$88,2,FALSE)+1,FALSE)="","",VLOOKUP($A6,'détails investissements'!$A$26:$DE$43,BI$3-VLOOKUP($A6,'détails investissements'!$A$71:$B$88,2,FALSE)+1,FALSE))),'détails investissements'!$U$6:$AB$7,2,FALSE),""),FALSE),"")</f>
        <v/>
      </c>
      <c r="BJ6" s="45" t="str">
        <f>IF(IF(IF(BJ$3-VLOOKUP($A6,'détails investissements'!$A$71:$B$88,2,FALSE)&lt;=0,"",IF(VLOOKUP($A6,'détails investissements'!$A$26:$DE$43,BJ$3-VLOOKUP($A6,'détails investissements'!$A$71:$B$88,2,FALSE)+1,FALSE)="","",VLOOKUP($A6,'détails investissements'!$A$26:$DE$43,BJ$3-VLOOKUP($A6,'détails investissements'!$A$71:$B$88,2,FALSE)+1,FALSE)))&lt;&gt;"",HLOOKUP(IF(BJ$3-VLOOKUP($A6,'détails investissements'!$A$71:$B$88,2,FALSE)&lt;=0,"",IF(VLOOKUP($A6,'détails investissements'!$A$26:$DE$43,BJ$3-VLOOKUP($A6,'détails investissements'!$A$71:$B$88,2,FALSE)+1,FALSE)="","",VLOOKUP($A6,'détails investissements'!$A$26:$DE$43,BJ$3-VLOOKUP($A6,'détails investissements'!$A$71:$B$88,2,FALSE)+1,FALSE))),'détails investissements'!$U$6:$AB$7,2,FALSE),"")&lt;&gt;"",VLOOKUP($A6,'détails investissements'!$A$7:$H$21,1+IF(IF(BJ$3-VLOOKUP($A6,'détails investissements'!$A$71:$B$88,2,FALSE)&lt;=0,"",IF(VLOOKUP($A6,'détails investissements'!$A$26:$DE$43,BJ$3-VLOOKUP($A6,'détails investissements'!$A$71:$B$88,2,FALSE)+1,FALSE)="","",VLOOKUP($A6,'détails investissements'!$A$26:$DE$43,BJ$3-VLOOKUP($A6,'détails investissements'!$A$71:$B$88,2,FALSE)+1,FALSE)))&lt;&gt;"",HLOOKUP(IF(BJ$3-VLOOKUP($A6,'détails investissements'!$A$71:$B$88,2,FALSE)&lt;=0,"",IF(VLOOKUP($A6,'détails investissements'!$A$26:$DE$43,BJ$3-VLOOKUP($A6,'détails investissements'!$A$71:$B$88,2,FALSE)+1,FALSE)="","",VLOOKUP($A6,'détails investissements'!$A$26:$DE$43,BJ$3-VLOOKUP($A6,'détails investissements'!$A$71:$B$88,2,FALSE)+1,FALSE))),'détails investissements'!$U$6:$AB$7,2,FALSE),""),FALSE),"")</f>
        <v/>
      </c>
      <c r="BK6" s="45" t="str">
        <f>IF(IF(IF(BK$3-VLOOKUP($A6,'détails investissements'!$A$71:$B$88,2,FALSE)&lt;=0,"",IF(VLOOKUP($A6,'détails investissements'!$A$26:$DE$43,BK$3-VLOOKUP($A6,'détails investissements'!$A$71:$B$88,2,FALSE)+1,FALSE)="","",VLOOKUP($A6,'détails investissements'!$A$26:$DE$43,BK$3-VLOOKUP($A6,'détails investissements'!$A$71:$B$88,2,FALSE)+1,FALSE)))&lt;&gt;"",HLOOKUP(IF(BK$3-VLOOKUP($A6,'détails investissements'!$A$71:$B$88,2,FALSE)&lt;=0,"",IF(VLOOKUP($A6,'détails investissements'!$A$26:$DE$43,BK$3-VLOOKUP($A6,'détails investissements'!$A$71:$B$88,2,FALSE)+1,FALSE)="","",VLOOKUP($A6,'détails investissements'!$A$26:$DE$43,BK$3-VLOOKUP($A6,'détails investissements'!$A$71:$B$88,2,FALSE)+1,FALSE))),'détails investissements'!$U$6:$AB$7,2,FALSE),"")&lt;&gt;"",VLOOKUP($A6,'détails investissements'!$A$7:$H$21,1+IF(IF(BK$3-VLOOKUP($A6,'détails investissements'!$A$71:$B$88,2,FALSE)&lt;=0,"",IF(VLOOKUP($A6,'détails investissements'!$A$26:$DE$43,BK$3-VLOOKUP($A6,'détails investissements'!$A$71:$B$88,2,FALSE)+1,FALSE)="","",VLOOKUP($A6,'détails investissements'!$A$26:$DE$43,BK$3-VLOOKUP($A6,'détails investissements'!$A$71:$B$88,2,FALSE)+1,FALSE)))&lt;&gt;"",HLOOKUP(IF(BK$3-VLOOKUP($A6,'détails investissements'!$A$71:$B$88,2,FALSE)&lt;=0,"",IF(VLOOKUP($A6,'détails investissements'!$A$26:$DE$43,BK$3-VLOOKUP($A6,'détails investissements'!$A$71:$B$88,2,FALSE)+1,FALSE)="","",VLOOKUP($A6,'détails investissements'!$A$26:$DE$43,BK$3-VLOOKUP($A6,'détails investissements'!$A$71:$B$88,2,FALSE)+1,FALSE))),'détails investissements'!$U$6:$AB$7,2,FALSE),""),FALSE),"")</f>
        <v/>
      </c>
      <c r="BL6" s="45" t="str">
        <f>IF(IF(IF(BL$3-VLOOKUP($A6,'détails investissements'!$A$71:$B$88,2,FALSE)&lt;=0,"",IF(VLOOKUP($A6,'détails investissements'!$A$26:$DE$43,BL$3-VLOOKUP($A6,'détails investissements'!$A$71:$B$88,2,FALSE)+1,FALSE)="","",VLOOKUP($A6,'détails investissements'!$A$26:$DE$43,BL$3-VLOOKUP($A6,'détails investissements'!$A$71:$B$88,2,FALSE)+1,FALSE)))&lt;&gt;"",HLOOKUP(IF(BL$3-VLOOKUP($A6,'détails investissements'!$A$71:$B$88,2,FALSE)&lt;=0,"",IF(VLOOKUP($A6,'détails investissements'!$A$26:$DE$43,BL$3-VLOOKUP($A6,'détails investissements'!$A$71:$B$88,2,FALSE)+1,FALSE)="","",VLOOKUP($A6,'détails investissements'!$A$26:$DE$43,BL$3-VLOOKUP($A6,'détails investissements'!$A$71:$B$88,2,FALSE)+1,FALSE))),'détails investissements'!$U$6:$AB$7,2,FALSE),"")&lt;&gt;"",VLOOKUP($A6,'détails investissements'!$A$7:$H$21,1+IF(IF(BL$3-VLOOKUP($A6,'détails investissements'!$A$71:$B$88,2,FALSE)&lt;=0,"",IF(VLOOKUP($A6,'détails investissements'!$A$26:$DE$43,BL$3-VLOOKUP($A6,'détails investissements'!$A$71:$B$88,2,FALSE)+1,FALSE)="","",VLOOKUP($A6,'détails investissements'!$A$26:$DE$43,BL$3-VLOOKUP($A6,'détails investissements'!$A$71:$B$88,2,FALSE)+1,FALSE)))&lt;&gt;"",HLOOKUP(IF(BL$3-VLOOKUP($A6,'détails investissements'!$A$71:$B$88,2,FALSE)&lt;=0,"",IF(VLOOKUP($A6,'détails investissements'!$A$26:$DE$43,BL$3-VLOOKUP($A6,'détails investissements'!$A$71:$B$88,2,FALSE)+1,FALSE)="","",VLOOKUP($A6,'détails investissements'!$A$26:$DE$43,BL$3-VLOOKUP($A6,'détails investissements'!$A$71:$B$88,2,FALSE)+1,FALSE))),'détails investissements'!$U$6:$AB$7,2,FALSE),""),FALSE),"")</f>
        <v/>
      </c>
      <c r="BM6" s="45" t="str">
        <f>IF(IF(IF(BM$3-VLOOKUP($A6,'détails investissements'!$A$71:$B$88,2,FALSE)&lt;=0,"",IF(VLOOKUP($A6,'détails investissements'!$A$26:$DE$43,BM$3-VLOOKUP($A6,'détails investissements'!$A$71:$B$88,2,FALSE)+1,FALSE)="","",VLOOKUP($A6,'détails investissements'!$A$26:$DE$43,BM$3-VLOOKUP($A6,'détails investissements'!$A$71:$B$88,2,FALSE)+1,FALSE)))&lt;&gt;"",HLOOKUP(IF(BM$3-VLOOKUP($A6,'détails investissements'!$A$71:$B$88,2,FALSE)&lt;=0,"",IF(VLOOKUP($A6,'détails investissements'!$A$26:$DE$43,BM$3-VLOOKUP($A6,'détails investissements'!$A$71:$B$88,2,FALSE)+1,FALSE)="","",VLOOKUP($A6,'détails investissements'!$A$26:$DE$43,BM$3-VLOOKUP($A6,'détails investissements'!$A$71:$B$88,2,FALSE)+1,FALSE))),'détails investissements'!$U$6:$AB$7,2,FALSE),"")&lt;&gt;"",VLOOKUP($A6,'détails investissements'!$A$7:$H$21,1+IF(IF(BM$3-VLOOKUP($A6,'détails investissements'!$A$71:$B$88,2,FALSE)&lt;=0,"",IF(VLOOKUP($A6,'détails investissements'!$A$26:$DE$43,BM$3-VLOOKUP($A6,'détails investissements'!$A$71:$B$88,2,FALSE)+1,FALSE)="","",VLOOKUP($A6,'détails investissements'!$A$26:$DE$43,BM$3-VLOOKUP($A6,'détails investissements'!$A$71:$B$88,2,FALSE)+1,FALSE)))&lt;&gt;"",HLOOKUP(IF(BM$3-VLOOKUP($A6,'détails investissements'!$A$71:$B$88,2,FALSE)&lt;=0,"",IF(VLOOKUP($A6,'détails investissements'!$A$26:$DE$43,BM$3-VLOOKUP($A6,'détails investissements'!$A$71:$B$88,2,FALSE)+1,FALSE)="","",VLOOKUP($A6,'détails investissements'!$A$26:$DE$43,BM$3-VLOOKUP($A6,'détails investissements'!$A$71:$B$88,2,FALSE)+1,FALSE))),'détails investissements'!$U$6:$AB$7,2,FALSE),""),FALSE),"")</f>
        <v/>
      </c>
      <c r="BN6" s="45" t="str">
        <f>IF(IF(IF(BN$3-VLOOKUP($A6,'détails investissements'!$A$71:$B$88,2,FALSE)&lt;=0,"",IF(VLOOKUP($A6,'détails investissements'!$A$26:$DE$43,BN$3-VLOOKUP($A6,'détails investissements'!$A$71:$B$88,2,FALSE)+1,FALSE)="","",VLOOKUP($A6,'détails investissements'!$A$26:$DE$43,BN$3-VLOOKUP($A6,'détails investissements'!$A$71:$B$88,2,FALSE)+1,FALSE)))&lt;&gt;"",HLOOKUP(IF(BN$3-VLOOKUP($A6,'détails investissements'!$A$71:$B$88,2,FALSE)&lt;=0,"",IF(VLOOKUP($A6,'détails investissements'!$A$26:$DE$43,BN$3-VLOOKUP($A6,'détails investissements'!$A$71:$B$88,2,FALSE)+1,FALSE)="","",VLOOKUP($A6,'détails investissements'!$A$26:$DE$43,BN$3-VLOOKUP($A6,'détails investissements'!$A$71:$B$88,2,FALSE)+1,FALSE))),'détails investissements'!$U$6:$AB$7,2,FALSE),"")&lt;&gt;"",VLOOKUP($A6,'détails investissements'!$A$7:$H$21,1+IF(IF(BN$3-VLOOKUP($A6,'détails investissements'!$A$71:$B$88,2,FALSE)&lt;=0,"",IF(VLOOKUP($A6,'détails investissements'!$A$26:$DE$43,BN$3-VLOOKUP($A6,'détails investissements'!$A$71:$B$88,2,FALSE)+1,FALSE)="","",VLOOKUP($A6,'détails investissements'!$A$26:$DE$43,BN$3-VLOOKUP($A6,'détails investissements'!$A$71:$B$88,2,FALSE)+1,FALSE)))&lt;&gt;"",HLOOKUP(IF(BN$3-VLOOKUP($A6,'détails investissements'!$A$71:$B$88,2,FALSE)&lt;=0,"",IF(VLOOKUP($A6,'détails investissements'!$A$26:$DE$43,BN$3-VLOOKUP($A6,'détails investissements'!$A$71:$B$88,2,FALSE)+1,FALSE)="","",VLOOKUP($A6,'détails investissements'!$A$26:$DE$43,BN$3-VLOOKUP($A6,'détails investissements'!$A$71:$B$88,2,FALSE)+1,FALSE))),'détails investissements'!$U$6:$AB$7,2,FALSE),""),FALSE),"")</f>
        <v/>
      </c>
      <c r="BO6" s="45" t="str">
        <f>IF(IF(IF(BO$3-VLOOKUP($A6,'détails investissements'!$A$71:$B$88,2,FALSE)&lt;=0,"",IF(VLOOKUP($A6,'détails investissements'!$A$26:$DE$43,BO$3-VLOOKUP($A6,'détails investissements'!$A$71:$B$88,2,FALSE)+1,FALSE)="","",VLOOKUP($A6,'détails investissements'!$A$26:$DE$43,BO$3-VLOOKUP($A6,'détails investissements'!$A$71:$B$88,2,FALSE)+1,FALSE)))&lt;&gt;"",HLOOKUP(IF(BO$3-VLOOKUP($A6,'détails investissements'!$A$71:$B$88,2,FALSE)&lt;=0,"",IF(VLOOKUP($A6,'détails investissements'!$A$26:$DE$43,BO$3-VLOOKUP($A6,'détails investissements'!$A$71:$B$88,2,FALSE)+1,FALSE)="","",VLOOKUP($A6,'détails investissements'!$A$26:$DE$43,BO$3-VLOOKUP($A6,'détails investissements'!$A$71:$B$88,2,FALSE)+1,FALSE))),'détails investissements'!$U$6:$AB$7,2,FALSE),"")&lt;&gt;"",VLOOKUP($A6,'détails investissements'!$A$7:$H$21,1+IF(IF(BO$3-VLOOKUP($A6,'détails investissements'!$A$71:$B$88,2,FALSE)&lt;=0,"",IF(VLOOKUP($A6,'détails investissements'!$A$26:$DE$43,BO$3-VLOOKUP($A6,'détails investissements'!$A$71:$B$88,2,FALSE)+1,FALSE)="","",VLOOKUP($A6,'détails investissements'!$A$26:$DE$43,BO$3-VLOOKUP($A6,'détails investissements'!$A$71:$B$88,2,FALSE)+1,FALSE)))&lt;&gt;"",HLOOKUP(IF(BO$3-VLOOKUP($A6,'détails investissements'!$A$71:$B$88,2,FALSE)&lt;=0,"",IF(VLOOKUP($A6,'détails investissements'!$A$26:$DE$43,BO$3-VLOOKUP($A6,'détails investissements'!$A$71:$B$88,2,FALSE)+1,FALSE)="","",VLOOKUP($A6,'détails investissements'!$A$26:$DE$43,BO$3-VLOOKUP($A6,'détails investissements'!$A$71:$B$88,2,FALSE)+1,FALSE))),'détails investissements'!$U$6:$AB$7,2,FALSE),""),FALSE),"")</f>
        <v/>
      </c>
      <c r="BP6" s="45" t="str">
        <f>IF(IF(IF(BP$3-VLOOKUP($A6,'détails investissements'!$A$71:$B$88,2,FALSE)&lt;=0,"",IF(VLOOKUP($A6,'détails investissements'!$A$26:$DE$43,BP$3-VLOOKUP($A6,'détails investissements'!$A$71:$B$88,2,FALSE)+1,FALSE)="","",VLOOKUP($A6,'détails investissements'!$A$26:$DE$43,BP$3-VLOOKUP($A6,'détails investissements'!$A$71:$B$88,2,FALSE)+1,FALSE)))&lt;&gt;"",HLOOKUP(IF(BP$3-VLOOKUP($A6,'détails investissements'!$A$71:$B$88,2,FALSE)&lt;=0,"",IF(VLOOKUP($A6,'détails investissements'!$A$26:$DE$43,BP$3-VLOOKUP($A6,'détails investissements'!$A$71:$B$88,2,FALSE)+1,FALSE)="","",VLOOKUP($A6,'détails investissements'!$A$26:$DE$43,BP$3-VLOOKUP($A6,'détails investissements'!$A$71:$B$88,2,FALSE)+1,FALSE))),'détails investissements'!$U$6:$AB$7,2,FALSE),"")&lt;&gt;"",VLOOKUP($A6,'détails investissements'!$A$7:$H$21,1+IF(IF(BP$3-VLOOKUP($A6,'détails investissements'!$A$71:$B$88,2,FALSE)&lt;=0,"",IF(VLOOKUP($A6,'détails investissements'!$A$26:$DE$43,BP$3-VLOOKUP($A6,'détails investissements'!$A$71:$B$88,2,FALSE)+1,FALSE)="","",VLOOKUP($A6,'détails investissements'!$A$26:$DE$43,BP$3-VLOOKUP($A6,'détails investissements'!$A$71:$B$88,2,FALSE)+1,FALSE)))&lt;&gt;"",HLOOKUP(IF(BP$3-VLOOKUP($A6,'détails investissements'!$A$71:$B$88,2,FALSE)&lt;=0,"",IF(VLOOKUP($A6,'détails investissements'!$A$26:$DE$43,BP$3-VLOOKUP($A6,'détails investissements'!$A$71:$B$88,2,FALSE)+1,FALSE)="","",VLOOKUP($A6,'détails investissements'!$A$26:$DE$43,BP$3-VLOOKUP($A6,'détails investissements'!$A$71:$B$88,2,FALSE)+1,FALSE))),'détails investissements'!$U$6:$AB$7,2,FALSE),""),FALSE),"")</f>
        <v/>
      </c>
      <c r="BQ6" s="45" t="str">
        <f>IF(IF(IF(BQ$3-VLOOKUP($A6,'détails investissements'!$A$71:$B$88,2,FALSE)&lt;=0,"",IF(VLOOKUP($A6,'détails investissements'!$A$26:$DE$43,BQ$3-VLOOKUP($A6,'détails investissements'!$A$71:$B$88,2,FALSE)+1,FALSE)="","",VLOOKUP($A6,'détails investissements'!$A$26:$DE$43,BQ$3-VLOOKUP($A6,'détails investissements'!$A$71:$B$88,2,FALSE)+1,FALSE)))&lt;&gt;"",HLOOKUP(IF(BQ$3-VLOOKUP($A6,'détails investissements'!$A$71:$B$88,2,FALSE)&lt;=0,"",IF(VLOOKUP($A6,'détails investissements'!$A$26:$DE$43,BQ$3-VLOOKUP($A6,'détails investissements'!$A$71:$B$88,2,FALSE)+1,FALSE)="","",VLOOKUP($A6,'détails investissements'!$A$26:$DE$43,BQ$3-VLOOKUP($A6,'détails investissements'!$A$71:$B$88,2,FALSE)+1,FALSE))),'détails investissements'!$U$6:$AB$7,2,FALSE),"")&lt;&gt;"",VLOOKUP($A6,'détails investissements'!$A$7:$H$21,1+IF(IF(BQ$3-VLOOKUP($A6,'détails investissements'!$A$71:$B$88,2,FALSE)&lt;=0,"",IF(VLOOKUP($A6,'détails investissements'!$A$26:$DE$43,BQ$3-VLOOKUP($A6,'détails investissements'!$A$71:$B$88,2,FALSE)+1,FALSE)="","",VLOOKUP($A6,'détails investissements'!$A$26:$DE$43,BQ$3-VLOOKUP($A6,'détails investissements'!$A$71:$B$88,2,FALSE)+1,FALSE)))&lt;&gt;"",HLOOKUP(IF(BQ$3-VLOOKUP($A6,'détails investissements'!$A$71:$B$88,2,FALSE)&lt;=0,"",IF(VLOOKUP($A6,'détails investissements'!$A$26:$DE$43,BQ$3-VLOOKUP($A6,'détails investissements'!$A$71:$B$88,2,FALSE)+1,FALSE)="","",VLOOKUP($A6,'détails investissements'!$A$26:$DE$43,BQ$3-VLOOKUP($A6,'détails investissements'!$A$71:$B$88,2,FALSE)+1,FALSE))),'détails investissements'!$U$6:$AB$7,2,FALSE),""),FALSE),"")</f>
        <v/>
      </c>
      <c r="BR6" s="45" t="str">
        <f>IF(IF(IF(BR$3-VLOOKUP($A6,'détails investissements'!$A$71:$B$88,2,FALSE)&lt;=0,"",IF(VLOOKUP($A6,'détails investissements'!$A$26:$DE$43,BR$3-VLOOKUP($A6,'détails investissements'!$A$71:$B$88,2,FALSE)+1,FALSE)="","",VLOOKUP($A6,'détails investissements'!$A$26:$DE$43,BR$3-VLOOKUP($A6,'détails investissements'!$A$71:$B$88,2,FALSE)+1,FALSE)))&lt;&gt;"",HLOOKUP(IF(BR$3-VLOOKUP($A6,'détails investissements'!$A$71:$B$88,2,FALSE)&lt;=0,"",IF(VLOOKUP($A6,'détails investissements'!$A$26:$DE$43,BR$3-VLOOKUP($A6,'détails investissements'!$A$71:$B$88,2,FALSE)+1,FALSE)="","",VLOOKUP($A6,'détails investissements'!$A$26:$DE$43,BR$3-VLOOKUP($A6,'détails investissements'!$A$71:$B$88,2,FALSE)+1,FALSE))),'détails investissements'!$U$6:$AB$7,2,FALSE),"")&lt;&gt;"",VLOOKUP($A6,'détails investissements'!$A$7:$H$21,1+IF(IF(BR$3-VLOOKUP($A6,'détails investissements'!$A$71:$B$88,2,FALSE)&lt;=0,"",IF(VLOOKUP($A6,'détails investissements'!$A$26:$DE$43,BR$3-VLOOKUP($A6,'détails investissements'!$A$71:$B$88,2,FALSE)+1,FALSE)="","",VLOOKUP($A6,'détails investissements'!$A$26:$DE$43,BR$3-VLOOKUP($A6,'détails investissements'!$A$71:$B$88,2,FALSE)+1,FALSE)))&lt;&gt;"",HLOOKUP(IF(BR$3-VLOOKUP($A6,'détails investissements'!$A$71:$B$88,2,FALSE)&lt;=0,"",IF(VLOOKUP($A6,'détails investissements'!$A$26:$DE$43,BR$3-VLOOKUP($A6,'détails investissements'!$A$71:$B$88,2,FALSE)+1,FALSE)="","",VLOOKUP($A6,'détails investissements'!$A$26:$DE$43,BR$3-VLOOKUP($A6,'détails investissements'!$A$71:$B$88,2,FALSE)+1,FALSE))),'détails investissements'!$U$6:$AB$7,2,FALSE),""),FALSE),"")</f>
        <v/>
      </c>
      <c r="BS6" s="45" t="str">
        <f>IF(IF(IF(BS$3-VLOOKUP($A6,'détails investissements'!$A$71:$B$88,2,FALSE)&lt;=0,"",IF(VLOOKUP($A6,'détails investissements'!$A$26:$DE$43,BS$3-VLOOKUP($A6,'détails investissements'!$A$71:$B$88,2,FALSE)+1,FALSE)="","",VLOOKUP($A6,'détails investissements'!$A$26:$DE$43,BS$3-VLOOKUP($A6,'détails investissements'!$A$71:$B$88,2,FALSE)+1,FALSE)))&lt;&gt;"",HLOOKUP(IF(BS$3-VLOOKUP($A6,'détails investissements'!$A$71:$B$88,2,FALSE)&lt;=0,"",IF(VLOOKUP($A6,'détails investissements'!$A$26:$DE$43,BS$3-VLOOKUP($A6,'détails investissements'!$A$71:$B$88,2,FALSE)+1,FALSE)="","",VLOOKUP($A6,'détails investissements'!$A$26:$DE$43,BS$3-VLOOKUP($A6,'détails investissements'!$A$71:$B$88,2,FALSE)+1,FALSE))),'détails investissements'!$U$6:$AB$7,2,FALSE),"")&lt;&gt;"",VLOOKUP($A6,'détails investissements'!$A$7:$H$21,1+IF(IF(BS$3-VLOOKUP($A6,'détails investissements'!$A$71:$B$88,2,FALSE)&lt;=0,"",IF(VLOOKUP($A6,'détails investissements'!$A$26:$DE$43,BS$3-VLOOKUP($A6,'détails investissements'!$A$71:$B$88,2,FALSE)+1,FALSE)="","",VLOOKUP($A6,'détails investissements'!$A$26:$DE$43,BS$3-VLOOKUP($A6,'détails investissements'!$A$71:$B$88,2,FALSE)+1,FALSE)))&lt;&gt;"",HLOOKUP(IF(BS$3-VLOOKUP($A6,'détails investissements'!$A$71:$B$88,2,FALSE)&lt;=0,"",IF(VLOOKUP($A6,'détails investissements'!$A$26:$DE$43,BS$3-VLOOKUP($A6,'détails investissements'!$A$71:$B$88,2,FALSE)+1,FALSE)="","",VLOOKUP($A6,'détails investissements'!$A$26:$DE$43,BS$3-VLOOKUP($A6,'détails investissements'!$A$71:$B$88,2,FALSE)+1,FALSE))),'détails investissements'!$U$6:$AB$7,2,FALSE),""),FALSE),"")</f>
        <v/>
      </c>
      <c r="BT6" s="45" t="str">
        <f>IF(IF(IF(BT$3-VLOOKUP($A6,'détails investissements'!$A$71:$B$88,2,FALSE)&lt;=0,"",IF(VLOOKUP($A6,'détails investissements'!$A$26:$DE$43,BT$3-VLOOKUP($A6,'détails investissements'!$A$71:$B$88,2,FALSE)+1,FALSE)="","",VLOOKUP($A6,'détails investissements'!$A$26:$DE$43,BT$3-VLOOKUP($A6,'détails investissements'!$A$71:$B$88,2,FALSE)+1,FALSE)))&lt;&gt;"",HLOOKUP(IF(BT$3-VLOOKUP($A6,'détails investissements'!$A$71:$B$88,2,FALSE)&lt;=0,"",IF(VLOOKUP($A6,'détails investissements'!$A$26:$DE$43,BT$3-VLOOKUP($A6,'détails investissements'!$A$71:$B$88,2,FALSE)+1,FALSE)="","",VLOOKUP($A6,'détails investissements'!$A$26:$DE$43,BT$3-VLOOKUP($A6,'détails investissements'!$A$71:$B$88,2,FALSE)+1,FALSE))),'détails investissements'!$U$6:$AB$7,2,FALSE),"")&lt;&gt;"",VLOOKUP($A6,'détails investissements'!$A$7:$H$21,1+IF(IF(BT$3-VLOOKUP($A6,'détails investissements'!$A$71:$B$88,2,FALSE)&lt;=0,"",IF(VLOOKUP($A6,'détails investissements'!$A$26:$DE$43,BT$3-VLOOKUP($A6,'détails investissements'!$A$71:$B$88,2,FALSE)+1,FALSE)="","",VLOOKUP($A6,'détails investissements'!$A$26:$DE$43,BT$3-VLOOKUP($A6,'détails investissements'!$A$71:$B$88,2,FALSE)+1,FALSE)))&lt;&gt;"",HLOOKUP(IF(BT$3-VLOOKUP($A6,'détails investissements'!$A$71:$B$88,2,FALSE)&lt;=0,"",IF(VLOOKUP($A6,'détails investissements'!$A$26:$DE$43,BT$3-VLOOKUP($A6,'détails investissements'!$A$71:$B$88,2,FALSE)+1,FALSE)="","",VLOOKUP($A6,'détails investissements'!$A$26:$DE$43,BT$3-VLOOKUP($A6,'détails investissements'!$A$71:$B$88,2,FALSE)+1,FALSE))),'détails investissements'!$U$6:$AB$7,2,FALSE),""),FALSE),"")</f>
        <v/>
      </c>
      <c r="BU6" s="45" t="str">
        <f>IF(IF(IF(BU$3-VLOOKUP($A6,'détails investissements'!$A$71:$B$88,2,FALSE)&lt;=0,"",IF(VLOOKUP($A6,'détails investissements'!$A$26:$DE$43,BU$3-VLOOKUP($A6,'détails investissements'!$A$71:$B$88,2,FALSE)+1,FALSE)="","",VLOOKUP($A6,'détails investissements'!$A$26:$DE$43,BU$3-VLOOKUP($A6,'détails investissements'!$A$71:$B$88,2,FALSE)+1,FALSE)))&lt;&gt;"",HLOOKUP(IF(BU$3-VLOOKUP($A6,'détails investissements'!$A$71:$B$88,2,FALSE)&lt;=0,"",IF(VLOOKUP($A6,'détails investissements'!$A$26:$DE$43,BU$3-VLOOKUP($A6,'détails investissements'!$A$71:$B$88,2,FALSE)+1,FALSE)="","",VLOOKUP($A6,'détails investissements'!$A$26:$DE$43,BU$3-VLOOKUP($A6,'détails investissements'!$A$71:$B$88,2,FALSE)+1,FALSE))),'détails investissements'!$U$6:$AB$7,2,FALSE),"")&lt;&gt;"",VLOOKUP($A6,'détails investissements'!$A$7:$H$21,1+IF(IF(BU$3-VLOOKUP($A6,'détails investissements'!$A$71:$B$88,2,FALSE)&lt;=0,"",IF(VLOOKUP($A6,'détails investissements'!$A$26:$DE$43,BU$3-VLOOKUP($A6,'détails investissements'!$A$71:$B$88,2,FALSE)+1,FALSE)="","",VLOOKUP($A6,'détails investissements'!$A$26:$DE$43,BU$3-VLOOKUP($A6,'détails investissements'!$A$71:$B$88,2,FALSE)+1,FALSE)))&lt;&gt;"",HLOOKUP(IF(BU$3-VLOOKUP($A6,'détails investissements'!$A$71:$B$88,2,FALSE)&lt;=0,"",IF(VLOOKUP($A6,'détails investissements'!$A$26:$DE$43,BU$3-VLOOKUP($A6,'détails investissements'!$A$71:$B$88,2,FALSE)+1,FALSE)="","",VLOOKUP($A6,'détails investissements'!$A$26:$DE$43,BU$3-VLOOKUP($A6,'détails investissements'!$A$71:$B$88,2,FALSE)+1,FALSE))),'détails investissements'!$U$6:$AB$7,2,FALSE),""),FALSE),"")</f>
        <v/>
      </c>
      <c r="BV6" s="45" t="str">
        <f>IF(IF(IF(BV$3-VLOOKUP($A6,'détails investissements'!$A$71:$B$88,2,FALSE)&lt;=0,"",IF(VLOOKUP($A6,'détails investissements'!$A$26:$DE$43,BV$3-VLOOKUP($A6,'détails investissements'!$A$71:$B$88,2,FALSE)+1,FALSE)="","",VLOOKUP($A6,'détails investissements'!$A$26:$DE$43,BV$3-VLOOKUP($A6,'détails investissements'!$A$71:$B$88,2,FALSE)+1,FALSE)))&lt;&gt;"",HLOOKUP(IF(BV$3-VLOOKUP($A6,'détails investissements'!$A$71:$B$88,2,FALSE)&lt;=0,"",IF(VLOOKUP($A6,'détails investissements'!$A$26:$DE$43,BV$3-VLOOKUP($A6,'détails investissements'!$A$71:$B$88,2,FALSE)+1,FALSE)="","",VLOOKUP($A6,'détails investissements'!$A$26:$DE$43,BV$3-VLOOKUP($A6,'détails investissements'!$A$71:$B$88,2,FALSE)+1,FALSE))),'détails investissements'!$U$6:$AB$7,2,FALSE),"")&lt;&gt;"",VLOOKUP($A6,'détails investissements'!$A$7:$H$21,1+IF(IF(BV$3-VLOOKUP($A6,'détails investissements'!$A$71:$B$88,2,FALSE)&lt;=0,"",IF(VLOOKUP($A6,'détails investissements'!$A$26:$DE$43,BV$3-VLOOKUP($A6,'détails investissements'!$A$71:$B$88,2,FALSE)+1,FALSE)="","",VLOOKUP($A6,'détails investissements'!$A$26:$DE$43,BV$3-VLOOKUP($A6,'détails investissements'!$A$71:$B$88,2,FALSE)+1,FALSE)))&lt;&gt;"",HLOOKUP(IF(BV$3-VLOOKUP($A6,'détails investissements'!$A$71:$B$88,2,FALSE)&lt;=0,"",IF(VLOOKUP($A6,'détails investissements'!$A$26:$DE$43,BV$3-VLOOKUP($A6,'détails investissements'!$A$71:$B$88,2,FALSE)+1,FALSE)="","",VLOOKUP($A6,'détails investissements'!$A$26:$DE$43,BV$3-VLOOKUP($A6,'détails investissements'!$A$71:$B$88,2,FALSE)+1,FALSE))),'détails investissements'!$U$6:$AB$7,2,FALSE),""),FALSE),"")</f>
        <v/>
      </c>
      <c r="BW6" s="45" t="str">
        <f>IF(IF(IF(BW$3-VLOOKUP($A6,'détails investissements'!$A$71:$B$88,2,FALSE)&lt;=0,"",IF(VLOOKUP($A6,'détails investissements'!$A$26:$DE$43,BW$3-VLOOKUP($A6,'détails investissements'!$A$71:$B$88,2,FALSE)+1,FALSE)="","",VLOOKUP($A6,'détails investissements'!$A$26:$DE$43,BW$3-VLOOKUP($A6,'détails investissements'!$A$71:$B$88,2,FALSE)+1,FALSE)))&lt;&gt;"",HLOOKUP(IF(BW$3-VLOOKUP($A6,'détails investissements'!$A$71:$B$88,2,FALSE)&lt;=0,"",IF(VLOOKUP($A6,'détails investissements'!$A$26:$DE$43,BW$3-VLOOKUP($A6,'détails investissements'!$A$71:$B$88,2,FALSE)+1,FALSE)="","",VLOOKUP($A6,'détails investissements'!$A$26:$DE$43,BW$3-VLOOKUP($A6,'détails investissements'!$A$71:$B$88,2,FALSE)+1,FALSE))),'détails investissements'!$U$6:$AB$7,2,FALSE),"")&lt;&gt;"",VLOOKUP($A6,'détails investissements'!$A$7:$H$21,1+IF(IF(BW$3-VLOOKUP($A6,'détails investissements'!$A$71:$B$88,2,FALSE)&lt;=0,"",IF(VLOOKUP($A6,'détails investissements'!$A$26:$DE$43,BW$3-VLOOKUP($A6,'détails investissements'!$A$71:$B$88,2,FALSE)+1,FALSE)="","",VLOOKUP($A6,'détails investissements'!$A$26:$DE$43,BW$3-VLOOKUP($A6,'détails investissements'!$A$71:$B$88,2,FALSE)+1,FALSE)))&lt;&gt;"",HLOOKUP(IF(BW$3-VLOOKUP($A6,'détails investissements'!$A$71:$B$88,2,FALSE)&lt;=0,"",IF(VLOOKUP($A6,'détails investissements'!$A$26:$DE$43,BW$3-VLOOKUP($A6,'détails investissements'!$A$71:$B$88,2,FALSE)+1,FALSE)="","",VLOOKUP($A6,'détails investissements'!$A$26:$DE$43,BW$3-VLOOKUP($A6,'détails investissements'!$A$71:$B$88,2,FALSE)+1,FALSE))),'détails investissements'!$U$6:$AB$7,2,FALSE),""),FALSE),"")</f>
        <v/>
      </c>
      <c r="BX6" s="45" t="str">
        <f>IF(IF(IF(BX$3-VLOOKUP($A6,'détails investissements'!$A$71:$B$88,2,FALSE)&lt;=0,"",IF(VLOOKUP($A6,'détails investissements'!$A$26:$DE$43,BX$3-VLOOKUP($A6,'détails investissements'!$A$71:$B$88,2,FALSE)+1,FALSE)="","",VLOOKUP($A6,'détails investissements'!$A$26:$DE$43,BX$3-VLOOKUP($A6,'détails investissements'!$A$71:$B$88,2,FALSE)+1,FALSE)))&lt;&gt;"",HLOOKUP(IF(BX$3-VLOOKUP($A6,'détails investissements'!$A$71:$B$88,2,FALSE)&lt;=0,"",IF(VLOOKUP($A6,'détails investissements'!$A$26:$DE$43,BX$3-VLOOKUP($A6,'détails investissements'!$A$71:$B$88,2,FALSE)+1,FALSE)="","",VLOOKUP($A6,'détails investissements'!$A$26:$DE$43,BX$3-VLOOKUP($A6,'détails investissements'!$A$71:$B$88,2,FALSE)+1,FALSE))),'détails investissements'!$U$6:$AB$7,2,FALSE),"")&lt;&gt;"",VLOOKUP($A6,'détails investissements'!$A$7:$H$21,1+IF(IF(BX$3-VLOOKUP($A6,'détails investissements'!$A$71:$B$88,2,FALSE)&lt;=0,"",IF(VLOOKUP($A6,'détails investissements'!$A$26:$DE$43,BX$3-VLOOKUP($A6,'détails investissements'!$A$71:$B$88,2,FALSE)+1,FALSE)="","",VLOOKUP($A6,'détails investissements'!$A$26:$DE$43,BX$3-VLOOKUP($A6,'détails investissements'!$A$71:$B$88,2,FALSE)+1,FALSE)))&lt;&gt;"",HLOOKUP(IF(BX$3-VLOOKUP($A6,'détails investissements'!$A$71:$B$88,2,FALSE)&lt;=0,"",IF(VLOOKUP($A6,'détails investissements'!$A$26:$DE$43,BX$3-VLOOKUP($A6,'détails investissements'!$A$71:$B$88,2,FALSE)+1,FALSE)="","",VLOOKUP($A6,'détails investissements'!$A$26:$DE$43,BX$3-VLOOKUP($A6,'détails investissements'!$A$71:$B$88,2,FALSE)+1,FALSE))),'détails investissements'!$U$6:$AB$7,2,FALSE),""),FALSE),"")</f>
        <v/>
      </c>
      <c r="BY6" s="45" t="str">
        <f>IF(IF(IF(BY$3-VLOOKUP($A6,'détails investissements'!$A$71:$B$88,2,FALSE)&lt;=0,"",IF(VLOOKUP($A6,'détails investissements'!$A$26:$DE$43,BY$3-VLOOKUP($A6,'détails investissements'!$A$71:$B$88,2,FALSE)+1,FALSE)="","",VLOOKUP($A6,'détails investissements'!$A$26:$DE$43,BY$3-VLOOKUP($A6,'détails investissements'!$A$71:$B$88,2,FALSE)+1,FALSE)))&lt;&gt;"",HLOOKUP(IF(BY$3-VLOOKUP($A6,'détails investissements'!$A$71:$B$88,2,FALSE)&lt;=0,"",IF(VLOOKUP($A6,'détails investissements'!$A$26:$DE$43,BY$3-VLOOKUP($A6,'détails investissements'!$A$71:$B$88,2,FALSE)+1,FALSE)="","",VLOOKUP($A6,'détails investissements'!$A$26:$DE$43,BY$3-VLOOKUP($A6,'détails investissements'!$A$71:$B$88,2,FALSE)+1,FALSE))),'détails investissements'!$U$6:$AB$7,2,FALSE),"")&lt;&gt;"",VLOOKUP($A6,'détails investissements'!$A$7:$H$21,1+IF(IF(BY$3-VLOOKUP($A6,'détails investissements'!$A$71:$B$88,2,FALSE)&lt;=0,"",IF(VLOOKUP($A6,'détails investissements'!$A$26:$DE$43,BY$3-VLOOKUP($A6,'détails investissements'!$A$71:$B$88,2,FALSE)+1,FALSE)="","",VLOOKUP($A6,'détails investissements'!$A$26:$DE$43,BY$3-VLOOKUP($A6,'détails investissements'!$A$71:$B$88,2,FALSE)+1,FALSE)))&lt;&gt;"",HLOOKUP(IF(BY$3-VLOOKUP($A6,'détails investissements'!$A$71:$B$88,2,FALSE)&lt;=0,"",IF(VLOOKUP($A6,'détails investissements'!$A$26:$DE$43,BY$3-VLOOKUP($A6,'détails investissements'!$A$71:$B$88,2,FALSE)+1,FALSE)="","",VLOOKUP($A6,'détails investissements'!$A$26:$DE$43,BY$3-VLOOKUP($A6,'détails investissements'!$A$71:$B$88,2,FALSE)+1,FALSE))),'détails investissements'!$U$6:$AB$7,2,FALSE),""),FALSE),"")</f>
        <v/>
      </c>
      <c r="BZ6" s="45" t="str">
        <f>IF(IF(IF(BZ$3-VLOOKUP($A6,'détails investissements'!$A$71:$B$88,2,FALSE)&lt;=0,"",IF(VLOOKUP($A6,'détails investissements'!$A$26:$DE$43,BZ$3-VLOOKUP($A6,'détails investissements'!$A$71:$B$88,2,FALSE)+1,FALSE)="","",VLOOKUP($A6,'détails investissements'!$A$26:$DE$43,BZ$3-VLOOKUP($A6,'détails investissements'!$A$71:$B$88,2,FALSE)+1,FALSE)))&lt;&gt;"",HLOOKUP(IF(BZ$3-VLOOKUP($A6,'détails investissements'!$A$71:$B$88,2,FALSE)&lt;=0,"",IF(VLOOKUP($A6,'détails investissements'!$A$26:$DE$43,BZ$3-VLOOKUP($A6,'détails investissements'!$A$71:$B$88,2,FALSE)+1,FALSE)="","",VLOOKUP($A6,'détails investissements'!$A$26:$DE$43,BZ$3-VLOOKUP($A6,'détails investissements'!$A$71:$B$88,2,FALSE)+1,FALSE))),'détails investissements'!$U$6:$AB$7,2,FALSE),"")&lt;&gt;"",VLOOKUP($A6,'détails investissements'!$A$7:$H$21,1+IF(IF(BZ$3-VLOOKUP($A6,'détails investissements'!$A$71:$B$88,2,FALSE)&lt;=0,"",IF(VLOOKUP($A6,'détails investissements'!$A$26:$DE$43,BZ$3-VLOOKUP($A6,'détails investissements'!$A$71:$B$88,2,FALSE)+1,FALSE)="","",VLOOKUP($A6,'détails investissements'!$A$26:$DE$43,BZ$3-VLOOKUP($A6,'détails investissements'!$A$71:$B$88,2,FALSE)+1,FALSE)))&lt;&gt;"",HLOOKUP(IF(BZ$3-VLOOKUP($A6,'détails investissements'!$A$71:$B$88,2,FALSE)&lt;=0,"",IF(VLOOKUP($A6,'détails investissements'!$A$26:$DE$43,BZ$3-VLOOKUP($A6,'détails investissements'!$A$71:$B$88,2,FALSE)+1,FALSE)="","",VLOOKUP($A6,'détails investissements'!$A$26:$DE$43,BZ$3-VLOOKUP($A6,'détails investissements'!$A$71:$B$88,2,FALSE)+1,FALSE))),'détails investissements'!$U$6:$AB$7,2,FALSE),""),FALSE),"")</f>
        <v/>
      </c>
      <c r="CA6" s="45" t="str">
        <f>IF(IF(IF(CA$3-VLOOKUP($A6,'détails investissements'!$A$71:$B$88,2,FALSE)&lt;=0,"",IF(VLOOKUP($A6,'détails investissements'!$A$26:$DE$43,CA$3-VLOOKUP($A6,'détails investissements'!$A$71:$B$88,2,FALSE)+1,FALSE)="","",VLOOKUP($A6,'détails investissements'!$A$26:$DE$43,CA$3-VLOOKUP($A6,'détails investissements'!$A$71:$B$88,2,FALSE)+1,FALSE)))&lt;&gt;"",HLOOKUP(IF(CA$3-VLOOKUP($A6,'détails investissements'!$A$71:$B$88,2,FALSE)&lt;=0,"",IF(VLOOKUP($A6,'détails investissements'!$A$26:$DE$43,CA$3-VLOOKUP($A6,'détails investissements'!$A$71:$B$88,2,FALSE)+1,FALSE)="","",VLOOKUP($A6,'détails investissements'!$A$26:$DE$43,CA$3-VLOOKUP($A6,'détails investissements'!$A$71:$B$88,2,FALSE)+1,FALSE))),'détails investissements'!$U$6:$AB$7,2,FALSE),"")&lt;&gt;"",VLOOKUP($A6,'détails investissements'!$A$7:$H$21,1+IF(IF(CA$3-VLOOKUP($A6,'détails investissements'!$A$71:$B$88,2,FALSE)&lt;=0,"",IF(VLOOKUP($A6,'détails investissements'!$A$26:$DE$43,CA$3-VLOOKUP($A6,'détails investissements'!$A$71:$B$88,2,FALSE)+1,FALSE)="","",VLOOKUP($A6,'détails investissements'!$A$26:$DE$43,CA$3-VLOOKUP($A6,'détails investissements'!$A$71:$B$88,2,FALSE)+1,FALSE)))&lt;&gt;"",HLOOKUP(IF(CA$3-VLOOKUP($A6,'détails investissements'!$A$71:$B$88,2,FALSE)&lt;=0,"",IF(VLOOKUP($A6,'détails investissements'!$A$26:$DE$43,CA$3-VLOOKUP($A6,'détails investissements'!$A$71:$B$88,2,FALSE)+1,FALSE)="","",VLOOKUP($A6,'détails investissements'!$A$26:$DE$43,CA$3-VLOOKUP($A6,'détails investissements'!$A$71:$B$88,2,FALSE)+1,FALSE))),'détails investissements'!$U$6:$AB$7,2,FALSE),""),FALSE),"")</f>
        <v/>
      </c>
      <c r="CB6" s="45" t="str">
        <f>IF(IF(IF(CB$3-VLOOKUP($A6,'détails investissements'!$A$71:$B$88,2,FALSE)&lt;=0,"",IF(VLOOKUP($A6,'détails investissements'!$A$26:$DE$43,CB$3-VLOOKUP($A6,'détails investissements'!$A$71:$B$88,2,FALSE)+1,FALSE)="","",VLOOKUP($A6,'détails investissements'!$A$26:$DE$43,CB$3-VLOOKUP($A6,'détails investissements'!$A$71:$B$88,2,FALSE)+1,FALSE)))&lt;&gt;"",HLOOKUP(IF(CB$3-VLOOKUP($A6,'détails investissements'!$A$71:$B$88,2,FALSE)&lt;=0,"",IF(VLOOKUP($A6,'détails investissements'!$A$26:$DE$43,CB$3-VLOOKUP($A6,'détails investissements'!$A$71:$B$88,2,FALSE)+1,FALSE)="","",VLOOKUP($A6,'détails investissements'!$A$26:$DE$43,CB$3-VLOOKUP($A6,'détails investissements'!$A$71:$B$88,2,FALSE)+1,FALSE))),'détails investissements'!$U$6:$AB$7,2,FALSE),"")&lt;&gt;"",VLOOKUP($A6,'détails investissements'!$A$7:$H$21,1+IF(IF(CB$3-VLOOKUP($A6,'détails investissements'!$A$71:$B$88,2,FALSE)&lt;=0,"",IF(VLOOKUP($A6,'détails investissements'!$A$26:$DE$43,CB$3-VLOOKUP($A6,'détails investissements'!$A$71:$B$88,2,FALSE)+1,FALSE)="","",VLOOKUP($A6,'détails investissements'!$A$26:$DE$43,CB$3-VLOOKUP($A6,'détails investissements'!$A$71:$B$88,2,FALSE)+1,FALSE)))&lt;&gt;"",HLOOKUP(IF(CB$3-VLOOKUP($A6,'détails investissements'!$A$71:$B$88,2,FALSE)&lt;=0,"",IF(VLOOKUP($A6,'détails investissements'!$A$26:$DE$43,CB$3-VLOOKUP($A6,'détails investissements'!$A$71:$B$88,2,FALSE)+1,FALSE)="","",VLOOKUP($A6,'détails investissements'!$A$26:$DE$43,CB$3-VLOOKUP($A6,'détails investissements'!$A$71:$B$88,2,FALSE)+1,FALSE))),'détails investissements'!$U$6:$AB$7,2,FALSE),""),FALSE),"")</f>
        <v/>
      </c>
      <c r="CC6" s="45" t="str">
        <f>IF(IF(IF(CC$3-VLOOKUP($A6,'détails investissements'!$A$71:$B$88,2,FALSE)&lt;=0,"",IF(VLOOKUP($A6,'détails investissements'!$A$26:$DE$43,CC$3-VLOOKUP($A6,'détails investissements'!$A$71:$B$88,2,FALSE)+1,FALSE)="","",VLOOKUP($A6,'détails investissements'!$A$26:$DE$43,CC$3-VLOOKUP($A6,'détails investissements'!$A$71:$B$88,2,FALSE)+1,FALSE)))&lt;&gt;"",HLOOKUP(IF(CC$3-VLOOKUP($A6,'détails investissements'!$A$71:$B$88,2,FALSE)&lt;=0,"",IF(VLOOKUP($A6,'détails investissements'!$A$26:$DE$43,CC$3-VLOOKUP($A6,'détails investissements'!$A$71:$B$88,2,FALSE)+1,FALSE)="","",VLOOKUP($A6,'détails investissements'!$A$26:$DE$43,CC$3-VLOOKUP($A6,'détails investissements'!$A$71:$B$88,2,FALSE)+1,FALSE))),'détails investissements'!$U$6:$AB$7,2,FALSE),"")&lt;&gt;"",VLOOKUP($A6,'détails investissements'!$A$7:$H$21,1+IF(IF(CC$3-VLOOKUP($A6,'détails investissements'!$A$71:$B$88,2,FALSE)&lt;=0,"",IF(VLOOKUP($A6,'détails investissements'!$A$26:$DE$43,CC$3-VLOOKUP($A6,'détails investissements'!$A$71:$B$88,2,FALSE)+1,FALSE)="","",VLOOKUP($A6,'détails investissements'!$A$26:$DE$43,CC$3-VLOOKUP($A6,'détails investissements'!$A$71:$B$88,2,FALSE)+1,FALSE)))&lt;&gt;"",HLOOKUP(IF(CC$3-VLOOKUP($A6,'détails investissements'!$A$71:$B$88,2,FALSE)&lt;=0,"",IF(VLOOKUP($A6,'détails investissements'!$A$26:$DE$43,CC$3-VLOOKUP($A6,'détails investissements'!$A$71:$B$88,2,FALSE)+1,FALSE)="","",VLOOKUP($A6,'détails investissements'!$A$26:$DE$43,CC$3-VLOOKUP($A6,'détails investissements'!$A$71:$B$88,2,FALSE)+1,FALSE))),'détails investissements'!$U$6:$AB$7,2,FALSE),""),FALSE),"")</f>
        <v/>
      </c>
      <c r="CD6" s="45" t="str">
        <f>IF(IF(IF(CD$3-VLOOKUP($A6,'détails investissements'!$A$71:$B$88,2,FALSE)&lt;=0,"",IF(VLOOKUP($A6,'détails investissements'!$A$26:$DE$43,CD$3-VLOOKUP($A6,'détails investissements'!$A$71:$B$88,2,FALSE)+1,FALSE)="","",VLOOKUP($A6,'détails investissements'!$A$26:$DE$43,CD$3-VLOOKUP($A6,'détails investissements'!$A$71:$B$88,2,FALSE)+1,FALSE)))&lt;&gt;"",HLOOKUP(IF(CD$3-VLOOKUP($A6,'détails investissements'!$A$71:$B$88,2,FALSE)&lt;=0,"",IF(VLOOKUP($A6,'détails investissements'!$A$26:$DE$43,CD$3-VLOOKUP($A6,'détails investissements'!$A$71:$B$88,2,FALSE)+1,FALSE)="","",VLOOKUP($A6,'détails investissements'!$A$26:$DE$43,CD$3-VLOOKUP($A6,'détails investissements'!$A$71:$B$88,2,FALSE)+1,FALSE))),'détails investissements'!$U$6:$AB$7,2,FALSE),"")&lt;&gt;"",VLOOKUP($A6,'détails investissements'!$A$7:$H$21,1+IF(IF(CD$3-VLOOKUP($A6,'détails investissements'!$A$71:$B$88,2,FALSE)&lt;=0,"",IF(VLOOKUP($A6,'détails investissements'!$A$26:$DE$43,CD$3-VLOOKUP($A6,'détails investissements'!$A$71:$B$88,2,FALSE)+1,FALSE)="","",VLOOKUP($A6,'détails investissements'!$A$26:$DE$43,CD$3-VLOOKUP($A6,'détails investissements'!$A$71:$B$88,2,FALSE)+1,FALSE)))&lt;&gt;"",HLOOKUP(IF(CD$3-VLOOKUP($A6,'détails investissements'!$A$71:$B$88,2,FALSE)&lt;=0,"",IF(VLOOKUP($A6,'détails investissements'!$A$26:$DE$43,CD$3-VLOOKUP($A6,'détails investissements'!$A$71:$B$88,2,FALSE)+1,FALSE)="","",VLOOKUP($A6,'détails investissements'!$A$26:$DE$43,CD$3-VLOOKUP($A6,'détails investissements'!$A$71:$B$88,2,FALSE)+1,FALSE))),'détails investissements'!$U$6:$AB$7,2,FALSE),""),FALSE),"")</f>
        <v/>
      </c>
      <c r="CE6" s="45" t="str">
        <f>IF(IF(IF(CE$3-VLOOKUP($A6,'détails investissements'!$A$71:$B$88,2,FALSE)&lt;=0,"",IF(VLOOKUP($A6,'détails investissements'!$A$26:$DE$43,CE$3-VLOOKUP($A6,'détails investissements'!$A$71:$B$88,2,FALSE)+1,FALSE)="","",VLOOKUP($A6,'détails investissements'!$A$26:$DE$43,CE$3-VLOOKUP($A6,'détails investissements'!$A$71:$B$88,2,FALSE)+1,FALSE)))&lt;&gt;"",HLOOKUP(IF(CE$3-VLOOKUP($A6,'détails investissements'!$A$71:$B$88,2,FALSE)&lt;=0,"",IF(VLOOKUP($A6,'détails investissements'!$A$26:$DE$43,CE$3-VLOOKUP($A6,'détails investissements'!$A$71:$B$88,2,FALSE)+1,FALSE)="","",VLOOKUP($A6,'détails investissements'!$A$26:$DE$43,CE$3-VLOOKUP($A6,'détails investissements'!$A$71:$B$88,2,FALSE)+1,FALSE))),'détails investissements'!$U$6:$AB$7,2,FALSE),"")&lt;&gt;"",VLOOKUP($A6,'détails investissements'!$A$7:$H$21,1+IF(IF(CE$3-VLOOKUP($A6,'détails investissements'!$A$71:$B$88,2,FALSE)&lt;=0,"",IF(VLOOKUP($A6,'détails investissements'!$A$26:$DE$43,CE$3-VLOOKUP($A6,'détails investissements'!$A$71:$B$88,2,FALSE)+1,FALSE)="","",VLOOKUP($A6,'détails investissements'!$A$26:$DE$43,CE$3-VLOOKUP($A6,'détails investissements'!$A$71:$B$88,2,FALSE)+1,FALSE)))&lt;&gt;"",HLOOKUP(IF(CE$3-VLOOKUP($A6,'détails investissements'!$A$71:$B$88,2,FALSE)&lt;=0,"",IF(VLOOKUP($A6,'détails investissements'!$A$26:$DE$43,CE$3-VLOOKUP($A6,'détails investissements'!$A$71:$B$88,2,FALSE)+1,FALSE)="","",VLOOKUP($A6,'détails investissements'!$A$26:$DE$43,CE$3-VLOOKUP($A6,'détails investissements'!$A$71:$B$88,2,FALSE)+1,FALSE))),'détails investissements'!$U$6:$AB$7,2,FALSE),""),FALSE),"")</f>
        <v/>
      </c>
      <c r="CF6" s="45" t="str">
        <f>IF(IF(IF(CF$3-VLOOKUP($A6,'détails investissements'!$A$71:$B$88,2,FALSE)&lt;=0,"",IF(VLOOKUP($A6,'détails investissements'!$A$26:$DE$43,CF$3-VLOOKUP($A6,'détails investissements'!$A$71:$B$88,2,FALSE)+1,FALSE)="","",VLOOKUP($A6,'détails investissements'!$A$26:$DE$43,CF$3-VLOOKUP($A6,'détails investissements'!$A$71:$B$88,2,FALSE)+1,FALSE)))&lt;&gt;"",HLOOKUP(IF(CF$3-VLOOKUP($A6,'détails investissements'!$A$71:$B$88,2,FALSE)&lt;=0,"",IF(VLOOKUP($A6,'détails investissements'!$A$26:$DE$43,CF$3-VLOOKUP($A6,'détails investissements'!$A$71:$B$88,2,FALSE)+1,FALSE)="","",VLOOKUP($A6,'détails investissements'!$A$26:$DE$43,CF$3-VLOOKUP($A6,'détails investissements'!$A$71:$B$88,2,FALSE)+1,FALSE))),'détails investissements'!$U$6:$AB$7,2,FALSE),"")&lt;&gt;"",VLOOKUP($A6,'détails investissements'!$A$7:$H$21,1+IF(IF(CF$3-VLOOKUP($A6,'détails investissements'!$A$71:$B$88,2,FALSE)&lt;=0,"",IF(VLOOKUP($A6,'détails investissements'!$A$26:$DE$43,CF$3-VLOOKUP($A6,'détails investissements'!$A$71:$B$88,2,FALSE)+1,FALSE)="","",VLOOKUP($A6,'détails investissements'!$A$26:$DE$43,CF$3-VLOOKUP($A6,'détails investissements'!$A$71:$B$88,2,FALSE)+1,FALSE)))&lt;&gt;"",HLOOKUP(IF(CF$3-VLOOKUP($A6,'détails investissements'!$A$71:$B$88,2,FALSE)&lt;=0,"",IF(VLOOKUP($A6,'détails investissements'!$A$26:$DE$43,CF$3-VLOOKUP($A6,'détails investissements'!$A$71:$B$88,2,FALSE)+1,FALSE)="","",VLOOKUP($A6,'détails investissements'!$A$26:$DE$43,CF$3-VLOOKUP($A6,'détails investissements'!$A$71:$B$88,2,FALSE)+1,FALSE))),'détails investissements'!$U$6:$AB$7,2,FALSE),""),FALSE),"")</f>
        <v/>
      </c>
      <c r="CG6" s="45" t="str">
        <f>IF(IF(IF(CG$3-VLOOKUP($A6,'détails investissements'!$A$71:$B$88,2,FALSE)&lt;=0,"",IF(VLOOKUP($A6,'détails investissements'!$A$26:$DE$43,CG$3-VLOOKUP($A6,'détails investissements'!$A$71:$B$88,2,FALSE)+1,FALSE)="","",VLOOKUP($A6,'détails investissements'!$A$26:$DE$43,CG$3-VLOOKUP($A6,'détails investissements'!$A$71:$B$88,2,FALSE)+1,FALSE)))&lt;&gt;"",HLOOKUP(IF(CG$3-VLOOKUP($A6,'détails investissements'!$A$71:$B$88,2,FALSE)&lt;=0,"",IF(VLOOKUP($A6,'détails investissements'!$A$26:$DE$43,CG$3-VLOOKUP($A6,'détails investissements'!$A$71:$B$88,2,FALSE)+1,FALSE)="","",VLOOKUP($A6,'détails investissements'!$A$26:$DE$43,CG$3-VLOOKUP($A6,'détails investissements'!$A$71:$B$88,2,FALSE)+1,FALSE))),'détails investissements'!$U$6:$AB$7,2,FALSE),"")&lt;&gt;"",VLOOKUP($A6,'détails investissements'!$A$7:$H$21,1+IF(IF(CG$3-VLOOKUP($A6,'détails investissements'!$A$71:$B$88,2,FALSE)&lt;=0,"",IF(VLOOKUP($A6,'détails investissements'!$A$26:$DE$43,CG$3-VLOOKUP($A6,'détails investissements'!$A$71:$B$88,2,FALSE)+1,FALSE)="","",VLOOKUP($A6,'détails investissements'!$A$26:$DE$43,CG$3-VLOOKUP($A6,'détails investissements'!$A$71:$B$88,2,FALSE)+1,FALSE)))&lt;&gt;"",HLOOKUP(IF(CG$3-VLOOKUP($A6,'détails investissements'!$A$71:$B$88,2,FALSE)&lt;=0,"",IF(VLOOKUP($A6,'détails investissements'!$A$26:$DE$43,CG$3-VLOOKUP($A6,'détails investissements'!$A$71:$B$88,2,FALSE)+1,FALSE)="","",VLOOKUP($A6,'détails investissements'!$A$26:$DE$43,CG$3-VLOOKUP($A6,'détails investissements'!$A$71:$B$88,2,FALSE)+1,FALSE))),'détails investissements'!$U$6:$AB$7,2,FALSE),""),FALSE),"")</f>
        <v/>
      </c>
      <c r="CH6" s="45" t="str">
        <f>IF(IF(IF(CH$3-VLOOKUP($A6,'détails investissements'!$A$71:$B$88,2,FALSE)&lt;=0,"",IF(VLOOKUP($A6,'détails investissements'!$A$26:$DE$43,CH$3-VLOOKUP($A6,'détails investissements'!$A$71:$B$88,2,FALSE)+1,FALSE)="","",VLOOKUP($A6,'détails investissements'!$A$26:$DE$43,CH$3-VLOOKUP($A6,'détails investissements'!$A$71:$B$88,2,FALSE)+1,FALSE)))&lt;&gt;"",HLOOKUP(IF(CH$3-VLOOKUP($A6,'détails investissements'!$A$71:$B$88,2,FALSE)&lt;=0,"",IF(VLOOKUP($A6,'détails investissements'!$A$26:$DE$43,CH$3-VLOOKUP($A6,'détails investissements'!$A$71:$B$88,2,FALSE)+1,FALSE)="","",VLOOKUP($A6,'détails investissements'!$A$26:$DE$43,CH$3-VLOOKUP($A6,'détails investissements'!$A$71:$B$88,2,FALSE)+1,FALSE))),'détails investissements'!$U$6:$AB$7,2,FALSE),"")&lt;&gt;"",VLOOKUP($A6,'détails investissements'!$A$7:$H$21,1+IF(IF(CH$3-VLOOKUP($A6,'détails investissements'!$A$71:$B$88,2,FALSE)&lt;=0,"",IF(VLOOKUP($A6,'détails investissements'!$A$26:$DE$43,CH$3-VLOOKUP($A6,'détails investissements'!$A$71:$B$88,2,FALSE)+1,FALSE)="","",VLOOKUP($A6,'détails investissements'!$A$26:$DE$43,CH$3-VLOOKUP($A6,'détails investissements'!$A$71:$B$88,2,FALSE)+1,FALSE)))&lt;&gt;"",HLOOKUP(IF(CH$3-VLOOKUP($A6,'détails investissements'!$A$71:$B$88,2,FALSE)&lt;=0,"",IF(VLOOKUP($A6,'détails investissements'!$A$26:$DE$43,CH$3-VLOOKUP($A6,'détails investissements'!$A$71:$B$88,2,FALSE)+1,FALSE)="","",VLOOKUP($A6,'détails investissements'!$A$26:$DE$43,CH$3-VLOOKUP($A6,'détails investissements'!$A$71:$B$88,2,FALSE)+1,FALSE))),'détails investissements'!$U$6:$AB$7,2,FALSE),""),FALSE),"")</f>
        <v/>
      </c>
      <c r="CI6" s="45" t="str">
        <f>IF(IF(IF(CI$3-VLOOKUP($A6,'détails investissements'!$A$71:$B$88,2,FALSE)&lt;=0,"",IF(VLOOKUP($A6,'détails investissements'!$A$26:$DE$43,CI$3-VLOOKUP($A6,'détails investissements'!$A$71:$B$88,2,FALSE)+1,FALSE)="","",VLOOKUP($A6,'détails investissements'!$A$26:$DE$43,CI$3-VLOOKUP($A6,'détails investissements'!$A$71:$B$88,2,FALSE)+1,FALSE)))&lt;&gt;"",HLOOKUP(IF(CI$3-VLOOKUP($A6,'détails investissements'!$A$71:$B$88,2,FALSE)&lt;=0,"",IF(VLOOKUP($A6,'détails investissements'!$A$26:$DE$43,CI$3-VLOOKUP($A6,'détails investissements'!$A$71:$B$88,2,FALSE)+1,FALSE)="","",VLOOKUP($A6,'détails investissements'!$A$26:$DE$43,CI$3-VLOOKUP($A6,'détails investissements'!$A$71:$B$88,2,FALSE)+1,FALSE))),'détails investissements'!$U$6:$AB$7,2,FALSE),"")&lt;&gt;"",VLOOKUP($A6,'détails investissements'!$A$7:$H$21,1+IF(IF(CI$3-VLOOKUP($A6,'détails investissements'!$A$71:$B$88,2,FALSE)&lt;=0,"",IF(VLOOKUP($A6,'détails investissements'!$A$26:$DE$43,CI$3-VLOOKUP($A6,'détails investissements'!$A$71:$B$88,2,FALSE)+1,FALSE)="","",VLOOKUP($A6,'détails investissements'!$A$26:$DE$43,CI$3-VLOOKUP($A6,'détails investissements'!$A$71:$B$88,2,FALSE)+1,FALSE)))&lt;&gt;"",HLOOKUP(IF(CI$3-VLOOKUP($A6,'détails investissements'!$A$71:$B$88,2,FALSE)&lt;=0,"",IF(VLOOKUP($A6,'détails investissements'!$A$26:$DE$43,CI$3-VLOOKUP($A6,'détails investissements'!$A$71:$B$88,2,FALSE)+1,FALSE)="","",VLOOKUP($A6,'détails investissements'!$A$26:$DE$43,CI$3-VLOOKUP($A6,'détails investissements'!$A$71:$B$88,2,FALSE)+1,FALSE))),'détails investissements'!$U$6:$AB$7,2,FALSE),""),FALSE),"")</f>
        <v/>
      </c>
      <c r="CJ6" s="45" t="str">
        <f>IF(IF(IF(CJ$3-VLOOKUP($A6,'détails investissements'!$A$71:$B$88,2,FALSE)&lt;=0,"",IF(VLOOKUP($A6,'détails investissements'!$A$26:$DE$43,CJ$3-VLOOKUP($A6,'détails investissements'!$A$71:$B$88,2,FALSE)+1,FALSE)="","",VLOOKUP($A6,'détails investissements'!$A$26:$DE$43,CJ$3-VLOOKUP($A6,'détails investissements'!$A$71:$B$88,2,FALSE)+1,FALSE)))&lt;&gt;"",HLOOKUP(IF(CJ$3-VLOOKUP($A6,'détails investissements'!$A$71:$B$88,2,FALSE)&lt;=0,"",IF(VLOOKUP($A6,'détails investissements'!$A$26:$DE$43,CJ$3-VLOOKUP($A6,'détails investissements'!$A$71:$B$88,2,FALSE)+1,FALSE)="","",VLOOKUP($A6,'détails investissements'!$A$26:$DE$43,CJ$3-VLOOKUP($A6,'détails investissements'!$A$71:$B$88,2,FALSE)+1,FALSE))),'détails investissements'!$U$6:$AB$7,2,FALSE),"")&lt;&gt;"",VLOOKUP($A6,'détails investissements'!$A$7:$H$21,1+IF(IF(CJ$3-VLOOKUP($A6,'détails investissements'!$A$71:$B$88,2,FALSE)&lt;=0,"",IF(VLOOKUP($A6,'détails investissements'!$A$26:$DE$43,CJ$3-VLOOKUP($A6,'détails investissements'!$A$71:$B$88,2,FALSE)+1,FALSE)="","",VLOOKUP($A6,'détails investissements'!$A$26:$DE$43,CJ$3-VLOOKUP($A6,'détails investissements'!$A$71:$B$88,2,FALSE)+1,FALSE)))&lt;&gt;"",HLOOKUP(IF(CJ$3-VLOOKUP($A6,'détails investissements'!$A$71:$B$88,2,FALSE)&lt;=0,"",IF(VLOOKUP($A6,'détails investissements'!$A$26:$DE$43,CJ$3-VLOOKUP($A6,'détails investissements'!$A$71:$B$88,2,FALSE)+1,FALSE)="","",VLOOKUP($A6,'détails investissements'!$A$26:$DE$43,CJ$3-VLOOKUP($A6,'détails investissements'!$A$71:$B$88,2,FALSE)+1,FALSE))),'détails investissements'!$U$6:$AB$7,2,FALSE),""),FALSE),"")</f>
        <v/>
      </c>
      <c r="CK6" s="45" t="str">
        <f>IF(IF(IF(CK$3-VLOOKUP($A6,'détails investissements'!$A$71:$B$88,2,FALSE)&lt;=0,"",IF(VLOOKUP($A6,'détails investissements'!$A$26:$DE$43,CK$3-VLOOKUP($A6,'détails investissements'!$A$71:$B$88,2,FALSE)+1,FALSE)="","",VLOOKUP($A6,'détails investissements'!$A$26:$DE$43,CK$3-VLOOKUP($A6,'détails investissements'!$A$71:$B$88,2,FALSE)+1,FALSE)))&lt;&gt;"",HLOOKUP(IF(CK$3-VLOOKUP($A6,'détails investissements'!$A$71:$B$88,2,FALSE)&lt;=0,"",IF(VLOOKUP($A6,'détails investissements'!$A$26:$DE$43,CK$3-VLOOKUP($A6,'détails investissements'!$A$71:$B$88,2,FALSE)+1,FALSE)="","",VLOOKUP($A6,'détails investissements'!$A$26:$DE$43,CK$3-VLOOKUP($A6,'détails investissements'!$A$71:$B$88,2,FALSE)+1,FALSE))),'détails investissements'!$U$6:$AB$7,2,FALSE),"")&lt;&gt;"",VLOOKUP($A6,'détails investissements'!$A$7:$H$21,1+IF(IF(CK$3-VLOOKUP($A6,'détails investissements'!$A$71:$B$88,2,FALSE)&lt;=0,"",IF(VLOOKUP($A6,'détails investissements'!$A$26:$DE$43,CK$3-VLOOKUP($A6,'détails investissements'!$A$71:$B$88,2,FALSE)+1,FALSE)="","",VLOOKUP($A6,'détails investissements'!$A$26:$DE$43,CK$3-VLOOKUP($A6,'détails investissements'!$A$71:$B$88,2,FALSE)+1,FALSE)))&lt;&gt;"",HLOOKUP(IF(CK$3-VLOOKUP($A6,'détails investissements'!$A$71:$B$88,2,FALSE)&lt;=0,"",IF(VLOOKUP($A6,'détails investissements'!$A$26:$DE$43,CK$3-VLOOKUP($A6,'détails investissements'!$A$71:$B$88,2,FALSE)+1,FALSE)="","",VLOOKUP($A6,'détails investissements'!$A$26:$DE$43,CK$3-VLOOKUP($A6,'détails investissements'!$A$71:$B$88,2,FALSE)+1,FALSE))),'détails investissements'!$U$6:$AB$7,2,FALSE),""),FALSE),"")</f>
        <v/>
      </c>
      <c r="CL6" s="45" t="str">
        <f>IF(IF(IF(CL$3-VLOOKUP($A6,'détails investissements'!$A$71:$B$88,2,FALSE)&lt;=0,"",IF(VLOOKUP($A6,'détails investissements'!$A$26:$DE$43,CL$3-VLOOKUP($A6,'détails investissements'!$A$71:$B$88,2,FALSE)+1,FALSE)="","",VLOOKUP($A6,'détails investissements'!$A$26:$DE$43,CL$3-VLOOKUP($A6,'détails investissements'!$A$71:$B$88,2,FALSE)+1,FALSE)))&lt;&gt;"",HLOOKUP(IF(CL$3-VLOOKUP($A6,'détails investissements'!$A$71:$B$88,2,FALSE)&lt;=0,"",IF(VLOOKUP($A6,'détails investissements'!$A$26:$DE$43,CL$3-VLOOKUP($A6,'détails investissements'!$A$71:$B$88,2,FALSE)+1,FALSE)="","",VLOOKUP($A6,'détails investissements'!$A$26:$DE$43,CL$3-VLOOKUP($A6,'détails investissements'!$A$71:$B$88,2,FALSE)+1,FALSE))),'détails investissements'!$U$6:$AB$7,2,FALSE),"")&lt;&gt;"",VLOOKUP($A6,'détails investissements'!$A$7:$H$21,1+IF(IF(CL$3-VLOOKUP($A6,'détails investissements'!$A$71:$B$88,2,FALSE)&lt;=0,"",IF(VLOOKUP($A6,'détails investissements'!$A$26:$DE$43,CL$3-VLOOKUP($A6,'détails investissements'!$A$71:$B$88,2,FALSE)+1,FALSE)="","",VLOOKUP($A6,'détails investissements'!$A$26:$DE$43,CL$3-VLOOKUP($A6,'détails investissements'!$A$71:$B$88,2,FALSE)+1,FALSE)))&lt;&gt;"",HLOOKUP(IF(CL$3-VLOOKUP($A6,'détails investissements'!$A$71:$B$88,2,FALSE)&lt;=0,"",IF(VLOOKUP($A6,'détails investissements'!$A$26:$DE$43,CL$3-VLOOKUP($A6,'détails investissements'!$A$71:$B$88,2,FALSE)+1,FALSE)="","",VLOOKUP($A6,'détails investissements'!$A$26:$DE$43,CL$3-VLOOKUP($A6,'détails investissements'!$A$71:$B$88,2,FALSE)+1,FALSE))),'détails investissements'!$U$6:$AB$7,2,FALSE),""),FALSE),"")</f>
        <v/>
      </c>
      <c r="CM6" s="45" t="str">
        <f>IF(IF(IF(CM$3-VLOOKUP($A6,'détails investissements'!$A$71:$B$88,2,FALSE)&lt;=0,"",IF(VLOOKUP($A6,'détails investissements'!$A$26:$DE$43,CM$3-VLOOKUP($A6,'détails investissements'!$A$71:$B$88,2,FALSE)+1,FALSE)="","",VLOOKUP($A6,'détails investissements'!$A$26:$DE$43,CM$3-VLOOKUP($A6,'détails investissements'!$A$71:$B$88,2,FALSE)+1,FALSE)))&lt;&gt;"",HLOOKUP(IF(CM$3-VLOOKUP($A6,'détails investissements'!$A$71:$B$88,2,FALSE)&lt;=0,"",IF(VLOOKUP($A6,'détails investissements'!$A$26:$DE$43,CM$3-VLOOKUP($A6,'détails investissements'!$A$71:$B$88,2,FALSE)+1,FALSE)="","",VLOOKUP($A6,'détails investissements'!$A$26:$DE$43,CM$3-VLOOKUP($A6,'détails investissements'!$A$71:$B$88,2,FALSE)+1,FALSE))),'détails investissements'!$U$6:$AB$7,2,FALSE),"")&lt;&gt;"",VLOOKUP($A6,'détails investissements'!$A$7:$H$21,1+IF(IF(CM$3-VLOOKUP($A6,'détails investissements'!$A$71:$B$88,2,FALSE)&lt;=0,"",IF(VLOOKUP($A6,'détails investissements'!$A$26:$DE$43,CM$3-VLOOKUP($A6,'détails investissements'!$A$71:$B$88,2,FALSE)+1,FALSE)="","",VLOOKUP($A6,'détails investissements'!$A$26:$DE$43,CM$3-VLOOKUP($A6,'détails investissements'!$A$71:$B$88,2,FALSE)+1,FALSE)))&lt;&gt;"",HLOOKUP(IF(CM$3-VLOOKUP($A6,'détails investissements'!$A$71:$B$88,2,FALSE)&lt;=0,"",IF(VLOOKUP($A6,'détails investissements'!$A$26:$DE$43,CM$3-VLOOKUP($A6,'détails investissements'!$A$71:$B$88,2,FALSE)+1,FALSE)="","",VLOOKUP($A6,'détails investissements'!$A$26:$DE$43,CM$3-VLOOKUP($A6,'détails investissements'!$A$71:$B$88,2,FALSE)+1,FALSE))),'détails investissements'!$U$6:$AB$7,2,FALSE),""),FALSE),"")</f>
        <v/>
      </c>
      <c r="CN6" s="45" t="str">
        <f>IF(IF(IF(CN$3-VLOOKUP($A6,'détails investissements'!$A$71:$B$88,2,FALSE)&lt;=0,"",IF(VLOOKUP($A6,'détails investissements'!$A$26:$DE$43,CN$3-VLOOKUP($A6,'détails investissements'!$A$71:$B$88,2,FALSE)+1,FALSE)="","",VLOOKUP($A6,'détails investissements'!$A$26:$DE$43,CN$3-VLOOKUP($A6,'détails investissements'!$A$71:$B$88,2,FALSE)+1,FALSE)))&lt;&gt;"",HLOOKUP(IF(CN$3-VLOOKUP($A6,'détails investissements'!$A$71:$B$88,2,FALSE)&lt;=0,"",IF(VLOOKUP($A6,'détails investissements'!$A$26:$DE$43,CN$3-VLOOKUP($A6,'détails investissements'!$A$71:$B$88,2,FALSE)+1,FALSE)="","",VLOOKUP($A6,'détails investissements'!$A$26:$DE$43,CN$3-VLOOKUP($A6,'détails investissements'!$A$71:$B$88,2,FALSE)+1,FALSE))),'détails investissements'!$U$6:$AB$7,2,FALSE),"")&lt;&gt;"",VLOOKUP($A6,'détails investissements'!$A$7:$H$21,1+IF(IF(CN$3-VLOOKUP($A6,'détails investissements'!$A$71:$B$88,2,FALSE)&lt;=0,"",IF(VLOOKUP($A6,'détails investissements'!$A$26:$DE$43,CN$3-VLOOKUP($A6,'détails investissements'!$A$71:$B$88,2,FALSE)+1,FALSE)="","",VLOOKUP($A6,'détails investissements'!$A$26:$DE$43,CN$3-VLOOKUP($A6,'détails investissements'!$A$71:$B$88,2,FALSE)+1,FALSE)))&lt;&gt;"",HLOOKUP(IF(CN$3-VLOOKUP($A6,'détails investissements'!$A$71:$B$88,2,FALSE)&lt;=0,"",IF(VLOOKUP($A6,'détails investissements'!$A$26:$DE$43,CN$3-VLOOKUP($A6,'détails investissements'!$A$71:$B$88,2,FALSE)+1,FALSE)="","",VLOOKUP($A6,'détails investissements'!$A$26:$DE$43,CN$3-VLOOKUP($A6,'détails investissements'!$A$71:$B$88,2,FALSE)+1,FALSE))),'détails investissements'!$U$6:$AB$7,2,FALSE),""),FALSE),"")</f>
        <v/>
      </c>
      <c r="CO6" s="45" t="str">
        <f>IF(IF(IF(CO$3-VLOOKUP($A6,'détails investissements'!$A$71:$B$88,2,FALSE)&lt;=0,"",IF(VLOOKUP($A6,'détails investissements'!$A$26:$DE$43,CO$3-VLOOKUP($A6,'détails investissements'!$A$71:$B$88,2,FALSE)+1,FALSE)="","",VLOOKUP($A6,'détails investissements'!$A$26:$DE$43,CO$3-VLOOKUP($A6,'détails investissements'!$A$71:$B$88,2,FALSE)+1,FALSE)))&lt;&gt;"",HLOOKUP(IF(CO$3-VLOOKUP($A6,'détails investissements'!$A$71:$B$88,2,FALSE)&lt;=0,"",IF(VLOOKUP($A6,'détails investissements'!$A$26:$DE$43,CO$3-VLOOKUP($A6,'détails investissements'!$A$71:$B$88,2,FALSE)+1,FALSE)="","",VLOOKUP($A6,'détails investissements'!$A$26:$DE$43,CO$3-VLOOKUP($A6,'détails investissements'!$A$71:$B$88,2,FALSE)+1,FALSE))),'détails investissements'!$U$6:$AB$7,2,FALSE),"")&lt;&gt;"",VLOOKUP($A6,'détails investissements'!$A$7:$H$21,1+IF(IF(CO$3-VLOOKUP($A6,'détails investissements'!$A$71:$B$88,2,FALSE)&lt;=0,"",IF(VLOOKUP($A6,'détails investissements'!$A$26:$DE$43,CO$3-VLOOKUP($A6,'détails investissements'!$A$71:$B$88,2,FALSE)+1,FALSE)="","",VLOOKUP($A6,'détails investissements'!$A$26:$DE$43,CO$3-VLOOKUP($A6,'détails investissements'!$A$71:$B$88,2,FALSE)+1,FALSE)))&lt;&gt;"",HLOOKUP(IF(CO$3-VLOOKUP($A6,'détails investissements'!$A$71:$B$88,2,FALSE)&lt;=0,"",IF(VLOOKUP($A6,'détails investissements'!$A$26:$DE$43,CO$3-VLOOKUP($A6,'détails investissements'!$A$71:$B$88,2,FALSE)+1,FALSE)="","",VLOOKUP($A6,'détails investissements'!$A$26:$DE$43,CO$3-VLOOKUP($A6,'détails investissements'!$A$71:$B$88,2,FALSE)+1,FALSE))),'détails investissements'!$U$6:$AB$7,2,FALSE),""),FALSE),"")</f>
        <v/>
      </c>
      <c r="CP6" s="45" t="str">
        <f>IF(IF(IF(CP$3-VLOOKUP($A6,'détails investissements'!$A$71:$B$88,2,FALSE)&lt;=0,"",IF(VLOOKUP($A6,'détails investissements'!$A$26:$DE$43,CP$3-VLOOKUP($A6,'détails investissements'!$A$71:$B$88,2,FALSE)+1,FALSE)="","",VLOOKUP($A6,'détails investissements'!$A$26:$DE$43,CP$3-VLOOKUP($A6,'détails investissements'!$A$71:$B$88,2,FALSE)+1,FALSE)))&lt;&gt;"",HLOOKUP(IF(CP$3-VLOOKUP($A6,'détails investissements'!$A$71:$B$88,2,FALSE)&lt;=0,"",IF(VLOOKUP($A6,'détails investissements'!$A$26:$DE$43,CP$3-VLOOKUP($A6,'détails investissements'!$A$71:$B$88,2,FALSE)+1,FALSE)="","",VLOOKUP($A6,'détails investissements'!$A$26:$DE$43,CP$3-VLOOKUP($A6,'détails investissements'!$A$71:$B$88,2,FALSE)+1,FALSE))),'détails investissements'!$U$6:$AB$7,2,FALSE),"")&lt;&gt;"",VLOOKUP($A6,'détails investissements'!$A$7:$H$21,1+IF(IF(CP$3-VLOOKUP($A6,'détails investissements'!$A$71:$B$88,2,FALSE)&lt;=0,"",IF(VLOOKUP($A6,'détails investissements'!$A$26:$DE$43,CP$3-VLOOKUP($A6,'détails investissements'!$A$71:$B$88,2,FALSE)+1,FALSE)="","",VLOOKUP($A6,'détails investissements'!$A$26:$DE$43,CP$3-VLOOKUP($A6,'détails investissements'!$A$71:$B$88,2,FALSE)+1,FALSE)))&lt;&gt;"",HLOOKUP(IF(CP$3-VLOOKUP($A6,'détails investissements'!$A$71:$B$88,2,FALSE)&lt;=0,"",IF(VLOOKUP($A6,'détails investissements'!$A$26:$DE$43,CP$3-VLOOKUP($A6,'détails investissements'!$A$71:$B$88,2,FALSE)+1,FALSE)="","",VLOOKUP($A6,'détails investissements'!$A$26:$DE$43,CP$3-VLOOKUP($A6,'détails investissements'!$A$71:$B$88,2,FALSE)+1,FALSE))),'détails investissements'!$U$6:$AB$7,2,FALSE),""),FALSE),"")</f>
        <v/>
      </c>
      <c r="CQ6" s="45" t="str">
        <f>IF(IF(IF(CQ$3-VLOOKUP($A6,'détails investissements'!$A$71:$B$88,2,FALSE)&lt;=0,"",IF(VLOOKUP($A6,'détails investissements'!$A$26:$DE$43,CQ$3-VLOOKUP($A6,'détails investissements'!$A$71:$B$88,2,FALSE)+1,FALSE)="","",VLOOKUP($A6,'détails investissements'!$A$26:$DE$43,CQ$3-VLOOKUP($A6,'détails investissements'!$A$71:$B$88,2,FALSE)+1,FALSE)))&lt;&gt;"",HLOOKUP(IF(CQ$3-VLOOKUP($A6,'détails investissements'!$A$71:$B$88,2,FALSE)&lt;=0,"",IF(VLOOKUP($A6,'détails investissements'!$A$26:$DE$43,CQ$3-VLOOKUP($A6,'détails investissements'!$A$71:$B$88,2,FALSE)+1,FALSE)="","",VLOOKUP($A6,'détails investissements'!$A$26:$DE$43,CQ$3-VLOOKUP($A6,'détails investissements'!$A$71:$B$88,2,FALSE)+1,FALSE))),'détails investissements'!$U$6:$AB$7,2,FALSE),"")&lt;&gt;"",VLOOKUP($A6,'détails investissements'!$A$7:$H$21,1+IF(IF(CQ$3-VLOOKUP($A6,'détails investissements'!$A$71:$B$88,2,FALSE)&lt;=0,"",IF(VLOOKUP($A6,'détails investissements'!$A$26:$DE$43,CQ$3-VLOOKUP($A6,'détails investissements'!$A$71:$B$88,2,FALSE)+1,FALSE)="","",VLOOKUP($A6,'détails investissements'!$A$26:$DE$43,CQ$3-VLOOKUP($A6,'détails investissements'!$A$71:$B$88,2,FALSE)+1,FALSE)))&lt;&gt;"",HLOOKUP(IF(CQ$3-VLOOKUP($A6,'détails investissements'!$A$71:$B$88,2,FALSE)&lt;=0,"",IF(VLOOKUP($A6,'détails investissements'!$A$26:$DE$43,CQ$3-VLOOKUP($A6,'détails investissements'!$A$71:$B$88,2,FALSE)+1,FALSE)="","",VLOOKUP($A6,'détails investissements'!$A$26:$DE$43,CQ$3-VLOOKUP($A6,'détails investissements'!$A$71:$B$88,2,FALSE)+1,FALSE))),'détails investissements'!$U$6:$AB$7,2,FALSE),""),FALSE),"")</f>
        <v/>
      </c>
      <c r="CR6" s="45" t="str">
        <f>IF(IF(IF(CR$3-VLOOKUP($A6,'détails investissements'!$A$71:$B$88,2,FALSE)&lt;=0,"",IF(VLOOKUP($A6,'détails investissements'!$A$26:$DE$43,CR$3-VLOOKUP($A6,'détails investissements'!$A$71:$B$88,2,FALSE)+1,FALSE)="","",VLOOKUP($A6,'détails investissements'!$A$26:$DE$43,CR$3-VLOOKUP($A6,'détails investissements'!$A$71:$B$88,2,FALSE)+1,FALSE)))&lt;&gt;"",HLOOKUP(IF(CR$3-VLOOKUP($A6,'détails investissements'!$A$71:$B$88,2,FALSE)&lt;=0,"",IF(VLOOKUP($A6,'détails investissements'!$A$26:$DE$43,CR$3-VLOOKUP($A6,'détails investissements'!$A$71:$B$88,2,FALSE)+1,FALSE)="","",VLOOKUP($A6,'détails investissements'!$A$26:$DE$43,CR$3-VLOOKUP($A6,'détails investissements'!$A$71:$B$88,2,FALSE)+1,FALSE))),'détails investissements'!$U$6:$AB$7,2,FALSE),"")&lt;&gt;"",VLOOKUP($A6,'détails investissements'!$A$7:$H$21,1+IF(IF(CR$3-VLOOKUP($A6,'détails investissements'!$A$71:$B$88,2,FALSE)&lt;=0,"",IF(VLOOKUP($A6,'détails investissements'!$A$26:$DE$43,CR$3-VLOOKUP($A6,'détails investissements'!$A$71:$B$88,2,FALSE)+1,FALSE)="","",VLOOKUP($A6,'détails investissements'!$A$26:$DE$43,CR$3-VLOOKUP($A6,'détails investissements'!$A$71:$B$88,2,FALSE)+1,FALSE)))&lt;&gt;"",HLOOKUP(IF(CR$3-VLOOKUP($A6,'détails investissements'!$A$71:$B$88,2,FALSE)&lt;=0,"",IF(VLOOKUP($A6,'détails investissements'!$A$26:$DE$43,CR$3-VLOOKUP($A6,'détails investissements'!$A$71:$B$88,2,FALSE)+1,FALSE)="","",VLOOKUP($A6,'détails investissements'!$A$26:$DE$43,CR$3-VLOOKUP($A6,'détails investissements'!$A$71:$B$88,2,FALSE)+1,FALSE))),'détails investissements'!$U$6:$AB$7,2,FALSE),""),FALSE),"")</f>
        <v/>
      </c>
      <c r="CS6" s="45" t="str">
        <f>IF(IF(IF(CS$3-VLOOKUP($A6,'détails investissements'!$A$71:$B$88,2,FALSE)&lt;=0,"",IF(VLOOKUP($A6,'détails investissements'!$A$26:$DE$43,CS$3-VLOOKUP($A6,'détails investissements'!$A$71:$B$88,2,FALSE)+1,FALSE)="","",VLOOKUP($A6,'détails investissements'!$A$26:$DE$43,CS$3-VLOOKUP($A6,'détails investissements'!$A$71:$B$88,2,FALSE)+1,FALSE)))&lt;&gt;"",HLOOKUP(IF(CS$3-VLOOKUP($A6,'détails investissements'!$A$71:$B$88,2,FALSE)&lt;=0,"",IF(VLOOKUP($A6,'détails investissements'!$A$26:$DE$43,CS$3-VLOOKUP($A6,'détails investissements'!$A$71:$B$88,2,FALSE)+1,FALSE)="","",VLOOKUP($A6,'détails investissements'!$A$26:$DE$43,CS$3-VLOOKUP($A6,'détails investissements'!$A$71:$B$88,2,FALSE)+1,FALSE))),'détails investissements'!$U$6:$AB$7,2,FALSE),"")&lt;&gt;"",VLOOKUP($A6,'détails investissements'!$A$7:$H$21,1+IF(IF(CS$3-VLOOKUP($A6,'détails investissements'!$A$71:$B$88,2,FALSE)&lt;=0,"",IF(VLOOKUP($A6,'détails investissements'!$A$26:$DE$43,CS$3-VLOOKUP($A6,'détails investissements'!$A$71:$B$88,2,FALSE)+1,FALSE)="","",VLOOKUP($A6,'détails investissements'!$A$26:$DE$43,CS$3-VLOOKUP($A6,'détails investissements'!$A$71:$B$88,2,FALSE)+1,FALSE)))&lt;&gt;"",HLOOKUP(IF(CS$3-VLOOKUP($A6,'détails investissements'!$A$71:$B$88,2,FALSE)&lt;=0,"",IF(VLOOKUP($A6,'détails investissements'!$A$26:$DE$43,CS$3-VLOOKUP($A6,'détails investissements'!$A$71:$B$88,2,FALSE)+1,FALSE)="","",VLOOKUP($A6,'détails investissements'!$A$26:$DE$43,CS$3-VLOOKUP($A6,'détails investissements'!$A$71:$B$88,2,FALSE)+1,FALSE))),'détails investissements'!$U$6:$AB$7,2,FALSE),""),FALSE),"")</f>
        <v/>
      </c>
      <c r="CT6" s="45" t="str">
        <f>IF(IF(IF(CT$3-VLOOKUP($A6,'détails investissements'!$A$71:$B$88,2,FALSE)&lt;=0,"",IF(VLOOKUP($A6,'détails investissements'!$A$26:$DE$43,CT$3-VLOOKUP($A6,'détails investissements'!$A$71:$B$88,2,FALSE)+1,FALSE)="","",VLOOKUP($A6,'détails investissements'!$A$26:$DE$43,CT$3-VLOOKUP($A6,'détails investissements'!$A$71:$B$88,2,FALSE)+1,FALSE)))&lt;&gt;"",HLOOKUP(IF(CT$3-VLOOKUP($A6,'détails investissements'!$A$71:$B$88,2,FALSE)&lt;=0,"",IF(VLOOKUP($A6,'détails investissements'!$A$26:$DE$43,CT$3-VLOOKUP($A6,'détails investissements'!$A$71:$B$88,2,FALSE)+1,FALSE)="","",VLOOKUP($A6,'détails investissements'!$A$26:$DE$43,CT$3-VLOOKUP($A6,'détails investissements'!$A$71:$B$88,2,FALSE)+1,FALSE))),'détails investissements'!$U$6:$AB$7,2,FALSE),"")&lt;&gt;"",VLOOKUP($A6,'détails investissements'!$A$7:$H$21,1+IF(IF(CT$3-VLOOKUP($A6,'détails investissements'!$A$71:$B$88,2,FALSE)&lt;=0,"",IF(VLOOKUP($A6,'détails investissements'!$A$26:$DE$43,CT$3-VLOOKUP($A6,'détails investissements'!$A$71:$B$88,2,FALSE)+1,FALSE)="","",VLOOKUP($A6,'détails investissements'!$A$26:$DE$43,CT$3-VLOOKUP($A6,'détails investissements'!$A$71:$B$88,2,FALSE)+1,FALSE)))&lt;&gt;"",HLOOKUP(IF(CT$3-VLOOKUP($A6,'détails investissements'!$A$71:$B$88,2,FALSE)&lt;=0,"",IF(VLOOKUP($A6,'détails investissements'!$A$26:$DE$43,CT$3-VLOOKUP($A6,'détails investissements'!$A$71:$B$88,2,FALSE)+1,FALSE)="","",VLOOKUP($A6,'détails investissements'!$A$26:$DE$43,CT$3-VLOOKUP($A6,'détails investissements'!$A$71:$B$88,2,FALSE)+1,FALSE))),'détails investissements'!$U$6:$AB$7,2,FALSE),""),FALSE),"")</f>
        <v/>
      </c>
      <c r="CU6" s="45" t="str">
        <f>IF(IF(IF(CU$3-VLOOKUP($A6,'détails investissements'!$A$71:$B$88,2,FALSE)&lt;=0,"",IF(VLOOKUP($A6,'détails investissements'!$A$26:$DE$43,CU$3-VLOOKUP($A6,'détails investissements'!$A$71:$B$88,2,FALSE)+1,FALSE)="","",VLOOKUP($A6,'détails investissements'!$A$26:$DE$43,CU$3-VLOOKUP($A6,'détails investissements'!$A$71:$B$88,2,FALSE)+1,FALSE)))&lt;&gt;"",HLOOKUP(IF(CU$3-VLOOKUP($A6,'détails investissements'!$A$71:$B$88,2,FALSE)&lt;=0,"",IF(VLOOKUP($A6,'détails investissements'!$A$26:$DE$43,CU$3-VLOOKUP($A6,'détails investissements'!$A$71:$B$88,2,FALSE)+1,FALSE)="","",VLOOKUP($A6,'détails investissements'!$A$26:$DE$43,CU$3-VLOOKUP($A6,'détails investissements'!$A$71:$B$88,2,FALSE)+1,FALSE))),'détails investissements'!$U$6:$AB$7,2,FALSE),"")&lt;&gt;"",VLOOKUP($A6,'détails investissements'!$A$7:$H$21,1+IF(IF(CU$3-VLOOKUP($A6,'détails investissements'!$A$71:$B$88,2,FALSE)&lt;=0,"",IF(VLOOKUP($A6,'détails investissements'!$A$26:$DE$43,CU$3-VLOOKUP($A6,'détails investissements'!$A$71:$B$88,2,FALSE)+1,FALSE)="","",VLOOKUP($A6,'détails investissements'!$A$26:$DE$43,CU$3-VLOOKUP($A6,'détails investissements'!$A$71:$B$88,2,FALSE)+1,FALSE)))&lt;&gt;"",HLOOKUP(IF(CU$3-VLOOKUP($A6,'détails investissements'!$A$71:$B$88,2,FALSE)&lt;=0,"",IF(VLOOKUP($A6,'détails investissements'!$A$26:$DE$43,CU$3-VLOOKUP($A6,'détails investissements'!$A$71:$B$88,2,FALSE)+1,FALSE)="","",VLOOKUP($A6,'détails investissements'!$A$26:$DE$43,CU$3-VLOOKUP($A6,'détails investissements'!$A$71:$B$88,2,FALSE)+1,FALSE))),'détails investissements'!$U$6:$AB$7,2,FALSE),""),FALSE),"")</f>
        <v/>
      </c>
      <c r="CV6" s="45" t="str">
        <f>IF(IF(IF(CV$3-VLOOKUP($A6,'détails investissements'!$A$71:$B$88,2,FALSE)&lt;=0,"",IF(VLOOKUP($A6,'détails investissements'!$A$26:$DE$43,CV$3-VLOOKUP($A6,'détails investissements'!$A$71:$B$88,2,FALSE)+1,FALSE)="","",VLOOKUP($A6,'détails investissements'!$A$26:$DE$43,CV$3-VLOOKUP($A6,'détails investissements'!$A$71:$B$88,2,FALSE)+1,FALSE)))&lt;&gt;"",HLOOKUP(IF(CV$3-VLOOKUP($A6,'détails investissements'!$A$71:$B$88,2,FALSE)&lt;=0,"",IF(VLOOKUP($A6,'détails investissements'!$A$26:$DE$43,CV$3-VLOOKUP($A6,'détails investissements'!$A$71:$B$88,2,FALSE)+1,FALSE)="","",VLOOKUP($A6,'détails investissements'!$A$26:$DE$43,CV$3-VLOOKUP($A6,'détails investissements'!$A$71:$B$88,2,FALSE)+1,FALSE))),'détails investissements'!$U$6:$AB$7,2,FALSE),"")&lt;&gt;"",VLOOKUP($A6,'détails investissements'!$A$7:$H$21,1+IF(IF(CV$3-VLOOKUP($A6,'détails investissements'!$A$71:$B$88,2,FALSE)&lt;=0,"",IF(VLOOKUP($A6,'détails investissements'!$A$26:$DE$43,CV$3-VLOOKUP($A6,'détails investissements'!$A$71:$B$88,2,FALSE)+1,FALSE)="","",VLOOKUP($A6,'détails investissements'!$A$26:$DE$43,CV$3-VLOOKUP($A6,'détails investissements'!$A$71:$B$88,2,FALSE)+1,FALSE)))&lt;&gt;"",HLOOKUP(IF(CV$3-VLOOKUP($A6,'détails investissements'!$A$71:$B$88,2,FALSE)&lt;=0,"",IF(VLOOKUP($A6,'détails investissements'!$A$26:$DE$43,CV$3-VLOOKUP($A6,'détails investissements'!$A$71:$B$88,2,FALSE)+1,FALSE)="","",VLOOKUP($A6,'détails investissements'!$A$26:$DE$43,CV$3-VLOOKUP($A6,'détails investissements'!$A$71:$B$88,2,FALSE)+1,FALSE))),'détails investissements'!$U$6:$AB$7,2,FALSE),""),FALSE),"")</f>
        <v/>
      </c>
      <c r="CW6" s="45" t="str">
        <f>IF(IF(IF(CW$3-VLOOKUP($A6,'détails investissements'!$A$71:$B$88,2,FALSE)&lt;=0,"",IF(VLOOKUP($A6,'détails investissements'!$A$26:$DE$43,CW$3-VLOOKUP($A6,'détails investissements'!$A$71:$B$88,2,FALSE)+1,FALSE)="","",VLOOKUP($A6,'détails investissements'!$A$26:$DE$43,CW$3-VLOOKUP($A6,'détails investissements'!$A$71:$B$88,2,FALSE)+1,FALSE)))&lt;&gt;"",HLOOKUP(IF(CW$3-VLOOKUP($A6,'détails investissements'!$A$71:$B$88,2,FALSE)&lt;=0,"",IF(VLOOKUP($A6,'détails investissements'!$A$26:$DE$43,CW$3-VLOOKUP($A6,'détails investissements'!$A$71:$B$88,2,FALSE)+1,FALSE)="","",VLOOKUP($A6,'détails investissements'!$A$26:$DE$43,CW$3-VLOOKUP($A6,'détails investissements'!$A$71:$B$88,2,FALSE)+1,FALSE))),'détails investissements'!$U$6:$AB$7,2,FALSE),"")&lt;&gt;"",VLOOKUP($A6,'détails investissements'!$A$7:$H$21,1+IF(IF(CW$3-VLOOKUP($A6,'détails investissements'!$A$71:$B$88,2,FALSE)&lt;=0,"",IF(VLOOKUP($A6,'détails investissements'!$A$26:$DE$43,CW$3-VLOOKUP($A6,'détails investissements'!$A$71:$B$88,2,FALSE)+1,FALSE)="","",VLOOKUP($A6,'détails investissements'!$A$26:$DE$43,CW$3-VLOOKUP($A6,'détails investissements'!$A$71:$B$88,2,FALSE)+1,FALSE)))&lt;&gt;"",HLOOKUP(IF(CW$3-VLOOKUP($A6,'détails investissements'!$A$71:$B$88,2,FALSE)&lt;=0,"",IF(VLOOKUP($A6,'détails investissements'!$A$26:$DE$43,CW$3-VLOOKUP($A6,'détails investissements'!$A$71:$B$88,2,FALSE)+1,FALSE)="","",VLOOKUP($A6,'détails investissements'!$A$26:$DE$43,CW$3-VLOOKUP($A6,'détails investissements'!$A$71:$B$88,2,FALSE)+1,FALSE))),'détails investissements'!$U$6:$AB$7,2,FALSE),""),FALSE),"")</f>
        <v/>
      </c>
      <c r="CX6" s="45" t="str">
        <f>IF(IF(IF(CX$3-VLOOKUP($A6,'détails investissements'!$A$71:$B$88,2,FALSE)&lt;=0,"",IF(VLOOKUP($A6,'détails investissements'!$A$26:$DE$43,CX$3-VLOOKUP($A6,'détails investissements'!$A$71:$B$88,2,FALSE)+1,FALSE)="","",VLOOKUP($A6,'détails investissements'!$A$26:$DE$43,CX$3-VLOOKUP($A6,'détails investissements'!$A$71:$B$88,2,FALSE)+1,FALSE)))&lt;&gt;"",HLOOKUP(IF(CX$3-VLOOKUP($A6,'détails investissements'!$A$71:$B$88,2,FALSE)&lt;=0,"",IF(VLOOKUP($A6,'détails investissements'!$A$26:$DE$43,CX$3-VLOOKUP($A6,'détails investissements'!$A$71:$B$88,2,FALSE)+1,FALSE)="","",VLOOKUP($A6,'détails investissements'!$A$26:$DE$43,CX$3-VLOOKUP($A6,'détails investissements'!$A$71:$B$88,2,FALSE)+1,FALSE))),'détails investissements'!$U$6:$AB$7,2,FALSE),"")&lt;&gt;"",VLOOKUP($A6,'détails investissements'!$A$7:$H$21,1+IF(IF(CX$3-VLOOKUP($A6,'détails investissements'!$A$71:$B$88,2,FALSE)&lt;=0,"",IF(VLOOKUP($A6,'détails investissements'!$A$26:$DE$43,CX$3-VLOOKUP($A6,'détails investissements'!$A$71:$B$88,2,FALSE)+1,FALSE)="","",VLOOKUP($A6,'détails investissements'!$A$26:$DE$43,CX$3-VLOOKUP($A6,'détails investissements'!$A$71:$B$88,2,FALSE)+1,FALSE)))&lt;&gt;"",HLOOKUP(IF(CX$3-VLOOKUP($A6,'détails investissements'!$A$71:$B$88,2,FALSE)&lt;=0,"",IF(VLOOKUP($A6,'détails investissements'!$A$26:$DE$43,CX$3-VLOOKUP($A6,'détails investissements'!$A$71:$B$88,2,FALSE)+1,FALSE)="","",VLOOKUP($A6,'détails investissements'!$A$26:$DE$43,CX$3-VLOOKUP($A6,'détails investissements'!$A$71:$B$88,2,FALSE)+1,FALSE))),'détails investissements'!$U$6:$AB$7,2,FALSE),""),FALSE),"")</f>
        <v/>
      </c>
      <c r="CY6" s="45" t="str">
        <f>IF(IF(IF(CY$3-VLOOKUP($A6,'détails investissements'!$A$71:$B$88,2,FALSE)&lt;=0,"",IF(VLOOKUP($A6,'détails investissements'!$A$26:$DE$43,CY$3-VLOOKUP($A6,'détails investissements'!$A$71:$B$88,2,FALSE)+1,FALSE)="","",VLOOKUP($A6,'détails investissements'!$A$26:$DE$43,CY$3-VLOOKUP($A6,'détails investissements'!$A$71:$B$88,2,FALSE)+1,FALSE)))&lt;&gt;"",HLOOKUP(IF(CY$3-VLOOKUP($A6,'détails investissements'!$A$71:$B$88,2,FALSE)&lt;=0,"",IF(VLOOKUP($A6,'détails investissements'!$A$26:$DE$43,CY$3-VLOOKUP($A6,'détails investissements'!$A$71:$B$88,2,FALSE)+1,FALSE)="","",VLOOKUP($A6,'détails investissements'!$A$26:$DE$43,CY$3-VLOOKUP($A6,'détails investissements'!$A$71:$B$88,2,FALSE)+1,FALSE))),'détails investissements'!$U$6:$AB$7,2,FALSE),"")&lt;&gt;"",VLOOKUP($A6,'détails investissements'!$A$7:$H$21,1+IF(IF(CY$3-VLOOKUP($A6,'détails investissements'!$A$71:$B$88,2,FALSE)&lt;=0,"",IF(VLOOKUP($A6,'détails investissements'!$A$26:$DE$43,CY$3-VLOOKUP($A6,'détails investissements'!$A$71:$B$88,2,FALSE)+1,FALSE)="","",VLOOKUP($A6,'détails investissements'!$A$26:$DE$43,CY$3-VLOOKUP($A6,'détails investissements'!$A$71:$B$88,2,FALSE)+1,FALSE)))&lt;&gt;"",HLOOKUP(IF(CY$3-VLOOKUP($A6,'détails investissements'!$A$71:$B$88,2,FALSE)&lt;=0,"",IF(VLOOKUP($A6,'détails investissements'!$A$26:$DE$43,CY$3-VLOOKUP($A6,'détails investissements'!$A$71:$B$88,2,FALSE)+1,FALSE)="","",VLOOKUP($A6,'détails investissements'!$A$26:$DE$43,CY$3-VLOOKUP($A6,'détails investissements'!$A$71:$B$88,2,FALSE)+1,FALSE))),'détails investissements'!$U$6:$AB$7,2,FALSE),""),FALSE),"")</f>
        <v/>
      </c>
      <c r="CZ6" s="45" t="str">
        <f>IF(IF(IF(CZ$3-VLOOKUP($A6,'détails investissements'!$A$71:$B$88,2,FALSE)&lt;=0,"",IF(VLOOKUP($A6,'détails investissements'!$A$26:$DE$43,CZ$3-VLOOKUP($A6,'détails investissements'!$A$71:$B$88,2,FALSE)+1,FALSE)="","",VLOOKUP($A6,'détails investissements'!$A$26:$DE$43,CZ$3-VLOOKUP($A6,'détails investissements'!$A$71:$B$88,2,FALSE)+1,FALSE)))&lt;&gt;"",HLOOKUP(IF(CZ$3-VLOOKUP($A6,'détails investissements'!$A$71:$B$88,2,FALSE)&lt;=0,"",IF(VLOOKUP($A6,'détails investissements'!$A$26:$DE$43,CZ$3-VLOOKUP($A6,'détails investissements'!$A$71:$B$88,2,FALSE)+1,FALSE)="","",VLOOKUP($A6,'détails investissements'!$A$26:$DE$43,CZ$3-VLOOKUP($A6,'détails investissements'!$A$71:$B$88,2,FALSE)+1,FALSE))),'détails investissements'!$U$6:$AB$7,2,FALSE),"")&lt;&gt;"",VLOOKUP($A6,'détails investissements'!$A$7:$H$21,1+IF(IF(CZ$3-VLOOKUP($A6,'détails investissements'!$A$71:$B$88,2,FALSE)&lt;=0,"",IF(VLOOKUP($A6,'détails investissements'!$A$26:$DE$43,CZ$3-VLOOKUP($A6,'détails investissements'!$A$71:$B$88,2,FALSE)+1,FALSE)="","",VLOOKUP($A6,'détails investissements'!$A$26:$DE$43,CZ$3-VLOOKUP($A6,'détails investissements'!$A$71:$B$88,2,FALSE)+1,FALSE)))&lt;&gt;"",HLOOKUP(IF(CZ$3-VLOOKUP($A6,'détails investissements'!$A$71:$B$88,2,FALSE)&lt;=0,"",IF(VLOOKUP($A6,'détails investissements'!$A$26:$DE$43,CZ$3-VLOOKUP($A6,'détails investissements'!$A$71:$B$88,2,FALSE)+1,FALSE)="","",VLOOKUP($A6,'détails investissements'!$A$26:$DE$43,CZ$3-VLOOKUP($A6,'détails investissements'!$A$71:$B$88,2,FALSE)+1,FALSE))),'détails investissements'!$U$6:$AB$7,2,FALSE),""),FALSE),"")</f>
        <v/>
      </c>
      <c r="DA6" s="45" t="str">
        <f>IF(IF(IF(DA$3-VLOOKUP($A6,'détails investissements'!$A$71:$B$88,2,FALSE)&lt;=0,"",IF(VLOOKUP($A6,'détails investissements'!$A$26:$DE$43,DA$3-VLOOKUP($A6,'détails investissements'!$A$71:$B$88,2,FALSE)+1,FALSE)="","",VLOOKUP($A6,'détails investissements'!$A$26:$DE$43,DA$3-VLOOKUP($A6,'détails investissements'!$A$71:$B$88,2,FALSE)+1,FALSE)))&lt;&gt;"",HLOOKUP(IF(DA$3-VLOOKUP($A6,'détails investissements'!$A$71:$B$88,2,FALSE)&lt;=0,"",IF(VLOOKUP($A6,'détails investissements'!$A$26:$DE$43,DA$3-VLOOKUP($A6,'détails investissements'!$A$71:$B$88,2,FALSE)+1,FALSE)="","",VLOOKUP($A6,'détails investissements'!$A$26:$DE$43,DA$3-VLOOKUP($A6,'détails investissements'!$A$71:$B$88,2,FALSE)+1,FALSE))),'détails investissements'!$U$6:$AB$7,2,FALSE),"")&lt;&gt;"",VLOOKUP($A6,'détails investissements'!$A$7:$H$21,1+IF(IF(DA$3-VLOOKUP($A6,'détails investissements'!$A$71:$B$88,2,FALSE)&lt;=0,"",IF(VLOOKUP($A6,'détails investissements'!$A$26:$DE$43,DA$3-VLOOKUP($A6,'détails investissements'!$A$71:$B$88,2,FALSE)+1,FALSE)="","",VLOOKUP($A6,'détails investissements'!$A$26:$DE$43,DA$3-VLOOKUP($A6,'détails investissements'!$A$71:$B$88,2,FALSE)+1,FALSE)))&lt;&gt;"",HLOOKUP(IF(DA$3-VLOOKUP($A6,'détails investissements'!$A$71:$B$88,2,FALSE)&lt;=0,"",IF(VLOOKUP($A6,'détails investissements'!$A$26:$DE$43,DA$3-VLOOKUP($A6,'détails investissements'!$A$71:$B$88,2,FALSE)+1,FALSE)="","",VLOOKUP($A6,'détails investissements'!$A$26:$DE$43,DA$3-VLOOKUP($A6,'détails investissements'!$A$71:$B$88,2,FALSE)+1,FALSE))),'détails investissements'!$U$6:$AB$7,2,FALSE),""),FALSE),"")</f>
        <v/>
      </c>
      <c r="DB6" s="45" t="str">
        <f>IF(IF(IF(DB$3-VLOOKUP($A6,'détails investissements'!$A$71:$B$88,2,FALSE)&lt;=0,"",IF(VLOOKUP($A6,'détails investissements'!$A$26:$DE$43,DB$3-VLOOKUP($A6,'détails investissements'!$A$71:$B$88,2,FALSE)+1,FALSE)="","",VLOOKUP($A6,'détails investissements'!$A$26:$DE$43,DB$3-VLOOKUP($A6,'détails investissements'!$A$71:$B$88,2,FALSE)+1,FALSE)))&lt;&gt;"",HLOOKUP(IF(DB$3-VLOOKUP($A6,'détails investissements'!$A$71:$B$88,2,FALSE)&lt;=0,"",IF(VLOOKUP($A6,'détails investissements'!$A$26:$DE$43,DB$3-VLOOKUP($A6,'détails investissements'!$A$71:$B$88,2,FALSE)+1,FALSE)="","",VLOOKUP($A6,'détails investissements'!$A$26:$DE$43,DB$3-VLOOKUP($A6,'détails investissements'!$A$71:$B$88,2,FALSE)+1,FALSE))),'détails investissements'!$U$6:$AB$7,2,FALSE),"")&lt;&gt;"",VLOOKUP($A6,'détails investissements'!$A$7:$H$21,1+IF(IF(DB$3-VLOOKUP($A6,'détails investissements'!$A$71:$B$88,2,FALSE)&lt;=0,"",IF(VLOOKUP($A6,'détails investissements'!$A$26:$DE$43,DB$3-VLOOKUP($A6,'détails investissements'!$A$71:$B$88,2,FALSE)+1,FALSE)="","",VLOOKUP($A6,'détails investissements'!$A$26:$DE$43,DB$3-VLOOKUP($A6,'détails investissements'!$A$71:$B$88,2,FALSE)+1,FALSE)))&lt;&gt;"",HLOOKUP(IF(DB$3-VLOOKUP($A6,'détails investissements'!$A$71:$B$88,2,FALSE)&lt;=0,"",IF(VLOOKUP($A6,'détails investissements'!$A$26:$DE$43,DB$3-VLOOKUP($A6,'détails investissements'!$A$71:$B$88,2,FALSE)+1,FALSE)="","",VLOOKUP($A6,'détails investissements'!$A$26:$DE$43,DB$3-VLOOKUP($A6,'détails investissements'!$A$71:$B$88,2,FALSE)+1,FALSE))),'détails investissements'!$U$6:$AB$7,2,FALSE),""),FALSE),"")</f>
        <v/>
      </c>
      <c r="DC6" s="45" t="str">
        <f>IF(IF(IF(DC$3-VLOOKUP($A6,'détails investissements'!$A$71:$B$88,2,FALSE)&lt;=0,"",IF(VLOOKUP($A6,'détails investissements'!$A$26:$DE$43,DC$3-VLOOKUP($A6,'détails investissements'!$A$71:$B$88,2,FALSE)+1,FALSE)="","",VLOOKUP($A6,'détails investissements'!$A$26:$DE$43,DC$3-VLOOKUP($A6,'détails investissements'!$A$71:$B$88,2,FALSE)+1,FALSE)))&lt;&gt;"",HLOOKUP(IF(DC$3-VLOOKUP($A6,'détails investissements'!$A$71:$B$88,2,FALSE)&lt;=0,"",IF(VLOOKUP($A6,'détails investissements'!$A$26:$DE$43,DC$3-VLOOKUP($A6,'détails investissements'!$A$71:$B$88,2,FALSE)+1,FALSE)="","",VLOOKUP($A6,'détails investissements'!$A$26:$DE$43,DC$3-VLOOKUP($A6,'détails investissements'!$A$71:$B$88,2,FALSE)+1,FALSE))),'détails investissements'!$U$6:$AB$7,2,FALSE),"")&lt;&gt;"",VLOOKUP($A6,'détails investissements'!$A$7:$H$21,1+IF(IF(DC$3-VLOOKUP($A6,'détails investissements'!$A$71:$B$88,2,FALSE)&lt;=0,"",IF(VLOOKUP($A6,'détails investissements'!$A$26:$DE$43,DC$3-VLOOKUP($A6,'détails investissements'!$A$71:$B$88,2,FALSE)+1,FALSE)="","",VLOOKUP($A6,'détails investissements'!$A$26:$DE$43,DC$3-VLOOKUP($A6,'détails investissements'!$A$71:$B$88,2,FALSE)+1,FALSE)))&lt;&gt;"",HLOOKUP(IF(DC$3-VLOOKUP($A6,'détails investissements'!$A$71:$B$88,2,FALSE)&lt;=0,"",IF(VLOOKUP($A6,'détails investissements'!$A$26:$DE$43,DC$3-VLOOKUP($A6,'détails investissements'!$A$71:$B$88,2,FALSE)+1,FALSE)="","",VLOOKUP($A6,'détails investissements'!$A$26:$DE$43,DC$3-VLOOKUP($A6,'détails investissements'!$A$71:$B$88,2,FALSE)+1,FALSE))),'détails investissements'!$U$6:$AB$7,2,FALSE),""),FALSE),"")</f>
        <v/>
      </c>
      <c r="DD6" s="45" t="str">
        <f>IF(IF(IF(DD$3-VLOOKUP($A6,'détails investissements'!$A$71:$B$88,2,FALSE)&lt;=0,"",IF(VLOOKUP($A6,'détails investissements'!$A$26:$DE$43,DD$3-VLOOKUP($A6,'détails investissements'!$A$71:$B$88,2,FALSE)+1,FALSE)="","",VLOOKUP($A6,'détails investissements'!$A$26:$DE$43,DD$3-VLOOKUP($A6,'détails investissements'!$A$71:$B$88,2,FALSE)+1,FALSE)))&lt;&gt;"",HLOOKUP(IF(DD$3-VLOOKUP($A6,'détails investissements'!$A$71:$B$88,2,FALSE)&lt;=0,"",IF(VLOOKUP($A6,'détails investissements'!$A$26:$DE$43,DD$3-VLOOKUP($A6,'détails investissements'!$A$71:$B$88,2,FALSE)+1,FALSE)="","",VLOOKUP($A6,'détails investissements'!$A$26:$DE$43,DD$3-VLOOKUP($A6,'détails investissements'!$A$71:$B$88,2,FALSE)+1,FALSE))),'détails investissements'!$U$6:$AB$7,2,FALSE),"")&lt;&gt;"",VLOOKUP($A6,'détails investissements'!$A$7:$H$21,1+IF(IF(DD$3-VLOOKUP($A6,'détails investissements'!$A$71:$B$88,2,FALSE)&lt;=0,"",IF(VLOOKUP($A6,'détails investissements'!$A$26:$DE$43,DD$3-VLOOKUP($A6,'détails investissements'!$A$71:$B$88,2,FALSE)+1,FALSE)="","",VLOOKUP($A6,'détails investissements'!$A$26:$DE$43,DD$3-VLOOKUP($A6,'détails investissements'!$A$71:$B$88,2,FALSE)+1,FALSE)))&lt;&gt;"",HLOOKUP(IF(DD$3-VLOOKUP($A6,'détails investissements'!$A$71:$B$88,2,FALSE)&lt;=0,"",IF(VLOOKUP($A6,'détails investissements'!$A$26:$DE$43,DD$3-VLOOKUP($A6,'détails investissements'!$A$71:$B$88,2,FALSE)+1,FALSE)="","",VLOOKUP($A6,'détails investissements'!$A$26:$DE$43,DD$3-VLOOKUP($A6,'détails investissements'!$A$71:$B$88,2,FALSE)+1,FALSE))),'détails investissements'!$U$6:$AB$7,2,FALSE),""),FALSE),"")</f>
        <v/>
      </c>
      <c r="DE6" s="45" t="str">
        <f>IF(IF(IF(DE$3-VLOOKUP($A6,'détails investissements'!$A$71:$B$88,2,FALSE)&lt;=0,"",IF(VLOOKUP($A6,'détails investissements'!$A$26:$DE$43,DE$3-VLOOKUP($A6,'détails investissements'!$A$71:$B$88,2,FALSE)+1,FALSE)="","",VLOOKUP($A6,'détails investissements'!$A$26:$DE$43,DE$3-VLOOKUP($A6,'détails investissements'!$A$71:$B$88,2,FALSE)+1,FALSE)))&lt;&gt;"",HLOOKUP(IF(DE$3-VLOOKUP($A6,'détails investissements'!$A$71:$B$88,2,FALSE)&lt;=0,"",IF(VLOOKUP($A6,'détails investissements'!$A$26:$DE$43,DE$3-VLOOKUP($A6,'détails investissements'!$A$71:$B$88,2,FALSE)+1,FALSE)="","",VLOOKUP($A6,'détails investissements'!$A$26:$DE$43,DE$3-VLOOKUP($A6,'détails investissements'!$A$71:$B$88,2,FALSE)+1,FALSE))),'détails investissements'!$U$6:$AB$7,2,FALSE),"")&lt;&gt;"",VLOOKUP($A6,'détails investissements'!$A$7:$H$21,1+IF(IF(DE$3-VLOOKUP($A6,'détails investissements'!$A$71:$B$88,2,FALSE)&lt;=0,"",IF(VLOOKUP($A6,'détails investissements'!$A$26:$DE$43,DE$3-VLOOKUP($A6,'détails investissements'!$A$71:$B$88,2,FALSE)+1,FALSE)="","",VLOOKUP($A6,'détails investissements'!$A$26:$DE$43,DE$3-VLOOKUP($A6,'détails investissements'!$A$71:$B$88,2,FALSE)+1,FALSE)))&lt;&gt;"",HLOOKUP(IF(DE$3-VLOOKUP($A6,'détails investissements'!$A$71:$B$88,2,FALSE)&lt;=0,"",IF(VLOOKUP($A6,'détails investissements'!$A$26:$DE$43,DE$3-VLOOKUP($A6,'détails investissements'!$A$71:$B$88,2,FALSE)+1,FALSE)="","",VLOOKUP($A6,'détails investissements'!$A$26:$DE$43,DE$3-VLOOKUP($A6,'détails investissements'!$A$71:$B$88,2,FALSE)+1,FALSE))),'détails investissements'!$U$6:$AB$7,2,FALSE),""),FALSE),"")</f>
        <v/>
      </c>
      <c r="DF6" s="45" t="str">
        <f>IF(IF(IF(DF$3-VLOOKUP($A6,'détails investissements'!$A$71:$B$88,2,FALSE)&lt;=0,"",IF(VLOOKUP($A6,'détails investissements'!$A$26:$DE$43,DF$3-VLOOKUP($A6,'détails investissements'!$A$71:$B$88,2,FALSE)+1,FALSE)="","",VLOOKUP($A6,'détails investissements'!$A$26:$DE$43,DF$3-VLOOKUP($A6,'détails investissements'!$A$71:$B$88,2,FALSE)+1,FALSE)))&lt;&gt;"",HLOOKUP(IF(DF$3-VLOOKUP($A6,'détails investissements'!$A$71:$B$88,2,FALSE)&lt;=0,"",IF(VLOOKUP($A6,'détails investissements'!$A$26:$DE$43,DF$3-VLOOKUP($A6,'détails investissements'!$A$71:$B$88,2,FALSE)+1,FALSE)="","",VLOOKUP($A6,'détails investissements'!$A$26:$DE$43,DF$3-VLOOKUP($A6,'détails investissements'!$A$71:$B$88,2,FALSE)+1,FALSE))),'détails investissements'!$U$6:$AB$7,2,FALSE),"")&lt;&gt;"",VLOOKUP($A6,'détails investissements'!$A$7:$H$21,1+IF(IF(DF$3-VLOOKUP($A6,'détails investissements'!$A$71:$B$88,2,FALSE)&lt;=0,"",IF(VLOOKUP($A6,'détails investissements'!$A$26:$DE$43,DF$3-VLOOKUP($A6,'détails investissements'!$A$71:$B$88,2,FALSE)+1,FALSE)="","",VLOOKUP($A6,'détails investissements'!$A$26:$DE$43,DF$3-VLOOKUP($A6,'détails investissements'!$A$71:$B$88,2,FALSE)+1,FALSE)))&lt;&gt;"",HLOOKUP(IF(DF$3-VLOOKUP($A6,'détails investissements'!$A$71:$B$88,2,FALSE)&lt;=0,"",IF(VLOOKUP($A6,'détails investissements'!$A$26:$DE$43,DF$3-VLOOKUP($A6,'détails investissements'!$A$71:$B$88,2,FALSE)+1,FALSE)="","",VLOOKUP($A6,'détails investissements'!$A$26:$DE$43,DF$3-VLOOKUP($A6,'détails investissements'!$A$71:$B$88,2,FALSE)+1,FALSE))),'détails investissements'!$U$6:$AB$7,2,FALSE),""),FALSE),"")</f>
        <v/>
      </c>
      <c r="DG6">
        <f>SUM(C6:DF6)</f>
        <v>1</v>
      </c>
    </row>
    <row r="7" spans="1:111" x14ac:dyDescent="0.2">
      <c r="A7" s="15" t="str">
        <f>'[4]Données investissements'!A27</f>
        <v>Annexe four : outillage</v>
      </c>
      <c r="B7" s="23">
        <f>'détails investissements'!B95</f>
        <v>0.4</v>
      </c>
      <c r="C7" s="45" t="str">
        <f>IF(IF(IF(C$3-VLOOKUP($A7,'détails investissements'!$A$71:$B$88,2,FALSE)&lt;=0,"",IF(VLOOKUP($A7,'détails investissements'!$A$26:$DE$43,C$3-VLOOKUP($A7,'détails investissements'!$A$71:$B$88,2,FALSE)+1,FALSE)="","",VLOOKUP($A7,'détails investissements'!$A$26:$DE$43,C$3-VLOOKUP($A7,'détails investissements'!$A$71:$B$88,2,FALSE)+1,FALSE)))&lt;&gt;"",HLOOKUP(IF(C$3-VLOOKUP($A7,'détails investissements'!$A$71:$B$88,2,FALSE)&lt;=0,"",IF(VLOOKUP($A7,'détails investissements'!$A$26:$DE$43,C$3-VLOOKUP($A7,'détails investissements'!$A$71:$B$88,2,FALSE)+1,FALSE)="","",VLOOKUP($A7,'détails investissements'!$A$26:$DE$43,C$3-VLOOKUP($A7,'détails investissements'!$A$71:$B$88,2,FALSE)+1,FALSE))),'détails investissements'!$U$6:$AB$7,2,FALSE),"")&lt;&gt;"",VLOOKUP($A7,'détails investissements'!$A$7:$H$21,1+IF(IF(C$3-VLOOKUP($A7,'détails investissements'!$A$71:$B$88,2,FALSE)&lt;=0,"",IF(VLOOKUP($A7,'détails investissements'!$A$26:$DE$43,C$3-VLOOKUP($A7,'détails investissements'!$A$71:$B$88,2,FALSE)+1,FALSE)="","",VLOOKUP($A7,'détails investissements'!$A$26:$DE$43,C$3-VLOOKUP($A7,'détails investissements'!$A$71:$B$88,2,FALSE)+1,FALSE)))&lt;&gt;"",HLOOKUP(IF(C$3-VLOOKUP($A7,'détails investissements'!$A$71:$B$88,2,FALSE)&lt;=0,"",IF(VLOOKUP($A7,'détails investissements'!$A$26:$DE$43,C$3-VLOOKUP($A7,'détails investissements'!$A$71:$B$88,2,FALSE)+1,FALSE)="","",VLOOKUP($A7,'détails investissements'!$A$26:$DE$43,C$3-VLOOKUP($A7,'détails investissements'!$A$71:$B$88,2,FALSE)+1,FALSE))),'détails investissements'!$U$6:$AB$7,2,FALSE),""),FALSE),"")</f>
        <v/>
      </c>
      <c r="D7" s="45" t="str">
        <f>IF(IF(IF(D$3-VLOOKUP($A7,'détails investissements'!$A$71:$B$88,2,FALSE)&lt;=0,"",IF(VLOOKUP($A7,'détails investissements'!$A$26:$DE$43,D$3-VLOOKUP($A7,'détails investissements'!$A$71:$B$88,2,FALSE)+1,FALSE)="","",VLOOKUP($A7,'détails investissements'!$A$26:$DE$43,D$3-VLOOKUP($A7,'détails investissements'!$A$71:$B$88,2,FALSE)+1,FALSE)))&lt;&gt;"",HLOOKUP(IF(D$3-VLOOKUP($A7,'détails investissements'!$A$71:$B$88,2,FALSE)&lt;=0,"",IF(VLOOKUP($A7,'détails investissements'!$A$26:$DE$43,D$3-VLOOKUP($A7,'détails investissements'!$A$71:$B$88,2,FALSE)+1,FALSE)="","",VLOOKUP($A7,'détails investissements'!$A$26:$DE$43,D$3-VLOOKUP($A7,'détails investissements'!$A$71:$B$88,2,FALSE)+1,FALSE))),'détails investissements'!$U$6:$AB$7,2,FALSE),"")&lt;&gt;"",VLOOKUP($A7,'détails investissements'!$A$7:$H$21,1+IF(IF(D$3-VLOOKUP($A7,'détails investissements'!$A$71:$B$88,2,FALSE)&lt;=0,"",IF(VLOOKUP($A7,'détails investissements'!$A$26:$DE$43,D$3-VLOOKUP($A7,'détails investissements'!$A$71:$B$88,2,FALSE)+1,FALSE)="","",VLOOKUP($A7,'détails investissements'!$A$26:$DE$43,D$3-VLOOKUP($A7,'détails investissements'!$A$71:$B$88,2,FALSE)+1,FALSE)))&lt;&gt;"",HLOOKUP(IF(D$3-VLOOKUP($A7,'détails investissements'!$A$71:$B$88,2,FALSE)&lt;=0,"",IF(VLOOKUP($A7,'détails investissements'!$A$26:$DE$43,D$3-VLOOKUP($A7,'détails investissements'!$A$71:$B$88,2,FALSE)+1,FALSE)="","",VLOOKUP($A7,'détails investissements'!$A$26:$DE$43,D$3-VLOOKUP($A7,'détails investissements'!$A$71:$B$88,2,FALSE)+1,FALSE))),'détails investissements'!$U$6:$AB$7,2,FALSE),""),FALSE),"")</f>
        <v/>
      </c>
      <c r="E7" s="45" t="str">
        <f>IF(IF(IF(E$3-VLOOKUP($A7,'détails investissements'!$A$71:$B$88,2,FALSE)&lt;=0,"",IF(VLOOKUP($A7,'détails investissements'!$A$26:$DE$43,E$3-VLOOKUP($A7,'détails investissements'!$A$71:$B$88,2,FALSE)+1,FALSE)="","",VLOOKUP($A7,'détails investissements'!$A$26:$DE$43,E$3-VLOOKUP($A7,'détails investissements'!$A$71:$B$88,2,FALSE)+1,FALSE)))&lt;&gt;"",HLOOKUP(IF(E$3-VLOOKUP($A7,'détails investissements'!$A$71:$B$88,2,FALSE)&lt;=0,"",IF(VLOOKUP($A7,'détails investissements'!$A$26:$DE$43,E$3-VLOOKUP($A7,'détails investissements'!$A$71:$B$88,2,FALSE)+1,FALSE)="","",VLOOKUP($A7,'détails investissements'!$A$26:$DE$43,E$3-VLOOKUP($A7,'détails investissements'!$A$71:$B$88,2,FALSE)+1,FALSE))),'détails investissements'!$U$6:$AB$7,2,FALSE),"")&lt;&gt;"",VLOOKUP($A7,'détails investissements'!$A$7:$H$21,1+IF(IF(E$3-VLOOKUP($A7,'détails investissements'!$A$71:$B$88,2,FALSE)&lt;=0,"",IF(VLOOKUP($A7,'détails investissements'!$A$26:$DE$43,E$3-VLOOKUP($A7,'détails investissements'!$A$71:$B$88,2,FALSE)+1,FALSE)="","",VLOOKUP($A7,'détails investissements'!$A$26:$DE$43,E$3-VLOOKUP($A7,'détails investissements'!$A$71:$B$88,2,FALSE)+1,FALSE)))&lt;&gt;"",HLOOKUP(IF(E$3-VLOOKUP($A7,'détails investissements'!$A$71:$B$88,2,FALSE)&lt;=0,"",IF(VLOOKUP($A7,'détails investissements'!$A$26:$DE$43,E$3-VLOOKUP($A7,'détails investissements'!$A$71:$B$88,2,FALSE)+1,FALSE)="","",VLOOKUP($A7,'détails investissements'!$A$26:$DE$43,E$3-VLOOKUP($A7,'détails investissements'!$A$71:$B$88,2,FALSE)+1,FALSE))),'détails investissements'!$U$6:$AB$7,2,FALSE),""),FALSE),"")</f>
        <v/>
      </c>
      <c r="F7" s="45" t="str">
        <f>IF(IF(IF(F$3-VLOOKUP($A7,'détails investissements'!$A$71:$B$88,2,FALSE)&lt;=0,"",IF(VLOOKUP($A7,'détails investissements'!$A$26:$DE$43,F$3-VLOOKUP($A7,'détails investissements'!$A$71:$B$88,2,FALSE)+1,FALSE)="","",VLOOKUP($A7,'détails investissements'!$A$26:$DE$43,F$3-VLOOKUP($A7,'détails investissements'!$A$71:$B$88,2,FALSE)+1,FALSE)))&lt;&gt;"",HLOOKUP(IF(F$3-VLOOKUP($A7,'détails investissements'!$A$71:$B$88,2,FALSE)&lt;=0,"",IF(VLOOKUP($A7,'détails investissements'!$A$26:$DE$43,F$3-VLOOKUP($A7,'détails investissements'!$A$71:$B$88,2,FALSE)+1,FALSE)="","",VLOOKUP($A7,'détails investissements'!$A$26:$DE$43,F$3-VLOOKUP($A7,'détails investissements'!$A$71:$B$88,2,FALSE)+1,FALSE))),'détails investissements'!$U$6:$AB$7,2,FALSE),"")&lt;&gt;"",VLOOKUP($A7,'détails investissements'!$A$7:$H$21,1+IF(IF(F$3-VLOOKUP($A7,'détails investissements'!$A$71:$B$88,2,FALSE)&lt;=0,"",IF(VLOOKUP($A7,'détails investissements'!$A$26:$DE$43,F$3-VLOOKUP($A7,'détails investissements'!$A$71:$B$88,2,FALSE)+1,FALSE)="","",VLOOKUP($A7,'détails investissements'!$A$26:$DE$43,F$3-VLOOKUP($A7,'détails investissements'!$A$71:$B$88,2,FALSE)+1,FALSE)))&lt;&gt;"",HLOOKUP(IF(F$3-VLOOKUP($A7,'détails investissements'!$A$71:$B$88,2,FALSE)&lt;=0,"",IF(VLOOKUP($A7,'détails investissements'!$A$26:$DE$43,F$3-VLOOKUP($A7,'détails investissements'!$A$71:$B$88,2,FALSE)+1,FALSE)="","",VLOOKUP($A7,'détails investissements'!$A$26:$DE$43,F$3-VLOOKUP($A7,'détails investissements'!$A$71:$B$88,2,FALSE)+1,FALSE))),'détails investissements'!$U$6:$AB$7,2,FALSE),""),FALSE),"")</f>
        <v/>
      </c>
      <c r="G7" s="45" t="str">
        <f>IF(IF(IF(G$3-VLOOKUP($A7,'détails investissements'!$A$71:$B$88,2,FALSE)&lt;=0,"",IF(VLOOKUP($A7,'détails investissements'!$A$26:$DE$43,G$3-VLOOKUP($A7,'détails investissements'!$A$71:$B$88,2,FALSE)+1,FALSE)="","",VLOOKUP($A7,'détails investissements'!$A$26:$DE$43,G$3-VLOOKUP($A7,'détails investissements'!$A$71:$B$88,2,FALSE)+1,FALSE)))&lt;&gt;"",HLOOKUP(IF(G$3-VLOOKUP($A7,'détails investissements'!$A$71:$B$88,2,FALSE)&lt;=0,"",IF(VLOOKUP($A7,'détails investissements'!$A$26:$DE$43,G$3-VLOOKUP($A7,'détails investissements'!$A$71:$B$88,2,FALSE)+1,FALSE)="","",VLOOKUP($A7,'détails investissements'!$A$26:$DE$43,G$3-VLOOKUP($A7,'détails investissements'!$A$71:$B$88,2,FALSE)+1,FALSE))),'détails investissements'!$U$6:$AB$7,2,FALSE),"")&lt;&gt;"",VLOOKUP($A7,'détails investissements'!$A$7:$H$21,1+IF(IF(G$3-VLOOKUP($A7,'détails investissements'!$A$71:$B$88,2,FALSE)&lt;=0,"",IF(VLOOKUP($A7,'détails investissements'!$A$26:$DE$43,G$3-VLOOKUP($A7,'détails investissements'!$A$71:$B$88,2,FALSE)+1,FALSE)="","",VLOOKUP($A7,'détails investissements'!$A$26:$DE$43,G$3-VLOOKUP($A7,'détails investissements'!$A$71:$B$88,2,FALSE)+1,FALSE)))&lt;&gt;"",HLOOKUP(IF(G$3-VLOOKUP($A7,'détails investissements'!$A$71:$B$88,2,FALSE)&lt;=0,"",IF(VLOOKUP($A7,'détails investissements'!$A$26:$DE$43,G$3-VLOOKUP($A7,'détails investissements'!$A$71:$B$88,2,FALSE)+1,FALSE)="","",VLOOKUP($A7,'détails investissements'!$A$26:$DE$43,G$3-VLOOKUP($A7,'détails investissements'!$A$71:$B$88,2,FALSE)+1,FALSE))),'détails investissements'!$U$6:$AB$7,2,FALSE),""),FALSE),"")</f>
        <v/>
      </c>
      <c r="H7" s="45" t="str">
        <f>IF(IF(IF(H$3-VLOOKUP($A7,'détails investissements'!$A$71:$B$88,2,FALSE)&lt;=0,"",IF(VLOOKUP($A7,'détails investissements'!$A$26:$DE$43,H$3-VLOOKUP($A7,'détails investissements'!$A$71:$B$88,2,FALSE)+1,FALSE)="","",VLOOKUP($A7,'détails investissements'!$A$26:$DE$43,H$3-VLOOKUP($A7,'détails investissements'!$A$71:$B$88,2,FALSE)+1,FALSE)))&lt;&gt;"",HLOOKUP(IF(H$3-VLOOKUP($A7,'détails investissements'!$A$71:$B$88,2,FALSE)&lt;=0,"",IF(VLOOKUP($A7,'détails investissements'!$A$26:$DE$43,H$3-VLOOKUP($A7,'détails investissements'!$A$71:$B$88,2,FALSE)+1,FALSE)="","",VLOOKUP($A7,'détails investissements'!$A$26:$DE$43,H$3-VLOOKUP($A7,'détails investissements'!$A$71:$B$88,2,FALSE)+1,FALSE))),'détails investissements'!$U$6:$AB$7,2,FALSE),"")&lt;&gt;"",VLOOKUP($A7,'détails investissements'!$A$7:$H$21,1+IF(IF(H$3-VLOOKUP($A7,'détails investissements'!$A$71:$B$88,2,FALSE)&lt;=0,"",IF(VLOOKUP($A7,'détails investissements'!$A$26:$DE$43,H$3-VLOOKUP($A7,'détails investissements'!$A$71:$B$88,2,FALSE)+1,FALSE)="","",VLOOKUP($A7,'détails investissements'!$A$26:$DE$43,H$3-VLOOKUP($A7,'détails investissements'!$A$71:$B$88,2,FALSE)+1,FALSE)))&lt;&gt;"",HLOOKUP(IF(H$3-VLOOKUP($A7,'détails investissements'!$A$71:$B$88,2,FALSE)&lt;=0,"",IF(VLOOKUP($A7,'détails investissements'!$A$26:$DE$43,H$3-VLOOKUP($A7,'détails investissements'!$A$71:$B$88,2,FALSE)+1,FALSE)="","",VLOOKUP($A7,'détails investissements'!$A$26:$DE$43,H$3-VLOOKUP($A7,'détails investissements'!$A$71:$B$88,2,FALSE)+1,FALSE))),'détails investissements'!$U$6:$AB$7,2,FALSE),""),FALSE),"")</f>
        <v/>
      </c>
      <c r="I7" s="45" t="str">
        <f>IF(IF(IF(I$3-VLOOKUP($A7,'détails investissements'!$A$71:$B$88,2,FALSE)&lt;=0,"",IF(VLOOKUP($A7,'détails investissements'!$A$26:$DE$43,I$3-VLOOKUP($A7,'détails investissements'!$A$71:$B$88,2,FALSE)+1,FALSE)="","",VLOOKUP($A7,'détails investissements'!$A$26:$DE$43,I$3-VLOOKUP($A7,'détails investissements'!$A$71:$B$88,2,FALSE)+1,FALSE)))&lt;&gt;"",HLOOKUP(IF(I$3-VLOOKUP($A7,'détails investissements'!$A$71:$B$88,2,FALSE)&lt;=0,"",IF(VLOOKUP($A7,'détails investissements'!$A$26:$DE$43,I$3-VLOOKUP($A7,'détails investissements'!$A$71:$B$88,2,FALSE)+1,FALSE)="","",VLOOKUP($A7,'détails investissements'!$A$26:$DE$43,I$3-VLOOKUP($A7,'détails investissements'!$A$71:$B$88,2,FALSE)+1,FALSE))),'détails investissements'!$U$6:$AB$7,2,FALSE),"")&lt;&gt;"",VLOOKUP($A7,'détails investissements'!$A$7:$H$21,1+IF(IF(I$3-VLOOKUP($A7,'détails investissements'!$A$71:$B$88,2,FALSE)&lt;=0,"",IF(VLOOKUP($A7,'détails investissements'!$A$26:$DE$43,I$3-VLOOKUP($A7,'détails investissements'!$A$71:$B$88,2,FALSE)+1,FALSE)="","",VLOOKUP($A7,'détails investissements'!$A$26:$DE$43,I$3-VLOOKUP($A7,'détails investissements'!$A$71:$B$88,2,FALSE)+1,FALSE)))&lt;&gt;"",HLOOKUP(IF(I$3-VLOOKUP($A7,'détails investissements'!$A$71:$B$88,2,FALSE)&lt;=0,"",IF(VLOOKUP($A7,'détails investissements'!$A$26:$DE$43,I$3-VLOOKUP($A7,'détails investissements'!$A$71:$B$88,2,FALSE)+1,FALSE)="","",VLOOKUP($A7,'détails investissements'!$A$26:$DE$43,I$3-VLOOKUP($A7,'détails investissements'!$A$71:$B$88,2,FALSE)+1,FALSE))),'détails investissements'!$U$6:$AB$7,2,FALSE),""),FALSE),"")</f>
        <v/>
      </c>
      <c r="J7" s="45" t="str">
        <f>IF(IF(IF(J$3-VLOOKUP($A7,'détails investissements'!$A$71:$B$88,2,FALSE)&lt;=0,"",IF(VLOOKUP($A7,'détails investissements'!$A$26:$DE$43,J$3-VLOOKUP($A7,'détails investissements'!$A$71:$B$88,2,FALSE)+1,FALSE)="","",VLOOKUP($A7,'détails investissements'!$A$26:$DE$43,J$3-VLOOKUP($A7,'détails investissements'!$A$71:$B$88,2,FALSE)+1,FALSE)))&lt;&gt;"",HLOOKUP(IF(J$3-VLOOKUP($A7,'détails investissements'!$A$71:$B$88,2,FALSE)&lt;=0,"",IF(VLOOKUP($A7,'détails investissements'!$A$26:$DE$43,J$3-VLOOKUP($A7,'détails investissements'!$A$71:$B$88,2,FALSE)+1,FALSE)="","",VLOOKUP($A7,'détails investissements'!$A$26:$DE$43,J$3-VLOOKUP($A7,'détails investissements'!$A$71:$B$88,2,FALSE)+1,FALSE))),'détails investissements'!$U$6:$AB$7,2,FALSE),"")&lt;&gt;"",VLOOKUP($A7,'détails investissements'!$A$7:$H$21,1+IF(IF(J$3-VLOOKUP($A7,'détails investissements'!$A$71:$B$88,2,FALSE)&lt;=0,"",IF(VLOOKUP($A7,'détails investissements'!$A$26:$DE$43,J$3-VLOOKUP($A7,'détails investissements'!$A$71:$B$88,2,FALSE)+1,FALSE)="","",VLOOKUP($A7,'détails investissements'!$A$26:$DE$43,J$3-VLOOKUP($A7,'détails investissements'!$A$71:$B$88,2,FALSE)+1,FALSE)))&lt;&gt;"",HLOOKUP(IF(J$3-VLOOKUP($A7,'détails investissements'!$A$71:$B$88,2,FALSE)&lt;=0,"",IF(VLOOKUP($A7,'détails investissements'!$A$26:$DE$43,J$3-VLOOKUP($A7,'détails investissements'!$A$71:$B$88,2,FALSE)+1,FALSE)="","",VLOOKUP($A7,'détails investissements'!$A$26:$DE$43,J$3-VLOOKUP($A7,'détails investissements'!$A$71:$B$88,2,FALSE)+1,FALSE))),'détails investissements'!$U$6:$AB$7,2,FALSE),""),FALSE),"")</f>
        <v/>
      </c>
      <c r="K7" s="45" t="str">
        <f>IF(IF(IF(K$3-VLOOKUP($A7,'détails investissements'!$A$71:$B$88,2,FALSE)&lt;=0,"",IF(VLOOKUP($A7,'détails investissements'!$A$26:$DE$43,K$3-VLOOKUP($A7,'détails investissements'!$A$71:$B$88,2,FALSE)+1,FALSE)="","",VLOOKUP($A7,'détails investissements'!$A$26:$DE$43,K$3-VLOOKUP($A7,'détails investissements'!$A$71:$B$88,2,FALSE)+1,FALSE)))&lt;&gt;"",HLOOKUP(IF(K$3-VLOOKUP($A7,'détails investissements'!$A$71:$B$88,2,FALSE)&lt;=0,"",IF(VLOOKUP($A7,'détails investissements'!$A$26:$DE$43,K$3-VLOOKUP($A7,'détails investissements'!$A$71:$B$88,2,FALSE)+1,FALSE)="","",VLOOKUP($A7,'détails investissements'!$A$26:$DE$43,K$3-VLOOKUP($A7,'détails investissements'!$A$71:$B$88,2,FALSE)+1,FALSE))),'détails investissements'!$U$6:$AB$7,2,FALSE),"")&lt;&gt;"",VLOOKUP($A7,'détails investissements'!$A$7:$H$21,1+IF(IF(K$3-VLOOKUP($A7,'détails investissements'!$A$71:$B$88,2,FALSE)&lt;=0,"",IF(VLOOKUP($A7,'détails investissements'!$A$26:$DE$43,K$3-VLOOKUP($A7,'détails investissements'!$A$71:$B$88,2,FALSE)+1,FALSE)="","",VLOOKUP($A7,'détails investissements'!$A$26:$DE$43,K$3-VLOOKUP($A7,'détails investissements'!$A$71:$B$88,2,FALSE)+1,FALSE)))&lt;&gt;"",HLOOKUP(IF(K$3-VLOOKUP($A7,'détails investissements'!$A$71:$B$88,2,FALSE)&lt;=0,"",IF(VLOOKUP($A7,'détails investissements'!$A$26:$DE$43,K$3-VLOOKUP($A7,'détails investissements'!$A$71:$B$88,2,FALSE)+1,FALSE)="","",VLOOKUP($A7,'détails investissements'!$A$26:$DE$43,K$3-VLOOKUP($A7,'détails investissements'!$A$71:$B$88,2,FALSE)+1,FALSE))),'détails investissements'!$U$6:$AB$7,2,FALSE),""),FALSE),"")</f>
        <v/>
      </c>
      <c r="L7" s="45" t="str">
        <f>IF(IF(IF(L$3-VLOOKUP($A7,'détails investissements'!$A$71:$B$88,2,FALSE)&lt;=0,"",IF(VLOOKUP($A7,'détails investissements'!$A$26:$DE$43,L$3-VLOOKUP($A7,'détails investissements'!$A$71:$B$88,2,FALSE)+1,FALSE)="","",VLOOKUP($A7,'détails investissements'!$A$26:$DE$43,L$3-VLOOKUP($A7,'détails investissements'!$A$71:$B$88,2,FALSE)+1,FALSE)))&lt;&gt;"",HLOOKUP(IF(L$3-VLOOKUP($A7,'détails investissements'!$A$71:$B$88,2,FALSE)&lt;=0,"",IF(VLOOKUP($A7,'détails investissements'!$A$26:$DE$43,L$3-VLOOKUP($A7,'détails investissements'!$A$71:$B$88,2,FALSE)+1,FALSE)="","",VLOOKUP($A7,'détails investissements'!$A$26:$DE$43,L$3-VLOOKUP($A7,'détails investissements'!$A$71:$B$88,2,FALSE)+1,FALSE))),'détails investissements'!$U$6:$AB$7,2,FALSE),"")&lt;&gt;"",VLOOKUP($A7,'détails investissements'!$A$7:$H$21,1+IF(IF(L$3-VLOOKUP($A7,'détails investissements'!$A$71:$B$88,2,FALSE)&lt;=0,"",IF(VLOOKUP($A7,'détails investissements'!$A$26:$DE$43,L$3-VLOOKUP($A7,'détails investissements'!$A$71:$B$88,2,FALSE)+1,FALSE)="","",VLOOKUP($A7,'détails investissements'!$A$26:$DE$43,L$3-VLOOKUP($A7,'détails investissements'!$A$71:$B$88,2,FALSE)+1,FALSE)))&lt;&gt;"",HLOOKUP(IF(L$3-VLOOKUP($A7,'détails investissements'!$A$71:$B$88,2,FALSE)&lt;=0,"",IF(VLOOKUP($A7,'détails investissements'!$A$26:$DE$43,L$3-VLOOKUP($A7,'détails investissements'!$A$71:$B$88,2,FALSE)+1,FALSE)="","",VLOOKUP($A7,'détails investissements'!$A$26:$DE$43,L$3-VLOOKUP($A7,'détails investissements'!$A$71:$B$88,2,FALSE)+1,FALSE))),'détails investissements'!$U$6:$AB$7,2,FALSE),""),FALSE),"")</f>
        <v/>
      </c>
      <c r="M7" s="45" t="str">
        <f>IF(IF(IF(M$3-VLOOKUP($A7,'détails investissements'!$A$71:$B$88,2,FALSE)&lt;=0,"",IF(VLOOKUP($A7,'détails investissements'!$A$26:$DE$43,M$3-VLOOKUP($A7,'détails investissements'!$A$71:$B$88,2,FALSE)+1,FALSE)="","",VLOOKUP($A7,'détails investissements'!$A$26:$DE$43,M$3-VLOOKUP($A7,'détails investissements'!$A$71:$B$88,2,FALSE)+1,FALSE)))&lt;&gt;"",HLOOKUP(IF(M$3-VLOOKUP($A7,'détails investissements'!$A$71:$B$88,2,FALSE)&lt;=0,"",IF(VLOOKUP($A7,'détails investissements'!$A$26:$DE$43,M$3-VLOOKUP($A7,'détails investissements'!$A$71:$B$88,2,FALSE)+1,FALSE)="","",VLOOKUP($A7,'détails investissements'!$A$26:$DE$43,M$3-VLOOKUP($A7,'détails investissements'!$A$71:$B$88,2,FALSE)+1,FALSE))),'détails investissements'!$U$6:$AB$7,2,FALSE),"")&lt;&gt;"",VLOOKUP($A7,'détails investissements'!$A$7:$H$21,1+IF(IF(M$3-VLOOKUP($A7,'détails investissements'!$A$71:$B$88,2,FALSE)&lt;=0,"",IF(VLOOKUP($A7,'détails investissements'!$A$26:$DE$43,M$3-VLOOKUP($A7,'détails investissements'!$A$71:$B$88,2,FALSE)+1,FALSE)="","",VLOOKUP($A7,'détails investissements'!$A$26:$DE$43,M$3-VLOOKUP($A7,'détails investissements'!$A$71:$B$88,2,FALSE)+1,FALSE)))&lt;&gt;"",HLOOKUP(IF(M$3-VLOOKUP($A7,'détails investissements'!$A$71:$B$88,2,FALSE)&lt;=0,"",IF(VLOOKUP($A7,'détails investissements'!$A$26:$DE$43,M$3-VLOOKUP($A7,'détails investissements'!$A$71:$B$88,2,FALSE)+1,FALSE)="","",VLOOKUP($A7,'détails investissements'!$A$26:$DE$43,M$3-VLOOKUP($A7,'détails investissements'!$A$71:$B$88,2,FALSE)+1,FALSE))),'détails investissements'!$U$6:$AB$7,2,FALSE),""),FALSE),"")</f>
        <v/>
      </c>
      <c r="N7" s="45" t="str">
        <f>IF(IF(IF(N$3-VLOOKUP($A7,'détails investissements'!$A$71:$B$88,2,FALSE)&lt;=0,"",IF(VLOOKUP($A7,'détails investissements'!$A$26:$DE$43,N$3-VLOOKUP($A7,'détails investissements'!$A$71:$B$88,2,FALSE)+1,FALSE)="","",VLOOKUP($A7,'détails investissements'!$A$26:$DE$43,N$3-VLOOKUP($A7,'détails investissements'!$A$71:$B$88,2,FALSE)+1,FALSE)))&lt;&gt;"",HLOOKUP(IF(N$3-VLOOKUP($A7,'détails investissements'!$A$71:$B$88,2,FALSE)&lt;=0,"",IF(VLOOKUP($A7,'détails investissements'!$A$26:$DE$43,N$3-VLOOKUP($A7,'détails investissements'!$A$71:$B$88,2,FALSE)+1,FALSE)="","",VLOOKUP($A7,'détails investissements'!$A$26:$DE$43,N$3-VLOOKUP($A7,'détails investissements'!$A$71:$B$88,2,FALSE)+1,FALSE))),'détails investissements'!$U$6:$AB$7,2,FALSE),"")&lt;&gt;"",VLOOKUP($A7,'détails investissements'!$A$7:$H$21,1+IF(IF(N$3-VLOOKUP($A7,'détails investissements'!$A$71:$B$88,2,FALSE)&lt;=0,"",IF(VLOOKUP($A7,'détails investissements'!$A$26:$DE$43,N$3-VLOOKUP($A7,'détails investissements'!$A$71:$B$88,2,FALSE)+1,FALSE)="","",VLOOKUP($A7,'détails investissements'!$A$26:$DE$43,N$3-VLOOKUP($A7,'détails investissements'!$A$71:$B$88,2,FALSE)+1,FALSE)))&lt;&gt;"",HLOOKUP(IF(N$3-VLOOKUP($A7,'détails investissements'!$A$71:$B$88,2,FALSE)&lt;=0,"",IF(VLOOKUP($A7,'détails investissements'!$A$26:$DE$43,N$3-VLOOKUP($A7,'détails investissements'!$A$71:$B$88,2,FALSE)+1,FALSE)="","",VLOOKUP($A7,'détails investissements'!$A$26:$DE$43,N$3-VLOOKUP($A7,'détails investissements'!$A$71:$B$88,2,FALSE)+1,FALSE))),'détails investissements'!$U$6:$AB$7,2,FALSE),""),FALSE),"")</f>
        <v/>
      </c>
      <c r="O7" s="45" t="str">
        <f>IF(IF(IF(O$3-VLOOKUP($A7,'détails investissements'!$A$71:$B$88,2,FALSE)&lt;=0,"",IF(VLOOKUP($A7,'détails investissements'!$A$26:$DE$43,O$3-VLOOKUP($A7,'détails investissements'!$A$71:$B$88,2,FALSE)+1,FALSE)="","",VLOOKUP($A7,'détails investissements'!$A$26:$DE$43,O$3-VLOOKUP($A7,'détails investissements'!$A$71:$B$88,2,FALSE)+1,FALSE)))&lt;&gt;"",HLOOKUP(IF(O$3-VLOOKUP($A7,'détails investissements'!$A$71:$B$88,2,FALSE)&lt;=0,"",IF(VLOOKUP($A7,'détails investissements'!$A$26:$DE$43,O$3-VLOOKUP($A7,'détails investissements'!$A$71:$B$88,2,FALSE)+1,FALSE)="","",VLOOKUP($A7,'détails investissements'!$A$26:$DE$43,O$3-VLOOKUP($A7,'détails investissements'!$A$71:$B$88,2,FALSE)+1,FALSE))),'détails investissements'!$U$6:$AB$7,2,FALSE),"")&lt;&gt;"",VLOOKUP($A7,'détails investissements'!$A$7:$H$21,1+IF(IF(O$3-VLOOKUP($A7,'détails investissements'!$A$71:$B$88,2,FALSE)&lt;=0,"",IF(VLOOKUP($A7,'détails investissements'!$A$26:$DE$43,O$3-VLOOKUP($A7,'détails investissements'!$A$71:$B$88,2,FALSE)+1,FALSE)="","",VLOOKUP($A7,'détails investissements'!$A$26:$DE$43,O$3-VLOOKUP($A7,'détails investissements'!$A$71:$B$88,2,FALSE)+1,FALSE)))&lt;&gt;"",HLOOKUP(IF(O$3-VLOOKUP($A7,'détails investissements'!$A$71:$B$88,2,FALSE)&lt;=0,"",IF(VLOOKUP($A7,'détails investissements'!$A$26:$DE$43,O$3-VLOOKUP($A7,'détails investissements'!$A$71:$B$88,2,FALSE)+1,FALSE)="","",VLOOKUP($A7,'détails investissements'!$A$26:$DE$43,O$3-VLOOKUP($A7,'détails investissements'!$A$71:$B$88,2,FALSE)+1,FALSE))),'détails investissements'!$U$6:$AB$7,2,FALSE),""),FALSE),"")</f>
        <v/>
      </c>
      <c r="P7" s="45" t="str">
        <f>IF(IF(IF(P$3-VLOOKUP($A7,'détails investissements'!$A$71:$B$88,2,FALSE)&lt;=0,"",IF(VLOOKUP($A7,'détails investissements'!$A$26:$DE$43,P$3-VLOOKUP($A7,'détails investissements'!$A$71:$B$88,2,FALSE)+1,FALSE)="","",VLOOKUP($A7,'détails investissements'!$A$26:$DE$43,P$3-VLOOKUP($A7,'détails investissements'!$A$71:$B$88,2,FALSE)+1,FALSE)))&lt;&gt;"",HLOOKUP(IF(P$3-VLOOKUP($A7,'détails investissements'!$A$71:$B$88,2,FALSE)&lt;=0,"",IF(VLOOKUP($A7,'détails investissements'!$A$26:$DE$43,P$3-VLOOKUP($A7,'détails investissements'!$A$71:$B$88,2,FALSE)+1,FALSE)="","",VLOOKUP($A7,'détails investissements'!$A$26:$DE$43,P$3-VLOOKUP($A7,'détails investissements'!$A$71:$B$88,2,FALSE)+1,FALSE))),'détails investissements'!$U$6:$AB$7,2,FALSE),"")&lt;&gt;"",VLOOKUP($A7,'détails investissements'!$A$7:$H$21,1+IF(IF(P$3-VLOOKUP($A7,'détails investissements'!$A$71:$B$88,2,FALSE)&lt;=0,"",IF(VLOOKUP($A7,'détails investissements'!$A$26:$DE$43,P$3-VLOOKUP($A7,'détails investissements'!$A$71:$B$88,2,FALSE)+1,FALSE)="","",VLOOKUP($A7,'détails investissements'!$A$26:$DE$43,P$3-VLOOKUP($A7,'détails investissements'!$A$71:$B$88,2,FALSE)+1,FALSE)))&lt;&gt;"",HLOOKUP(IF(P$3-VLOOKUP($A7,'détails investissements'!$A$71:$B$88,2,FALSE)&lt;=0,"",IF(VLOOKUP($A7,'détails investissements'!$A$26:$DE$43,P$3-VLOOKUP($A7,'détails investissements'!$A$71:$B$88,2,FALSE)+1,FALSE)="","",VLOOKUP($A7,'détails investissements'!$A$26:$DE$43,P$3-VLOOKUP($A7,'détails investissements'!$A$71:$B$88,2,FALSE)+1,FALSE))),'détails investissements'!$U$6:$AB$7,2,FALSE),""),FALSE),"")</f>
        <v/>
      </c>
      <c r="Q7" s="45" t="str">
        <f>IF(IF(IF(Q$3-VLOOKUP($A7,'détails investissements'!$A$71:$B$88,2,FALSE)&lt;=0,"",IF(VLOOKUP($A7,'détails investissements'!$A$26:$DE$43,Q$3-VLOOKUP($A7,'détails investissements'!$A$71:$B$88,2,FALSE)+1,FALSE)="","",VLOOKUP($A7,'détails investissements'!$A$26:$DE$43,Q$3-VLOOKUP($A7,'détails investissements'!$A$71:$B$88,2,FALSE)+1,FALSE)))&lt;&gt;"",HLOOKUP(IF(Q$3-VLOOKUP($A7,'détails investissements'!$A$71:$B$88,2,FALSE)&lt;=0,"",IF(VLOOKUP($A7,'détails investissements'!$A$26:$DE$43,Q$3-VLOOKUP($A7,'détails investissements'!$A$71:$B$88,2,FALSE)+1,FALSE)="","",VLOOKUP($A7,'détails investissements'!$A$26:$DE$43,Q$3-VLOOKUP($A7,'détails investissements'!$A$71:$B$88,2,FALSE)+1,FALSE))),'détails investissements'!$U$6:$AB$7,2,FALSE),"")&lt;&gt;"",VLOOKUP($A7,'détails investissements'!$A$7:$H$21,1+IF(IF(Q$3-VLOOKUP($A7,'détails investissements'!$A$71:$B$88,2,FALSE)&lt;=0,"",IF(VLOOKUP($A7,'détails investissements'!$A$26:$DE$43,Q$3-VLOOKUP($A7,'détails investissements'!$A$71:$B$88,2,FALSE)+1,FALSE)="","",VLOOKUP($A7,'détails investissements'!$A$26:$DE$43,Q$3-VLOOKUP($A7,'détails investissements'!$A$71:$B$88,2,FALSE)+1,FALSE)))&lt;&gt;"",HLOOKUP(IF(Q$3-VLOOKUP($A7,'détails investissements'!$A$71:$B$88,2,FALSE)&lt;=0,"",IF(VLOOKUP($A7,'détails investissements'!$A$26:$DE$43,Q$3-VLOOKUP($A7,'détails investissements'!$A$71:$B$88,2,FALSE)+1,FALSE)="","",VLOOKUP($A7,'détails investissements'!$A$26:$DE$43,Q$3-VLOOKUP($A7,'détails investissements'!$A$71:$B$88,2,FALSE)+1,FALSE))),'détails investissements'!$U$6:$AB$7,2,FALSE),""),FALSE),"")</f>
        <v/>
      </c>
      <c r="R7" s="45">
        <f>IF(IF(IF(R$3-VLOOKUP($A7,'détails investissements'!$A$71:$B$88,2,FALSE)&lt;=0,"",IF(VLOOKUP($A7,'détails investissements'!$A$26:$DE$43,R$3-VLOOKUP($A7,'détails investissements'!$A$71:$B$88,2,FALSE)+1,FALSE)="","",VLOOKUP($A7,'détails investissements'!$A$26:$DE$43,R$3-VLOOKUP($A7,'détails investissements'!$A$71:$B$88,2,FALSE)+1,FALSE)))&lt;&gt;"",HLOOKUP(IF(R$3-VLOOKUP($A7,'détails investissements'!$A$71:$B$88,2,FALSE)&lt;=0,"",IF(VLOOKUP($A7,'détails investissements'!$A$26:$DE$43,R$3-VLOOKUP($A7,'détails investissements'!$A$71:$B$88,2,FALSE)+1,FALSE)="","",VLOOKUP($A7,'détails investissements'!$A$26:$DE$43,R$3-VLOOKUP($A7,'détails investissements'!$A$71:$B$88,2,FALSE)+1,FALSE))),'détails investissements'!$U$6:$AB$7,2,FALSE),"")&lt;&gt;"",VLOOKUP($A7,'détails investissements'!$A$7:$H$21,1+IF(IF(R$3-VLOOKUP($A7,'détails investissements'!$A$71:$B$88,2,FALSE)&lt;=0,"",IF(VLOOKUP($A7,'détails investissements'!$A$26:$DE$43,R$3-VLOOKUP($A7,'détails investissements'!$A$71:$B$88,2,FALSE)+1,FALSE)="","",VLOOKUP($A7,'détails investissements'!$A$26:$DE$43,R$3-VLOOKUP($A7,'détails investissements'!$A$71:$B$88,2,FALSE)+1,FALSE)))&lt;&gt;"",HLOOKUP(IF(R$3-VLOOKUP($A7,'détails investissements'!$A$71:$B$88,2,FALSE)&lt;=0,"",IF(VLOOKUP($A7,'détails investissements'!$A$26:$DE$43,R$3-VLOOKUP($A7,'détails investissements'!$A$71:$B$88,2,FALSE)+1,FALSE)="","",VLOOKUP($A7,'détails investissements'!$A$26:$DE$43,R$3-VLOOKUP($A7,'détails investissements'!$A$71:$B$88,2,FALSE)+1,FALSE))),'détails investissements'!$U$6:$AB$7,2,FALSE),""),FALSE),"")</f>
        <v>0.15</v>
      </c>
      <c r="S7" s="45" t="str">
        <f>IF(IF(IF(S$3-VLOOKUP($A7,'détails investissements'!$A$71:$B$88,2,FALSE)&lt;=0,"",IF(VLOOKUP($A7,'détails investissements'!$A$26:$DE$43,S$3-VLOOKUP($A7,'détails investissements'!$A$71:$B$88,2,FALSE)+1,FALSE)="","",VLOOKUP($A7,'détails investissements'!$A$26:$DE$43,S$3-VLOOKUP($A7,'détails investissements'!$A$71:$B$88,2,FALSE)+1,FALSE)))&lt;&gt;"",HLOOKUP(IF(S$3-VLOOKUP($A7,'détails investissements'!$A$71:$B$88,2,FALSE)&lt;=0,"",IF(VLOOKUP($A7,'détails investissements'!$A$26:$DE$43,S$3-VLOOKUP($A7,'détails investissements'!$A$71:$B$88,2,FALSE)+1,FALSE)="","",VLOOKUP($A7,'détails investissements'!$A$26:$DE$43,S$3-VLOOKUP($A7,'détails investissements'!$A$71:$B$88,2,FALSE)+1,FALSE))),'détails investissements'!$U$6:$AB$7,2,FALSE),"")&lt;&gt;"",VLOOKUP($A7,'détails investissements'!$A$7:$H$21,1+IF(IF(S$3-VLOOKUP($A7,'détails investissements'!$A$71:$B$88,2,FALSE)&lt;=0,"",IF(VLOOKUP($A7,'détails investissements'!$A$26:$DE$43,S$3-VLOOKUP($A7,'détails investissements'!$A$71:$B$88,2,FALSE)+1,FALSE)="","",VLOOKUP($A7,'détails investissements'!$A$26:$DE$43,S$3-VLOOKUP($A7,'détails investissements'!$A$71:$B$88,2,FALSE)+1,FALSE)))&lt;&gt;"",HLOOKUP(IF(S$3-VLOOKUP($A7,'détails investissements'!$A$71:$B$88,2,FALSE)&lt;=0,"",IF(VLOOKUP($A7,'détails investissements'!$A$26:$DE$43,S$3-VLOOKUP($A7,'détails investissements'!$A$71:$B$88,2,FALSE)+1,FALSE)="","",VLOOKUP($A7,'détails investissements'!$A$26:$DE$43,S$3-VLOOKUP($A7,'détails investissements'!$A$71:$B$88,2,FALSE)+1,FALSE))),'détails investissements'!$U$6:$AB$7,2,FALSE),""),FALSE),"")</f>
        <v/>
      </c>
      <c r="T7" s="45">
        <f>IF(IF(IF(T$3-VLOOKUP($A7,'détails investissements'!$A$71:$B$88,2,FALSE)&lt;=0,"",IF(VLOOKUP($A7,'détails investissements'!$A$26:$DE$43,T$3-VLOOKUP($A7,'détails investissements'!$A$71:$B$88,2,FALSE)+1,FALSE)="","",VLOOKUP($A7,'détails investissements'!$A$26:$DE$43,T$3-VLOOKUP($A7,'détails investissements'!$A$71:$B$88,2,FALSE)+1,FALSE)))&lt;&gt;"",HLOOKUP(IF(T$3-VLOOKUP($A7,'détails investissements'!$A$71:$B$88,2,FALSE)&lt;=0,"",IF(VLOOKUP($A7,'détails investissements'!$A$26:$DE$43,T$3-VLOOKUP($A7,'détails investissements'!$A$71:$B$88,2,FALSE)+1,FALSE)="","",VLOOKUP($A7,'détails investissements'!$A$26:$DE$43,T$3-VLOOKUP($A7,'détails investissements'!$A$71:$B$88,2,FALSE)+1,FALSE))),'détails investissements'!$U$6:$AB$7,2,FALSE),"")&lt;&gt;"",VLOOKUP($A7,'détails investissements'!$A$7:$H$21,1+IF(IF(T$3-VLOOKUP($A7,'détails investissements'!$A$71:$B$88,2,FALSE)&lt;=0,"",IF(VLOOKUP($A7,'détails investissements'!$A$26:$DE$43,T$3-VLOOKUP($A7,'détails investissements'!$A$71:$B$88,2,FALSE)+1,FALSE)="","",VLOOKUP($A7,'détails investissements'!$A$26:$DE$43,T$3-VLOOKUP($A7,'détails investissements'!$A$71:$B$88,2,FALSE)+1,FALSE)))&lt;&gt;"",HLOOKUP(IF(T$3-VLOOKUP($A7,'détails investissements'!$A$71:$B$88,2,FALSE)&lt;=0,"",IF(VLOOKUP($A7,'détails investissements'!$A$26:$DE$43,T$3-VLOOKUP($A7,'détails investissements'!$A$71:$B$88,2,FALSE)+1,FALSE)="","",VLOOKUP($A7,'détails investissements'!$A$26:$DE$43,T$3-VLOOKUP($A7,'détails investissements'!$A$71:$B$88,2,FALSE)+1,FALSE))),'détails investissements'!$U$6:$AB$7,2,FALSE),""),FALSE),"")</f>
        <v>0.05</v>
      </c>
      <c r="U7" s="45" t="str">
        <f>IF(IF(IF(U$3-VLOOKUP($A7,'détails investissements'!$A$71:$B$88,2,FALSE)&lt;=0,"",IF(VLOOKUP($A7,'détails investissements'!$A$26:$DE$43,U$3-VLOOKUP($A7,'détails investissements'!$A$71:$B$88,2,FALSE)+1,FALSE)="","",VLOOKUP($A7,'détails investissements'!$A$26:$DE$43,U$3-VLOOKUP($A7,'détails investissements'!$A$71:$B$88,2,FALSE)+1,FALSE)))&lt;&gt;"",HLOOKUP(IF(U$3-VLOOKUP($A7,'détails investissements'!$A$71:$B$88,2,FALSE)&lt;=0,"",IF(VLOOKUP($A7,'détails investissements'!$A$26:$DE$43,U$3-VLOOKUP($A7,'détails investissements'!$A$71:$B$88,2,FALSE)+1,FALSE)="","",VLOOKUP($A7,'détails investissements'!$A$26:$DE$43,U$3-VLOOKUP($A7,'détails investissements'!$A$71:$B$88,2,FALSE)+1,FALSE))),'détails investissements'!$U$6:$AB$7,2,FALSE),"")&lt;&gt;"",VLOOKUP($A7,'détails investissements'!$A$7:$H$21,1+IF(IF(U$3-VLOOKUP($A7,'détails investissements'!$A$71:$B$88,2,FALSE)&lt;=0,"",IF(VLOOKUP($A7,'détails investissements'!$A$26:$DE$43,U$3-VLOOKUP($A7,'détails investissements'!$A$71:$B$88,2,FALSE)+1,FALSE)="","",VLOOKUP($A7,'détails investissements'!$A$26:$DE$43,U$3-VLOOKUP($A7,'détails investissements'!$A$71:$B$88,2,FALSE)+1,FALSE)))&lt;&gt;"",HLOOKUP(IF(U$3-VLOOKUP($A7,'détails investissements'!$A$71:$B$88,2,FALSE)&lt;=0,"",IF(VLOOKUP($A7,'détails investissements'!$A$26:$DE$43,U$3-VLOOKUP($A7,'détails investissements'!$A$71:$B$88,2,FALSE)+1,FALSE)="","",VLOOKUP($A7,'détails investissements'!$A$26:$DE$43,U$3-VLOOKUP($A7,'détails investissements'!$A$71:$B$88,2,FALSE)+1,FALSE))),'détails investissements'!$U$6:$AB$7,2,FALSE),""),FALSE),"")</f>
        <v/>
      </c>
      <c r="V7" s="45" t="str">
        <f>IF(IF(IF(V$3-VLOOKUP($A7,'détails investissements'!$A$71:$B$88,2,FALSE)&lt;=0,"",IF(VLOOKUP($A7,'détails investissements'!$A$26:$DE$43,V$3-VLOOKUP($A7,'détails investissements'!$A$71:$B$88,2,FALSE)+1,FALSE)="","",VLOOKUP($A7,'détails investissements'!$A$26:$DE$43,V$3-VLOOKUP($A7,'détails investissements'!$A$71:$B$88,2,FALSE)+1,FALSE)))&lt;&gt;"",HLOOKUP(IF(V$3-VLOOKUP($A7,'détails investissements'!$A$71:$B$88,2,FALSE)&lt;=0,"",IF(VLOOKUP($A7,'détails investissements'!$A$26:$DE$43,V$3-VLOOKUP($A7,'détails investissements'!$A$71:$B$88,2,FALSE)+1,FALSE)="","",VLOOKUP($A7,'détails investissements'!$A$26:$DE$43,V$3-VLOOKUP($A7,'détails investissements'!$A$71:$B$88,2,FALSE)+1,FALSE))),'détails investissements'!$U$6:$AB$7,2,FALSE),"")&lt;&gt;"",VLOOKUP($A7,'détails investissements'!$A$7:$H$21,1+IF(IF(V$3-VLOOKUP($A7,'détails investissements'!$A$71:$B$88,2,FALSE)&lt;=0,"",IF(VLOOKUP($A7,'détails investissements'!$A$26:$DE$43,V$3-VLOOKUP($A7,'détails investissements'!$A$71:$B$88,2,FALSE)+1,FALSE)="","",VLOOKUP($A7,'détails investissements'!$A$26:$DE$43,V$3-VLOOKUP($A7,'détails investissements'!$A$71:$B$88,2,FALSE)+1,FALSE)))&lt;&gt;"",HLOOKUP(IF(V$3-VLOOKUP($A7,'détails investissements'!$A$71:$B$88,2,FALSE)&lt;=0,"",IF(VLOOKUP($A7,'détails investissements'!$A$26:$DE$43,V$3-VLOOKUP($A7,'détails investissements'!$A$71:$B$88,2,FALSE)+1,FALSE)="","",VLOOKUP($A7,'détails investissements'!$A$26:$DE$43,V$3-VLOOKUP($A7,'détails investissements'!$A$71:$B$88,2,FALSE)+1,FALSE))),'détails investissements'!$U$6:$AB$7,2,FALSE),""),FALSE),"")</f>
        <v/>
      </c>
      <c r="W7" s="45" t="str">
        <f>IF(IF(IF(W$3-VLOOKUP($A7,'détails investissements'!$A$71:$B$88,2,FALSE)&lt;=0,"",IF(VLOOKUP($A7,'détails investissements'!$A$26:$DE$43,W$3-VLOOKUP($A7,'détails investissements'!$A$71:$B$88,2,FALSE)+1,FALSE)="","",VLOOKUP($A7,'détails investissements'!$A$26:$DE$43,W$3-VLOOKUP($A7,'détails investissements'!$A$71:$B$88,2,FALSE)+1,FALSE)))&lt;&gt;"",HLOOKUP(IF(W$3-VLOOKUP($A7,'détails investissements'!$A$71:$B$88,2,FALSE)&lt;=0,"",IF(VLOOKUP($A7,'détails investissements'!$A$26:$DE$43,W$3-VLOOKUP($A7,'détails investissements'!$A$71:$B$88,2,FALSE)+1,FALSE)="","",VLOOKUP($A7,'détails investissements'!$A$26:$DE$43,W$3-VLOOKUP($A7,'détails investissements'!$A$71:$B$88,2,FALSE)+1,FALSE))),'détails investissements'!$U$6:$AB$7,2,FALSE),"")&lt;&gt;"",VLOOKUP($A7,'détails investissements'!$A$7:$H$21,1+IF(IF(W$3-VLOOKUP($A7,'détails investissements'!$A$71:$B$88,2,FALSE)&lt;=0,"",IF(VLOOKUP($A7,'détails investissements'!$A$26:$DE$43,W$3-VLOOKUP($A7,'détails investissements'!$A$71:$B$88,2,FALSE)+1,FALSE)="","",VLOOKUP($A7,'détails investissements'!$A$26:$DE$43,W$3-VLOOKUP($A7,'détails investissements'!$A$71:$B$88,2,FALSE)+1,FALSE)))&lt;&gt;"",HLOOKUP(IF(W$3-VLOOKUP($A7,'détails investissements'!$A$71:$B$88,2,FALSE)&lt;=0,"",IF(VLOOKUP($A7,'détails investissements'!$A$26:$DE$43,W$3-VLOOKUP($A7,'détails investissements'!$A$71:$B$88,2,FALSE)+1,FALSE)="","",VLOOKUP($A7,'détails investissements'!$A$26:$DE$43,W$3-VLOOKUP($A7,'détails investissements'!$A$71:$B$88,2,FALSE)+1,FALSE))),'détails investissements'!$U$6:$AB$7,2,FALSE),""),FALSE),"")</f>
        <v/>
      </c>
      <c r="X7" s="45">
        <f>IF(IF(IF(X$3-VLOOKUP($A7,'détails investissements'!$A$71:$B$88,2,FALSE)&lt;=0,"",IF(VLOOKUP($A7,'détails investissements'!$A$26:$DE$43,X$3-VLOOKUP($A7,'détails investissements'!$A$71:$B$88,2,FALSE)+1,FALSE)="","",VLOOKUP($A7,'détails investissements'!$A$26:$DE$43,X$3-VLOOKUP($A7,'détails investissements'!$A$71:$B$88,2,FALSE)+1,FALSE)))&lt;&gt;"",HLOOKUP(IF(X$3-VLOOKUP($A7,'détails investissements'!$A$71:$B$88,2,FALSE)&lt;=0,"",IF(VLOOKUP($A7,'détails investissements'!$A$26:$DE$43,X$3-VLOOKUP($A7,'détails investissements'!$A$71:$B$88,2,FALSE)+1,FALSE)="","",VLOOKUP($A7,'détails investissements'!$A$26:$DE$43,X$3-VLOOKUP($A7,'détails investissements'!$A$71:$B$88,2,FALSE)+1,FALSE))),'détails investissements'!$U$6:$AB$7,2,FALSE),"")&lt;&gt;"",VLOOKUP($A7,'détails investissements'!$A$7:$H$21,1+IF(IF(X$3-VLOOKUP($A7,'détails investissements'!$A$71:$B$88,2,FALSE)&lt;=0,"",IF(VLOOKUP($A7,'détails investissements'!$A$26:$DE$43,X$3-VLOOKUP($A7,'détails investissements'!$A$71:$B$88,2,FALSE)+1,FALSE)="","",VLOOKUP($A7,'détails investissements'!$A$26:$DE$43,X$3-VLOOKUP($A7,'détails investissements'!$A$71:$B$88,2,FALSE)+1,FALSE)))&lt;&gt;"",HLOOKUP(IF(X$3-VLOOKUP($A7,'détails investissements'!$A$71:$B$88,2,FALSE)&lt;=0,"",IF(VLOOKUP($A7,'détails investissements'!$A$26:$DE$43,X$3-VLOOKUP($A7,'détails investissements'!$A$71:$B$88,2,FALSE)+1,FALSE)="","",VLOOKUP($A7,'détails investissements'!$A$26:$DE$43,X$3-VLOOKUP($A7,'détails investissements'!$A$71:$B$88,2,FALSE)+1,FALSE))),'détails investissements'!$U$6:$AB$7,2,FALSE),""),FALSE),"")</f>
        <v>0.15</v>
      </c>
      <c r="Y7" s="45" t="str">
        <f>IF(IF(IF(Y$3-VLOOKUP($A7,'détails investissements'!$A$71:$B$88,2,FALSE)&lt;=0,"",IF(VLOOKUP($A7,'détails investissements'!$A$26:$DE$43,Y$3-VLOOKUP($A7,'détails investissements'!$A$71:$B$88,2,FALSE)+1,FALSE)="","",VLOOKUP($A7,'détails investissements'!$A$26:$DE$43,Y$3-VLOOKUP($A7,'détails investissements'!$A$71:$B$88,2,FALSE)+1,FALSE)))&lt;&gt;"",HLOOKUP(IF(Y$3-VLOOKUP($A7,'détails investissements'!$A$71:$B$88,2,FALSE)&lt;=0,"",IF(VLOOKUP($A7,'détails investissements'!$A$26:$DE$43,Y$3-VLOOKUP($A7,'détails investissements'!$A$71:$B$88,2,FALSE)+1,FALSE)="","",VLOOKUP($A7,'détails investissements'!$A$26:$DE$43,Y$3-VLOOKUP($A7,'détails investissements'!$A$71:$B$88,2,FALSE)+1,FALSE))),'détails investissements'!$U$6:$AB$7,2,FALSE),"")&lt;&gt;"",VLOOKUP($A7,'détails investissements'!$A$7:$H$21,1+IF(IF(Y$3-VLOOKUP($A7,'détails investissements'!$A$71:$B$88,2,FALSE)&lt;=0,"",IF(VLOOKUP($A7,'détails investissements'!$A$26:$DE$43,Y$3-VLOOKUP($A7,'détails investissements'!$A$71:$B$88,2,FALSE)+1,FALSE)="","",VLOOKUP($A7,'détails investissements'!$A$26:$DE$43,Y$3-VLOOKUP($A7,'détails investissements'!$A$71:$B$88,2,FALSE)+1,FALSE)))&lt;&gt;"",HLOOKUP(IF(Y$3-VLOOKUP($A7,'détails investissements'!$A$71:$B$88,2,FALSE)&lt;=0,"",IF(VLOOKUP($A7,'détails investissements'!$A$26:$DE$43,Y$3-VLOOKUP($A7,'détails investissements'!$A$71:$B$88,2,FALSE)+1,FALSE)="","",VLOOKUP($A7,'détails investissements'!$A$26:$DE$43,Y$3-VLOOKUP($A7,'détails investissements'!$A$71:$B$88,2,FALSE)+1,FALSE))),'détails investissements'!$U$6:$AB$7,2,FALSE),""),FALSE),"")</f>
        <v/>
      </c>
      <c r="Z7" s="45">
        <f>IF(IF(IF(Z$3-VLOOKUP($A7,'détails investissements'!$A$71:$B$88,2,FALSE)&lt;=0,"",IF(VLOOKUP($A7,'détails investissements'!$A$26:$DE$43,Z$3-VLOOKUP($A7,'détails investissements'!$A$71:$B$88,2,FALSE)+1,FALSE)="","",VLOOKUP($A7,'détails investissements'!$A$26:$DE$43,Z$3-VLOOKUP($A7,'détails investissements'!$A$71:$B$88,2,FALSE)+1,FALSE)))&lt;&gt;"",HLOOKUP(IF(Z$3-VLOOKUP($A7,'détails investissements'!$A$71:$B$88,2,FALSE)&lt;=0,"",IF(VLOOKUP($A7,'détails investissements'!$A$26:$DE$43,Z$3-VLOOKUP($A7,'détails investissements'!$A$71:$B$88,2,FALSE)+1,FALSE)="","",VLOOKUP($A7,'détails investissements'!$A$26:$DE$43,Z$3-VLOOKUP($A7,'détails investissements'!$A$71:$B$88,2,FALSE)+1,FALSE))),'détails investissements'!$U$6:$AB$7,2,FALSE),"")&lt;&gt;"",VLOOKUP($A7,'détails investissements'!$A$7:$H$21,1+IF(IF(Z$3-VLOOKUP($A7,'détails investissements'!$A$71:$B$88,2,FALSE)&lt;=0,"",IF(VLOOKUP($A7,'détails investissements'!$A$26:$DE$43,Z$3-VLOOKUP($A7,'détails investissements'!$A$71:$B$88,2,FALSE)+1,FALSE)="","",VLOOKUP($A7,'détails investissements'!$A$26:$DE$43,Z$3-VLOOKUP($A7,'détails investissements'!$A$71:$B$88,2,FALSE)+1,FALSE)))&lt;&gt;"",HLOOKUP(IF(Z$3-VLOOKUP($A7,'détails investissements'!$A$71:$B$88,2,FALSE)&lt;=0,"",IF(VLOOKUP($A7,'détails investissements'!$A$26:$DE$43,Z$3-VLOOKUP($A7,'détails investissements'!$A$71:$B$88,2,FALSE)+1,FALSE)="","",VLOOKUP($A7,'détails investissements'!$A$26:$DE$43,Z$3-VLOOKUP($A7,'détails investissements'!$A$71:$B$88,2,FALSE)+1,FALSE))),'détails investissements'!$U$6:$AB$7,2,FALSE),""),FALSE),"")</f>
        <v>0.2</v>
      </c>
      <c r="AA7" s="45">
        <f>IF(IF(IF(AA$3-VLOOKUP($A7,'détails investissements'!$A$71:$B$88,2,FALSE)&lt;=0,"",IF(VLOOKUP($A7,'détails investissements'!$A$26:$DE$43,AA$3-VLOOKUP($A7,'détails investissements'!$A$71:$B$88,2,FALSE)+1,FALSE)="","",VLOOKUP($A7,'détails investissements'!$A$26:$DE$43,AA$3-VLOOKUP($A7,'détails investissements'!$A$71:$B$88,2,FALSE)+1,FALSE)))&lt;&gt;"",HLOOKUP(IF(AA$3-VLOOKUP($A7,'détails investissements'!$A$71:$B$88,2,FALSE)&lt;=0,"",IF(VLOOKUP($A7,'détails investissements'!$A$26:$DE$43,AA$3-VLOOKUP($A7,'détails investissements'!$A$71:$B$88,2,FALSE)+1,FALSE)="","",VLOOKUP($A7,'détails investissements'!$A$26:$DE$43,AA$3-VLOOKUP($A7,'détails investissements'!$A$71:$B$88,2,FALSE)+1,FALSE))),'détails investissements'!$U$6:$AB$7,2,FALSE),"")&lt;&gt;"",VLOOKUP($A7,'détails investissements'!$A$7:$H$21,1+IF(IF(AA$3-VLOOKUP($A7,'détails investissements'!$A$71:$B$88,2,FALSE)&lt;=0,"",IF(VLOOKUP($A7,'détails investissements'!$A$26:$DE$43,AA$3-VLOOKUP($A7,'détails investissements'!$A$71:$B$88,2,FALSE)+1,FALSE)="","",VLOOKUP($A7,'détails investissements'!$A$26:$DE$43,AA$3-VLOOKUP($A7,'détails investissements'!$A$71:$B$88,2,FALSE)+1,FALSE)))&lt;&gt;"",HLOOKUP(IF(AA$3-VLOOKUP($A7,'détails investissements'!$A$71:$B$88,2,FALSE)&lt;=0,"",IF(VLOOKUP($A7,'détails investissements'!$A$26:$DE$43,AA$3-VLOOKUP($A7,'détails investissements'!$A$71:$B$88,2,FALSE)+1,FALSE)="","",VLOOKUP($A7,'détails investissements'!$A$26:$DE$43,AA$3-VLOOKUP($A7,'détails investissements'!$A$71:$B$88,2,FALSE)+1,FALSE))),'détails investissements'!$U$6:$AB$7,2,FALSE),""),FALSE),"")</f>
        <v>0.25</v>
      </c>
      <c r="AB7" s="45" t="str">
        <f>IF(IF(IF(AB$3-VLOOKUP($A7,'détails investissements'!$A$71:$B$88,2,FALSE)&lt;=0,"",IF(VLOOKUP($A7,'détails investissements'!$A$26:$DE$43,AB$3-VLOOKUP($A7,'détails investissements'!$A$71:$B$88,2,FALSE)+1,FALSE)="","",VLOOKUP($A7,'détails investissements'!$A$26:$DE$43,AB$3-VLOOKUP($A7,'détails investissements'!$A$71:$B$88,2,FALSE)+1,FALSE)))&lt;&gt;"",HLOOKUP(IF(AB$3-VLOOKUP($A7,'détails investissements'!$A$71:$B$88,2,FALSE)&lt;=0,"",IF(VLOOKUP($A7,'détails investissements'!$A$26:$DE$43,AB$3-VLOOKUP($A7,'détails investissements'!$A$71:$B$88,2,FALSE)+1,FALSE)="","",VLOOKUP($A7,'détails investissements'!$A$26:$DE$43,AB$3-VLOOKUP($A7,'détails investissements'!$A$71:$B$88,2,FALSE)+1,FALSE))),'détails investissements'!$U$6:$AB$7,2,FALSE),"")&lt;&gt;"",VLOOKUP($A7,'détails investissements'!$A$7:$H$21,1+IF(IF(AB$3-VLOOKUP($A7,'détails investissements'!$A$71:$B$88,2,FALSE)&lt;=0,"",IF(VLOOKUP($A7,'détails investissements'!$A$26:$DE$43,AB$3-VLOOKUP($A7,'détails investissements'!$A$71:$B$88,2,FALSE)+1,FALSE)="","",VLOOKUP($A7,'détails investissements'!$A$26:$DE$43,AB$3-VLOOKUP($A7,'détails investissements'!$A$71:$B$88,2,FALSE)+1,FALSE)))&lt;&gt;"",HLOOKUP(IF(AB$3-VLOOKUP($A7,'détails investissements'!$A$71:$B$88,2,FALSE)&lt;=0,"",IF(VLOOKUP($A7,'détails investissements'!$A$26:$DE$43,AB$3-VLOOKUP($A7,'détails investissements'!$A$71:$B$88,2,FALSE)+1,FALSE)="","",VLOOKUP($A7,'détails investissements'!$A$26:$DE$43,AB$3-VLOOKUP($A7,'détails investissements'!$A$71:$B$88,2,FALSE)+1,FALSE))),'détails investissements'!$U$6:$AB$7,2,FALSE),""),FALSE),"")</f>
        <v/>
      </c>
      <c r="AC7" s="45">
        <f>IF(IF(IF(AC$3-VLOOKUP($A7,'détails investissements'!$A$71:$B$88,2,FALSE)&lt;=0,"",IF(VLOOKUP($A7,'détails investissements'!$A$26:$DE$43,AC$3-VLOOKUP($A7,'détails investissements'!$A$71:$B$88,2,FALSE)+1,FALSE)="","",VLOOKUP($A7,'détails investissements'!$A$26:$DE$43,AC$3-VLOOKUP($A7,'détails investissements'!$A$71:$B$88,2,FALSE)+1,FALSE)))&lt;&gt;"",HLOOKUP(IF(AC$3-VLOOKUP($A7,'détails investissements'!$A$71:$B$88,2,FALSE)&lt;=0,"",IF(VLOOKUP($A7,'détails investissements'!$A$26:$DE$43,AC$3-VLOOKUP($A7,'détails investissements'!$A$71:$B$88,2,FALSE)+1,FALSE)="","",VLOOKUP($A7,'détails investissements'!$A$26:$DE$43,AC$3-VLOOKUP($A7,'détails investissements'!$A$71:$B$88,2,FALSE)+1,FALSE))),'détails investissements'!$U$6:$AB$7,2,FALSE),"")&lt;&gt;"",VLOOKUP($A7,'détails investissements'!$A$7:$H$21,1+IF(IF(AC$3-VLOOKUP($A7,'détails investissements'!$A$71:$B$88,2,FALSE)&lt;=0,"",IF(VLOOKUP($A7,'détails investissements'!$A$26:$DE$43,AC$3-VLOOKUP($A7,'détails investissements'!$A$71:$B$88,2,FALSE)+1,FALSE)="","",VLOOKUP($A7,'détails investissements'!$A$26:$DE$43,AC$3-VLOOKUP($A7,'détails investissements'!$A$71:$B$88,2,FALSE)+1,FALSE)))&lt;&gt;"",HLOOKUP(IF(AC$3-VLOOKUP($A7,'détails investissements'!$A$71:$B$88,2,FALSE)&lt;=0,"",IF(VLOOKUP($A7,'détails investissements'!$A$26:$DE$43,AC$3-VLOOKUP($A7,'détails investissements'!$A$71:$B$88,2,FALSE)+1,FALSE)="","",VLOOKUP($A7,'détails investissements'!$A$26:$DE$43,AC$3-VLOOKUP($A7,'détails investissements'!$A$71:$B$88,2,FALSE)+1,FALSE))),'détails investissements'!$U$6:$AB$7,2,FALSE),""),FALSE),"")</f>
        <v>0.15</v>
      </c>
      <c r="AD7" s="45" t="str">
        <f>IF(IF(IF(AD$3-VLOOKUP($A7,'détails investissements'!$A$71:$B$88,2,FALSE)&lt;=0,"",IF(VLOOKUP($A7,'détails investissements'!$A$26:$DE$43,AD$3-VLOOKUP($A7,'détails investissements'!$A$71:$B$88,2,FALSE)+1,FALSE)="","",VLOOKUP($A7,'détails investissements'!$A$26:$DE$43,AD$3-VLOOKUP($A7,'détails investissements'!$A$71:$B$88,2,FALSE)+1,FALSE)))&lt;&gt;"",HLOOKUP(IF(AD$3-VLOOKUP($A7,'détails investissements'!$A$71:$B$88,2,FALSE)&lt;=0,"",IF(VLOOKUP($A7,'détails investissements'!$A$26:$DE$43,AD$3-VLOOKUP($A7,'détails investissements'!$A$71:$B$88,2,FALSE)+1,FALSE)="","",VLOOKUP($A7,'détails investissements'!$A$26:$DE$43,AD$3-VLOOKUP($A7,'détails investissements'!$A$71:$B$88,2,FALSE)+1,FALSE))),'détails investissements'!$U$6:$AB$7,2,FALSE),"")&lt;&gt;"",VLOOKUP($A7,'détails investissements'!$A$7:$H$21,1+IF(IF(AD$3-VLOOKUP($A7,'détails investissements'!$A$71:$B$88,2,FALSE)&lt;=0,"",IF(VLOOKUP($A7,'détails investissements'!$A$26:$DE$43,AD$3-VLOOKUP($A7,'détails investissements'!$A$71:$B$88,2,FALSE)+1,FALSE)="","",VLOOKUP($A7,'détails investissements'!$A$26:$DE$43,AD$3-VLOOKUP($A7,'détails investissements'!$A$71:$B$88,2,FALSE)+1,FALSE)))&lt;&gt;"",HLOOKUP(IF(AD$3-VLOOKUP($A7,'détails investissements'!$A$71:$B$88,2,FALSE)&lt;=0,"",IF(VLOOKUP($A7,'détails investissements'!$A$26:$DE$43,AD$3-VLOOKUP($A7,'détails investissements'!$A$71:$B$88,2,FALSE)+1,FALSE)="","",VLOOKUP($A7,'détails investissements'!$A$26:$DE$43,AD$3-VLOOKUP($A7,'détails investissements'!$A$71:$B$88,2,FALSE)+1,FALSE))),'détails investissements'!$U$6:$AB$7,2,FALSE),""),FALSE),"")</f>
        <v/>
      </c>
      <c r="AE7" s="45" t="str">
        <f>IF(IF(IF(AE$3-VLOOKUP($A7,'détails investissements'!$A$71:$B$88,2,FALSE)&lt;=0,"",IF(VLOOKUP($A7,'détails investissements'!$A$26:$DE$43,AE$3-VLOOKUP($A7,'détails investissements'!$A$71:$B$88,2,FALSE)+1,FALSE)="","",VLOOKUP($A7,'détails investissements'!$A$26:$DE$43,AE$3-VLOOKUP($A7,'détails investissements'!$A$71:$B$88,2,FALSE)+1,FALSE)))&lt;&gt;"",HLOOKUP(IF(AE$3-VLOOKUP($A7,'détails investissements'!$A$71:$B$88,2,FALSE)&lt;=0,"",IF(VLOOKUP($A7,'détails investissements'!$A$26:$DE$43,AE$3-VLOOKUP($A7,'détails investissements'!$A$71:$B$88,2,FALSE)+1,FALSE)="","",VLOOKUP($A7,'détails investissements'!$A$26:$DE$43,AE$3-VLOOKUP($A7,'détails investissements'!$A$71:$B$88,2,FALSE)+1,FALSE))),'détails investissements'!$U$6:$AB$7,2,FALSE),"")&lt;&gt;"",VLOOKUP($A7,'détails investissements'!$A$7:$H$21,1+IF(IF(AE$3-VLOOKUP($A7,'détails investissements'!$A$71:$B$88,2,FALSE)&lt;=0,"",IF(VLOOKUP($A7,'détails investissements'!$A$26:$DE$43,AE$3-VLOOKUP($A7,'détails investissements'!$A$71:$B$88,2,FALSE)+1,FALSE)="","",VLOOKUP($A7,'détails investissements'!$A$26:$DE$43,AE$3-VLOOKUP($A7,'détails investissements'!$A$71:$B$88,2,FALSE)+1,FALSE)))&lt;&gt;"",HLOOKUP(IF(AE$3-VLOOKUP($A7,'détails investissements'!$A$71:$B$88,2,FALSE)&lt;=0,"",IF(VLOOKUP($A7,'détails investissements'!$A$26:$DE$43,AE$3-VLOOKUP($A7,'détails investissements'!$A$71:$B$88,2,FALSE)+1,FALSE)="","",VLOOKUP($A7,'détails investissements'!$A$26:$DE$43,AE$3-VLOOKUP($A7,'détails investissements'!$A$71:$B$88,2,FALSE)+1,FALSE))),'détails investissements'!$U$6:$AB$7,2,FALSE),""),FALSE),"")</f>
        <v/>
      </c>
      <c r="AF7" s="45" t="str">
        <f>IF(IF(IF(AF$3-VLOOKUP($A7,'détails investissements'!$A$71:$B$88,2,FALSE)&lt;=0,"",IF(VLOOKUP($A7,'détails investissements'!$A$26:$DE$43,AF$3-VLOOKUP($A7,'détails investissements'!$A$71:$B$88,2,FALSE)+1,FALSE)="","",VLOOKUP($A7,'détails investissements'!$A$26:$DE$43,AF$3-VLOOKUP($A7,'détails investissements'!$A$71:$B$88,2,FALSE)+1,FALSE)))&lt;&gt;"",HLOOKUP(IF(AF$3-VLOOKUP($A7,'détails investissements'!$A$71:$B$88,2,FALSE)&lt;=0,"",IF(VLOOKUP($A7,'détails investissements'!$A$26:$DE$43,AF$3-VLOOKUP($A7,'détails investissements'!$A$71:$B$88,2,FALSE)+1,FALSE)="","",VLOOKUP($A7,'détails investissements'!$A$26:$DE$43,AF$3-VLOOKUP($A7,'détails investissements'!$A$71:$B$88,2,FALSE)+1,FALSE))),'détails investissements'!$U$6:$AB$7,2,FALSE),"")&lt;&gt;"",VLOOKUP($A7,'détails investissements'!$A$7:$H$21,1+IF(IF(AF$3-VLOOKUP($A7,'détails investissements'!$A$71:$B$88,2,FALSE)&lt;=0,"",IF(VLOOKUP($A7,'détails investissements'!$A$26:$DE$43,AF$3-VLOOKUP($A7,'détails investissements'!$A$71:$B$88,2,FALSE)+1,FALSE)="","",VLOOKUP($A7,'détails investissements'!$A$26:$DE$43,AF$3-VLOOKUP($A7,'détails investissements'!$A$71:$B$88,2,FALSE)+1,FALSE)))&lt;&gt;"",HLOOKUP(IF(AF$3-VLOOKUP($A7,'détails investissements'!$A$71:$B$88,2,FALSE)&lt;=0,"",IF(VLOOKUP($A7,'détails investissements'!$A$26:$DE$43,AF$3-VLOOKUP($A7,'détails investissements'!$A$71:$B$88,2,FALSE)+1,FALSE)="","",VLOOKUP($A7,'détails investissements'!$A$26:$DE$43,AF$3-VLOOKUP($A7,'détails investissements'!$A$71:$B$88,2,FALSE)+1,FALSE))),'détails investissements'!$U$6:$AB$7,2,FALSE),""),FALSE),"")</f>
        <v/>
      </c>
      <c r="AG7" s="45" t="str">
        <f>IF(IF(IF(AG$3-VLOOKUP($A7,'détails investissements'!$A$71:$B$88,2,FALSE)&lt;=0,"",IF(VLOOKUP($A7,'détails investissements'!$A$26:$DE$43,AG$3-VLOOKUP($A7,'détails investissements'!$A$71:$B$88,2,FALSE)+1,FALSE)="","",VLOOKUP($A7,'détails investissements'!$A$26:$DE$43,AG$3-VLOOKUP($A7,'détails investissements'!$A$71:$B$88,2,FALSE)+1,FALSE)))&lt;&gt;"",HLOOKUP(IF(AG$3-VLOOKUP($A7,'détails investissements'!$A$71:$B$88,2,FALSE)&lt;=0,"",IF(VLOOKUP($A7,'détails investissements'!$A$26:$DE$43,AG$3-VLOOKUP($A7,'détails investissements'!$A$71:$B$88,2,FALSE)+1,FALSE)="","",VLOOKUP($A7,'détails investissements'!$A$26:$DE$43,AG$3-VLOOKUP($A7,'détails investissements'!$A$71:$B$88,2,FALSE)+1,FALSE))),'détails investissements'!$U$6:$AB$7,2,FALSE),"")&lt;&gt;"",VLOOKUP($A7,'détails investissements'!$A$7:$H$21,1+IF(IF(AG$3-VLOOKUP($A7,'détails investissements'!$A$71:$B$88,2,FALSE)&lt;=0,"",IF(VLOOKUP($A7,'détails investissements'!$A$26:$DE$43,AG$3-VLOOKUP($A7,'détails investissements'!$A$71:$B$88,2,FALSE)+1,FALSE)="","",VLOOKUP($A7,'détails investissements'!$A$26:$DE$43,AG$3-VLOOKUP($A7,'détails investissements'!$A$71:$B$88,2,FALSE)+1,FALSE)))&lt;&gt;"",HLOOKUP(IF(AG$3-VLOOKUP($A7,'détails investissements'!$A$71:$B$88,2,FALSE)&lt;=0,"",IF(VLOOKUP($A7,'détails investissements'!$A$26:$DE$43,AG$3-VLOOKUP($A7,'détails investissements'!$A$71:$B$88,2,FALSE)+1,FALSE)="","",VLOOKUP($A7,'détails investissements'!$A$26:$DE$43,AG$3-VLOOKUP($A7,'détails investissements'!$A$71:$B$88,2,FALSE)+1,FALSE))),'détails investissements'!$U$6:$AB$7,2,FALSE),""),FALSE),"")</f>
        <v/>
      </c>
      <c r="AH7" s="45" t="str">
        <f>IF(IF(IF(AH$3-VLOOKUP($A7,'détails investissements'!$A$71:$B$88,2,FALSE)&lt;=0,"",IF(VLOOKUP($A7,'détails investissements'!$A$26:$DE$43,AH$3-VLOOKUP($A7,'détails investissements'!$A$71:$B$88,2,FALSE)+1,FALSE)="","",VLOOKUP($A7,'détails investissements'!$A$26:$DE$43,AH$3-VLOOKUP($A7,'détails investissements'!$A$71:$B$88,2,FALSE)+1,FALSE)))&lt;&gt;"",HLOOKUP(IF(AH$3-VLOOKUP($A7,'détails investissements'!$A$71:$B$88,2,FALSE)&lt;=0,"",IF(VLOOKUP($A7,'détails investissements'!$A$26:$DE$43,AH$3-VLOOKUP($A7,'détails investissements'!$A$71:$B$88,2,FALSE)+1,FALSE)="","",VLOOKUP($A7,'détails investissements'!$A$26:$DE$43,AH$3-VLOOKUP($A7,'détails investissements'!$A$71:$B$88,2,FALSE)+1,FALSE))),'détails investissements'!$U$6:$AB$7,2,FALSE),"")&lt;&gt;"",VLOOKUP($A7,'détails investissements'!$A$7:$H$21,1+IF(IF(AH$3-VLOOKUP($A7,'détails investissements'!$A$71:$B$88,2,FALSE)&lt;=0,"",IF(VLOOKUP($A7,'détails investissements'!$A$26:$DE$43,AH$3-VLOOKUP($A7,'détails investissements'!$A$71:$B$88,2,FALSE)+1,FALSE)="","",VLOOKUP($A7,'détails investissements'!$A$26:$DE$43,AH$3-VLOOKUP($A7,'détails investissements'!$A$71:$B$88,2,FALSE)+1,FALSE)))&lt;&gt;"",HLOOKUP(IF(AH$3-VLOOKUP($A7,'détails investissements'!$A$71:$B$88,2,FALSE)&lt;=0,"",IF(VLOOKUP($A7,'détails investissements'!$A$26:$DE$43,AH$3-VLOOKUP($A7,'détails investissements'!$A$71:$B$88,2,FALSE)+1,FALSE)="","",VLOOKUP($A7,'détails investissements'!$A$26:$DE$43,AH$3-VLOOKUP($A7,'détails investissements'!$A$71:$B$88,2,FALSE)+1,FALSE))),'détails investissements'!$U$6:$AB$7,2,FALSE),""),FALSE),"")</f>
        <v/>
      </c>
      <c r="AI7" s="45" t="str">
        <f>IF(IF(IF(AI$3-VLOOKUP($A7,'détails investissements'!$A$71:$B$88,2,FALSE)&lt;=0,"",IF(VLOOKUP($A7,'détails investissements'!$A$26:$DE$43,AI$3-VLOOKUP($A7,'détails investissements'!$A$71:$B$88,2,FALSE)+1,FALSE)="","",VLOOKUP($A7,'détails investissements'!$A$26:$DE$43,AI$3-VLOOKUP($A7,'détails investissements'!$A$71:$B$88,2,FALSE)+1,FALSE)))&lt;&gt;"",HLOOKUP(IF(AI$3-VLOOKUP($A7,'détails investissements'!$A$71:$B$88,2,FALSE)&lt;=0,"",IF(VLOOKUP($A7,'détails investissements'!$A$26:$DE$43,AI$3-VLOOKUP($A7,'détails investissements'!$A$71:$B$88,2,FALSE)+1,FALSE)="","",VLOOKUP($A7,'détails investissements'!$A$26:$DE$43,AI$3-VLOOKUP($A7,'détails investissements'!$A$71:$B$88,2,FALSE)+1,FALSE))),'détails investissements'!$U$6:$AB$7,2,FALSE),"")&lt;&gt;"",VLOOKUP($A7,'détails investissements'!$A$7:$H$21,1+IF(IF(AI$3-VLOOKUP($A7,'détails investissements'!$A$71:$B$88,2,FALSE)&lt;=0,"",IF(VLOOKUP($A7,'détails investissements'!$A$26:$DE$43,AI$3-VLOOKUP($A7,'détails investissements'!$A$71:$B$88,2,FALSE)+1,FALSE)="","",VLOOKUP($A7,'détails investissements'!$A$26:$DE$43,AI$3-VLOOKUP($A7,'détails investissements'!$A$71:$B$88,2,FALSE)+1,FALSE)))&lt;&gt;"",HLOOKUP(IF(AI$3-VLOOKUP($A7,'détails investissements'!$A$71:$B$88,2,FALSE)&lt;=0,"",IF(VLOOKUP($A7,'détails investissements'!$A$26:$DE$43,AI$3-VLOOKUP($A7,'détails investissements'!$A$71:$B$88,2,FALSE)+1,FALSE)="","",VLOOKUP($A7,'détails investissements'!$A$26:$DE$43,AI$3-VLOOKUP($A7,'détails investissements'!$A$71:$B$88,2,FALSE)+1,FALSE))),'détails investissements'!$U$6:$AB$7,2,FALSE),""),FALSE),"")</f>
        <v/>
      </c>
      <c r="AJ7" s="45" t="str">
        <f>IF(IF(IF(AJ$3-VLOOKUP($A7,'détails investissements'!$A$71:$B$88,2,FALSE)&lt;=0,"",IF(VLOOKUP($A7,'détails investissements'!$A$26:$DE$43,AJ$3-VLOOKUP($A7,'détails investissements'!$A$71:$B$88,2,FALSE)+1,FALSE)="","",VLOOKUP($A7,'détails investissements'!$A$26:$DE$43,AJ$3-VLOOKUP($A7,'détails investissements'!$A$71:$B$88,2,FALSE)+1,FALSE)))&lt;&gt;"",HLOOKUP(IF(AJ$3-VLOOKUP($A7,'détails investissements'!$A$71:$B$88,2,FALSE)&lt;=0,"",IF(VLOOKUP($A7,'détails investissements'!$A$26:$DE$43,AJ$3-VLOOKUP($A7,'détails investissements'!$A$71:$B$88,2,FALSE)+1,FALSE)="","",VLOOKUP($A7,'détails investissements'!$A$26:$DE$43,AJ$3-VLOOKUP($A7,'détails investissements'!$A$71:$B$88,2,FALSE)+1,FALSE))),'détails investissements'!$U$6:$AB$7,2,FALSE),"")&lt;&gt;"",VLOOKUP($A7,'détails investissements'!$A$7:$H$21,1+IF(IF(AJ$3-VLOOKUP($A7,'détails investissements'!$A$71:$B$88,2,FALSE)&lt;=0,"",IF(VLOOKUP($A7,'détails investissements'!$A$26:$DE$43,AJ$3-VLOOKUP($A7,'détails investissements'!$A$71:$B$88,2,FALSE)+1,FALSE)="","",VLOOKUP($A7,'détails investissements'!$A$26:$DE$43,AJ$3-VLOOKUP($A7,'détails investissements'!$A$71:$B$88,2,FALSE)+1,FALSE)))&lt;&gt;"",HLOOKUP(IF(AJ$3-VLOOKUP($A7,'détails investissements'!$A$71:$B$88,2,FALSE)&lt;=0,"",IF(VLOOKUP($A7,'détails investissements'!$A$26:$DE$43,AJ$3-VLOOKUP($A7,'détails investissements'!$A$71:$B$88,2,FALSE)+1,FALSE)="","",VLOOKUP($A7,'détails investissements'!$A$26:$DE$43,AJ$3-VLOOKUP($A7,'détails investissements'!$A$71:$B$88,2,FALSE)+1,FALSE))),'détails investissements'!$U$6:$AB$7,2,FALSE),""),FALSE),"")</f>
        <v/>
      </c>
      <c r="AK7" s="45" t="str">
        <f>IF(IF(IF(AK$3-VLOOKUP($A7,'détails investissements'!$A$71:$B$88,2,FALSE)&lt;=0,"",IF(VLOOKUP($A7,'détails investissements'!$A$26:$DE$43,AK$3-VLOOKUP($A7,'détails investissements'!$A$71:$B$88,2,FALSE)+1,FALSE)="","",VLOOKUP($A7,'détails investissements'!$A$26:$DE$43,AK$3-VLOOKUP($A7,'détails investissements'!$A$71:$B$88,2,FALSE)+1,FALSE)))&lt;&gt;"",HLOOKUP(IF(AK$3-VLOOKUP($A7,'détails investissements'!$A$71:$B$88,2,FALSE)&lt;=0,"",IF(VLOOKUP($A7,'détails investissements'!$A$26:$DE$43,AK$3-VLOOKUP($A7,'détails investissements'!$A$71:$B$88,2,FALSE)+1,FALSE)="","",VLOOKUP($A7,'détails investissements'!$A$26:$DE$43,AK$3-VLOOKUP($A7,'détails investissements'!$A$71:$B$88,2,FALSE)+1,FALSE))),'détails investissements'!$U$6:$AB$7,2,FALSE),"")&lt;&gt;"",VLOOKUP($A7,'détails investissements'!$A$7:$H$21,1+IF(IF(AK$3-VLOOKUP($A7,'détails investissements'!$A$71:$B$88,2,FALSE)&lt;=0,"",IF(VLOOKUP($A7,'détails investissements'!$A$26:$DE$43,AK$3-VLOOKUP($A7,'détails investissements'!$A$71:$B$88,2,FALSE)+1,FALSE)="","",VLOOKUP($A7,'détails investissements'!$A$26:$DE$43,AK$3-VLOOKUP($A7,'détails investissements'!$A$71:$B$88,2,FALSE)+1,FALSE)))&lt;&gt;"",HLOOKUP(IF(AK$3-VLOOKUP($A7,'détails investissements'!$A$71:$B$88,2,FALSE)&lt;=0,"",IF(VLOOKUP($A7,'détails investissements'!$A$26:$DE$43,AK$3-VLOOKUP($A7,'détails investissements'!$A$71:$B$88,2,FALSE)+1,FALSE)="","",VLOOKUP($A7,'détails investissements'!$A$26:$DE$43,AK$3-VLOOKUP($A7,'détails investissements'!$A$71:$B$88,2,FALSE)+1,FALSE))),'détails investissements'!$U$6:$AB$7,2,FALSE),""),FALSE),"")</f>
        <v/>
      </c>
      <c r="AL7" s="45" t="str">
        <f>IF(IF(IF(AL$3-VLOOKUP($A7,'détails investissements'!$A$71:$B$88,2,FALSE)&lt;=0,"",IF(VLOOKUP($A7,'détails investissements'!$A$26:$DE$43,AL$3-VLOOKUP($A7,'détails investissements'!$A$71:$B$88,2,FALSE)+1,FALSE)="","",VLOOKUP($A7,'détails investissements'!$A$26:$DE$43,AL$3-VLOOKUP($A7,'détails investissements'!$A$71:$B$88,2,FALSE)+1,FALSE)))&lt;&gt;"",HLOOKUP(IF(AL$3-VLOOKUP($A7,'détails investissements'!$A$71:$B$88,2,FALSE)&lt;=0,"",IF(VLOOKUP($A7,'détails investissements'!$A$26:$DE$43,AL$3-VLOOKUP($A7,'détails investissements'!$A$71:$B$88,2,FALSE)+1,FALSE)="","",VLOOKUP($A7,'détails investissements'!$A$26:$DE$43,AL$3-VLOOKUP($A7,'détails investissements'!$A$71:$B$88,2,FALSE)+1,FALSE))),'détails investissements'!$U$6:$AB$7,2,FALSE),"")&lt;&gt;"",VLOOKUP($A7,'détails investissements'!$A$7:$H$21,1+IF(IF(AL$3-VLOOKUP($A7,'détails investissements'!$A$71:$B$88,2,FALSE)&lt;=0,"",IF(VLOOKUP($A7,'détails investissements'!$A$26:$DE$43,AL$3-VLOOKUP($A7,'détails investissements'!$A$71:$B$88,2,FALSE)+1,FALSE)="","",VLOOKUP($A7,'détails investissements'!$A$26:$DE$43,AL$3-VLOOKUP($A7,'détails investissements'!$A$71:$B$88,2,FALSE)+1,FALSE)))&lt;&gt;"",HLOOKUP(IF(AL$3-VLOOKUP($A7,'détails investissements'!$A$71:$B$88,2,FALSE)&lt;=0,"",IF(VLOOKUP($A7,'détails investissements'!$A$26:$DE$43,AL$3-VLOOKUP($A7,'détails investissements'!$A$71:$B$88,2,FALSE)+1,FALSE)="","",VLOOKUP($A7,'détails investissements'!$A$26:$DE$43,AL$3-VLOOKUP($A7,'détails investissements'!$A$71:$B$88,2,FALSE)+1,FALSE))),'détails investissements'!$U$6:$AB$7,2,FALSE),""),FALSE),"")</f>
        <v/>
      </c>
      <c r="AM7" s="45" t="str">
        <f>IF(IF(IF(AM$3-VLOOKUP($A7,'détails investissements'!$A$71:$B$88,2,FALSE)&lt;=0,"",IF(VLOOKUP($A7,'détails investissements'!$A$26:$DE$43,AM$3-VLOOKUP($A7,'détails investissements'!$A$71:$B$88,2,FALSE)+1,FALSE)="","",VLOOKUP($A7,'détails investissements'!$A$26:$DE$43,AM$3-VLOOKUP($A7,'détails investissements'!$A$71:$B$88,2,FALSE)+1,FALSE)))&lt;&gt;"",HLOOKUP(IF(AM$3-VLOOKUP($A7,'détails investissements'!$A$71:$B$88,2,FALSE)&lt;=0,"",IF(VLOOKUP($A7,'détails investissements'!$A$26:$DE$43,AM$3-VLOOKUP($A7,'détails investissements'!$A$71:$B$88,2,FALSE)+1,FALSE)="","",VLOOKUP($A7,'détails investissements'!$A$26:$DE$43,AM$3-VLOOKUP($A7,'détails investissements'!$A$71:$B$88,2,FALSE)+1,FALSE))),'détails investissements'!$U$6:$AB$7,2,FALSE),"")&lt;&gt;"",VLOOKUP($A7,'détails investissements'!$A$7:$H$21,1+IF(IF(AM$3-VLOOKUP($A7,'détails investissements'!$A$71:$B$88,2,FALSE)&lt;=0,"",IF(VLOOKUP($A7,'détails investissements'!$A$26:$DE$43,AM$3-VLOOKUP($A7,'détails investissements'!$A$71:$B$88,2,FALSE)+1,FALSE)="","",VLOOKUP($A7,'détails investissements'!$A$26:$DE$43,AM$3-VLOOKUP($A7,'détails investissements'!$A$71:$B$88,2,FALSE)+1,FALSE)))&lt;&gt;"",HLOOKUP(IF(AM$3-VLOOKUP($A7,'détails investissements'!$A$71:$B$88,2,FALSE)&lt;=0,"",IF(VLOOKUP($A7,'détails investissements'!$A$26:$DE$43,AM$3-VLOOKUP($A7,'détails investissements'!$A$71:$B$88,2,FALSE)+1,FALSE)="","",VLOOKUP($A7,'détails investissements'!$A$26:$DE$43,AM$3-VLOOKUP($A7,'détails investissements'!$A$71:$B$88,2,FALSE)+1,FALSE))),'détails investissements'!$U$6:$AB$7,2,FALSE),""),FALSE),"")</f>
        <v/>
      </c>
      <c r="AN7" s="45" t="str">
        <f>IF(IF(IF(AN$3-VLOOKUP($A7,'détails investissements'!$A$71:$B$88,2,FALSE)&lt;=0,"",IF(VLOOKUP($A7,'détails investissements'!$A$26:$DE$43,AN$3-VLOOKUP($A7,'détails investissements'!$A$71:$B$88,2,FALSE)+1,FALSE)="","",VLOOKUP($A7,'détails investissements'!$A$26:$DE$43,AN$3-VLOOKUP($A7,'détails investissements'!$A$71:$B$88,2,FALSE)+1,FALSE)))&lt;&gt;"",HLOOKUP(IF(AN$3-VLOOKUP($A7,'détails investissements'!$A$71:$B$88,2,FALSE)&lt;=0,"",IF(VLOOKUP($A7,'détails investissements'!$A$26:$DE$43,AN$3-VLOOKUP($A7,'détails investissements'!$A$71:$B$88,2,FALSE)+1,FALSE)="","",VLOOKUP($A7,'détails investissements'!$A$26:$DE$43,AN$3-VLOOKUP($A7,'détails investissements'!$A$71:$B$88,2,FALSE)+1,FALSE))),'détails investissements'!$U$6:$AB$7,2,FALSE),"")&lt;&gt;"",VLOOKUP($A7,'détails investissements'!$A$7:$H$21,1+IF(IF(AN$3-VLOOKUP($A7,'détails investissements'!$A$71:$B$88,2,FALSE)&lt;=0,"",IF(VLOOKUP($A7,'détails investissements'!$A$26:$DE$43,AN$3-VLOOKUP($A7,'détails investissements'!$A$71:$B$88,2,FALSE)+1,FALSE)="","",VLOOKUP($A7,'détails investissements'!$A$26:$DE$43,AN$3-VLOOKUP($A7,'détails investissements'!$A$71:$B$88,2,FALSE)+1,FALSE)))&lt;&gt;"",HLOOKUP(IF(AN$3-VLOOKUP($A7,'détails investissements'!$A$71:$B$88,2,FALSE)&lt;=0,"",IF(VLOOKUP($A7,'détails investissements'!$A$26:$DE$43,AN$3-VLOOKUP($A7,'détails investissements'!$A$71:$B$88,2,FALSE)+1,FALSE)="","",VLOOKUP($A7,'détails investissements'!$A$26:$DE$43,AN$3-VLOOKUP($A7,'détails investissements'!$A$71:$B$88,2,FALSE)+1,FALSE))),'détails investissements'!$U$6:$AB$7,2,FALSE),""),FALSE),"")</f>
        <v/>
      </c>
      <c r="AO7" s="45">
        <f>IF(IF(IF(AO$3-VLOOKUP($A7,'détails investissements'!$A$71:$B$88,2,FALSE)&lt;=0,"",IF(VLOOKUP($A7,'détails investissements'!$A$26:$DE$43,AO$3-VLOOKUP($A7,'détails investissements'!$A$71:$B$88,2,FALSE)+1,FALSE)="","",VLOOKUP($A7,'détails investissements'!$A$26:$DE$43,AO$3-VLOOKUP($A7,'détails investissements'!$A$71:$B$88,2,FALSE)+1,FALSE)))&lt;&gt;"",HLOOKUP(IF(AO$3-VLOOKUP($A7,'détails investissements'!$A$71:$B$88,2,FALSE)&lt;=0,"",IF(VLOOKUP($A7,'détails investissements'!$A$26:$DE$43,AO$3-VLOOKUP($A7,'détails investissements'!$A$71:$B$88,2,FALSE)+1,FALSE)="","",VLOOKUP($A7,'détails investissements'!$A$26:$DE$43,AO$3-VLOOKUP($A7,'détails investissements'!$A$71:$B$88,2,FALSE)+1,FALSE))),'détails investissements'!$U$6:$AB$7,2,FALSE),"")&lt;&gt;"",VLOOKUP($A7,'détails investissements'!$A$7:$H$21,1+IF(IF(AO$3-VLOOKUP($A7,'détails investissements'!$A$71:$B$88,2,FALSE)&lt;=0,"",IF(VLOOKUP($A7,'détails investissements'!$A$26:$DE$43,AO$3-VLOOKUP($A7,'détails investissements'!$A$71:$B$88,2,FALSE)+1,FALSE)="","",VLOOKUP($A7,'détails investissements'!$A$26:$DE$43,AO$3-VLOOKUP($A7,'détails investissements'!$A$71:$B$88,2,FALSE)+1,FALSE)))&lt;&gt;"",HLOOKUP(IF(AO$3-VLOOKUP($A7,'détails investissements'!$A$71:$B$88,2,FALSE)&lt;=0,"",IF(VLOOKUP($A7,'détails investissements'!$A$26:$DE$43,AO$3-VLOOKUP($A7,'détails investissements'!$A$71:$B$88,2,FALSE)+1,FALSE)="","",VLOOKUP($A7,'détails investissements'!$A$26:$DE$43,AO$3-VLOOKUP($A7,'détails investissements'!$A$71:$B$88,2,FALSE)+1,FALSE))),'détails investissements'!$U$6:$AB$7,2,FALSE),""),FALSE),"")</f>
        <v>0.05</v>
      </c>
      <c r="AP7" s="45" t="str">
        <f>IF(IF(IF(AP$3-VLOOKUP($A7,'détails investissements'!$A$71:$B$88,2,FALSE)&lt;=0,"",IF(VLOOKUP($A7,'détails investissements'!$A$26:$DE$43,AP$3-VLOOKUP($A7,'détails investissements'!$A$71:$B$88,2,FALSE)+1,FALSE)="","",VLOOKUP($A7,'détails investissements'!$A$26:$DE$43,AP$3-VLOOKUP($A7,'détails investissements'!$A$71:$B$88,2,FALSE)+1,FALSE)))&lt;&gt;"",HLOOKUP(IF(AP$3-VLOOKUP($A7,'détails investissements'!$A$71:$B$88,2,FALSE)&lt;=0,"",IF(VLOOKUP($A7,'détails investissements'!$A$26:$DE$43,AP$3-VLOOKUP($A7,'détails investissements'!$A$71:$B$88,2,FALSE)+1,FALSE)="","",VLOOKUP($A7,'détails investissements'!$A$26:$DE$43,AP$3-VLOOKUP($A7,'détails investissements'!$A$71:$B$88,2,FALSE)+1,FALSE))),'détails investissements'!$U$6:$AB$7,2,FALSE),"")&lt;&gt;"",VLOOKUP($A7,'détails investissements'!$A$7:$H$21,1+IF(IF(AP$3-VLOOKUP($A7,'détails investissements'!$A$71:$B$88,2,FALSE)&lt;=0,"",IF(VLOOKUP($A7,'détails investissements'!$A$26:$DE$43,AP$3-VLOOKUP($A7,'détails investissements'!$A$71:$B$88,2,FALSE)+1,FALSE)="","",VLOOKUP($A7,'détails investissements'!$A$26:$DE$43,AP$3-VLOOKUP($A7,'détails investissements'!$A$71:$B$88,2,FALSE)+1,FALSE)))&lt;&gt;"",HLOOKUP(IF(AP$3-VLOOKUP($A7,'détails investissements'!$A$71:$B$88,2,FALSE)&lt;=0,"",IF(VLOOKUP($A7,'détails investissements'!$A$26:$DE$43,AP$3-VLOOKUP($A7,'détails investissements'!$A$71:$B$88,2,FALSE)+1,FALSE)="","",VLOOKUP($A7,'détails investissements'!$A$26:$DE$43,AP$3-VLOOKUP($A7,'détails investissements'!$A$71:$B$88,2,FALSE)+1,FALSE))),'détails investissements'!$U$6:$AB$7,2,FALSE),""),FALSE),"")</f>
        <v/>
      </c>
      <c r="AQ7" s="45" t="str">
        <f>IF(IF(IF(AQ$3-VLOOKUP($A7,'détails investissements'!$A$71:$B$88,2,FALSE)&lt;=0,"",IF(VLOOKUP($A7,'détails investissements'!$A$26:$DE$43,AQ$3-VLOOKUP($A7,'détails investissements'!$A$71:$B$88,2,FALSE)+1,FALSE)="","",VLOOKUP($A7,'détails investissements'!$A$26:$DE$43,AQ$3-VLOOKUP($A7,'détails investissements'!$A$71:$B$88,2,FALSE)+1,FALSE)))&lt;&gt;"",HLOOKUP(IF(AQ$3-VLOOKUP($A7,'détails investissements'!$A$71:$B$88,2,FALSE)&lt;=0,"",IF(VLOOKUP($A7,'détails investissements'!$A$26:$DE$43,AQ$3-VLOOKUP($A7,'détails investissements'!$A$71:$B$88,2,FALSE)+1,FALSE)="","",VLOOKUP($A7,'détails investissements'!$A$26:$DE$43,AQ$3-VLOOKUP($A7,'détails investissements'!$A$71:$B$88,2,FALSE)+1,FALSE))),'détails investissements'!$U$6:$AB$7,2,FALSE),"")&lt;&gt;"",VLOOKUP($A7,'détails investissements'!$A$7:$H$21,1+IF(IF(AQ$3-VLOOKUP($A7,'détails investissements'!$A$71:$B$88,2,FALSE)&lt;=0,"",IF(VLOOKUP($A7,'détails investissements'!$A$26:$DE$43,AQ$3-VLOOKUP($A7,'détails investissements'!$A$71:$B$88,2,FALSE)+1,FALSE)="","",VLOOKUP($A7,'détails investissements'!$A$26:$DE$43,AQ$3-VLOOKUP($A7,'détails investissements'!$A$71:$B$88,2,FALSE)+1,FALSE)))&lt;&gt;"",HLOOKUP(IF(AQ$3-VLOOKUP($A7,'détails investissements'!$A$71:$B$88,2,FALSE)&lt;=0,"",IF(VLOOKUP($A7,'détails investissements'!$A$26:$DE$43,AQ$3-VLOOKUP($A7,'détails investissements'!$A$71:$B$88,2,FALSE)+1,FALSE)="","",VLOOKUP($A7,'détails investissements'!$A$26:$DE$43,AQ$3-VLOOKUP($A7,'détails investissements'!$A$71:$B$88,2,FALSE)+1,FALSE))),'détails investissements'!$U$6:$AB$7,2,FALSE),""),FALSE),"")</f>
        <v/>
      </c>
      <c r="AR7" s="45" t="str">
        <f>IF(IF(IF(AR$3-VLOOKUP($A7,'détails investissements'!$A$71:$B$88,2,FALSE)&lt;=0,"",IF(VLOOKUP($A7,'détails investissements'!$A$26:$DE$43,AR$3-VLOOKUP($A7,'détails investissements'!$A$71:$B$88,2,FALSE)+1,FALSE)="","",VLOOKUP($A7,'détails investissements'!$A$26:$DE$43,AR$3-VLOOKUP($A7,'détails investissements'!$A$71:$B$88,2,FALSE)+1,FALSE)))&lt;&gt;"",HLOOKUP(IF(AR$3-VLOOKUP($A7,'détails investissements'!$A$71:$B$88,2,FALSE)&lt;=0,"",IF(VLOOKUP($A7,'détails investissements'!$A$26:$DE$43,AR$3-VLOOKUP($A7,'détails investissements'!$A$71:$B$88,2,FALSE)+1,FALSE)="","",VLOOKUP($A7,'détails investissements'!$A$26:$DE$43,AR$3-VLOOKUP($A7,'détails investissements'!$A$71:$B$88,2,FALSE)+1,FALSE))),'détails investissements'!$U$6:$AB$7,2,FALSE),"")&lt;&gt;"",VLOOKUP($A7,'détails investissements'!$A$7:$H$21,1+IF(IF(AR$3-VLOOKUP($A7,'détails investissements'!$A$71:$B$88,2,FALSE)&lt;=0,"",IF(VLOOKUP($A7,'détails investissements'!$A$26:$DE$43,AR$3-VLOOKUP($A7,'détails investissements'!$A$71:$B$88,2,FALSE)+1,FALSE)="","",VLOOKUP($A7,'détails investissements'!$A$26:$DE$43,AR$3-VLOOKUP($A7,'détails investissements'!$A$71:$B$88,2,FALSE)+1,FALSE)))&lt;&gt;"",HLOOKUP(IF(AR$3-VLOOKUP($A7,'détails investissements'!$A$71:$B$88,2,FALSE)&lt;=0,"",IF(VLOOKUP($A7,'détails investissements'!$A$26:$DE$43,AR$3-VLOOKUP($A7,'détails investissements'!$A$71:$B$88,2,FALSE)+1,FALSE)="","",VLOOKUP($A7,'détails investissements'!$A$26:$DE$43,AR$3-VLOOKUP($A7,'détails investissements'!$A$71:$B$88,2,FALSE)+1,FALSE))),'détails investissements'!$U$6:$AB$7,2,FALSE),""),FALSE),"")</f>
        <v/>
      </c>
      <c r="AS7" s="45" t="str">
        <f>IF(IF(IF(AS$3-VLOOKUP($A7,'détails investissements'!$A$71:$B$88,2,FALSE)&lt;=0,"",IF(VLOOKUP($A7,'détails investissements'!$A$26:$DE$43,AS$3-VLOOKUP($A7,'détails investissements'!$A$71:$B$88,2,FALSE)+1,FALSE)="","",VLOOKUP($A7,'détails investissements'!$A$26:$DE$43,AS$3-VLOOKUP($A7,'détails investissements'!$A$71:$B$88,2,FALSE)+1,FALSE)))&lt;&gt;"",HLOOKUP(IF(AS$3-VLOOKUP($A7,'détails investissements'!$A$71:$B$88,2,FALSE)&lt;=0,"",IF(VLOOKUP($A7,'détails investissements'!$A$26:$DE$43,AS$3-VLOOKUP($A7,'détails investissements'!$A$71:$B$88,2,FALSE)+1,FALSE)="","",VLOOKUP($A7,'détails investissements'!$A$26:$DE$43,AS$3-VLOOKUP($A7,'détails investissements'!$A$71:$B$88,2,FALSE)+1,FALSE))),'détails investissements'!$U$6:$AB$7,2,FALSE),"")&lt;&gt;"",VLOOKUP($A7,'détails investissements'!$A$7:$H$21,1+IF(IF(AS$3-VLOOKUP($A7,'détails investissements'!$A$71:$B$88,2,FALSE)&lt;=0,"",IF(VLOOKUP($A7,'détails investissements'!$A$26:$DE$43,AS$3-VLOOKUP($A7,'détails investissements'!$A$71:$B$88,2,FALSE)+1,FALSE)="","",VLOOKUP($A7,'détails investissements'!$A$26:$DE$43,AS$3-VLOOKUP($A7,'détails investissements'!$A$71:$B$88,2,FALSE)+1,FALSE)))&lt;&gt;"",HLOOKUP(IF(AS$3-VLOOKUP($A7,'détails investissements'!$A$71:$B$88,2,FALSE)&lt;=0,"",IF(VLOOKUP($A7,'détails investissements'!$A$26:$DE$43,AS$3-VLOOKUP($A7,'détails investissements'!$A$71:$B$88,2,FALSE)+1,FALSE)="","",VLOOKUP($A7,'détails investissements'!$A$26:$DE$43,AS$3-VLOOKUP($A7,'détails investissements'!$A$71:$B$88,2,FALSE)+1,FALSE))),'détails investissements'!$U$6:$AB$7,2,FALSE),""),FALSE),"")</f>
        <v/>
      </c>
      <c r="AT7" s="45" t="str">
        <f>IF(IF(IF(AT$3-VLOOKUP($A7,'détails investissements'!$A$71:$B$88,2,FALSE)&lt;=0,"",IF(VLOOKUP($A7,'détails investissements'!$A$26:$DE$43,AT$3-VLOOKUP($A7,'détails investissements'!$A$71:$B$88,2,FALSE)+1,FALSE)="","",VLOOKUP($A7,'détails investissements'!$A$26:$DE$43,AT$3-VLOOKUP($A7,'détails investissements'!$A$71:$B$88,2,FALSE)+1,FALSE)))&lt;&gt;"",HLOOKUP(IF(AT$3-VLOOKUP($A7,'détails investissements'!$A$71:$B$88,2,FALSE)&lt;=0,"",IF(VLOOKUP($A7,'détails investissements'!$A$26:$DE$43,AT$3-VLOOKUP($A7,'détails investissements'!$A$71:$B$88,2,FALSE)+1,FALSE)="","",VLOOKUP($A7,'détails investissements'!$A$26:$DE$43,AT$3-VLOOKUP($A7,'détails investissements'!$A$71:$B$88,2,FALSE)+1,FALSE))),'détails investissements'!$U$6:$AB$7,2,FALSE),"")&lt;&gt;"",VLOOKUP($A7,'détails investissements'!$A$7:$H$21,1+IF(IF(AT$3-VLOOKUP($A7,'détails investissements'!$A$71:$B$88,2,FALSE)&lt;=0,"",IF(VLOOKUP($A7,'détails investissements'!$A$26:$DE$43,AT$3-VLOOKUP($A7,'détails investissements'!$A$71:$B$88,2,FALSE)+1,FALSE)="","",VLOOKUP($A7,'détails investissements'!$A$26:$DE$43,AT$3-VLOOKUP($A7,'détails investissements'!$A$71:$B$88,2,FALSE)+1,FALSE)))&lt;&gt;"",HLOOKUP(IF(AT$3-VLOOKUP($A7,'détails investissements'!$A$71:$B$88,2,FALSE)&lt;=0,"",IF(VLOOKUP($A7,'détails investissements'!$A$26:$DE$43,AT$3-VLOOKUP($A7,'détails investissements'!$A$71:$B$88,2,FALSE)+1,FALSE)="","",VLOOKUP($A7,'détails investissements'!$A$26:$DE$43,AT$3-VLOOKUP($A7,'détails investissements'!$A$71:$B$88,2,FALSE)+1,FALSE))),'détails investissements'!$U$6:$AB$7,2,FALSE),""),FALSE),"")</f>
        <v/>
      </c>
      <c r="AU7" s="45" t="str">
        <f>IF(IF(IF(AU$3-VLOOKUP($A7,'détails investissements'!$A$71:$B$88,2,FALSE)&lt;=0,"",IF(VLOOKUP($A7,'détails investissements'!$A$26:$DE$43,AU$3-VLOOKUP($A7,'détails investissements'!$A$71:$B$88,2,FALSE)+1,FALSE)="","",VLOOKUP($A7,'détails investissements'!$A$26:$DE$43,AU$3-VLOOKUP($A7,'détails investissements'!$A$71:$B$88,2,FALSE)+1,FALSE)))&lt;&gt;"",HLOOKUP(IF(AU$3-VLOOKUP($A7,'détails investissements'!$A$71:$B$88,2,FALSE)&lt;=0,"",IF(VLOOKUP($A7,'détails investissements'!$A$26:$DE$43,AU$3-VLOOKUP($A7,'détails investissements'!$A$71:$B$88,2,FALSE)+1,FALSE)="","",VLOOKUP($A7,'détails investissements'!$A$26:$DE$43,AU$3-VLOOKUP($A7,'détails investissements'!$A$71:$B$88,2,FALSE)+1,FALSE))),'détails investissements'!$U$6:$AB$7,2,FALSE),"")&lt;&gt;"",VLOOKUP($A7,'détails investissements'!$A$7:$H$21,1+IF(IF(AU$3-VLOOKUP($A7,'détails investissements'!$A$71:$B$88,2,FALSE)&lt;=0,"",IF(VLOOKUP($A7,'détails investissements'!$A$26:$DE$43,AU$3-VLOOKUP($A7,'détails investissements'!$A$71:$B$88,2,FALSE)+1,FALSE)="","",VLOOKUP($A7,'détails investissements'!$A$26:$DE$43,AU$3-VLOOKUP($A7,'détails investissements'!$A$71:$B$88,2,FALSE)+1,FALSE)))&lt;&gt;"",HLOOKUP(IF(AU$3-VLOOKUP($A7,'détails investissements'!$A$71:$B$88,2,FALSE)&lt;=0,"",IF(VLOOKUP($A7,'détails investissements'!$A$26:$DE$43,AU$3-VLOOKUP($A7,'détails investissements'!$A$71:$B$88,2,FALSE)+1,FALSE)="","",VLOOKUP($A7,'détails investissements'!$A$26:$DE$43,AU$3-VLOOKUP($A7,'détails investissements'!$A$71:$B$88,2,FALSE)+1,FALSE))),'détails investissements'!$U$6:$AB$7,2,FALSE),""),FALSE),"")</f>
        <v/>
      </c>
      <c r="AV7" s="45" t="str">
        <f>IF(IF(IF(AV$3-VLOOKUP($A7,'détails investissements'!$A$71:$B$88,2,FALSE)&lt;=0,"",IF(VLOOKUP($A7,'détails investissements'!$A$26:$DE$43,AV$3-VLOOKUP($A7,'détails investissements'!$A$71:$B$88,2,FALSE)+1,FALSE)="","",VLOOKUP($A7,'détails investissements'!$A$26:$DE$43,AV$3-VLOOKUP($A7,'détails investissements'!$A$71:$B$88,2,FALSE)+1,FALSE)))&lt;&gt;"",HLOOKUP(IF(AV$3-VLOOKUP($A7,'détails investissements'!$A$71:$B$88,2,FALSE)&lt;=0,"",IF(VLOOKUP($A7,'détails investissements'!$A$26:$DE$43,AV$3-VLOOKUP($A7,'détails investissements'!$A$71:$B$88,2,FALSE)+1,FALSE)="","",VLOOKUP($A7,'détails investissements'!$A$26:$DE$43,AV$3-VLOOKUP($A7,'détails investissements'!$A$71:$B$88,2,FALSE)+1,FALSE))),'détails investissements'!$U$6:$AB$7,2,FALSE),"")&lt;&gt;"",VLOOKUP($A7,'détails investissements'!$A$7:$H$21,1+IF(IF(AV$3-VLOOKUP($A7,'détails investissements'!$A$71:$B$88,2,FALSE)&lt;=0,"",IF(VLOOKUP($A7,'détails investissements'!$A$26:$DE$43,AV$3-VLOOKUP($A7,'détails investissements'!$A$71:$B$88,2,FALSE)+1,FALSE)="","",VLOOKUP($A7,'détails investissements'!$A$26:$DE$43,AV$3-VLOOKUP($A7,'détails investissements'!$A$71:$B$88,2,FALSE)+1,FALSE)))&lt;&gt;"",HLOOKUP(IF(AV$3-VLOOKUP($A7,'détails investissements'!$A$71:$B$88,2,FALSE)&lt;=0,"",IF(VLOOKUP($A7,'détails investissements'!$A$26:$DE$43,AV$3-VLOOKUP($A7,'détails investissements'!$A$71:$B$88,2,FALSE)+1,FALSE)="","",VLOOKUP($A7,'détails investissements'!$A$26:$DE$43,AV$3-VLOOKUP($A7,'détails investissements'!$A$71:$B$88,2,FALSE)+1,FALSE))),'détails investissements'!$U$6:$AB$7,2,FALSE),""),FALSE),"")</f>
        <v/>
      </c>
      <c r="AW7" s="45" t="str">
        <f>IF(IF(IF(AW$3-VLOOKUP($A7,'détails investissements'!$A$71:$B$88,2,FALSE)&lt;=0,"",IF(VLOOKUP($A7,'détails investissements'!$A$26:$DE$43,AW$3-VLOOKUP($A7,'détails investissements'!$A$71:$B$88,2,FALSE)+1,FALSE)="","",VLOOKUP($A7,'détails investissements'!$A$26:$DE$43,AW$3-VLOOKUP($A7,'détails investissements'!$A$71:$B$88,2,FALSE)+1,FALSE)))&lt;&gt;"",HLOOKUP(IF(AW$3-VLOOKUP($A7,'détails investissements'!$A$71:$B$88,2,FALSE)&lt;=0,"",IF(VLOOKUP($A7,'détails investissements'!$A$26:$DE$43,AW$3-VLOOKUP($A7,'détails investissements'!$A$71:$B$88,2,FALSE)+1,FALSE)="","",VLOOKUP($A7,'détails investissements'!$A$26:$DE$43,AW$3-VLOOKUP($A7,'détails investissements'!$A$71:$B$88,2,FALSE)+1,FALSE))),'détails investissements'!$U$6:$AB$7,2,FALSE),"")&lt;&gt;"",VLOOKUP($A7,'détails investissements'!$A$7:$H$21,1+IF(IF(AW$3-VLOOKUP($A7,'détails investissements'!$A$71:$B$88,2,FALSE)&lt;=0,"",IF(VLOOKUP($A7,'détails investissements'!$A$26:$DE$43,AW$3-VLOOKUP($A7,'détails investissements'!$A$71:$B$88,2,FALSE)+1,FALSE)="","",VLOOKUP($A7,'détails investissements'!$A$26:$DE$43,AW$3-VLOOKUP($A7,'détails investissements'!$A$71:$B$88,2,FALSE)+1,FALSE)))&lt;&gt;"",HLOOKUP(IF(AW$3-VLOOKUP($A7,'détails investissements'!$A$71:$B$88,2,FALSE)&lt;=0,"",IF(VLOOKUP($A7,'détails investissements'!$A$26:$DE$43,AW$3-VLOOKUP($A7,'détails investissements'!$A$71:$B$88,2,FALSE)+1,FALSE)="","",VLOOKUP($A7,'détails investissements'!$A$26:$DE$43,AW$3-VLOOKUP($A7,'détails investissements'!$A$71:$B$88,2,FALSE)+1,FALSE))),'détails investissements'!$U$6:$AB$7,2,FALSE),""),FALSE),"")</f>
        <v/>
      </c>
      <c r="AX7" s="45" t="str">
        <f>IF(IF(IF(AX$3-VLOOKUP($A7,'détails investissements'!$A$71:$B$88,2,FALSE)&lt;=0,"",IF(VLOOKUP($A7,'détails investissements'!$A$26:$DE$43,AX$3-VLOOKUP($A7,'détails investissements'!$A$71:$B$88,2,FALSE)+1,FALSE)="","",VLOOKUP($A7,'détails investissements'!$A$26:$DE$43,AX$3-VLOOKUP($A7,'détails investissements'!$A$71:$B$88,2,FALSE)+1,FALSE)))&lt;&gt;"",HLOOKUP(IF(AX$3-VLOOKUP($A7,'détails investissements'!$A$71:$B$88,2,FALSE)&lt;=0,"",IF(VLOOKUP($A7,'détails investissements'!$A$26:$DE$43,AX$3-VLOOKUP($A7,'détails investissements'!$A$71:$B$88,2,FALSE)+1,FALSE)="","",VLOOKUP($A7,'détails investissements'!$A$26:$DE$43,AX$3-VLOOKUP($A7,'détails investissements'!$A$71:$B$88,2,FALSE)+1,FALSE))),'détails investissements'!$U$6:$AB$7,2,FALSE),"")&lt;&gt;"",VLOOKUP($A7,'détails investissements'!$A$7:$H$21,1+IF(IF(AX$3-VLOOKUP($A7,'détails investissements'!$A$71:$B$88,2,FALSE)&lt;=0,"",IF(VLOOKUP($A7,'détails investissements'!$A$26:$DE$43,AX$3-VLOOKUP($A7,'détails investissements'!$A$71:$B$88,2,FALSE)+1,FALSE)="","",VLOOKUP($A7,'détails investissements'!$A$26:$DE$43,AX$3-VLOOKUP($A7,'détails investissements'!$A$71:$B$88,2,FALSE)+1,FALSE)))&lt;&gt;"",HLOOKUP(IF(AX$3-VLOOKUP($A7,'détails investissements'!$A$71:$B$88,2,FALSE)&lt;=0,"",IF(VLOOKUP($A7,'détails investissements'!$A$26:$DE$43,AX$3-VLOOKUP($A7,'détails investissements'!$A$71:$B$88,2,FALSE)+1,FALSE)="","",VLOOKUP($A7,'détails investissements'!$A$26:$DE$43,AX$3-VLOOKUP($A7,'détails investissements'!$A$71:$B$88,2,FALSE)+1,FALSE))),'détails investissements'!$U$6:$AB$7,2,FALSE),""),FALSE),"")</f>
        <v/>
      </c>
      <c r="AY7" s="45" t="str">
        <f>IF(IF(IF(AY$3-VLOOKUP($A7,'détails investissements'!$A$71:$B$88,2,FALSE)&lt;=0,"",IF(VLOOKUP($A7,'détails investissements'!$A$26:$DE$43,AY$3-VLOOKUP($A7,'détails investissements'!$A$71:$B$88,2,FALSE)+1,FALSE)="","",VLOOKUP($A7,'détails investissements'!$A$26:$DE$43,AY$3-VLOOKUP($A7,'détails investissements'!$A$71:$B$88,2,FALSE)+1,FALSE)))&lt;&gt;"",HLOOKUP(IF(AY$3-VLOOKUP($A7,'détails investissements'!$A$71:$B$88,2,FALSE)&lt;=0,"",IF(VLOOKUP($A7,'détails investissements'!$A$26:$DE$43,AY$3-VLOOKUP($A7,'détails investissements'!$A$71:$B$88,2,FALSE)+1,FALSE)="","",VLOOKUP($A7,'détails investissements'!$A$26:$DE$43,AY$3-VLOOKUP($A7,'détails investissements'!$A$71:$B$88,2,FALSE)+1,FALSE))),'détails investissements'!$U$6:$AB$7,2,FALSE),"")&lt;&gt;"",VLOOKUP($A7,'détails investissements'!$A$7:$H$21,1+IF(IF(AY$3-VLOOKUP($A7,'détails investissements'!$A$71:$B$88,2,FALSE)&lt;=0,"",IF(VLOOKUP($A7,'détails investissements'!$A$26:$DE$43,AY$3-VLOOKUP($A7,'détails investissements'!$A$71:$B$88,2,FALSE)+1,FALSE)="","",VLOOKUP($A7,'détails investissements'!$A$26:$DE$43,AY$3-VLOOKUP($A7,'détails investissements'!$A$71:$B$88,2,FALSE)+1,FALSE)))&lt;&gt;"",HLOOKUP(IF(AY$3-VLOOKUP($A7,'détails investissements'!$A$71:$B$88,2,FALSE)&lt;=0,"",IF(VLOOKUP($A7,'détails investissements'!$A$26:$DE$43,AY$3-VLOOKUP($A7,'détails investissements'!$A$71:$B$88,2,FALSE)+1,FALSE)="","",VLOOKUP($A7,'détails investissements'!$A$26:$DE$43,AY$3-VLOOKUP($A7,'détails investissements'!$A$71:$B$88,2,FALSE)+1,FALSE))),'détails investissements'!$U$6:$AB$7,2,FALSE),""),FALSE),"")</f>
        <v/>
      </c>
      <c r="AZ7" s="45" t="str">
        <f>IF(IF(IF(AZ$3-VLOOKUP($A7,'détails investissements'!$A$71:$B$88,2,FALSE)&lt;=0,"",IF(VLOOKUP($A7,'détails investissements'!$A$26:$DE$43,AZ$3-VLOOKUP($A7,'détails investissements'!$A$71:$B$88,2,FALSE)+1,FALSE)="","",VLOOKUP($A7,'détails investissements'!$A$26:$DE$43,AZ$3-VLOOKUP($A7,'détails investissements'!$A$71:$B$88,2,FALSE)+1,FALSE)))&lt;&gt;"",HLOOKUP(IF(AZ$3-VLOOKUP($A7,'détails investissements'!$A$71:$B$88,2,FALSE)&lt;=0,"",IF(VLOOKUP($A7,'détails investissements'!$A$26:$DE$43,AZ$3-VLOOKUP($A7,'détails investissements'!$A$71:$B$88,2,FALSE)+1,FALSE)="","",VLOOKUP($A7,'détails investissements'!$A$26:$DE$43,AZ$3-VLOOKUP($A7,'détails investissements'!$A$71:$B$88,2,FALSE)+1,FALSE))),'détails investissements'!$U$6:$AB$7,2,FALSE),"")&lt;&gt;"",VLOOKUP($A7,'détails investissements'!$A$7:$H$21,1+IF(IF(AZ$3-VLOOKUP($A7,'détails investissements'!$A$71:$B$88,2,FALSE)&lt;=0,"",IF(VLOOKUP($A7,'détails investissements'!$A$26:$DE$43,AZ$3-VLOOKUP($A7,'détails investissements'!$A$71:$B$88,2,FALSE)+1,FALSE)="","",VLOOKUP($A7,'détails investissements'!$A$26:$DE$43,AZ$3-VLOOKUP($A7,'détails investissements'!$A$71:$B$88,2,FALSE)+1,FALSE)))&lt;&gt;"",HLOOKUP(IF(AZ$3-VLOOKUP($A7,'détails investissements'!$A$71:$B$88,2,FALSE)&lt;=0,"",IF(VLOOKUP($A7,'détails investissements'!$A$26:$DE$43,AZ$3-VLOOKUP($A7,'détails investissements'!$A$71:$B$88,2,FALSE)+1,FALSE)="","",VLOOKUP($A7,'détails investissements'!$A$26:$DE$43,AZ$3-VLOOKUP($A7,'détails investissements'!$A$71:$B$88,2,FALSE)+1,FALSE))),'détails investissements'!$U$6:$AB$7,2,FALSE),""),FALSE),"")</f>
        <v/>
      </c>
      <c r="BA7" s="45" t="str">
        <f>IF(IF(IF(BA$3-VLOOKUP($A7,'détails investissements'!$A$71:$B$88,2,FALSE)&lt;=0,"",IF(VLOOKUP($A7,'détails investissements'!$A$26:$DE$43,BA$3-VLOOKUP($A7,'détails investissements'!$A$71:$B$88,2,FALSE)+1,FALSE)="","",VLOOKUP($A7,'détails investissements'!$A$26:$DE$43,BA$3-VLOOKUP($A7,'détails investissements'!$A$71:$B$88,2,FALSE)+1,FALSE)))&lt;&gt;"",HLOOKUP(IF(BA$3-VLOOKUP($A7,'détails investissements'!$A$71:$B$88,2,FALSE)&lt;=0,"",IF(VLOOKUP($A7,'détails investissements'!$A$26:$DE$43,BA$3-VLOOKUP($A7,'détails investissements'!$A$71:$B$88,2,FALSE)+1,FALSE)="","",VLOOKUP($A7,'détails investissements'!$A$26:$DE$43,BA$3-VLOOKUP($A7,'détails investissements'!$A$71:$B$88,2,FALSE)+1,FALSE))),'détails investissements'!$U$6:$AB$7,2,FALSE),"")&lt;&gt;"",VLOOKUP($A7,'détails investissements'!$A$7:$H$21,1+IF(IF(BA$3-VLOOKUP($A7,'détails investissements'!$A$71:$B$88,2,FALSE)&lt;=0,"",IF(VLOOKUP($A7,'détails investissements'!$A$26:$DE$43,BA$3-VLOOKUP($A7,'détails investissements'!$A$71:$B$88,2,FALSE)+1,FALSE)="","",VLOOKUP($A7,'détails investissements'!$A$26:$DE$43,BA$3-VLOOKUP($A7,'détails investissements'!$A$71:$B$88,2,FALSE)+1,FALSE)))&lt;&gt;"",HLOOKUP(IF(BA$3-VLOOKUP($A7,'détails investissements'!$A$71:$B$88,2,FALSE)&lt;=0,"",IF(VLOOKUP($A7,'détails investissements'!$A$26:$DE$43,BA$3-VLOOKUP($A7,'détails investissements'!$A$71:$B$88,2,FALSE)+1,FALSE)="","",VLOOKUP($A7,'détails investissements'!$A$26:$DE$43,BA$3-VLOOKUP($A7,'détails investissements'!$A$71:$B$88,2,FALSE)+1,FALSE))),'détails investissements'!$U$6:$AB$7,2,FALSE),""),FALSE),"")</f>
        <v/>
      </c>
      <c r="BB7" s="45" t="str">
        <f>IF(IF(IF(BB$3-VLOOKUP($A7,'détails investissements'!$A$71:$B$88,2,FALSE)&lt;=0,"",IF(VLOOKUP($A7,'détails investissements'!$A$26:$DE$43,BB$3-VLOOKUP($A7,'détails investissements'!$A$71:$B$88,2,FALSE)+1,FALSE)="","",VLOOKUP($A7,'détails investissements'!$A$26:$DE$43,BB$3-VLOOKUP($A7,'détails investissements'!$A$71:$B$88,2,FALSE)+1,FALSE)))&lt;&gt;"",HLOOKUP(IF(BB$3-VLOOKUP($A7,'détails investissements'!$A$71:$B$88,2,FALSE)&lt;=0,"",IF(VLOOKUP($A7,'détails investissements'!$A$26:$DE$43,BB$3-VLOOKUP($A7,'détails investissements'!$A$71:$B$88,2,FALSE)+1,FALSE)="","",VLOOKUP($A7,'détails investissements'!$A$26:$DE$43,BB$3-VLOOKUP($A7,'détails investissements'!$A$71:$B$88,2,FALSE)+1,FALSE))),'détails investissements'!$U$6:$AB$7,2,FALSE),"")&lt;&gt;"",VLOOKUP($A7,'détails investissements'!$A$7:$H$21,1+IF(IF(BB$3-VLOOKUP($A7,'détails investissements'!$A$71:$B$88,2,FALSE)&lt;=0,"",IF(VLOOKUP($A7,'détails investissements'!$A$26:$DE$43,BB$3-VLOOKUP($A7,'détails investissements'!$A$71:$B$88,2,FALSE)+1,FALSE)="","",VLOOKUP($A7,'détails investissements'!$A$26:$DE$43,BB$3-VLOOKUP($A7,'détails investissements'!$A$71:$B$88,2,FALSE)+1,FALSE)))&lt;&gt;"",HLOOKUP(IF(BB$3-VLOOKUP($A7,'détails investissements'!$A$71:$B$88,2,FALSE)&lt;=0,"",IF(VLOOKUP($A7,'détails investissements'!$A$26:$DE$43,BB$3-VLOOKUP($A7,'détails investissements'!$A$71:$B$88,2,FALSE)+1,FALSE)="","",VLOOKUP($A7,'détails investissements'!$A$26:$DE$43,BB$3-VLOOKUP($A7,'détails investissements'!$A$71:$B$88,2,FALSE)+1,FALSE))),'détails investissements'!$U$6:$AB$7,2,FALSE),""),FALSE),"")</f>
        <v/>
      </c>
      <c r="BC7" s="45" t="str">
        <f>IF(IF(IF(BC$3-VLOOKUP($A7,'détails investissements'!$A$71:$B$88,2,FALSE)&lt;=0,"",IF(VLOOKUP($A7,'détails investissements'!$A$26:$DE$43,BC$3-VLOOKUP($A7,'détails investissements'!$A$71:$B$88,2,FALSE)+1,FALSE)="","",VLOOKUP($A7,'détails investissements'!$A$26:$DE$43,BC$3-VLOOKUP($A7,'détails investissements'!$A$71:$B$88,2,FALSE)+1,FALSE)))&lt;&gt;"",HLOOKUP(IF(BC$3-VLOOKUP($A7,'détails investissements'!$A$71:$B$88,2,FALSE)&lt;=0,"",IF(VLOOKUP($A7,'détails investissements'!$A$26:$DE$43,BC$3-VLOOKUP($A7,'détails investissements'!$A$71:$B$88,2,FALSE)+1,FALSE)="","",VLOOKUP($A7,'détails investissements'!$A$26:$DE$43,BC$3-VLOOKUP($A7,'détails investissements'!$A$71:$B$88,2,FALSE)+1,FALSE))),'détails investissements'!$U$6:$AB$7,2,FALSE),"")&lt;&gt;"",VLOOKUP($A7,'détails investissements'!$A$7:$H$21,1+IF(IF(BC$3-VLOOKUP($A7,'détails investissements'!$A$71:$B$88,2,FALSE)&lt;=0,"",IF(VLOOKUP($A7,'détails investissements'!$A$26:$DE$43,BC$3-VLOOKUP($A7,'détails investissements'!$A$71:$B$88,2,FALSE)+1,FALSE)="","",VLOOKUP($A7,'détails investissements'!$A$26:$DE$43,BC$3-VLOOKUP($A7,'détails investissements'!$A$71:$B$88,2,FALSE)+1,FALSE)))&lt;&gt;"",HLOOKUP(IF(BC$3-VLOOKUP($A7,'détails investissements'!$A$71:$B$88,2,FALSE)&lt;=0,"",IF(VLOOKUP($A7,'détails investissements'!$A$26:$DE$43,BC$3-VLOOKUP($A7,'détails investissements'!$A$71:$B$88,2,FALSE)+1,FALSE)="","",VLOOKUP($A7,'détails investissements'!$A$26:$DE$43,BC$3-VLOOKUP($A7,'détails investissements'!$A$71:$B$88,2,FALSE)+1,FALSE))),'détails investissements'!$U$6:$AB$7,2,FALSE),""),FALSE),"")</f>
        <v/>
      </c>
      <c r="BD7" s="45" t="str">
        <f>IF(IF(IF(BD$3-VLOOKUP($A7,'détails investissements'!$A$71:$B$88,2,FALSE)&lt;=0,"",IF(VLOOKUP($A7,'détails investissements'!$A$26:$DE$43,BD$3-VLOOKUP($A7,'détails investissements'!$A$71:$B$88,2,FALSE)+1,FALSE)="","",VLOOKUP($A7,'détails investissements'!$A$26:$DE$43,BD$3-VLOOKUP($A7,'détails investissements'!$A$71:$B$88,2,FALSE)+1,FALSE)))&lt;&gt;"",HLOOKUP(IF(BD$3-VLOOKUP($A7,'détails investissements'!$A$71:$B$88,2,FALSE)&lt;=0,"",IF(VLOOKUP($A7,'détails investissements'!$A$26:$DE$43,BD$3-VLOOKUP($A7,'détails investissements'!$A$71:$B$88,2,FALSE)+1,FALSE)="","",VLOOKUP($A7,'détails investissements'!$A$26:$DE$43,BD$3-VLOOKUP($A7,'détails investissements'!$A$71:$B$88,2,FALSE)+1,FALSE))),'détails investissements'!$U$6:$AB$7,2,FALSE),"")&lt;&gt;"",VLOOKUP($A7,'détails investissements'!$A$7:$H$21,1+IF(IF(BD$3-VLOOKUP($A7,'détails investissements'!$A$71:$B$88,2,FALSE)&lt;=0,"",IF(VLOOKUP($A7,'détails investissements'!$A$26:$DE$43,BD$3-VLOOKUP($A7,'détails investissements'!$A$71:$B$88,2,FALSE)+1,FALSE)="","",VLOOKUP($A7,'détails investissements'!$A$26:$DE$43,BD$3-VLOOKUP($A7,'détails investissements'!$A$71:$B$88,2,FALSE)+1,FALSE)))&lt;&gt;"",HLOOKUP(IF(BD$3-VLOOKUP($A7,'détails investissements'!$A$71:$B$88,2,FALSE)&lt;=0,"",IF(VLOOKUP($A7,'détails investissements'!$A$26:$DE$43,BD$3-VLOOKUP($A7,'détails investissements'!$A$71:$B$88,2,FALSE)+1,FALSE)="","",VLOOKUP($A7,'détails investissements'!$A$26:$DE$43,BD$3-VLOOKUP($A7,'détails investissements'!$A$71:$B$88,2,FALSE)+1,FALSE))),'détails investissements'!$U$6:$AB$7,2,FALSE),""),FALSE),"")</f>
        <v/>
      </c>
      <c r="BE7" s="45" t="str">
        <f>IF(IF(IF(BE$3-VLOOKUP($A7,'détails investissements'!$A$71:$B$88,2,FALSE)&lt;=0,"",IF(VLOOKUP($A7,'détails investissements'!$A$26:$DE$43,BE$3-VLOOKUP($A7,'détails investissements'!$A$71:$B$88,2,FALSE)+1,FALSE)="","",VLOOKUP($A7,'détails investissements'!$A$26:$DE$43,BE$3-VLOOKUP($A7,'détails investissements'!$A$71:$B$88,2,FALSE)+1,FALSE)))&lt;&gt;"",HLOOKUP(IF(BE$3-VLOOKUP($A7,'détails investissements'!$A$71:$B$88,2,FALSE)&lt;=0,"",IF(VLOOKUP($A7,'détails investissements'!$A$26:$DE$43,BE$3-VLOOKUP($A7,'détails investissements'!$A$71:$B$88,2,FALSE)+1,FALSE)="","",VLOOKUP($A7,'détails investissements'!$A$26:$DE$43,BE$3-VLOOKUP($A7,'détails investissements'!$A$71:$B$88,2,FALSE)+1,FALSE))),'détails investissements'!$U$6:$AB$7,2,FALSE),"")&lt;&gt;"",VLOOKUP($A7,'détails investissements'!$A$7:$H$21,1+IF(IF(BE$3-VLOOKUP($A7,'détails investissements'!$A$71:$B$88,2,FALSE)&lt;=0,"",IF(VLOOKUP($A7,'détails investissements'!$A$26:$DE$43,BE$3-VLOOKUP($A7,'détails investissements'!$A$71:$B$88,2,FALSE)+1,FALSE)="","",VLOOKUP($A7,'détails investissements'!$A$26:$DE$43,BE$3-VLOOKUP($A7,'détails investissements'!$A$71:$B$88,2,FALSE)+1,FALSE)))&lt;&gt;"",HLOOKUP(IF(BE$3-VLOOKUP($A7,'détails investissements'!$A$71:$B$88,2,FALSE)&lt;=0,"",IF(VLOOKUP($A7,'détails investissements'!$A$26:$DE$43,BE$3-VLOOKUP($A7,'détails investissements'!$A$71:$B$88,2,FALSE)+1,FALSE)="","",VLOOKUP($A7,'détails investissements'!$A$26:$DE$43,BE$3-VLOOKUP($A7,'détails investissements'!$A$71:$B$88,2,FALSE)+1,FALSE))),'détails investissements'!$U$6:$AB$7,2,FALSE),""),FALSE),"")</f>
        <v/>
      </c>
      <c r="BF7" s="45" t="str">
        <f>IF(IF(IF(BF$3-VLOOKUP($A7,'détails investissements'!$A$71:$B$88,2,FALSE)&lt;=0,"",IF(VLOOKUP($A7,'détails investissements'!$A$26:$DE$43,BF$3-VLOOKUP($A7,'détails investissements'!$A$71:$B$88,2,FALSE)+1,FALSE)="","",VLOOKUP($A7,'détails investissements'!$A$26:$DE$43,BF$3-VLOOKUP($A7,'détails investissements'!$A$71:$B$88,2,FALSE)+1,FALSE)))&lt;&gt;"",HLOOKUP(IF(BF$3-VLOOKUP($A7,'détails investissements'!$A$71:$B$88,2,FALSE)&lt;=0,"",IF(VLOOKUP($A7,'détails investissements'!$A$26:$DE$43,BF$3-VLOOKUP($A7,'détails investissements'!$A$71:$B$88,2,FALSE)+1,FALSE)="","",VLOOKUP($A7,'détails investissements'!$A$26:$DE$43,BF$3-VLOOKUP($A7,'détails investissements'!$A$71:$B$88,2,FALSE)+1,FALSE))),'détails investissements'!$U$6:$AB$7,2,FALSE),"")&lt;&gt;"",VLOOKUP($A7,'détails investissements'!$A$7:$H$21,1+IF(IF(BF$3-VLOOKUP($A7,'détails investissements'!$A$71:$B$88,2,FALSE)&lt;=0,"",IF(VLOOKUP($A7,'détails investissements'!$A$26:$DE$43,BF$3-VLOOKUP($A7,'détails investissements'!$A$71:$B$88,2,FALSE)+1,FALSE)="","",VLOOKUP($A7,'détails investissements'!$A$26:$DE$43,BF$3-VLOOKUP($A7,'détails investissements'!$A$71:$B$88,2,FALSE)+1,FALSE)))&lt;&gt;"",HLOOKUP(IF(BF$3-VLOOKUP($A7,'détails investissements'!$A$71:$B$88,2,FALSE)&lt;=0,"",IF(VLOOKUP($A7,'détails investissements'!$A$26:$DE$43,BF$3-VLOOKUP($A7,'détails investissements'!$A$71:$B$88,2,FALSE)+1,FALSE)="","",VLOOKUP($A7,'détails investissements'!$A$26:$DE$43,BF$3-VLOOKUP($A7,'détails investissements'!$A$71:$B$88,2,FALSE)+1,FALSE))),'détails investissements'!$U$6:$AB$7,2,FALSE),""),FALSE),"")</f>
        <v/>
      </c>
      <c r="BG7" s="45" t="str">
        <f>IF(IF(IF(BG$3-VLOOKUP($A7,'détails investissements'!$A$71:$B$88,2,FALSE)&lt;=0,"",IF(VLOOKUP($A7,'détails investissements'!$A$26:$DE$43,BG$3-VLOOKUP($A7,'détails investissements'!$A$71:$B$88,2,FALSE)+1,FALSE)="","",VLOOKUP($A7,'détails investissements'!$A$26:$DE$43,BG$3-VLOOKUP($A7,'détails investissements'!$A$71:$B$88,2,FALSE)+1,FALSE)))&lt;&gt;"",HLOOKUP(IF(BG$3-VLOOKUP($A7,'détails investissements'!$A$71:$B$88,2,FALSE)&lt;=0,"",IF(VLOOKUP($A7,'détails investissements'!$A$26:$DE$43,BG$3-VLOOKUP($A7,'détails investissements'!$A$71:$B$88,2,FALSE)+1,FALSE)="","",VLOOKUP($A7,'détails investissements'!$A$26:$DE$43,BG$3-VLOOKUP($A7,'détails investissements'!$A$71:$B$88,2,FALSE)+1,FALSE))),'détails investissements'!$U$6:$AB$7,2,FALSE),"")&lt;&gt;"",VLOOKUP($A7,'détails investissements'!$A$7:$H$21,1+IF(IF(BG$3-VLOOKUP($A7,'détails investissements'!$A$71:$B$88,2,FALSE)&lt;=0,"",IF(VLOOKUP($A7,'détails investissements'!$A$26:$DE$43,BG$3-VLOOKUP($A7,'détails investissements'!$A$71:$B$88,2,FALSE)+1,FALSE)="","",VLOOKUP($A7,'détails investissements'!$A$26:$DE$43,BG$3-VLOOKUP($A7,'détails investissements'!$A$71:$B$88,2,FALSE)+1,FALSE)))&lt;&gt;"",HLOOKUP(IF(BG$3-VLOOKUP($A7,'détails investissements'!$A$71:$B$88,2,FALSE)&lt;=0,"",IF(VLOOKUP($A7,'détails investissements'!$A$26:$DE$43,BG$3-VLOOKUP($A7,'détails investissements'!$A$71:$B$88,2,FALSE)+1,FALSE)="","",VLOOKUP($A7,'détails investissements'!$A$26:$DE$43,BG$3-VLOOKUP($A7,'détails investissements'!$A$71:$B$88,2,FALSE)+1,FALSE))),'détails investissements'!$U$6:$AB$7,2,FALSE),""),FALSE),"")</f>
        <v/>
      </c>
      <c r="BH7" s="45" t="str">
        <f>IF(IF(IF(BH$3-VLOOKUP($A7,'détails investissements'!$A$71:$B$88,2,FALSE)&lt;=0,"",IF(VLOOKUP($A7,'détails investissements'!$A$26:$DE$43,BH$3-VLOOKUP($A7,'détails investissements'!$A$71:$B$88,2,FALSE)+1,FALSE)="","",VLOOKUP($A7,'détails investissements'!$A$26:$DE$43,BH$3-VLOOKUP($A7,'détails investissements'!$A$71:$B$88,2,FALSE)+1,FALSE)))&lt;&gt;"",HLOOKUP(IF(BH$3-VLOOKUP($A7,'détails investissements'!$A$71:$B$88,2,FALSE)&lt;=0,"",IF(VLOOKUP($A7,'détails investissements'!$A$26:$DE$43,BH$3-VLOOKUP($A7,'détails investissements'!$A$71:$B$88,2,FALSE)+1,FALSE)="","",VLOOKUP($A7,'détails investissements'!$A$26:$DE$43,BH$3-VLOOKUP($A7,'détails investissements'!$A$71:$B$88,2,FALSE)+1,FALSE))),'détails investissements'!$U$6:$AB$7,2,FALSE),"")&lt;&gt;"",VLOOKUP($A7,'détails investissements'!$A$7:$H$21,1+IF(IF(BH$3-VLOOKUP($A7,'détails investissements'!$A$71:$B$88,2,FALSE)&lt;=0,"",IF(VLOOKUP($A7,'détails investissements'!$A$26:$DE$43,BH$3-VLOOKUP($A7,'détails investissements'!$A$71:$B$88,2,FALSE)+1,FALSE)="","",VLOOKUP($A7,'détails investissements'!$A$26:$DE$43,BH$3-VLOOKUP($A7,'détails investissements'!$A$71:$B$88,2,FALSE)+1,FALSE)))&lt;&gt;"",HLOOKUP(IF(BH$3-VLOOKUP($A7,'détails investissements'!$A$71:$B$88,2,FALSE)&lt;=0,"",IF(VLOOKUP($A7,'détails investissements'!$A$26:$DE$43,BH$3-VLOOKUP($A7,'détails investissements'!$A$71:$B$88,2,FALSE)+1,FALSE)="","",VLOOKUP($A7,'détails investissements'!$A$26:$DE$43,BH$3-VLOOKUP($A7,'détails investissements'!$A$71:$B$88,2,FALSE)+1,FALSE))),'détails investissements'!$U$6:$AB$7,2,FALSE),""),FALSE),"")</f>
        <v/>
      </c>
      <c r="BI7" s="45" t="str">
        <f>IF(IF(IF(BI$3-VLOOKUP($A7,'détails investissements'!$A$71:$B$88,2,FALSE)&lt;=0,"",IF(VLOOKUP($A7,'détails investissements'!$A$26:$DE$43,BI$3-VLOOKUP($A7,'détails investissements'!$A$71:$B$88,2,FALSE)+1,FALSE)="","",VLOOKUP($A7,'détails investissements'!$A$26:$DE$43,BI$3-VLOOKUP($A7,'détails investissements'!$A$71:$B$88,2,FALSE)+1,FALSE)))&lt;&gt;"",HLOOKUP(IF(BI$3-VLOOKUP($A7,'détails investissements'!$A$71:$B$88,2,FALSE)&lt;=0,"",IF(VLOOKUP($A7,'détails investissements'!$A$26:$DE$43,BI$3-VLOOKUP($A7,'détails investissements'!$A$71:$B$88,2,FALSE)+1,FALSE)="","",VLOOKUP($A7,'détails investissements'!$A$26:$DE$43,BI$3-VLOOKUP($A7,'détails investissements'!$A$71:$B$88,2,FALSE)+1,FALSE))),'détails investissements'!$U$6:$AB$7,2,FALSE),"")&lt;&gt;"",VLOOKUP($A7,'détails investissements'!$A$7:$H$21,1+IF(IF(BI$3-VLOOKUP($A7,'détails investissements'!$A$71:$B$88,2,FALSE)&lt;=0,"",IF(VLOOKUP($A7,'détails investissements'!$A$26:$DE$43,BI$3-VLOOKUP($A7,'détails investissements'!$A$71:$B$88,2,FALSE)+1,FALSE)="","",VLOOKUP($A7,'détails investissements'!$A$26:$DE$43,BI$3-VLOOKUP($A7,'détails investissements'!$A$71:$B$88,2,FALSE)+1,FALSE)))&lt;&gt;"",HLOOKUP(IF(BI$3-VLOOKUP($A7,'détails investissements'!$A$71:$B$88,2,FALSE)&lt;=0,"",IF(VLOOKUP($A7,'détails investissements'!$A$26:$DE$43,BI$3-VLOOKUP($A7,'détails investissements'!$A$71:$B$88,2,FALSE)+1,FALSE)="","",VLOOKUP($A7,'détails investissements'!$A$26:$DE$43,BI$3-VLOOKUP($A7,'détails investissements'!$A$71:$B$88,2,FALSE)+1,FALSE))),'détails investissements'!$U$6:$AB$7,2,FALSE),""),FALSE),"")</f>
        <v/>
      </c>
      <c r="BJ7" s="45" t="str">
        <f>IF(IF(IF(BJ$3-VLOOKUP($A7,'détails investissements'!$A$71:$B$88,2,FALSE)&lt;=0,"",IF(VLOOKUP($A7,'détails investissements'!$A$26:$DE$43,BJ$3-VLOOKUP($A7,'détails investissements'!$A$71:$B$88,2,FALSE)+1,FALSE)="","",VLOOKUP($A7,'détails investissements'!$A$26:$DE$43,BJ$3-VLOOKUP($A7,'détails investissements'!$A$71:$B$88,2,FALSE)+1,FALSE)))&lt;&gt;"",HLOOKUP(IF(BJ$3-VLOOKUP($A7,'détails investissements'!$A$71:$B$88,2,FALSE)&lt;=0,"",IF(VLOOKUP($A7,'détails investissements'!$A$26:$DE$43,BJ$3-VLOOKUP($A7,'détails investissements'!$A$71:$B$88,2,FALSE)+1,FALSE)="","",VLOOKUP($A7,'détails investissements'!$A$26:$DE$43,BJ$3-VLOOKUP($A7,'détails investissements'!$A$71:$B$88,2,FALSE)+1,FALSE))),'détails investissements'!$U$6:$AB$7,2,FALSE),"")&lt;&gt;"",VLOOKUP($A7,'détails investissements'!$A$7:$H$21,1+IF(IF(BJ$3-VLOOKUP($A7,'détails investissements'!$A$71:$B$88,2,FALSE)&lt;=0,"",IF(VLOOKUP($A7,'détails investissements'!$A$26:$DE$43,BJ$3-VLOOKUP($A7,'détails investissements'!$A$71:$B$88,2,FALSE)+1,FALSE)="","",VLOOKUP($A7,'détails investissements'!$A$26:$DE$43,BJ$3-VLOOKUP($A7,'détails investissements'!$A$71:$B$88,2,FALSE)+1,FALSE)))&lt;&gt;"",HLOOKUP(IF(BJ$3-VLOOKUP($A7,'détails investissements'!$A$71:$B$88,2,FALSE)&lt;=0,"",IF(VLOOKUP($A7,'détails investissements'!$A$26:$DE$43,BJ$3-VLOOKUP($A7,'détails investissements'!$A$71:$B$88,2,FALSE)+1,FALSE)="","",VLOOKUP($A7,'détails investissements'!$A$26:$DE$43,BJ$3-VLOOKUP($A7,'détails investissements'!$A$71:$B$88,2,FALSE)+1,FALSE))),'détails investissements'!$U$6:$AB$7,2,FALSE),""),FALSE),"")</f>
        <v/>
      </c>
      <c r="BK7" s="45" t="str">
        <f>IF(IF(IF(BK$3-VLOOKUP($A7,'détails investissements'!$A$71:$B$88,2,FALSE)&lt;=0,"",IF(VLOOKUP($A7,'détails investissements'!$A$26:$DE$43,BK$3-VLOOKUP($A7,'détails investissements'!$A$71:$B$88,2,FALSE)+1,FALSE)="","",VLOOKUP($A7,'détails investissements'!$A$26:$DE$43,BK$3-VLOOKUP($A7,'détails investissements'!$A$71:$B$88,2,FALSE)+1,FALSE)))&lt;&gt;"",HLOOKUP(IF(BK$3-VLOOKUP($A7,'détails investissements'!$A$71:$B$88,2,FALSE)&lt;=0,"",IF(VLOOKUP($A7,'détails investissements'!$A$26:$DE$43,BK$3-VLOOKUP($A7,'détails investissements'!$A$71:$B$88,2,FALSE)+1,FALSE)="","",VLOOKUP($A7,'détails investissements'!$A$26:$DE$43,BK$3-VLOOKUP($A7,'détails investissements'!$A$71:$B$88,2,FALSE)+1,FALSE))),'détails investissements'!$U$6:$AB$7,2,FALSE),"")&lt;&gt;"",VLOOKUP($A7,'détails investissements'!$A$7:$H$21,1+IF(IF(BK$3-VLOOKUP($A7,'détails investissements'!$A$71:$B$88,2,FALSE)&lt;=0,"",IF(VLOOKUP($A7,'détails investissements'!$A$26:$DE$43,BK$3-VLOOKUP($A7,'détails investissements'!$A$71:$B$88,2,FALSE)+1,FALSE)="","",VLOOKUP($A7,'détails investissements'!$A$26:$DE$43,BK$3-VLOOKUP($A7,'détails investissements'!$A$71:$B$88,2,FALSE)+1,FALSE)))&lt;&gt;"",HLOOKUP(IF(BK$3-VLOOKUP($A7,'détails investissements'!$A$71:$B$88,2,FALSE)&lt;=0,"",IF(VLOOKUP($A7,'détails investissements'!$A$26:$DE$43,BK$3-VLOOKUP($A7,'détails investissements'!$A$71:$B$88,2,FALSE)+1,FALSE)="","",VLOOKUP($A7,'détails investissements'!$A$26:$DE$43,BK$3-VLOOKUP($A7,'détails investissements'!$A$71:$B$88,2,FALSE)+1,FALSE))),'détails investissements'!$U$6:$AB$7,2,FALSE),""),FALSE),"")</f>
        <v/>
      </c>
      <c r="BL7" s="45" t="str">
        <f>IF(IF(IF(BL$3-VLOOKUP($A7,'détails investissements'!$A$71:$B$88,2,FALSE)&lt;=0,"",IF(VLOOKUP($A7,'détails investissements'!$A$26:$DE$43,BL$3-VLOOKUP($A7,'détails investissements'!$A$71:$B$88,2,FALSE)+1,FALSE)="","",VLOOKUP($A7,'détails investissements'!$A$26:$DE$43,BL$3-VLOOKUP($A7,'détails investissements'!$A$71:$B$88,2,FALSE)+1,FALSE)))&lt;&gt;"",HLOOKUP(IF(BL$3-VLOOKUP($A7,'détails investissements'!$A$71:$B$88,2,FALSE)&lt;=0,"",IF(VLOOKUP($A7,'détails investissements'!$A$26:$DE$43,BL$3-VLOOKUP($A7,'détails investissements'!$A$71:$B$88,2,FALSE)+1,FALSE)="","",VLOOKUP($A7,'détails investissements'!$A$26:$DE$43,BL$3-VLOOKUP($A7,'détails investissements'!$A$71:$B$88,2,FALSE)+1,FALSE))),'détails investissements'!$U$6:$AB$7,2,FALSE),"")&lt;&gt;"",VLOOKUP($A7,'détails investissements'!$A$7:$H$21,1+IF(IF(BL$3-VLOOKUP($A7,'détails investissements'!$A$71:$B$88,2,FALSE)&lt;=0,"",IF(VLOOKUP($A7,'détails investissements'!$A$26:$DE$43,BL$3-VLOOKUP($A7,'détails investissements'!$A$71:$B$88,2,FALSE)+1,FALSE)="","",VLOOKUP($A7,'détails investissements'!$A$26:$DE$43,BL$3-VLOOKUP($A7,'détails investissements'!$A$71:$B$88,2,FALSE)+1,FALSE)))&lt;&gt;"",HLOOKUP(IF(BL$3-VLOOKUP($A7,'détails investissements'!$A$71:$B$88,2,FALSE)&lt;=0,"",IF(VLOOKUP($A7,'détails investissements'!$A$26:$DE$43,BL$3-VLOOKUP($A7,'détails investissements'!$A$71:$B$88,2,FALSE)+1,FALSE)="","",VLOOKUP($A7,'détails investissements'!$A$26:$DE$43,BL$3-VLOOKUP($A7,'détails investissements'!$A$71:$B$88,2,FALSE)+1,FALSE))),'détails investissements'!$U$6:$AB$7,2,FALSE),""),FALSE),"")</f>
        <v/>
      </c>
      <c r="BM7" s="45" t="str">
        <f>IF(IF(IF(BM$3-VLOOKUP($A7,'détails investissements'!$A$71:$B$88,2,FALSE)&lt;=0,"",IF(VLOOKUP($A7,'détails investissements'!$A$26:$DE$43,BM$3-VLOOKUP($A7,'détails investissements'!$A$71:$B$88,2,FALSE)+1,FALSE)="","",VLOOKUP($A7,'détails investissements'!$A$26:$DE$43,BM$3-VLOOKUP($A7,'détails investissements'!$A$71:$B$88,2,FALSE)+1,FALSE)))&lt;&gt;"",HLOOKUP(IF(BM$3-VLOOKUP($A7,'détails investissements'!$A$71:$B$88,2,FALSE)&lt;=0,"",IF(VLOOKUP($A7,'détails investissements'!$A$26:$DE$43,BM$3-VLOOKUP($A7,'détails investissements'!$A$71:$B$88,2,FALSE)+1,FALSE)="","",VLOOKUP($A7,'détails investissements'!$A$26:$DE$43,BM$3-VLOOKUP($A7,'détails investissements'!$A$71:$B$88,2,FALSE)+1,FALSE))),'détails investissements'!$U$6:$AB$7,2,FALSE),"")&lt;&gt;"",VLOOKUP($A7,'détails investissements'!$A$7:$H$21,1+IF(IF(BM$3-VLOOKUP($A7,'détails investissements'!$A$71:$B$88,2,FALSE)&lt;=0,"",IF(VLOOKUP($A7,'détails investissements'!$A$26:$DE$43,BM$3-VLOOKUP($A7,'détails investissements'!$A$71:$B$88,2,FALSE)+1,FALSE)="","",VLOOKUP($A7,'détails investissements'!$A$26:$DE$43,BM$3-VLOOKUP($A7,'détails investissements'!$A$71:$B$88,2,FALSE)+1,FALSE)))&lt;&gt;"",HLOOKUP(IF(BM$3-VLOOKUP($A7,'détails investissements'!$A$71:$B$88,2,FALSE)&lt;=0,"",IF(VLOOKUP($A7,'détails investissements'!$A$26:$DE$43,BM$3-VLOOKUP($A7,'détails investissements'!$A$71:$B$88,2,FALSE)+1,FALSE)="","",VLOOKUP($A7,'détails investissements'!$A$26:$DE$43,BM$3-VLOOKUP($A7,'détails investissements'!$A$71:$B$88,2,FALSE)+1,FALSE))),'détails investissements'!$U$6:$AB$7,2,FALSE),""),FALSE),"")</f>
        <v/>
      </c>
      <c r="BN7" s="45" t="str">
        <f>IF(IF(IF(BN$3-VLOOKUP($A7,'détails investissements'!$A$71:$B$88,2,FALSE)&lt;=0,"",IF(VLOOKUP($A7,'détails investissements'!$A$26:$DE$43,BN$3-VLOOKUP($A7,'détails investissements'!$A$71:$B$88,2,FALSE)+1,FALSE)="","",VLOOKUP($A7,'détails investissements'!$A$26:$DE$43,BN$3-VLOOKUP($A7,'détails investissements'!$A$71:$B$88,2,FALSE)+1,FALSE)))&lt;&gt;"",HLOOKUP(IF(BN$3-VLOOKUP($A7,'détails investissements'!$A$71:$B$88,2,FALSE)&lt;=0,"",IF(VLOOKUP($A7,'détails investissements'!$A$26:$DE$43,BN$3-VLOOKUP($A7,'détails investissements'!$A$71:$B$88,2,FALSE)+1,FALSE)="","",VLOOKUP($A7,'détails investissements'!$A$26:$DE$43,BN$3-VLOOKUP($A7,'détails investissements'!$A$71:$B$88,2,FALSE)+1,FALSE))),'détails investissements'!$U$6:$AB$7,2,FALSE),"")&lt;&gt;"",VLOOKUP($A7,'détails investissements'!$A$7:$H$21,1+IF(IF(BN$3-VLOOKUP($A7,'détails investissements'!$A$71:$B$88,2,FALSE)&lt;=0,"",IF(VLOOKUP($A7,'détails investissements'!$A$26:$DE$43,BN$3-VLOOKUP($A7,'détails investissements'!$A$71:$B$88,2,FALSE)+1,FALSE)="","",VLOOKUP($A7,'détails investissements'!$A$26:$DE$43,BN$3-VLOOKUP($A7,'détails investissements'!$A$71:$B$88,2,FALSE)+1,FALSE)))&lt;&gt;"",HLOOKUP(IF(BN$3-VLOOKUP($A7,'détails investissements'!$A$71:$B$88,2,FALSE)&lt;=0,"",IF(VLOOKUP($A7,'détails investissements'!$A$26:$DE$43,BN$3-VLOOKUP($A7,'détails investissements'!$A$71:$B$88,2,FALSE)+1,FALSE)="","",VLOOKUP($A7,'détails investissements'!$A$26:$DE$43,BN$3-VLOOKUP($A7,'détails investissements'!$A$71:$B$88,2,FALSE)+1,FALSE))),'détails investissements'!$U$6:$AB$7,2,FALSE),""),FALSE),"")</f>
        <v/>
      </c>
      <c r="BO7" s="45" t="str">
        <f>IF(IF(IF(BO$3-VLOOKUP($A7,'détails investissements'!$A$71:$B$88,2,FALSE)&lt;=0,"",IF(VLOOKUP($A7,'détails investissements'!$A$26:$DE$43,BO$3-VLOOKUP($A7,'détails investissements'!$A$71:$B$88,2,FALSE)+1,FALSE)="","",VLOOKUP($A7,'détails investissements'!$A$26:$DE$43,BO$3-VLOOKUP($A7,'détails investissements'!$A$71:$B$88,2,FALSE)+1,FALSE)))&lt;&gt;"",HLOOKUP(IF(BO$3-VLOOKUP($A7,'détails investissements'!$A$71:$B$88,2,FALSE)&lt;=0,"",IF(VLOOKUP($A7,'détails investissements'!$A$26:$DE$43,BO$3-VLOOKUP($A7,'détails investissements'!$A$71:$B$88,2,FALSE)+1,FALSE)="","",VLOOKUP($A7,'détails investissements'!$A$26:$DE$43,BO$3-VLOOKUP($A7,'détails investissements'!$A$71:$B$88,2,FALSE)+1,FALSE))),'détails investissements'!$U$6:$AB$7,2,FALSE),"")&lt;&gt;"",VLOOKUP($A7,'détails investissements'!$A$7:$H$21,1+IF(IF(BO$3-VLOOKUP($A7,'détails investissements'!$A$71:$B$88,2,FALSE)&lt;=0,"",IF(VLOOKUP($A7,'détails investissements'!$A$26:$DE$43,BO$3-VLOOKUP($A7,'détails investissements'!$A$71:$B$88,2,FALSE)+1,FALSE)="","",VLOOKUP($A7,'détails investissements'!$A$26:$DE$43,BO$3-VLOOKUP($A7,'détails investissements'!$A$71:$B$88,2,FALSE)+1,FALSE)))&lt;&gt;"",HLOOKUP(IF(BO$3-VLOOKUP($A7,'détails investissements'!$A$71:$B$88,2,FALSE)&lt;=0,"",IF(VLOOKUP($A7,'détails investissements'!$A$26:$DE$43,BO$3-VLOOKUP($A7,'détails investissements'!$A$71:$B$88,2,FALSE)+1,FALSE)="","",VLOOKUP($A7,'détails investissements'!$A$26:$DE$43,BO$3-VLOOKUP($A7,'détails investissements'!$A$71:$B$88,2,FALSE)+1,FALSE))),'détails investissements'!$U$6:$AB$7,2,FALSE),""),FALSE),"")</f>
        <v/>
      </c>
      <c r="BP7" s="45" t="str">
        <f>IF(IF(IF(BP$3-VLOOKUP($A7,'détails investissements'!$A$71:$B$88,2,FALSE)&lt;=0,"",IF(VLOOKUP($A7,'détails investissements'!$A$26:$DE$43,BP$3-VLOOKUP($A7,'détails investissements'!$A$71:$B$88,2,FALSE)+1,FALSE)="","",VLOOKUP($A7,'détails investissements'!$A$26:$DE$43,BP$3-VLOOKUP($A7,'détails investissements'!$A$71:$B$88,2,FALSE)+1,FALSE)))&lt;&gt;"",HLOOKUP(IF(BP$3-VLOOKUP($A7,'détails investissements'!$A$71:$B$88,2,FALSE)&lt;=0,"",IF(VLOOKUP($A7,'détails investissements'!$A$26:$DE$43,BP$3-VLOOKUP($A7,'détails investissements'!$A$71:$B$88,2,FALSE)+1,FALSE)="","",VLOOKUP($A7,'détails investissements'!$A$26:$DE$43,BP$3-VLOOKUP($A7,'détails investissements'!$A$71:$B$88,2,FALSE)+1,FALSE))),'détails investissements'!$U$6:$AB$7,2,FALSE),"")&lt;&gt;"",VLOOKUP($A7,'détails investissements'!$A$7:$H$21,1+IF(IF(BP$3-VLOOKUP($A7,'détails investissements'!$A$71:$B$88,2,FALSE)&lt;=0,"",IF(VLOOKUP($A7,'détails investissements'!$A$26:$DE$43,BP$3-VLOOKUP($A7,'détails investissements'!$A$71:$B$88,2,FALSE)+1,FALSE)="","",VLOOKUP($A7,'détails investissements'!$A$26:$DE$43,BP$3-VLOOKUP($A7,'détails investissements'!$A$71:$B$88,2,FALSE)+1,FALSE)))&lt;&gt;"",HLOOKUP(IF(BP$3-VLOOKUP($A7,'détails investissements'!$A$71:$B$88,2,FALSE)&lt;=0,"",IF(VLOOKUP($A7,'détails investissements'!$A$26:$DE$43,BP$3-VLOOKUP($A7,'détails investissements'!$A$71:$B$88,2,FALSE)+1,FALSE)="","",VLOOKUP($A7,'détails investissements'!$A$26:$DE$43,BP$3-VLOOKUP($A7,'détails investissements'!$A$71:$B$88,2,FALSE)+1,FALSE))),'détails investissements'!$U$6:$AB$7,2,FALSE),""),FALSE),"")</f>
        <v/>
      </c>
      <c r="BQ7" s="45" t="str">
        <f>IF(IF(IF(BQ$3-VLOOKUP($A7,'détails investissements'!$A$71:$B$88,2,FALSE)&lt;=0,"",IF(VLOOKUP($A7,'détails investissements'!$A$26:$DE$43,BQ$3-VLOOKUP($A7,'détails investissements'!$A$71:$B$88,2,FALSE)+1,FALSE)="","",VLOOKUP($A7,'détails investissements'!$A$26:$DE$43,BQ$3-VLOOKUP($A7,'détails investissements'!$A$71:$B$88,2,FALSE)+1,FALSE)))&lt;&gt;"",HLOOKUP(IF(BQ$3-VLOOKUP($A7,'détails investissements'!$A$71:$B$88,2,FALSE)&lt;=0,"",IF(VLOOKUP($A7,'détails investissements'!$A$26:$DE$43,BQ$3-VLOOKUP($A7,'détails investissements'!$A$71:$B$88,2,FALSE)+1,FALSE)="","",VLOOKUP($A7,'détails investissements'!$A$26:$DE$43,BQ$3-VLOOKUP($A7,'détails investissements'!$A$71:$B$88,2,FALSE)+1,FALSE))),'détails investissements'!$U$6:$AB$7,2,FALSE),"")&lt;&gt;"",VLOOKUP($A7,'détails investissements'!$A$7:$H$21,1+IF(IF(BQ$3-VLOOKUP($A7,'détails investissements'!$A$71:$B$88,2,FALSE)&lt;=0,"",IF(VLOOKUP($A7,'détails investissements'!$A$26:$DE$43,BQ$3-VLOOKUP($A7,'détails investissements'!$A$71:$B$88,2,FALSE)+1,FALSE)="","",VLOOKUP($A7,'détails investissements'!$A$26:$DE$43,BQ$3-VLOOKUP($A7,'détails investissements'!$A$71:$B$88,2,FALSE)+1,FALSE)))&lt;&gt;"",HLOOKUP(IF(BQ$3-VLOOKUP($A7,'détails investissements'!$A$71:$B$88,2,FALSE)&lt;=0,"",IF(VLOOKUP($A7,'détails investissements'!$A$26:$DE$43,BQ$3-VLOOKUP($A7,'détails investissements'!$A$71:$B$88,2,FALSE)+1,FALSE)="","",VLOOKUP($A7,'détails investissements'!$A$26:$DE$43,BQ$3-VLOOKUP($A7,'détails investissements'!$A$71:$B$88,2,FALSE)+1,FALSE))),'détails investissements'!$U$6:$AB$7,2,FALSE),""),FALSE),"")</f>
        <v/>
      </c>
      <c r="BR7" s="45" t="str">
        <f>IF(IF(IF(BR$3-VLOOKUP($A7,'détails investissements'!$A$71:$B$88,2,FALSE)&lt;=0,"",IF(VLOOKUP($A7,'détails investissements'!$A$26:$DE$43,BR$3-VLOOKUP($A7,'détails investissements'!$A$71:$B$88,2,FALSE)+1,FALSE)="","",VLOOKUP($A7,'détails investissements'!$A$26:$DE$43,BR$3-VLOOKUP($A7,'détails investissements'!$A$71:$B$88,2,FALSE)+1,FALSE)))&lt;&gt;"",HLOOKUP(IF(BR$3-VLOOKUP($A7,'détails investissements'!$A$71:$B$88,2,FALSE)&lt;=0,"",IF(VLOOKUP($A7,'détails investissements'!$A$26:$DE$43,BR$3-VLOOKUP($A7,'détails investissements'!$A$71:$B$88,2,FALSE)+1,FALSE)="","",VLOOKUP($A7,'détails investissements'!$A$26:$DE$43,BR$3-VLOOKUP($A7,'détails investissements'!$A$71:$B$88,2,FALSE)+1,FALSE))),'détails investissements'!$U$6:$AB$7,2,FALSE),"")&lt;&gt;"",VLOOKUP($A7,'détails investissements'!$A$7:$H$21,1+IF(IF(BR$3-VLOOKUP($A7,'détails investissements'!$A$71:$B$88,2,FALSE)&lt;=0,"",IF(VLOOKUP($A7,'détails investissements'!$A$26:$DE$43,BR$3-VLOOKUP($A7,'détails investissements'!$A$71:$B$88,2,FALSE)+1,FALSE)="","",VLOOKUP($A7,'détails investissements'!$A$26:$DE$43,BR$3-VLOOKUP($A7,'détails investissements'!$A$71:$B$88,2,FALSE)+1,FALSE)))&lt;&gt;"",HLOOKUP(IF(BR$3-VLOOKUP($A7,'détails investissements'!$A$71:$B$88,2,FALSE)&lt;=0,"",IF(VLOOKUP($A7,'détails investissements'!$A$26:$DE$43,BR$3-VLOOKUP($A7,'détails investissements'!$A$71:$B$88,2,FALSE)+1,FALSE)="","",VLOOKUP($A7,'détails investissements'!$A$26:$DE$43,BR$3-VLOOKUP($A7,'détails investissements'!$A$71:$B$88,2,FALSE)+1,FALSE))),'détails investissements'!$U$6:$AB$7,2,FALSE),""),FALSE),"")</f>
        <v/>
      </c>
      <c r="BS7" s="45" t="str">
        <f>IF(IF(IF(BS$3-VLOOKUP($A7,'détails investissements'!$A$71:$B$88,2,FALSE)&lt;=0,"",IF(VLOOKUP($A7,'détails investissements'!$A$26:$DE$43,BS$3-VLOOKUP($A7,'détails investissements'!$A$71:$B$88,2,FALSE)+1,FALSE)="","",VLOOKUP($A7,'détails investissements'!$A$26:$DE$43,BS$3-VLOOKUP($A7,'détails investissements'!$A$71:$B$88,2,FALSE)+1,FALSE)))&lt;&gt;"",HLOOKUP(IF(BS$3-VLOOKUP($A7,'détails investissements'!$A$71:$B$88,2,FALSE)&lt;=0,"",IF(VLOOKUP($A7,'détails investissements'!$A$26:$DE$43,BS$3-VLOOKUP($A7,'détails investissements'!$A$71:$B$88,2,FALSE)+1,FALSE)="","",VLOOKUP($A7,'détails investissements'!$A$26:$DE$43,BS$3-VLOOKUP($A7,'détails investissements'!$A$71:$B$88,2,FALSE)+1,FALSE))),'détails investissements'!$U$6:$AB$7,2,FALSE),"")&lt;&gt;"",VLOOKUP($A7,'détails investissements'!$A$7:$H$21,1+IF(IF(BS$3-VLOOKUP($A7,'détails investissements'!$A$71:$B$88,2,FALSE)&lt;=0,"",IF(VLOOKUP($A7,'détails investissements'!$A$26:$DE$43,BS$3-VLOOKUP($A7,'détails investissements'!$A$71:$B$88,2,FALSE)+1,FALSE)="","",VLOOKUP($A7,'détails investissements'!$A$26:$DE$43,BS$3-VLOOKUP($A7,'détails investissements'!$A$71:$B$88,2,FALSE)+1,FALSE)))&lt;&gt;"",HLOOKUP(IF(BS$3-VLOOKUP($A7,'détails investissements'!$A$71:$B$88,2,FALSE)&lt;=0,"",IF(VLOOKUP($A7,'détails investissements'!$A$26:$DE$43,BS$3-VLOOKUP($A7,'détails investissements'!$A$71:$B$88,2,FALSE)+1,FALSE)="","",VLOOKUP($A7,'détails investissements'!$A$26:$DE$43,BS$3-VLOOKUP($A7,'détails investissements'!$A$71:$B$88,2,FALSE)+1,FALSE))),'détails investissements'!$U$6:$AB$7,2,FALSE),""),FALSE),"")</f>
        <v/>
      </c>
      <c r="BT7" s="45" t="str">
        <f>IF(IF(IF(BT$3-VLOOKUP($A7,'détails investissements'!$A$71:$B$88,2,FALSE)&lt;=0,"",IF(VLOOKUP($A7,'détails investissements'!$A$26:$DE$43,BT$3-VLOOKUP($A7,'détails investissements'!$A$71:$B$88,2,FALSE)+1,FALSE)="","",VLOOKUP($A7,'détails investissements'!$A$26:$DE$43,BT$3-VLOOKUP($A7,'détails investissements'!$A$71:$B$88,2,FALSE)+1,FALSE)))&lt;&gt;"",HLOOKUP(IF(BT$3-VLOOKUP($A7,'détails investissements'!$A$71:$B$88,2,FALSE)&lt;=0,"",IF(VLOOKUP($A7,'détails investissements'!$A$26:$DE$43,BT$3-VLOOKUP($A7,'détails investissements'!$A$71:$B$88,2,FALSE)+1,FALSE)="","",VLOOKUP($A7,'détails investissements'!$A$26:$DE$43,BT$3-VLOOKUP($A7,'détails investissements'!$A$71:$B$88,2,FALSE)+1,FALSE))),'détails investissements'!$U$6:$AB$7,2,FALSE),"")&lt;&gt;"",VLOOKUP($A7,'détails investissements'!$A$7:$H$21,1+IF(IF(BT$3-VLOOKUP($A7,'détails investissements'!$A$71:$B$88,2,FALSE)&lt;=0,"",IF(VLOOKUP($A7,'détails investissements'!$A$26:$DE$43,BT$3-VLOOKUP($A7,'détails investissements'!$A$71:$B$88,2,FALSE)+1,FALSE)="","",VLOOKUP($A7,'détails investissements'!$A$26:$DE$43,BT$3-VLOOKUP($A7,'détails investissements'!$A$71:$B$88,2,FALSE)+1,FALSE)))&lt;&gt;"",HLOOKUP(IF(BT$3-VLOOKUP($A7,'détails investissements'!$A$71:$B$88,2,FALSE)&lt;=0,"",IF(VLOOKUP($A7,'détails investissements'!$A$26:$DE$43,BT$3-VLOOKUP($A7,'détails investissements'!$A$71:$B$88,2,FALSE)+1,FALSE)="","",VLOOKUP($A7,'détails investissements'!$A$26:$DE$43,BT$3-VLOOKUP($A7,'détails investissements'!$A$71:$B$88,2,FALSE)+1,FALSE))),'détails investissements'!$U$6:$AB$7,2,FALSE),""),FALSE),"")</f>
        <v/>
      </c>
      <c r="BU7" s="45" t="str">
        <f>IF(IF(IF(BU$3-VLOOKUP($A7,'détails investissements'!$A$71:$B$88,2,FALSE)&lt;=0,"",IF(VLOOKUP($A7,'détails investissements'!$A$26:$DE$43,BU$3-VLOOKUP($A7,'détails investissements'!$A$71:$B$88,2,FALSE)+1,FALSE)="","",VLOOKUP($A7,'détails investissements'!$A$26:$DE$43,BU$3-VLOOKUP($A7,'détails investissements'!$A$71:$B$88,2,FALSE)+1,FALSE)))&lt;&gt;"",HLOOKUP(IF(BU$3-VLOOKUP($A7,'détails investissements'!$A$71:$B$88,2,FALSE)&lt;=0,"",IF(VLOOKUP($A7,'détails investissements'!$A$26:$DE$43,BU$3-VLOOKUP($A7,'détails investissements'!$A$71:$B$88,2,FALSE)+1,FALSE)="","",VLOOKUP($A7,'détails investissements'!$A$26:$DE$43,BU$3-VLOOKUP($A7,'détails investissements'!$A$71:$B$88,2,FALSE)+1,FALSE))),'détails investissements'!$U$6:$AB$7,2,FALSE),"")&lt;&gt;"",VLOOKUP($A7,'détails investissements'!$A$7:$H$21,1+IF(IF(BU$3-VLOOKUP($A7,'détails investissements'!$A$71:$B$88,2,FALSE)&lt;=0,"",IF(VLOOKUP($A7,'détails investissements'!$A$26:$DE$43,BU$3-VLOOKUP($A7,'détails investissements'!$A$71:$B$88,2,FALSE)+1,FALSE)="","",VLOOKUP($A7,'détails investissements'!$A$26:$DE$43,BU$3-VLOOKUP($A7,'détails investissements'!$A$71:$B$88,2,FALSE)+1,FALSE)))&lt;&gt;"",HLOOKUP(IF(BU$3-VLOOKUP($A7,'détails investissements'!$A$71:$B$88,2,FALSE)&lt;=0,"",IF(VLOOKUP($A7,'détails investissements'!$A$26:$DE$43,BU$3-VLOOKUP($A7,'détails investissements'!$A$71:$B$88,2,FALSE)+1,FALSE)="","",VLOOKUP($A7,'détails investissements'!$A$26:$DE$43,BU$3-VLOOKUP($A7,'détails investissements'!$A$71:$B$88,2,FALSE)+1,FALSE))),'détails investissements'!$U$6:$AB$7,2,FALSE),""),FALSE),"")</f>
        <v/>
      </c>
      <c r="BV7" s="45" t="str">
        <f>IF(IF(IF(BV$3-VLOOKUP($A7,'détails investissements'!$A$71:$B$88,2,FALSE)&lt;=0,"",IF(VLOOKUP($A7,'détails investissements'!$A$26:$DE$43,BV$3-VLOOKUP($A7,'détails investissements'!$A$71:$B$88,2,FALSE)+1,FALSE)="","",VLOOKUP($A7,'détails investissements'!$A$26:$DE$43,BV$3-VLOOKUP($A7,'détails investissements'!$A$71:$B$88,2,FALSE)+1,FALSE)))&lt;&gt;"",HLOOKUP(IF(BV$3-VLOOKUP($A7,'détails investissements'!$A$71:$B$88,2,FALSE)&lt;=0,"",IF(VLOOKUP($A7,'détails investissements'!$A$26:$DE$43,BV$3-VLOOKUP($A7,'détails investissements'!$A$71:$B$88,2,FALSE)+1,FALSE)="","",VLOOKUP($A7,'détails investissements'!$A$26:$DE$43,BV$3-VLOOKUP($A7,'détails investissements'!$A$71:$B$88,2,FALSE)+1,FALSE))),'détails investissements'!$U$6:$AB$7,2,FALSE),"")&lt;&gt;"",VLOOKUP($A7,'détails investissements'!$A$7:$H$21,1+IF(IF(BV$3-VLOOKUP($A7,'détails investissements'!$A$71:$B$88,2,FALSE)&lt;=0,"",IF(VLOOKUP($A7,'détails investissements'!$A$26:$DE$43,BV$3-VLOOKUP($A7,'détails investissements'!$A$71:$B$88,2,FALSE)+1,FALSE)="","",VLOOKUP($A7,'détails investissements'!$A$26:$DE$43,BV$3-VLOOKUP($A7,'détails investissements'!$A$71:$B$88,2,FALSE)+1,FALSE)))&lt;&gt;"",HLOOKUP(IF(BV$3-VLOOKUP($A7,'détails investissements'!$A$71:$B$88,2,FALSE)&lt;=0,"",IF(VLOOKUP($A7,'détails investissements'!$A$26:$DE$43,BV$3-VLOOKUP($A7,'détails investissements'!$A$71:$B$88,2,FALSE)+1,FALSE)="","",VLOOKUP($A7,'détails investissements'!$A$26:$DE$43,BV$3-VLOOKUP($A7,'détails investissements'!$A$71:$B$88,2,FALSE)+1,FALSE))),'détails investissements'!$U$6:$AB$7,2,FALSE),""),FALSE),"")</f>
        <v/>
      </c>
      <c r="BW7" s="45" t="str">
        <f>IF(IF(IF(BW$3-VLOOKUP($A7,'détails investissements'!$A$71:$B$88,2,FALSE)&lt;=0,"",IF(VLOOKUP($A7,'détails investissements'!$A$26:$DE$43,BW$3-VLOOKUP($A7,'détails investissements'!$A$71:$B$88,2,FALSE)+1,FALSE)="","",VLOOKUP($A7,'détails investissements'!$A$26:$DE$43,BW$3-VLOOKUP($A7,'détails investissements'!$A$71:$B$88,2,FALSE)+1,FALSE)))&lt;&gt;"",HLOOKUP(IF(BW$3-VLOOKUP($A7,'détails investissements'!$A$71:$B$88,2,FALSE)&lt;=0,"",IF(VLOOKUP($A7,'détails investissements'!$A$26:$DE$43,BW$3-VLOOKUP($A7,'détails investissements'!$A$71:$B$88,2,FALSE)+1,FALSE)="","",VLOOKUP($A7,'détails investissements'!$A$26:$DE$43,BW$3-VLOOKUP($A7,'détails investissements'!$A$71:$B$88,2,FALSE)+1,FALSE))),'détails investissements'!$U$6:$AB$7,2,FALSE),"")&lt;&gt;"",VLOOKUP($A7,'détails investissements'!$A$7:$H$21,1+IF(IF(BW$3-VLOOKUP($A7,'détails investissements'!$A$71:$B$88,2,FALSE)&lt;=0,"",IF(VLOOKUP($A7,'détails investissements'!$A$26:$DE$43,BW$3-VLOOKUP($A7,'détails investissements'!$A$71:$B$88,2,FALSE)+1,FALSE)="","",VLOOKUP($A7,'détails investissements'!$A$26:$DE$43,BW$3-VLOOKUP($A7,'détails investissements'!$A$71:$B$88,2,FALSE)+1,FALSE)))&lt;&gt;"",HLOOKUP(IF(BW$3-VLOOKUP($A7,'détails investissements'!$A$71:$B$88,2,FALSE)&lt;=0,"",IF(VLOOKUP($A7,'détails investissements'!$A$26:$DE$43,BW$3-VLOOKUP($A7,'détails investissements'!$A$71:$B$88,2,FALSE)+1,FALSE)="","",VLOOKUP($A7,'détails investissements'!$A$26:$DE$43,BW$3-VLOOKUP($A7,'détails investissements'!$A$71:$B$88,2,FALSE)+1,FALSE))),'détails investissements'!$U$6:$AB$7,2,FALSE),""),FALSE),"")</f>
        <v/>
      </c>
      <c r="BX7" s="45" t="str">
        <f>IF(IF(IF(BX$3-VLOOKUP($A7,'détails investissements'!$A$71:$B$88,2,FALSE)&lt;=0,"",IF(VLOOKUP($A7,'détails investissements'!$A$26:$DE$43,BX$3-VLOOKUP($A7,'détails investissements'!$A$71:$B$88,2,FALSE)+1,FALSE)="","",VLOOKUP($A7,'détails investissements'!$A$26:$DE$43,BX$3-VLOOKUP($A7,'détails investissements'!$A$71:$B$88,2,FALSE)+1,FALSE)))&lt;&gt;"",HLOOKUP(IF(BX$3-VLOOKUP($A7,'détails investissements'!$A$71:$B$88,2,FALSE)&lt;=0,"",IF(VLOOKUP($A7,'détails investissements'!$A$26:$DE$43,BX$3-VLOOKUP($A7,'détails investissements'!$A$71:$B$88,2,FALSE)+1,FALSE)="","",VLOOKUP($A7,'détails investissements'!$A$26:$DE$43,BX$3-VLOOKUP($A7,'détails investissements'!$A$71:$B$88,2,FALSE)+1,FALSE))),'détails investissements'!$U$6:$AB$7,2,FALSE),"")&lt;&gt;"",VLOOKUP($A7,'détails investissements'!$A$7:$H$21,1+IF(IF(BX$3-VLOOKUP($A7,'détails investissements'!$A$71:$B$88,2,FALSE)&lt;=0,"",IF(VLOOKUP($A7,'détails investissements'!$A$26:$DE$43,BX$3-VLOOKUP($A7,'détails investissements'!$A$71:$B$88,2,FALSE)+1,FALSE)="","",VLOOKUP($A7,'détails investissements'!$A$26:$DE$43,BX$3-VLOOKUP($A7,'détails investissements'!$A$71:$B$88,2,FALSE)+1,FALSE)))&lt;&gt;"",HLOOKUP(IF(BX$3-VLOOKUP($A7,'détails investissements'!$A$71:$B$88,2,FALSE)&lt;=0,"",IF(VLOOKUP($A7,'détails investissements'!$A$26:$DE$43,BX$3-VLOOKUP($A7,'détails investissements'!$A$71:$B$88,2,FALSE)+1,FALSE)="","",VLOOKUP($A7,'détails investissements'!$A$26:$DE$43,BX$3-VLOOKUP($A7,'détails investissements'!$A$71:$B$88,2,FALSE)+1,FALSE))),'détails investissements'!$U$6:$AB$7,2,FALSE),""),FALSE),"")</f>
        <v/>
      </c>
      <c r="BY7" s="45" t="str">
        <f>IF(IF(IF(BY$3-VLOOKUP($A7,'détails investissements'!$A$71:$B$88,2,FALSE)&lt;=0,"",IF(VLOOKUP($A7,'détails investissements'!$A$26:$DE$43,BY$3-VLOOKUP($A7,'détails investissements'!$A$71:$B$88,2,FALSE)+1,FALSE)="","",VLOOKUP($A7,'détails investissements'!$A$26:$DE$43,BY$3-VLOOKUP($A7,'détails investissements'!$A$71:$B$88,2,FALSE)+1,FALSE)))&lt;&gt;"",HLOOKUP(IF(BY$3-VLOOKUP($A7,'détails investissements'!$A$71:$B$88,2,FALSE)&lt;=0,"",IF(VLOOKUP($A7,'détails investissements'!$A$26:$DE$43,BY$3-VLOOKUP($A7,'détails investissements'!$A$71:$B$88,2,FALSE)+1,FALSE)="","",VLOOKUP($A7,'détails investissements'!$A$26:$DE$43,BY$3-VLOOKUP($A7,'détails investissements'!$A$71:$B$88,2,FALSE)+1,FALSE))),'détails investissements'!$U$6:$AB$7,2,FALSE),"")&lt;&gt;"",VLOOKUP($A7,'détails investissements'!$A$7:$H$21,1+IF(IF(BY$3-VLOOKUP($A7,'détails investissements'!$A$71:$B$88,2,FALSE)&lt;=0,"",IF(VLOOKUP($A7,'détails investissements'!$A$26:$DE$43,BY$3-VLOOKUP($A7,'détails investissements'!$A$71:$B$88,2,FALSE)+1,FALSE)="","",VLOOKUP($A7,'détails investissements'!$A$26:$DE$43,BY$3-VLOOKUP($A7,'détails investissements'!$A$71:$B$88,2,FALSE)+1,FALSE)))&lt;&gt;"",HLOOKUP(IF(BY$3-VLOOKUP($A7,'détails investissements'!$A$71:$B$88,2,FALSE)&lt;=0,"",IF(VLOOKUP($A7,'détails investissements'!$A$26:$DE$43,BY$3-VLOOKUP($A7,'détails investissements'!$A$71:$B$88,2,FALSE)+1,FALSE)="","",VLOOKUP($A7,'détails investissements'!$A$26:$DE$43,BY$3-VLOOKUP($A7,'détails investissements'!$A$71:$B$88,2,FALSE)+1,FALSE))),'détails investissements'!$U$6:$AB$7,2,FALSE),""),FALSE),"")</f>
        <v/>
      </c>
      <c r="BZ7" s="45" t="str">
        <f>IF(IF(IF(BZ$3-VLOOKUP($A7,'détails investissements'!$A$71:$B$88,2,FALSE)&lt;=0,"",IF(VLOOKUP($A7,'détails investissements'!$A$26:$DE$43,BZ$3-VLOOKUP($A7,'détails investissements'!$A$71:$B$88,2,FALSE)+1,FALSE)="","",VLOOKUP($A7,'détails investissements'!$A$26:$DE$43,BZ$3-VLOOKUP($A7,'détails investissements'!$A$71:$B$88,2,FALSE)+1,FALSE)))&lt;&gt;"",HLOOKUP(IF(BZ$3-VLOOKUP($A7,'détails investissements'!$A$71:$B$88,2,FALSE)&lt;=0,"",IF(VLOOKUP($A7,'détails investissements'!$A$26:$DE$43,BZ$3-VLOOKUP($A7,'détails investissements'!$A$71:$B$88,2,FALSE)+1,FALSE)="","",VLOOKUP($A7,'détails investissements'!$A$26:$DE$43,BZ$3-VLOOKUP($A7,'détails investissements'!$A$71:$B$88,2,FALSE)+1,FALSE))),'détails investissements'!$U$6:$AB$7,2,FALSE),"")&lt;&gt;"",VLOOKUP($A7,'détails investissements'!$A$7:$H$21,1+IF(IF(BZ$3-VLOOKUP($A7,'détails investissements'!$A$71:$B$88,2,FALSE)&lt;=0,"",IF(VLOOKUP($A7,'détails investissements'!$A$26:$DE$43,BZ$3-VLOOKUP($A7,'détails investissements'!$A$71:$B$88,2,FALSE)+1,FALSE)="","",VLOOKUP($A7,'détails investissements'!$A$26:$DE$43,BZ$3-VLOOKUP($A7,'détails investissements'!$A$71:$B$88,2,FALSE)+1,FALSE)))&lt;&gt;"",HLOOKUP(IF(BZ$3-VLOOKUP($A7,'détails investissements'!$A$71:$B$88,2,FALSE)&lt;=0,"",IF(VLOOKUP($A7,'détails investissements'!$A$26:$DE$43,BZ$3-VLOOKUP($A7,'détails investissements'!$A$71:$B$88,2,FALSE)+1,FALSE)="","",VLOOKUP($A7,'détails investissements'!$A$26:$DE$43,BZ$3-VLOOKUP($A7,'détails investissements'!$A$71:$B$88,2,FALSE)+1,FALSE))),'détails investissements'!$U$6:$AB$7,2,FALSE),""),FALSE),"")</f>
        <v/>
      </c>
      <c r="CA7" s="45" t="str">
        <f>IF(IF(IF(CA$3-VLOOKUP($A7,'détails investissements'!$A$71:$B$88,2,FALSE)&lt;=0,"",IF(VLOOKUP($A7,'détails investissements'!$A$26:$DE$43,CA$3-VLOOKUP($A7,'détails investissements'!$A$71:$B$88,2,FALSE)+1,FALSE)="","",VLOOKUP($A7,'détails investissements'!$A$26:$DE$43,CA$3-VLOOKUP($A7,'détails investissements'!$A$71:$B$88,2,FALSE)+1,FALSE)))&lt;&gt;"",HLOOKUP(IF(CA$3-VLOOKUP($A7,'détails investissements'!$A$71:$B$88,2,FALSE)&lt;=0,"",IF(VLOOKUP($A7,'détails investissements'!$A$26:$DE$43,CA$3-VLOOKUP($A7,'détails investissements'!$A$71:$B$88,2,FALSE)+1,FALSE)="","",VLOOKUP($A7,'détails investissements'!$A$26:$DE$43,CA$3-VLOOKUP($A7,'détails investissements'!$A$71:$B$88,2,FALSE)+1,FALSE))),'détails investissements'!$U$6:$AB$7,2,FALSE),"")&lt;&gt;"",VLOOKUP($A7,'détails investissements'!$A$7:$H$21,1+IF(IF(CA$3-VLOOKUP($A7,'détails investissements'!$A$71:$B$88,2,FALSE)&lt;=0,"",IF(VLOOKUP($A7,'détails investissements'!$A$26:$DE$43,CA$3-VLOOKUP($A7,'détails investissements'!$A$71:$B$88,2,FALSE)+1,FALSE)="","",VLOOKUP($A7,'détails investissements'!$A$26:$DE$43,CA$3-VLOOKUP($A7,'détails investissements'!$A$71:$B$88,2,FALSE)+1,FALSE)))&lt;&gt;"",HLOOKUP(IF(CA$3-VLOOKUP($A7,'détails investissements'!$A$71:$B$88,2,FALSE)&lt;=0,"",IF(VLOOKUP($A7,'détails investissements'!$A$26:$DE$43,CA$3-VLOOKUP($A7,'détails investissements'!$A$71:$B$88,2,FALSE)+1,FALSE)="","",VLOOKUP($A7,'détails investissements'!$A$26:$DE$43,CA$3-VLOOKUP($A7,'détails investissements'!$A$71:$B$88,2,FALSE)+1,FALSE))),'détails investissements'!$U$6:$AB$7,2,FALSE),""),FALSE),"")</f>
        <v/>
      </c>
      <c r="CB7" s="45" t="str">
        <f>IF(IF(IF(CB$3-VLOOKUP($A7,'détails investissements'!$A$71:$B$88,2,FALSE)&lt;=0,"",IF(VLOOKUP($A7,'détails investissements'!$A$26:$DE$43,CB$3-VLOOKUP($A7,'détails investissements'!$A$71:$B$88,2,FALSE)+1,FALSE)="","",VLOOKUP($A7,'détails investissements'!$A$26:$DE$43,CB$3-VLOOKUP($A7,'détails investissements'!$A$71:$B$88,2,FALSE)+1,FALSE)))&lt;&gt;"",HLOOKUP(IF(CB$3-VLOOKUP($A7,'détails investissements'!$A$71:$B$88,2,FALSE)&lt;=0,"",IF(VLOOKUP($A7,'détails investissements'!$A$26:$DE$43,CB$3-VLOOKUP($A7,'détails investissements'!$A$71:$B$88,2,FALSE)+1,FALSE)="","",VLOOKUP($A7,'détails investissements'!$A$26:$DE$43,CB$3-VLOOKUP($A7,'détails investissements'!$A$71:$B$88,2,FALSE)+1,FALSE))),'détails investissements'!$U$6:$AB$7,2,FALSE),"")&lt;&gt;"",VLOOKUP($A7,'détails investissements'!$A$7:$H$21,1+IF(IF(CB$3-VLOOKUP($A7,'détails investissements'!$A$71:$B$88,2,FALSE)&lt;=0,"",IF(VLOOKUP($A7,'détails investissements'!$A$26:$DE$43,CB$3-VLOOKUP($A7,'détails investissements'!$A$71:$B$88,2,FALSE)+1,FALSE)="","",VLOOKUP($A7,'détails investissements'!$A$26:$DE$43,CB$3-VLOOKUP($A7,'détails investissements'!$A$71:$B$88,2,FALSE)+1,FALSE)))&lt;&gt;"",HLOOKUP(IF(CB$3-VLOOKUP($A7,'détails investissements'!$A$71:$B$88,2,FALSE)&lt;=0,"",IF(VLOOKUP($A7,'détails investissements'!$A$26:$DE$43,CB$3-VLOOKUP($A7,'détails investissements'!$A$71:$B$88,2,FALSE)+1,FALSE)="","",VLOOKUP($A7,'détails investissements'!$A$26:$DE$43,CB$3-VLOOKUP($A7,'détails investissements'!$A$71:$B$88,2,FALSE)+1,FALSE))),'détails investissements'!$U$6:$AB$7,2,FALSE),""),FALSE),"")</f>
        <v/>
      </c>
      <c r="CC7" s="45" t="str">
        <f>IF(IF(IF(CC$3-VLOOKUP($A7,'détails investissements'!$A$71:$B$88,2,FALSE)&lt;=0,"",IF(VLOOKUP($A7,'détails investissements'!$A$26:$DE$43,CC$3-VLOOKUP($A7,'détails investissements'!$A$71:$B$88,2,FALSE)+1,FALSE)="","",VLOOKUP($A7,'détails investissements'!$A$26:$DE$43,CC$3-VLOOKUP($A7,'détails investissements'!$A$71:$B$88,2,FALSE)+1,FALSE)))&lt;&gt;"",HLOOKUP(IF(CC$3-VLOOKUP($A7,'détails investissements'!$A$71:$B$88,2,FALSE)&lt;=0,"",IF(VLOOKUP($A7,'détails investissements'!$A$26:$DE$43,CC$3-VLOOKUP($A7,'détails investissements'!$A$71:$B$88,2,FALSE)+1,FALSE)="","",VLOOKUP($A7,'détails investissements'!$A$26:$DE$43,CC$3-VLOOKUP($A7,'détails investissements'!$A$71:$B$88,2,FALSE)+1,FALSE))),'détails investissements'!$U$6:$AB$7,2,FALSE),"")&lt;&gt;"",VLOOKUP($A7,'détails investissements'!$A$7:$H$21,1+IF(IF(CC$3-VLOOKUP($A7,'détails investissements'!$A$71:$B$88,2,FALSE)&lt;=0,"",IF(VLOOKUP($A7,'détails investissements'!$A$26:$DE$43,CC$3-VLOOKUP($A7,'détails investissements'!$A$71:$B$88,2,FALSE)+1,FALSE)="","",VLOOKUP($A7,'détails investissements'!$A$26:$DE$43,CC$3-VLOOKUP($A7,'détails investissements'!$A$71:$B$88,2,FALSE)+1,FALSE)))&lt;&gt;"",HLOOKUP(IF(CC$3-VLOOKUP($A7,'détails investissements'!$A$71:$B$88,2,FALSE)&lt;=0,"",IF(VLOOKUP($A7,'détails investissements'!$A$26:$DE$43,CC$3-VLOOKUP($A7,'détails investissements'!$A$71:$B$88,2,FALSE)+1,FALSE)="","",VLOOKUP($A7,'détails investissements'!$A$26:$DE$43,CC$3-VLOOKUP($A7,'détails investissements'!$A$71:$B$88,2,FALSE)+1,FALSE))),'détails investissements'!$U$6:$AB$7,2,FALSE),""),FALSE),"")</f>
        <v/>
      </c>
      <c r="CD7" s="45" t="str">
        <f>IF(IF(IF(CD$3-VLOOKUP($A7,'détails investissements'!$A$71:$B$88,2,FALSE)&lt;=0,"",IF(VLOOKUP($A7,'détails investissements'!$A$26:$DE$43,CD$3-VLOOKUP($A7,'détails investissements'!$A$71:$B$88,2,FALSE)+1,FALSE)="","",VLOOKUP($A7,'détails investissements'!$A$26:$DE$43,CD$3-VLOOKUP($A7,'détails investissements'!$A$71:$B$88,2,FALSE)+1,FALSE)))&lt;&gt;"",HLOOKUP(IF(CD$3-VLOOKUP($A7,'détails investissements'!$A$71:$B$88,2,FALSE)&lt;=0,"",IF(VLOOKUP($A7,'détails investissements'!$A$26:$DE$43,CD$3-VLOOKUP($A7,'détails investissements'!$A$71:$B$88,2,FALSE)+1,FALSE)="","",VLOOKUP($A7,'détails investissements'!$A$26:$DE$43,CD$3-VLOOKUP($A7,'détails investissements'!$A$71:$B$88,2,FALSE)+1,FALSE))),'détails investissements'!$U$6:$AB$7,2,FALSE),"")&lt;&gt;"",VLOOKUP($A7,'détails investissements'!$A$7:$H$21,1+IF(IF(CD$3-VLOOKUP($A7,'détails investissements'!$A$71:$B$88,2,FALSE)&lt;=0,"",IF(VLOOKUP($A7,'détails investissements'!$A$26:$DE$43,CD$3-VLOOKUP($A7,'détails investissements'!$A$71:$B$88,2,FALSE)+1,FALSE)="","",VLOOKUP($A7,'détails investissements'!$A$26:$DE$43,CD$3-VLOOKUP($A7,'détails investissements'!$A$71:$B$88,2,FALSE)+1,FALSE)))&lt;&gt;"",HLOOKUP(IF(CD$3-VLOOKUP($A7,'détails investissements'!$A$71:$B$88,2,FALSE)&lt;=0,"",IF(VLOOKUP($A7,'détails investissements'!$A$26:$DE$43,CD$3-VLOOKUP($A7,'détails investissements'!$A$71:$B$88,2,FALSE)+1,FALSE)="","",VLOOKUP($A7,'détails investissements'!$A$26:$DE$43,CD$3-VLOOKUP($A7,'détails investissements'!$A$71:$B$88,2,FALSE)+1,FALSE))),'détails investissements'!$U$6:$AB$7,2,FALSE),""),FALSE),"")</f>
        <v/>
      </c>
      <c r="CE7" s="45" t="str">
        <f>IF(IF(IF(CE$3-VLOOKUP($A7,'détails investissements'!$A$71:$B$88,2,FALSE)&lt;=0,"",IF(VLOOKUP($A7,'détails investissements'!$A$26:$DE$43,CE$3-VLOOKUP($A7,'détails investissements'!$A$71:$B$88,2,FALSE)+1,FALSE)="","",VLOOKUP($A7,'détails investissements'!$A$26:$DE$43,CE$3-VLOOKUP($A7,'détails investissements'!$A$71:$B$88,2,FALSE)+1,FALSE)))&lt;&gt;"",HLOOKUP(IF(CE$3-VLOOKUP($A7,'détails investissements'!$A$71:$B$88,2,FALSE)&lt;=0,"",IF(VLOOKUP($A7,'détails investissements'!$A$26:$DE$43,CE$3-VLOOKUP($A7,'détails investissements'!$A$71:$B$88,2,FALSE)+1,FALSE)="","",VLOOKUP($A7,'détails investissements'!$A$26:$DE$43,CE$3-VLOOKUP($A7,'détails investissements'!$A$71:$B$88,2,FALSE)+1,FALSE))),'détails investissements'!$U$6:$AB$7,2,FALSE),"")&lt;&gt;"",VLOOKUP($A7,'détails investissements'!$A$7:$H$21,1+IF(IF(CE$3-VLOOKUP($A7,'détails investissements'!$A$71:$B$88,2,FALSE)&lt;=0,"",IF(VLOOKUP($A7,'détails investissements'!$A$26:$DE$43,CE$3-VLOOKUP($A7,'détails investissements'!$A$71:$B$88,2,FALSE)+1,FALSE)="","",VLOOKUP($A7,'détails investissements'!$A$26:$DE$43,CE$3-VLOOKUP($A7,'détails investissements'!$A$71:$B$88,2,FALSE)+1,FALSE)))&lt;&gt;"",HLOOKUP(IF(CE$3-VLOOKUP($A7,'détails investissements'!$A$71:$B$88,2,FALSE)&lt;=0,"",IF(VLOOKUP($A7,'détails investissements'!$A$26:$DE$43,CE$3-VLOOKUP($A7,'détails investissements'!$A$71:$B$88,2,FALSE)+1,FALSE)="","",VLOOKUP($A7,'détails investissements'!$A$26:$DE$43,CE$3-VLOOKUP($A7,'détails investissements'!$A$71:$B$88,2,FALSE)+1,FALSE))),'détails investissements'!$U$6:$AB$7,2,FALSE),""),FALSE),"")</f>
        <v/>
      </c>
      <c r="CF7" s="45" t="str">
        <f>IF(IF(IF(CF$3-VLOOKUP($A7,'détails investissements'!$A$71:$B$88,2,FALSE)&lt;=0,"",IF(VLOOKUP($A7,'détails investissements'!$A$26:$DE$43,CF$3-VLOOKUP($A7,'détails investissements'!$A$71:$B$88,2,FALSE)+1,FALSE)="","",VLOOKUP($A7,'détails investissements'!$A$26:$DE$43,CF$3-VLOOKUP($A7,'détails investissements'!$A$71:$B$88,2,FALSE)+1,FALSE)))&lt;&gt;"",HLOOKUP(IF(CF$3-VLOOKUP($A7,'détails investissements'!$A$71:$B$88,2,FALSE)&lt;=0,"",IF(VLOOKUP($A7,'détails investissements'!$A$26:$DE$43,CF$3-VLOOKUP($A7,'détails investissements'!$A$71:$B$88,2,FALSE)+1,FALSE)="","",VLOOKUP($A7,'détails investissements'!$A$26:$DE$43,CF$3-VLOOKUP($A7,'détails investissements'!$A$71:$B$88,2,FALSE)+1,FALSE))),'détails investissements'!$U$6:$AB$7,2,FALSE),"")&lt;&gt;"",VLOOKUP($A7,'détails investissements'!$A$7:$H$21,1+IF(IF(CF$3-VLOOKUP($A7,'détails investissements'!$A$71:$B$88,2,FALSE)&lt;=0,"",IF(VLOOKUP($A7,'détails investissements'!$A$26:$DE$43,CF$3-VLOOKUP($A7,'détails investissements'!$A$71:$B$88,2,FALSE)+1,FALSE)="","",VLOOKUP($A7,'détails investissements'!$A$26:$DE$43,CF$3-VLOOKUP($A7,'détails investissements'!$A$71:$B$88,2,FALSE)+1,FALSE)))&lt;&gt;"",HLOOKUP(IF(CF$3-VLOOKUP($A7,'détails investissements'!$A$71:$B$88,2,FALSE)&lt;=0,"",IF(VLOOKUP($A7,'détails investissements'!$A$26:$DE$43,CF$3-VLOOKUP($A7,'détails investissements'!$A$71:$B$88,2,FALSE)+1,FALSE)="","",VLOOKUP($A7,'détails investissements'!$A$26:$DE$43,CF$3-VLOOKUP($A7,'détails investissements'!$A$71:$B$88,2,FALSE)+1,FALSE))),'détails investissements'!$U$6:$AB$7,2,FALSE),""),FALSE),"")</f>
        <v/>
      </c>
      <c r="CG7" s="45" t="str">
        <f>IF(IF(IF(CG$3-VLOOKUP($A7,'détails investissements'!$A$71:$B$88,2,FALSE)&lt;=0,"",IF(VLOOKUP($A7,'détails investissements'!$A$26:$DE$43,CG$3-VLOOKUP($A7,'détails investissements'!$A$71:$B$88,2,FALSE)+1,FALSE)="","",VLOOKUP($A7,'détails investissements'!$A$26:$DE$43,CG$3-VLOOKUP($A7,'détails investissements'!$A$71:$B$88,2,FALSE)+1,FALSE)))&lt;&gt;"",HLOOKUP(IF(CG$3-VLOOKUP($A7,'détails investissements'!$A$71:$B$88,2,FALSE)&lt;=0,"",IF(VLOOKUP($A7,'détails investissements'!$A$26:$DE$43,CG$3-VLOOKUP($A7,'détails investissements'!$A$71:$B$88,2,FALSE)+1,FALSE)="","",VLOOKUP($A7,'détails investissements'!$A$26:$DE$43,CG$3-VLOOKUP($A7,'détails investissements'!$A$71:$B$88,2,FALSE)+1,FALSE))),'détails investissements'!$U$6:$AB$7,2,FALSE),"")&lt;&gt;"",VLOOKUP($A7,'détails investissements'!$A$7:$H$21,1+IF(IF(CG$3-VLOOKUP($A7,'détails investissements'!$A$71:$B$88,2,FALSE)&lt;=0,"",IF(VLOOKUP($A7,'détails investissements'!$A$26:$DE$43,CG$3-VLOOKUP($A7,'détails investissements'!$A$71:$B$88,2,FALSE)+1,FALSE)="","",VLOOKUP($A7,'détails investissements'!$A$26:$DE$43,CG$3-VLOOKUP($A7,'détails investissements'!$A$71:$B$88,2,FALSE)+1,FALSE)))&lt;&gt;"",HLOOKUP(IF(CG$3-VLOOKUP($A7,'détails investissements'!$A$71:$B$88,2,FALSE)&lt;=0,"",IF(VLOOKUP($A7,'détails investissements'!$A$26:$DE$43,CG$3-VLOOKUP($A7,'détails investissements'!$A$71:$B$88,2,FALSE)+1,FALSE)="","",VLOOKUP($A7,'détails investissements'!$A$26:$DE$43,CG$3-VLOOKUP($A7,'détails investissements'!$A$71:$B$88,2,FALSE)+1,FALSE))),'détails investissements'!$U$6:$AB$7,2,FALSE),""),FALSE),"")</f>
        <v/>
      </c>
      <c r="CH7" s="45" t="str">
        <f>IF(IF(IF(CH$3-VLOOKUP($A7,'détails investissements'!$A$71:$B$88,2,FALSE)&lt;=0,"",IF(VLOOKUP($A7,'détails investissements'!$A$26:$DE$43,CH$3-VLOOKUP($A7,'détails investissements'!$A$71:$B$88,2,FALSE)+1,FALSE)="","",VLOOKUP($A7,'détails investissements'!$A$26:$DE$43,CH$3-VLOOKUP($A7,'détails investissements'!$A$71:$B$88,2,FALSE)+1,FALSE)))&lt;&gt;"",HLOOKUP(IF(CH$3-VLOOKUP($A7,'détails investissements'!$A$71:$B$88,2,FALSE)&lt;=0,"",IF(VLOOKUP($A7,'détails investissements'!$A$26:$DE$43,CH$3-VLOOKUP($A7,'détails investissements'!$A$71:$B$88,2,FALSE)+1,FALSE)="","",VLOOKUP($A7,'détails investissements'!$A$26:$DE$43,CH$3-VLOOKUP($A7,'détails investissements'!$A$71:$B$88,2,FALSE)+1,FALSE))),'détails investissements'!$U$6:$AB$7,2,FALSE),"")&lt;&gt;"",VLOOKUP($A7,'détails investissements'!$A$7:$H$21,1+IF(IF(CH$3-VLOOKUP($A7,'détails investissements'!$A$71:$B$88,2,FALSE)&lt;=0,"",IF(VLOOKUP($A7,'détails investissements'!$A$26:$DE$43,CH$3-VLOOKUP($A7,'détails investissements'!$A$71:$B$88,2,FALSE)+1,FALSE)="","",VLOOKUP($A7,'détails investissements'!$A$26:$DE$43,CH$3-VLOOKUP($A7,'détails investissements'!$A$71:$B$88,2,FALSE)+1,FALSE)))&lt;&gt;"",HLOOKUP(IF(CH$3-VLOOKUP($A7,'détails investissements'!$A$71:$B$88,2,FALSE)&lt;=0,"",IF(VLOOKUP($A7,'détails investissements'!$A$26:$DE$43,CH$3-VLOOKUP($A7,'détails investissements'!$A$71:$B$88,2,FALSE)+1,FALSE)="","",VLOOKUP($A7,'détails investissements'!$A$26:$DE$43,CH$3-VLOOKUP($A7,'détails investissements'!$A$71:$B$88,2,FALSE)+1,FALSE))),'détails investissements'!$U$6:$AB$7,2,FALSE),""),FALSE),"")</f>
        <v/>
      </c>
      <c r="CI7" s="45" t="str">
        <f>IF(IF(IF(CI$3-VLOOKUP($A7,'détails investissements'!$A$71:$B$88,2,FALSE)&lt;=0,"",IF(VLOOKUP($A7,'détails investissements'!$A$26:$DE$43,CI$3-VLOOKUP($A7,'détails investissements'!$A$71:$B$88,2,FALSE)+1,FALSE)="","",VLOOKUP($A7,'détails investissements'!$A$26:$DE$43,CI$3-VLOOKUP($A7,'détails investissements'!$A$71:$B$88,2,FALSE)+1,FALSE)))&lt;&gt;"",HLOOKUP(IF(CI$3-VLOOKUP($A7,'détails investissements'!$A$71:$B$88,2,FALSE)&lt;=0,"",IF(VLOOKUP($A7,'détails investissements'!$A$26:$DE$43,CI$3-VLOOKUP($A7,'détails investissements'!$A$71:$B$88,2,FALSE)+1,FALSE)="","",VLOOKUP($A7,'détails investissements'!$A$26:$DE$43,CI$3-VLOOKUP($A7,'détails investissements'!$A$71:$B$88,2,FALSE)+1,FALSE))),'détails investissements'!$U$6:$AB$7,2,FALSE),"")&lt;&gt;"",VLOOKUP($A7,'détails investissements'!$A$7:$H$21,1+IF(IF(CI$3-VLOOKUP($A7,'détails investissements'!$A$71:$B$88,2,FALSE)&lt;=0,"",IF(VLOOKUP($A7,'détails investissements'!$A$26:$DE$43,CI$3-VLOOKUP($A7,'détails investissements'!$A$71:$B$88,2,FALSE)+1,FALSE)="","",VLOOKUP($A7,'détails investissements'!$A$26:$DE$43,CI$3-VLOOKUP($A7,'détails investissements'!$A$71:$B$88,2,FALSE)+1,FALSE)))&lt;&gt;"",HLOOKUP(IF(CI$3-VLOOKUP($A7,'détails investissements'!$A$71:$B$88,2,FALSE)&lt;=0,"",IF(VLOOKUP($A7,'détails investissements'!$A$26:$DE$43,CI$3-VLOOKUP($A7,'détails investissements'!$A$71:$B$88,2,FALSE)+1,FALSE)="","",VLOOKUP($A7,'détails investissements'!$A$26:$DE$43,CI$3-VLOOKUP($A7,'détails investissements'!$A$71:$B$88,2,FALSE)+1,FALSE))),'détails investissements'!$U$6:$AB$7,2,FALSE),""),FALSE),"")</f>
        <v/>
      </c>
      <c r="CJ7" s="45" t="str">
        <f>IF(IF(IF(CJ$3-VLOOKUP($A7,'détails investissements'!$A$71:$B$88,2,FALSE)&lt;=0,"",IF(VLOOKUP($A7,'détails investissements'!$A$26:$DE$43,CJ$3-VLOOKUP($A7,'détails investissements'!$A$71:$B$88,2,FALSE)+1,FALSE)="","",VLOOKUP($A7,'détails investissements'!$A$26:$DE$43,CJ$3-VLOOKUP($A7,'détails investissements'!$A$71:$B$88,2,FALSE)+1,FALSE)))&lt;&gt;"",HLOOKUP(IF(CJ$3-VLOOKUP($A7,'détails investissements'!$A$71:$B$88,2,FALSE)&lt;=0,"",IF(VLOOKUP($A7,'détails investissements'!$A$26:$DE$43,CJ$3-VLOOKUP($A7,'détails investissements'!$A$71:$B$88,2,FALSE)+1,FALSE)="","",VLOOKUP($A7,'détails investissements'!$A$26:$DE$43,CJ$3-VLOOKUP($A7,'détails investissements'!$A$71:$B$88,2,FALSE)+1,FALSE))),'détails investissements'!$U$6:$AB$7,2,FALSE),"")&lt;&gt;"",VLOOKUP($A7,'détails investissements'!$A$7:$H$21,1+IF(IF(CJ$3-VLOOKUP($A7,'détails investissements'!$A$71:$B$88,2,FALSE)&lt;=0,"",IF(VLOOKUP($A7,'détails investissements'!$A$26:$DE$43,CJ$3-VLOOKUP($A7,'détails investissements'!$A$71:$B$88,2,FALSE)+1,FALSE)="","",VLOOKUP($A7,'détails investissements'!$A$26:$DE$43,CJ$3-VLOOKUP($A7,'détails investissements'!$A$71:$B$88,2,FALSE)+1,FALSE)))&lt;&gt;"",HLOOKUP(IF(CJ$3-VLOOKUP($A7,'détails investissements'!$A$71:$B$88,2,FALSE)&lt;=0,"",IF(VLOOKUP($A7,'détails investissements'!$A$26:$DE$43,CJ$3-VLOOKUP($A7,'détails investissements'!$A$71:$B$88,2,FALSE)+1,FALSE)="","",VLOOKUP($A7,'détails investissements'!$A$26:$DE$43,CJ$3-VLOOKUP($A7,'détails investissements'!$A$71:$B$88,2,FALSE)+1,FALSE))),'détails investissements'!$U$6:$AB$7,2,FALSE),""),FALSE),"")</f>
        <v/>
      </c>
      <c r="CK7" s="45" t="str">
        <f>IF(IF(IF(CK$3-VLOOKUP($A7,'détails investissements'!$A$71:$B$88,2,FALSE)&lt;=0,"",IF(VLOOKUP($A7,'détails investissements'!$A$26:$DE$43,CK$3-VLOOKUP($A7,'détails investissements'!$A$71:$B$88,2,FALSE)+1,FALSE)="","",VLOOKUP($A7,'détails investissements'!$A$26:$DE$43,CK$3-VLOOKUP($A7,'détails investissements'!$A$71:$B$88,2,FALSE)+1,FALSE)))&lt;&gt;"",HLOOKUP(IF(CK$3-VLOOKUP($A7,'détails investissements'!$A$71:$B$88,2,FALSE)&lt;=0,"",IF(VLOOKUP($A7,'détails investissements'!$A$26:$DE$43,CK$3-VLOOKUP($A7,'détails investissements'!$A$71:$B$88,2,FALSE)+1,FALSE)="","",VLOOKUP($A7,'détails investissements'!$A$26:$DE$43,CK$3-VLOOKUP($A7,'détails investissements'!$A$71:$B$88,2,FALSE)+1,FALSE))),'détails investissements'!$U$6:$AB$7,2,FALSE),"")&lt;&gt;"",VLOOKUP($A7,'détails investissements'!$A$7:$H$21,1+IF(IF(CK$3-VLOOKUP($A7,'détails investissements'!$A$71:$B$88,2,FALSE)&lt;=0,"",IF(VLOOKUP($A7,'détails investissements'!$A$26:$DE$43,CK$3-VLOOKUP($A7,'détails investissements'!$A$71:$B$88,2,FALSE)+1,FALSE)="","",VLOOKUP($A7,'détails investissements'!$A$26:$DE$43,CK$3-VLOOKUP($A7,'détails investissements'!$A$71:$B$88,2,FALSE)+1,FALSE)))&lt;&gt;"",HLOOKUP(IF(CK$3-VLOOKUP($A7,'détails investissements'!$A$71:$B$88,2,FALSE)&lt;=0,"",IF(VLOOKUP($A7,'détails investissements'!$A$26:$DE$43,CK$3-VLOOKUP($A7,'détails investissements'!$A$71:$B$88,2,FALSE)+1,FALSE)="","",VLOOKUP($A7,'détails investissements'!$A$26:$DE$43,CK$3-VLOOKUP($A7,'détails investissements'!$A$71:$B$88,2,FALSE)+1,FALSE))),'détails investissements'!$U$6:$AB$7,2,FALSE),""),FALSE),"")</f>
        <v/>
      </c>
      <c r="CL7" s="45" t="str">
        <f>IF(IF(IF(CL$3-VLOOKUP($A7,'détails investissements'!$A$71:$B$88,2,FALSE)&lt;=0,"",IF(VLOOKUP($A7,'détails investissements'!$A$26:$DE$43,CL$3-VLOOKUP($A7,'détails investissements'!$A$71:$B$88,2,FALSE)+1,FALSE)="","",VLOOKUP($A7,'détails investissements'!$A$26:$DE$43,CL$3-VLOOKUP($A7,'détails investissements'!$A$71:$B$88,2,FALSE)+1,FALSE)))&lt;&gt;"",HLOOKUP(IF(CL$3-VLOOKUP($A7,'détails investissements'!$A$71:$B$88,2,FALSE)&lt;=0,"",IF(VLOOKUP($A7,'détails investissements'!$A$26:$DE$43,CL$3-VLOOKUP($A7,'détails investissements'!$A$71:$B$88,2,FALSE)+1,FALSE)="","",VLOOKUP($A7,'détails investissements'!$A$26:$DE$43,CL$3-VLOOKUP($A7,'détails investissements'!$A$71:$B$88,2,FALSE)+1,FALSE))),'détails investissements'!$U$6:$AB$7,2,FALSE),"")&lt;&gt;"",VLOOKUP($A7,'détails investissements'!$A$7:$H$21,1+IF(IF(CL$3-VLOOKUP($A7,'détails investissements'!$A$71:$B$88,2,FALSE)&lt;=0,"",IF(VLOOKUP($A7,'détails investissements'!$A$26:$DE$43,CL$3-VLOOKUP($A7,'détails investissements'!$A$71:$B$88,2,FALSE)+1,FALSE)="","",VLOOKUP($A7,'détails investissements'!$A$26:$DE$43,CL$3-VLOOKUP($A7,'détails investissements'!$A$71:$B$88,2,FALSE)+1,FALSE)))&lt;&gt;"",HLOOKUP(IF(CL$3-VLOOKUP($A7,'détails investissements'!$A$71:$B$88,2,FALSE)&lt;=0,"",IF(VLOOKUP($A7,'détails investissements'!$A$26:$DE$43,CL$3-VLOOKUP($A7,'détails investissements'!$A$71:$B$88,2,FALSE)+1,FALSE)="","",VLOOKUP($A7,'détails investissements'!$A$26:$DE$43,CL$3-VLOOKUP($A7,'détails investissements'!$A$71:$B$88,2,FALSE)+1,FALSE))),'détails investissements'!$U$6:$AB$7,2,FALSE),""),FALSE),"")</f>
        <v/>
      </c>
      <c r="CM7" s="45" t="str">
        <f>IF(IF(IF(CM$3-VLOOKUP($A7,'détails investissements'!$A$71:$B$88,2,FALSE)&lt;=0,"",IF(VLOOKUP($A7,'détails investissements'!$A$26:$DE$43,CM$3-VLOOKUP($A7,'détails investissements'!$A$71:$B$88,2,FALSE)+1,FALSE)="","",VLOOKUP($A7,'détails investissements'!$A$26:$DE$43,CM$3-VLOOKUP($A7,'détails investissements'!$A$71:$B$88,2,FALSE)+1,FALSE)))&lt;&gt;"",HLOOKUP(IF(CM$3-VLOOKUP($A7,'détails investissements'!$A$71:$B$88,2,FALSE)&lt;=0,"",IF(VLOOKUP($A7,'détails investissements'!$A$26:$DE$43,CM$3-VLOOKUP($A7,'détails investissements'!$A$71:$B$88,2,FALSE)+1,FALSE)="","",VLOOKUP($A7,'détails investissements'!$A$26:$DE$43,CM$3-VLOOKUP($A7,'détails investissements'!$A$71:$B$88,2,FALSE)+1,FALSE))),'détails investissements'!$U$6:$AB$7,2,FALSE),"")&lt;&gt;"",VLOOKUP($A7,'détails investissements'!$A$7:$H$21,1+IF(IF(CM$3-VLOOKUP($A7,'détails investissements'!$A$71:$B$88,2,FALSE)&lt;=0,"",IF(VLOOKUP($A7,'détails investissements'!$A$26:$DE$43,CM$3-VLOOKUP($A7,'détails investissements'!$A$71:$B$88,2,FALSE)+1,FALSE)="","",VLOOKUP($A7,'détails investissements'!$A$26:$DE$43,CM$3-VLOOKUP($A7,'détails investissements'!$A$71:$B$88,2,FALSE)+1,FALSE)))&lt;&gt;"",HLOOKUP(IF(CM$3-VLOOKUP($A7,'détails investissements'!$A$71:$B$88,2,FALSE)&lt;=0,"",IF(VLOOKUP($A7,'détails investissements'!$A$26:$DE$43,CM$3-VLOOKUP($A7,'détails investissements'!$A$71:$B$88,2,FALSE)+1,FALSE)="","",VLOOKUP($A7,'détails investissements'!$A$26:$DE$43,CM$3-VLOOKUP($A7,'détails investissements'!$A$71:$B$88,2,FALSE)+1,FALSE))),'détails investissements'!$U$6:$AB$7,2,FALSE),""),FALSE),"")</f>
        <v/>
      </c>
      <c r="CN7" s="45" t="str">
        <f>IF(IF(IF(CN$3-VLOOKUP($A7,'détails investissements'!$A$71:$B$88,2,FALSE)&lt;=0,"",IF(VLOOKUP($A7,'détails investissements'!$A$26:$DE$43,CN$3-VLOOKUP($A7,'détails investissements'!$A$71:$B$88,2,FALSE)+1,FALSE)="","",VLOOKUP($A7,'détails investissements'!$A$26:$DE$43,CN$3-VLOOKUP($A7,'détails investissements'!$A$71:$B$88,2,FALSE)+1,FALSE)))&lt;&gt;"",HLOOKUP(IF(CN$3-VLOOKUP($A7,'détails investissements'!$A$71:$B$88,2,FALSE)&lt;=0,"",IF(VLOOKUP($A7,'détails investissements'!$A$26:$DE$43,CN$3-VLOOKUP($A7,'détails investissements'!$A$71:$B$88,2,FALSE)+1,FALSE)="","",VLOOKUP($A7,'détails investissements'!$A$26:$DE$43,CN$3-VLOOKUP($A7,'détails investissements'!$A$71:$B$88,2,FALSE)+1,FALSE))),'détails investissements'!$U$6:$AB$7,2,FALSE),"")&lt;&gt;"",VLOOKUP($A7,'détails investissements'!$A$7:$H$21,1+IF(IF(CN$3-VLOOKUP($A7,'détails investissements'!$A$71:$B$88,2,FALSE)&lt;=0,"",IF(VLOOKUP($A7,'détails investissements'!$A$26:$DE$43,CN$3-VLOOKUP($A7,'détails investissements'!$A$71:$B$88,2,FALSE)+1,FALSE)="","",VLOOKUP($A7,'détails investissements'!$A$26:$DE$43,CN$3-VLOOKUP($A7,'détails investissements'!$A$71:$B$88,2,FALSE)+1,FALSE)))&lt;&gt;"",HLOOKUP(IF(CN$3-VLOOKUP($A7,'détails investissements'!$A$71:$B$88,2,FALSE)&lt;=0,"",IF(VLOOKUP($A7,'détails investissements'!$A$26:$DE$43,CN$3-VLOOKUP($A7,'détails investissements'!$A$71:$B$88,2,FALSE)+1,FALSE)="","",VLOOKUP($A7,'détails investissements'!$A$26:$DE$43,CN$3-VLOOKUP($A7,'détails investissements'!$A$71:$B$88,2,FALSE)+1,FALSE))),'détails investissements'!$U$6:$AB$7,2,FALSE),""),FALSE),"")</f>
        <v/>
      </c>
      <c r="CO7" s="45" t="str">
        <f>IF(IF(IF(CO$3-VLOOKUP($A7,'détails investissements'!$A$71:$B$88,2,FALSE)&lt;=0,"",IF(VLOOKUP($A7,'détails investissements'!$A$26:$DE$43,CO$3-VLOOKUP($A7,'détails investissements'!$A$71:$B$88,2,FALSE)+1,FALSE)="","",VLOOKUP($A7,'détails investissements'!$A$26:$DE$43,CO$3-VLOOKUP($A7,'détails investissements'!$A$71:$B$88,2,FALSE)+1,FALSE)))&lt;&gt;"",HLOOKUP(IF(CO$3-VLOOKUP($A7,'détails investissements'!$A$71:$B$88,2,FALSE)&lt;=0,"",IF(VLOOKUP($A7,'détails investissements'!$A$26:$DE$43,CO$3-VLOOKUP($A7,'détails investissements'!$A$71:$B$88,2,FALSE)+1,FALSE)="","",VLOOKUP($A7,'détails investissements'!$A$26:$DE$43,CO$3-VLOOKUP($A7,'détails investissements'!$A$71:$B$88,2,FALSE)+1,FALSE))),'détails investissements'!$U$6:$AB$7,2,FALSE),"")&lt;&gt;"",VLOOKUP($A7,'détails investissements'!$A$7:$H$21,1+IF(IF(CO$3-VLOOKUP($A7,'détails investissements'!$A$71:$B$88,2,FALSE)&lt;=0,"",IF(VLOOKUP($A7,'détails investissements'!$A$26:$DE$43,CO$3-VLOOKUP($A7,'détails investissements'!$A$71:$B$88,2,FALSE)+1,FALSE)="","",VLOOKUP($A7,'détails investissements'!$A$26:$DE$43,CO$3-VLOOKUP($A7,'détails investissements'!$A$71:$B$88,2,FALSE)+1,FALSE)))&lt;&gt;"",HLOOKUP(IF(CO$3-VLOOKUP($A7,'détails investissements'!$A$71:$B$88,2,FALSE)&lt;=0,"",IF(VLOOKUP($A7,'détails investissements'!$A$26:$DE$43,CO$3-VLOOKUP($A7,'détails investissements'!$A$71:$B$88,2,FALSE)+1,FALSE)="","",VLOOKUP($A7,'détails investissements'!$A$26:$DE$43,CO$3-VLOOKUP($A7,'détails investissements'!$A$71:$B$88,2,FALSE)+1,FALSE))),'détails investissements'!$U$6:$AB$7,2,FALSE),""),FALSE),"")</f>
        <v/>
      </c>
      <c r="CP7" s="45" t="str">
        <f>IF(IF(IF(CP$3-VLOOKUP($A7,'détails investissements'!$A$71:$B$88,2,FALSE)&lt;=0,"",IF(VLOOKUP($A7,'détails investissements'!$A$26:$DE$43,CP$3-VLOOKUP($A7,'détails investissements'!$A$71:$B$88,2,FALSE)+1,FALSE)="","",VLOOKUP($A7,'détails investissements'!$A$26:$DE$43,CP$3-VLOOKUP($A7,'détails investissements'!$A$71:$B$88,2,FALSE)+1,FALSE)))&lt;&gt;"",HLOOKUP(IF(CP$3-VLOOKUP($A7,'détails investissements'!$A$71:$B$88,2,FALSE)&lt;=0,"",IF(VLOOKUP($A7,'détails investissements'!$A$26:$DE$43,CP$3-VLOOKUP($A7,'détails investissements'!$A$71:$B$88,2,FALSE)+1,FALSE)="","",VLOOKUP($A7,'détails investissements'!$A$26:$DE$43,CP$3-VLOOKUP($A7,'détails investissements'!$A$71:$B$88,2,FALSE)+1,FALSE))),'détails investissements'!$U$6:$AB$7,2,FALSE),"")&lt;&gt;"",VLOOKUP($A7,'détails investissements'!$A$7:$H$21,1+IF(IF(CP$3-VLOOKUP($A7,'détails investissements'!$A$71:$B$88,2,FALSE)&lt;=0,"",IF(VLOOKUP($A7,'détails investissements'!$A$26:$DE$43,CP$3-VLOOKUP($A7,'détails investissements'!$A$71:$B$88,2,FALSE)+1,FALSE)="","",VLOOKUP($A7,'détails investissements'!$A$26:$DE$43,CP$3-VLOOKUP($A7,'détails investissements'!$A$71:$B$88,2,FALSE)+1,FALSE)))&lt;&gt;"",HLOOKUP(IF(CP$3-VLOOKUP($A7,'détails investissements'!$A$71:$B$88,2,FALSE)&lt;=0,"",IF(VLOOKUP($A7,'détails investissements'!$A$26:$DE$43,CP$3-VLOOKUP($A7,'détails investissements'!$A$71:$B$88,2,FALSE)+1,FALSE)="","",VLOOKUP($A7,'détails investissements'!$A$26:$DE$43,CP$3-VLOOKUP($A7,'détails investissements'!$A$71:$B$88,2,FALSE)+1,FALSE))),'détails investissements'!$U$6:$AB$7,2,FALSE),""),FALSE),"")</f>
        <v/>
      </c>
      <c r="CQ7" s="45" t="str">
        <f>IF(IF(IF(CQ$3-VLOOKUP($A7,'détails investissements'!$A$71:$B$88,2,FALSE)&lt;=0,"",IF(VLOOKUP($A7,'détails investissements'!$A$26:$DE$43,CQ$3-VLOOKUP($A7,'détails investissements'!$A$71:$B$88,2,FALSE)+1,FALSE)="","",VLOOKUP($A7,'détails investissements'!$A$26:$DE$43,CQ$3-VLOOKUP($A7,'détails investissements'!$A$71:$B$88,2,FALSE)+1,FALSE)))&lt;&gt;"",HLOOKUP(IF(CQ$3-VLOOKUP($A7,'détails investissements'!$A$71:$B$88,2,FALSE)&lt;=0,"",IF(VLOOKUP($A7,'détails investissements'!$A$26:$DE$43,CQ$3-VLOOKUP($A7,'détails investissements'!$A$71:$B$88,2,FALSE)+1,FALSE)="","",VLOOKUP($A7,'détails investissements'!$A$26:$DE$43,CQ$3-VLOOKUP($A7,'détails investissements'!$A$71:$B$88,2,FALSE)+1,FALSE))),'détails investissements'!$U$6:$AB$7,2,FALSE),"")&lt;&gt;"",VLOOKUP($A7,'détails investissements'!$A$7:$H$21,1+IF(IF(CQ$3-VLOOKUP($A7,'détails investissements'!$A$71:$B$88,2,FALSE)&lt;=0,"",IF(VLOOKUP($A7,'détails investissements'!$A$26:$DE$43,CQ$3-VLOOKUP($A7,'détails investissements'!$A$71:$B$88,2,FALSE)+1,FALSE)="","",VLOOKUP($A7,'détails investissements'!$A$26:$DE$43,CQ$3-VLOOKUP($A7,'détails investissements'!$A$71:$B$88,2,FALSE)+1,FALSE)))&lt;&gt;"",HLOOKUP(IF(CQ$3-VLOOKUP($A7,'détails investissements'!$A$71:$B$88,2,FALSE)&lt;=0,"",IF(VLOOKUP($A7,'détails investissements'!$A$26:$DE$43,CQ$3-VLOOKUP($A7,'détails investissements'!$A$71:$B$88,2,FALSE)+1,FALSE)="","",VLOOKUP($A7,'détails investissements'!$A$26:$DE$43,CQ$3-VLOOKUP($A7,'détails investissements'!$A$71:$B$88,2,FALSE)+1,FALSE))),'détails investissements'!$U$6:$AB$7,2,FALSE),""),FALSE),"")</f>
        <v/>
      </c>
      <c r="CR7" s="45" t="str">
        <f>IF(IF(IF(CR$3-VLOOKUP($A7,'détails investissements'!$A$71:$B$88,2,FALSE)&lt;=0,"",IF(VLOOKUP($A7,'détails investissements'!$A$26:$DE$43,CR$3-VLOOKUP($A7,'détails investissements'!$A$71:$B$88,2,FALSE)+1,FALSE)="","",VLOOKUP($A7,'détails investissements'!$A$26:$DE$43,CR$3-VLOOKUP($A7,'détails investissements'!$A$71:$B$88,2,FALSE)+1,FALSE)))&lt;&gt;"",HLOOKUP(IF(CR$3-VLOOKUP($A7,'détails investissements'!$A$71:$B$88,2,FALSE)&lt;=0,"",IF(VLOOKUP($A7,'détails investissements'!$A$26:$DE$43,CR$3-VLOOKUP($A7,'détails investissements'!$A$71:$B$88,2,FALSE)+1,FALSE)="","",VLOOKUP($A7,'détails investissements'!$A$26:$DE$43,CR$3-VLOOKUP($A7,'détails investissements'!$A$71:$B$88,2,FALSE)+1,FALSE))),'détails investissements'!$U$6:$AB$7,2,FALSE),"")&lt;&gt;"",VLOOKUP($A7,'détails investissements'!$A$7:$H$21,1+IF(IF(CR$3-VLOOKUP($A7,'détails investissements'!$A$71:$B$88,2,FALSE)&lt;=0,"",IF(VLOOKUP($A7,'détails investissements'!$A$26:$DE$43,CR$3-VLOOKUP($A7,'détails investissements'!$A$71:$B$88,2,FALSE)+1,FALSE)="","",VLOOKUP($A7,'détails investissements'!$A$26:$DE$43,CR$3-VLOOKUP($A7,'détails investissements'!$A$71:$B$88,2,FALSE)+1,FALSE)))&lt;&gt;"",HLOOKUP(IF(CR$3-VLOOKUP($A7,'détails investissements'!$A$71:$B$88,2,FALSE)&lt;=0,"",IF(VLOOKUP($A7,'détails investissements'!$A$26:$DE$43,CR$3-VLOOKUP($A7,'détails investissements'!$A$71:$B$88,2,FALSE)+1,FALSE)="","",VLOOKUP($A7,'détails investissements'!$A$26:$DE$43,CR$3-VLOOKUP($A7,'détails investissements'!$A$71:$B$88,2,FALSE)+1,FALSE))),'détails investissements'!$U$6:$AB$7,2,FALSE),""),FALSE),"")</f>
        <v/>
      </c>
      <c r="CS7" s="45" t="str">
        <f>IF(IF(IF(CS$3-VLOOKUP($A7,'détails investissements'!$A$71:$B$88,2,FALSE)&lt;=0,"",IF(VLOOKUP($A7,'détails investissements'!$A$26:$DE$43,CS$3-VLOOKUP($A7,'détails investissements'!$A$71:$B$88,2,FALSE)+1,FALSE)="","",VLOOKUP($A7,'détails investissements'!$A$26:$DE$43,CS$3-VLOOKUP($A7,'détails investissements'!$A$71:$B$88,2,FALSE)+1,FALSE)))&lt;&gt;"",HLOOKUP(IF(CS$3-VLOOKUP($A7,'détails investissements'!$A$71:$B$88,2,FALSE)&lt;=0,"",IF(VLOOKUP($A7,'détails investissements'!$A$26:$DE$43,CS$3-VLOOKUP($A7,'détails investissements'!$A$71:$B$88,2,FALSE)+1,FALSE)="","",VLOOKUP($A7,'détails investissements'!$A$26:$DE$43,CS$3-VLOOKUP($A7,'détails investissements'!$A$71:$B$88,2,FALSE)+1,FALSE))),'détails investissements'!$U$6:$AB$7,2,FALSE),"")&lt;&gt;"",VLOOKUP($A7,'détails investissements'!$A$7:$H$21,1+IF(IF(CS$3-VLOOKUP($A7,'détails investissements'!$A$71:$B$88,2,FALSE)&lt;=0,"",IF(VLOOKUP($A7,'détails investissements'!$A$26:$DE$43,CS$3-VLOOKUP($A7,'détails investissements'!$A$71:$B$88,2,FALSE)+1,FALSE)="","",VLOOKUP($A7,'détails investissements'!$A$26:$DE$43,CS$3-VLOOKUP($A7,'détails investissements'!$A$71:$B$88,2,FALSE)+1,FALSE)))&lt;&gt;"",HLOOKUP(IF(CS$3-VLOOKUP($A7,'détails investissements'!$A$71:$B$88,2,FALSE)&lt;=0,"",IF(VLOOKUP($A7,'détails investissements'!$A$26:$DE$43,CS$3-VLOOKUP($A7,'détails investissements'!$A$71:$B$88,2,FALSE)+1,FALSE)="","",VLOOKUP($A7,'détails investissements'!$A$26:$DE$43,CS$3-VLOOKUP($A7,'détails investissements'!$A$71:$B$88,2,FALSE)+1,FALSE))),'détails investissements'!$U$6:$AB$7,2,FALSE),""),FALSE),"")</f>
        <v/>
      </c>
      <c r="CT7" s="45" t="str">
        <f>IF(IF(IF(CT$3-VLOOKUP($A7,'détails investissements'!$A$71:$B$88,2,FALSE)&lt;=0,"",IF(VLOOKUP($A7,'détails investissements'!$A$26:$DE$43,CT$3-VLOOKUP($A7,'détails investissements'!$A$71:$B$88,2,FALSE)+1,FALSE)="","",VLOOKUP($A7,'détails investissements'!$A$26:$DE$43,CT$3-VLOOKUP($A7,'détails investissements'!$A$71:$B$88,2,FALSE)+1,FALSE)))&lt;&gt;"",HLOOKUP(IF(CT$3-VLOOKUP($A7,'détails investissements'!$A$71:$B$88,2,FALSE)&lt;=0,"",IF(VLOOKUP($A7,'détails investissements'!$A$26:$DE$43,CT$3-VLOOKUP($A7,'détails investissements'!$A$71:$B$88,2,FALSE)+1,FALSE)="","",VLOOKUP($A7,'détails investissements'!$A$26:$DE$43,CT$3-VLOOKUP($A7,'détails investissements'!$A$71:$B$88,2,FALSE)+1,FALSE))),'détails investissements'!$U$6:$AB$7,2,FALSE),"")&lt;&gt;"",VLOOKUP($A7,'détails investissements'!$A$7:$H$21,1+IF(IF(CT$3-VLOOKUP($A7,'détails investissements'!$A$71:$B$88,2,FALSE)&lt;=0,"",IF(VLOOKUP($A7,'détails investissements'!$A$26:$DE$43,CT$3-VLOOKUP($A7,'détails investissements'!$A$71:$B$88,2,FALSE)+1,FALSE)="","",VLOOKUP($A7,'détails investissements'!$A$26:$DE$43,CT$3-VLOOKUP($A7,'détails investissements'!$A$71:$B$88,2,FALSE)+1,FALSE)))&lt;&gt;"",HLOOKUP(IF(CT$3-VLOOKUP($A7,'détails investissements'!$A$71:$B$88,2,FALSE)&lt;=0,"",IF(VLOOKUP($A7,'détails investissements'!$A$26:$DE$43,CT$3-VLOOKUP($A7,'détails investissements'!$A$71:$B$88,2,FALSE)+1,FALSE)="","",VLOOKUP($A7,'détails investissements'!$A$26:$DE$43,CT$3-VLOOKUP($A7,'détails investissements'!$A$71:$B$88,2,FALSE)+1,FALSE))),'détails investissements'!$U$6:$AB$7,2,FALSE),""),FALSE),"")</f>
        <v/>
      </c>
      <c r="CU7" s="45" t="str">
        <f>IF(IF(IF(CU$3-VLOOKUP($A7,'détails investissements'!$A$71:$B$88,2,FALSE)&lt;=0,"",IF(VLOOKUP($A7,'détails investissements'!$A$26:$DE$43,CU$3-VLOOKUP($A7,'détails investissements'!$A$71:$B$88,2,FALSE)+1,FALSE)="","",VLOOKUP($A7,'détails investissements'!$A$26:$DE$43,CU$3-VLOOKUP($A7,'détails investissements'!$A$71:$B$88,2,FALSE)+1,FALSE)))&lt;&gt;"",HLOOKUP(IF(CU$3-VLOOKUP($A7,'détails investissements'!$A$71:$B$88,2,FALSE)&lt;=0,"",IF(VLOOKUP($A7,'détails investissements'!$A$26:$DE$43,CU$3-VLOOKUP($A7,'détails investissements'!$A$71:$B$88,2,FALSE)+1,FALSE)="","",VLOOKUP($A7,'détails investissements'!$A$26:$DE$43,CU$3-VLOOKUP($A7,'détails investissements'!$A$71:$B$88,2,FALSE)+1,FALSE))),'détails investissements'!$U$6:$AB$7,2,FALSE),"")&lt;&gt;"",VLOOKUP($A7,'détails investissements'!$A$7:$H$21,1+IF(IF(CU$3-VLOOKUP($A7,'détails investissements'!$A$71:$B$88,2,FALSE)&lt;=0,"",IF(VLOOKUP($A7,'détails investissements'!$A$26:$DE$43,CU$3-VLOOKUP($A7,'détails investissements'!$A$71:$B$88,2,FALSE)+1,FALSE)="","",VLOOKUP($A7,'détails investissements'!$A$26:$DE$43,CU$3-VLOOKUP($A7,'détails investissements'!$A$71:$B$88,2,FALSE)+1,FALSE)))&lt;&gt;"",HLOOKUP(IF(CU$3-VLOOKUP($A7,'détails investissements'!$A$71:$B$88,2,FALSE)&lt;=0,"",IF(VLOOKUP($A7,'détails investissements'!$A$26:$DE$43,CU$3-VLOOKUP($A7,'détails investissements'!$A$71:$B$88,2,FALSE)+1,FALSE)="","",VLOOKUP($A7,'détails investissements'!$A$26:$DE$43,CU$3-VLOOKUP($A7,'détails investissements'!$A$71:$B$88,2,FALSE)+1,FALSE))),'détails investissements'!$U$6:$AB$7,2,FALSE),""),FALSE),"")</f>
        <v/>
      </c>
      <c r="CV7" s="45" t="str">
        <f>IF(IF(IF(CV$3-VLOOKUP($A7,'détails investissements'!$A$71:$B$88,2,FALSE)&lt;=0,"",IF(VLOOKUP($A7,'détails investissements'!$A$26:$DE$43,CV$3-VLOOKUP($A7,'détails investissements'!$A$71:$B$88,2,FALSE)+1,FALSE)="","",VLOOKUP($A7,'détails investissements'!$A$26:$DE$43,CV$3-VLOOKUP($A7,'détails investissements'!$A$71:$B$88,2,FALSE)+1,FALSE)))&lt;&gt;"",HLOOKUP(IF(CV$3-VLOOKUP($A7,'détails investissements'!$A$71:$B$88,2,FALSE)&lt;=0,"",IF(VLOOKUP($A7,'détails investissements'!$A$26:$DE$43,CV$3-VLOOKUP($A7,'détails investissements'!$A$71:$B$88,2,FALSE)+1,FALSE)="","",VLOOKUP($A7,'détails investissements'!$A$26:$DE$43,CV$3-VLOOKUP($A7,'détails investissements'!$A$71:$B$88,2,FALSE)+1,FALSE))),'détails investissements'!$U$6:$AB$7,2,FALSE),"")&lt;&gt;"",VLOOKUP($A7,'détails investissements'!$A$7:$H$21,1+IF(IF(CV$3-VLOOKUP($A7,'détails investissements'!$A$71:$B$88,2,FALSE)&lt;=0,"",IF(VLOOKUP($A7,'détails investissements'!$A$26:$DE$43,CV$3-VLOOKUP($A7,'détails investissements'!$A$71:$B$88,2,FALSE)+1,FALSE)="","",VLOOKUP($A7,'détails investissements'!$A$26:$DE$43,CV$3-VLOOKUP($A7,'détails investissements'!$A$71:$B$88,2,FALSE)+1,FALSE)))&lt;&gt;"",HLOOKUP(IF(CV$3-VLOOKUP($A7,'détails investissements'!$A$71:$B$88,2,FALSE)&lt;=0,"",IF(VLOOKUP($A7,'détails investissements'!$A$26:$DE$43,CV$3-VLOOKUP($A7,'détails investissements'!$A$71:$B$88,2,FALSE)+1,FALSE)="","",VLOOKUP($A7,'détails investissements'!$A$26:$DE$43,CV$3-VLOOKUP($A7,'détails investissements'!$A$71:$B$88,2,FALSE)+1,FALSE))),'détails investissements'!$U$6:$AB$7,2,FALSE),""),FALSE),"")</f>
        <v/>
      </c>
      <c r="CW7" s="45" t="str">
        <f>IF(IF(IF(CW$3-VLOOKUP($A7,'détails investissements'!$A$71:$B$88,2,FALSE)&lt;=0,"",IF(VLOOKUP($A7,'détails investissements'!$A$26:$DE$43,CW$3-VLOOKUP($A7,'détails investissements'!$A$71:$B$88,2,FALSE)+1,FALSE)="","",VLOOKUP($A7,'détails investissements'!$A$26:$DE$43,CW$3-VLOOKUP($A7,'détails investissements'!$A$71:$B$88,2,FALSE)+1,FALSE)))&lt;&gt;"",HLOOKUP(IF(CW$3-VLOOKUP($A7,'détails investissements'!$A$71:$B$88,2,FALSE)&lt;=0,"",IF(VLOOKUP($A7,'détails investissements'!$A$26:$DE$43,CW$3-VLOOKUP($A7,'détails investissements'!$A$71:$B$88,2,FALSE)+1,FALSE)="","",VLOOKUP($A7,'détails investissements'!$A$26:$DE$43,CW$3-VLOOKUP($A7,'détails investissements'!$A$71:$B$88,2,FALSE)+1,FALSE))),'détails investissements'!$U$6:$AB$7,2,FALSE),"")&lt;&gt;"",VLOOKUP($A7,'détails investissements'!$A$7:$H$21,1+IF(IF(CW$3-VLOOKUP($A7,'détails investissements'!$A$71:$B$88,2,FALSE)&lt;=0,"",IF(VLOOKUP($A7,'détails investissements'!$A$26:$DE$43,CW$3-VLOOKUP($A7,'détails investissements'!$A$71:$B$88,2,FALSE)+1,FALSE)="","",VLOOKUP($A7,'détails investissements'!$A$26:$DE$43,CW$3-VLOOKUP($A7,'détails investissements'!$A$71:$B$88,2,FALSE)+1,FALSE)))&lt;&gt;"",HLOOKUP(IF(CW$3-VLOOKUP($A7,'détails investissements'!$A$71:$B$88,2,FALSE)&lt;=0,"",IF(VLOOKUP($A7,'détails investissements'!$A$26:$DE$43,CW$3-VLOOKUP($A7,'détails investissements'!$A$71:$B$88,2,FALSE)+1,FALSE)="","",VLOOKUP($A7,'détails investissements'!$A$26:$DE$43,CW$3-VLOOKUP($A7,'détails investissements'!$A$71:$B$88,2,FALSE)+1,FALSE))),'détails investissements'!$U$6:$AB$7,2,FALSE),""),FALSE),"")</f>
        <v/>
      </c>
      <c r="CX7" s="45" t="str">
        <f>IF(IF(IF(CX$3-VLOOKUP($A7,'détails investissements'!$A$71:$B$88,2,FALSE)&lt;=0,"",IF(VLOOKUP($A7,'détails investissements'!$A$26:$DE$43,CX$3-VLOOKUP($A7,'détails investissements'!$A$71:$B$88,2,FALSE)+1,FALSE)="","",VLOOKUP($A7,'détails investissements'!$A$26:$DE$43,CX$3-VLOOKUP($A7,'détails investissements'!$A$71:$B$88,2,FALSE)+1,FALSE)))&lt;&gt;"",HLOOKUP(IF(CX$3-VLOOKUP($A7,'détails investissements'!$A$71:$B$88,2,FALSE)&lt;=0,"",IF(VLOOKUP($A7,'détails investissements'!$A$26:$DE$43,CX$3-VLOOKUP($A7,'détails investissements'!$A$71:$B$88,2,FALSE)+1,FALSE)="","",VLOOKUP($A7,'détails investissements'!$A$26:$DE$43,CX$3-VLOOKUP($A7,'détails investissements'!$A$71:$B$88,2,FALSE)+1,FALSE))),'détails investissements'!$U$6:$AB$7,2,FALSE),"")&lt;&gt;"",VLOOKUP($A7,'détails investissements'!$A$7:$H$21,1+IF(IF(CX$3-VLOOKUP($A7,'détails investissements'!$A$71:$B$88,2,FALSE)&lt;=0,"",IF(VLOOKUP($A7,'détails investissements'!$A$26:$DE$43,CX$3-VLOOKUP($A7,'détails investissements'!$A$71:$B$88,2,FALSE)+1,FALSE)="","",VLOOKUP($A7,'détails investissements'!$A$26:$DE$43,CX$3-VLOOKUP($A7,'détails investissements'!$A$71:$B$88,2,FALSE)+1,FALSE)))&lt;&gt;"",HLOOKUP(IF(CX$3-VLOOKUP($A7,'détails investissements'!$A$71:$B$88,2,FALSE)&lt;=0,"",IF(VLOOKUP($A7,'détails investissements'!$A$26:$DE$43,CX$3-VLOOKUP($A7,'détails investissements'!$A$71:$B$88,2,FALSE)+1,FALSE)="","",VLOOKUP($A7,'détails investissements'!$A$26:$DE$43,CX$3-VLOOKUP($A7,'détails investissements'!$A$71:$B$88,2,FALSE)+1,FALSE))),'détails investissements'!$U$6:$AB$7,2,FALSE),""),FALSE),"")</f>
        <v/>
      </c>
      <c r="CY7" s="45" t="str">
        <f>IF(IF(IF(CY$3-VLOOKUP($A7,'détails investissements'!$A$71:$B$88,2,FALSE)&lt;=0,"",IF(VLOOKUP($A7,'détails investissements'!$A$26:$DE$43,CY$3-VLOOKUP($A7,'détails investissements'!$A$71:$B$88,2,FALSE)+1,FALSE)="","",VLOOKUP($A7,'détails investissements'!$A$26:$DE$43,CY$3-VLOOKUP($A7,'détails investissements'!$A$71:$B$88,2,FALSE)+1,FALSE)))&lt;&gt;"",HLOOKUP(IF(CY$3-VLOOKUP($A7,'détails investissements'!$A$71:$B$88,2,FALSE)&lt;=0,"",IF(VLOOKUP($A7,'détails investissements'!$A$26:$DE$43,CY$3-VLOOKUP($A7,'détails investissements'!$A$71:$B$88,2,FALSE)+1,FALSE)="","",VLOOKUP($A7,'détails investissements'!$A$26:$DE$43,CY$3-VLOOKUP($A7,'détails investissements'!$A$71:$B$88,2,FALSE)+1,FALSE))),'détails investissements'!$U$6:$AB$7,2,FALSE),"")&lt;&gt;"",VLOOKUP($A7,'détails investissements'!$A$7:$H$21,1+IF(IF(CY$3-VLOOKUP($A7,'détails investissements'!$A$71:$B$88,2,FALSE)&lt;=0,"",IF(VLOOKUP($A7,'détails investissements'!$A$26:$DE$43,CY$3-VLOOKUP($A7,'détails investissements'!$A$71:$B$88,2,FALSE)+1,FALSE)="","",VLOOKUP($A7,'détails investissements'!$A$26:$DE$43,CY$3-VLOOKUP($A7,'détails investissements'!$A$71:$B$88,2,FALSE)+1,FALSE)))&lt;&gt;"",HLOOKUP(IF(CY$3-VLOOKUP($A7,'détails investissements'!$A$71:$B$88,2,FALSE)&lt;=0,"",IF(VLOOKUP($A7,'détails investissements'!$A$26:$DE$43,CY$3-VLOOKUP($A7,'détails investissements'!$A$71:$B$88,2,FALSE)+1,FALSE)="","",VLOOKUP($A7,'détails investissements'!$A$26:$DE$43,CY$3-VLOOKUP($A7,'détails investissements'!$A$71:$B$88,2,FALSE)+1,FALSE))),'détails investissements'!$U$6:$AB$7,2,FALSE),""),FALSE),"")</f>
        <v/>
      </c>
      <c r="CZ7" s="45" t="str">
        <f>IF(IF(IF(CZ$3-VLOOKUP($A7,'détails investissements'!$A$71:$B$88,2,FALSE)&lt;=0,"",IF(VLOOKUP($A7,'détails investissements'!$A$26:$DE$43,CZ$3-VLOOKUP($A7,'détails investissements'!$A$71:$B$88,2,FALSE)+1,FALSE)="","",VLOOKUP($A7,'détails investissements'!$A$26:$DE$43,CZ$3-VLOOKUP($A7,'détails investissements'!$A$71:$B$88,2,FALSE)+1,FALSE)))&lt;&gt;"",HLOOKUP(IF(CZ$3-VLOOKUP($A7,'détails investissements'!$A$71:$B$88,2,FALSE)&lt;=0,"",IF(VLOOKUP($A7,'détails investissements'!$A$26:$DE$43,CZ$3-VLOOKUP($A7,'détails investissements'!$A$71:$B$88,2,FALSE)+1,FALSE)="","",VLOOKUP($A7,'détails investissements'!$A$26:$DE$43,CZ$3-VLOOKUP($A7,'détails investissements'!$A$71:$B$88,2,FALSE)+1,FALSE))),'détails investissements'!$U$6:$AB$7,2,FALSE),"")&lt;&gt;"",VLOOKUP($A7,'détails investissements'!$A$7:$H$21,1+IF(IF(CZ$3-VLOOKUP($A7,'détails investissements'!$A$71:$B$88,2,FALSE)&lt;=0,"",IF(VLOOKUP($A7,'détails investissements'!$A$26:$DE$43,CZ$3-VLOOKUP($A7,'détails investissements'!$A$71:$B$88,2,FALSE)+1,FALSE)="","",VLOOKUP($A7,'détails investissements'!$A$26:$DE$43,CZ$3-VLOOKUP($A7,'détails investissements'!$A$71:$B$88,2,FALSE)+1,FALSE)))&lt;&gt;"",HLOOKUP(IF(CZ$3-VLOOKUP($A7,'détails investissements'!$A$71:$B$88,2,FALSE)&lt;=0,"",IF(VLOOKUP($A7,'détails investissements'!$A$26:$DE$43,CZ$3-VLOOKUP($A7,'détails investissements'!$A$71:$B$88,2,FALSE)+1,FALSE)="","",VLOOKUP($A7,'détails investissements'!$A$26:$DE$43,CZ$3-VLOOKUP($A7,'détails investissements'!$A$71:$B$88,2,FALSE)+1,FALSE))),'détails investissements'!$U$6:$AB$7,2,FALSE),""),FALSE),"")</f>
        <v/>
      </c>
      <c r="DA7" s="45" t="str">
        <f>IF(IF(IF(DA$3-VLOOKUP($A7,'détails investissements'!$A$71:$B$88,2,FALSE)&lt;=0,"",IF(VLOOKUP($A7,'détails investissements'!$A$26:$DE$43,DA$3-VLOOKUP($A7,'détails investissements'!$A$71:$B$88,2,FALSE)+1,FALSE)="","",VLOOKUP($A7,'détails investissements'!$A$26:$DE$43,DA$3-VLOOKUP($A7,'détails investissements'!$A$71:$B$88,2,FALSE)+1,FALSE)))&lt;&gt;"",HLOOKUP(IF(DA$3-VLOOKUP($A7,'détails investissements'!$A$71:$B$88,2,FALSE)&lt;=0,"",IF(VLOOKUP($A7,'détails investissements'!$A$26:$DE$43,DA$3-VLOOKUP($A7,'détails investissements'!$A$71:$B$88,2,FALSE)+1,FALSE)="","",VLOOKUP($A7,'détails investissements'!$A$26:$DE$43,DA$3-VLOOKUP($A7,'détails investissements'!$A$71:$B$88,2,FALSE)+1,FALSE))),'détails investissements'!$U$6:$AB$7,2,FALSE),"")&lt;&gt;"",VLOOKUP($A7,'détails investissements'!$A$7:$H$21,1+IF(IF(DA$3-VLOOKUP($A7,'détails investissements'!$A$71:$B$88,2,FALSE)&lt;=0,"",IF(VLOOKUP($A7,'détails investissements'!$A$26:$DE$43,DA$3-VLOOKUP($A7,'détails investissements'!$A$71:$B$88,2,FALSE)+1,FALSE)="","",VLOOKUP($A7,'détails investissements'!$A$26:$DE$43,DA$3-VLOOKUP($A7,'détails investissements'!$A$71:$B$88,2,FALSE)+1,FALSE)))&lt;&gt;"",HLOOKUP(IF(DA$3-VLOOKUP($A7,'détails investissements'!$A$71:$B$88,2,FALSE)&lt;=0,"",IF(VLOOKUP($A7,'détails investissements'!$A$26:$DE$43,DA$3-VLOOKUP($A7,'détails investissements'!$A$71:$B$88,2,FALSE)+1,FALSE)="","",VLOOKUP($A7,'détails investissements'!$A$26:$DE$43,DA$3-VLOOKUP($A7,'détails investissements'!$A$71:$B$88,2,FALSE)+1,FALSE))),'détails investissements'!$U$6:$AB$7,2,FALSE),""),FALSE),"")</f>
        <v/>
      </c>
      <c r="DB7" s="45" t="str">
        <f>IF(IF(IF(DB$3-VLOOKUP($A7,'détails investissements'!$A$71:$B$88,2,FALSE)&lt;=0,"",IF(VLOOKUP($A7,'détails investissements'!$A$26:$DE$43,DB$3-VLOOKUP($A7,'détails investissements'!$A$71:$B$88,2,FALSE)+1,FALSE)="","",VLOOKUP($A7,'détails investissements'!$A$26:$DE$43,DB$3-VLOOKUP($A7,'détails investissements'!$A$71:$B$88,2,FALSE)+1,FALSE)))&lt;&gt;"",HLOOKUP(IF(DB$3-VLOOKUP($A7,'détails investissements'!$A$71:$B$88,2,FALSE)&lt;=0,"",IF(VLOOKUP($A7,'détails investissements'!$A$26:$DE$43,DB$3-VLOOKUP($A7,'détails investissements'!$A$71:$B$88,2,FALSE)+1,FALSE)="","",VLOOKUP($A7,'détails investissements'!$A$26:$DE$43,DB$3-VLOOKUP($A7,'détails investissements'!$A$71:$B$88,2,FALSE)+1,FALSE))),'détails investissements'!$U$6:$AB$7,2,FALSE),"")&lt;&gt;"",VLOOKUP($A7,'détails investissements'!$A$7:$H$21,1+IF(IF(DB$3-VLOOKUP($A7,'détails investissements'!$A$71:$B$88,2,FALSE)&lt;=0,"",IF(VLOOKUP($A7,'détails investissements'!$A$26:$DE$43,DB$3-VLOOKUP($A7,'détails investissements'!$A$71:$B$88,2,FALSE)+1,FALSE)="","",VLOOKUP($A7,'détails investissements'!$A$26:$DE$43,DB$3-VLOOKUP($A7,'détails investissements'!$A$71:$B$88,2,FALSE)+1,FALSE)))&lt;&gt;"",HLOOKUP(IF(DB$3-VLOOKUP($A7,'détails investissements'!$A$71:$B$88,2,FALSE)&lt;=0,"",IF(VLOOKUP($A7,'détails investissements'!$A$26:$DE$43,DB$3-VLOOKUP($A7,'détails investissements'!$A$71:$B$88,2,FALSE)+1,FALSE)="","",VLOOKUP($A7,'détails investissements'!$A$26:$DE$43,DB$3-VLOOKUP($A7,'détails investissements'!$A$71:$B$88,2,FALSE)+1,FALSE))),'détails investissements'!$U$6:$AB$7,2,FALSE),""),FALSE),"")</f>
        <v/>
      </c>
      <c r="DC7" s="45" t="str">
        <f>IF(IF(IF(DC$3-VLOOKUP($A7,'détails investissements'!$A$71:$B$88,2,FALSE)&lt;=0,"",IF(VLOOKUP($A7,'détails investissements'!$A$26:$DE$43,DC$3-VLOOKUP($A7,'détails investissements'!$A$71:$B$88,2,FALSE)+1,FALSE)="","",VLOOKUP($A7,'détails investissements'!$A$26:$DE$43,DC$3-VLOOKUP($A7,'détails investissements'!$A$71:$B$88,2,FALSE)+1,FALSE)))&lt;&gt;"",HLOOKUP(IF(DC$3-VLOOKUP($A7,'détails investissements'!$A$71:$B$88,2,FALSE)&lt;=0,"",IF(VLOOKUP($A7,'détails investissements'!$A$26:$DE$43,DC$3-VLOOKUP($A7,'détails investissements'!$A$71:$B$88,2,FALSE)+1,FALSE)="","",VLOOKUP($A7,'détails investissements'!$A$26:$DE$43,DC$3-VLOOKUP($A7,'détails investissements'!$A$71:$B$88,2,FALSE)+1,FALSE))),'détails investissements'!$U$6:$AB$7,2,FALSE),"")&lt;&gt;"",VLOOKUP($A7,'détails investissements'!$A$7:$H$21,1+IF(IF(DC$3-VLOOKUP($A7,'détails investissements'!$A$71:$B$88,2,FALSE)&lt;=0,"",IF(VLOOKUP($A7,'détails investissements'!$A$26:$DE$43,DC$3-VLOOKUP($A7,'détails investissements'!$A$71:$B$88,2,FALSE)+1,FALSE)="","",VLOOKUP($A7,'détails investissements'!$A$26:$DE$43,DC$3-VLOOKUP($A7,'détails investissements'!$A$71:$B$88,2,FALSE)+1,FALSE)))&lt;&gt;"",HLOOKUP(IF(DC$3-VLOOKUP($A7,'détails investissements'!$A$71:$B$88,2,FALSE)&lt;=0,"",IF(VLOOKUP($A7,'détails investissements'!$A$26:$DE$43,DC$3-VLOOKUP($A7,'détails investissements'!$A$71:$B$88,2,FALSE)+1,FALSE)="","",VLOOKUP($A7,'détails investissements'!$A$26:$DE$43,DC$3-VLOOKUP($A7,'détails investissements'!$A$71:$B$88,2,FALSE)+1,FALSE))),'détails investissements'!$U$6:$AB$7,2,FALSE),""),FALSE),"")</f>
        <v/>
      </c>
      <c r="DD7" s="45" t="str">
        <f>IF(IF(IF(DD$3-VLOOKUP($A7,'détails investissements'!$A$71:$B$88,2,FALSE)&lt;=0,"",IF(VLOOKUP($A7,'détails investissements'!$A$26:$DE$43,DD$3-VLOOKUP($A7,'détails investissements'!$A$71:$B$88,2,FALSE)+1,FALSE)="","",VLOOKUP($A7,'détails investissements'!$A$26:$DE$43,DD$3-VLOOKUP($A7,'détails investissements'!$A$71:$B$88,2,FALSE)+1,FALSE)))&lt;&gt;"",HLOOKUP(IF(DD$3-VLOOKUP($A7,'détails investissements'!$A$71:$B$88,2,FALSE)&lt;=0,"",IF(VLOOKUP($A7,'détails investissements'!$A$26:$DE$43,DD$3-VLOOKUP($A7,'détails investissements'!$A$71:$B$88,2,FALSE)+1,FALSE)="","",VLOOKUP($A7,'détails investissements'!$A$26:$DE$43,DD$3-VLOOKUP($A7,'détails investissements'!$A$71:$B$88,2,FALSE)+1,FALSE))),'détails investissements'!$U$6:$AB$7,2,FALSE),"")&lt;&gt;"",VLOOKUP($A7,'détails investissements'!$A$7:$H$21,1+IF(IF(DD$3-VLOOKUP($A7,'détails investissements'!$A$71:$B$88,2,FALSE)&lt;=0,"",IF(VLOOKUP($A7,'détails investissements'!$A$26:$DE$43,DD$3-VLOOKUP($A7,'détails investissements'!$A$71:$B$88,2,FALSE)+1,FALSE)="","",VLOOKUP($A7,'détails investissements'!$A$26:$DE$43,DD$3-VLOOKUP($A7,'détails investissements'!$A$71:$B$88,2,FALSE)+1,FALSE)))&lt;&gt;"",HLOOKUP(IF(DD$3-VLOOKUP($A7,'détails investissements'!$A$71:$B$88,2,FALSE)&lt;=0,"",IF(VLOOKUP($A7,'détails investissements'!$A$26:$DE$43,DD$3-VLOOKUP($A7,'détails investissements'!$A$71:$B$88,2,FALSE)+1,FALSE)="","",VLOOKUP($A7,'détails investissements'!$A$26:$DE$43,DD$3-VLOOKUP($A7,'détails investissements'!$A$71:$B$88,2,FALSE)+1,FALSE))),'détails investissements'!$U$6:$AB$7,2,FALSE),""),FALSE),"")</f>
        <v/>
      </c>
      <c r="DE7" s="45" t="str">
        <f>IF(IF(IF(DE$3-VLOOKUP($A7,'détails investissements'!$A$71:$B$88,2,FALSE)&lt;=0,"",IF(VLOOKUP($A7,'détails investissements'!$A$26:$DE$43,DE$3-VLOOKUP($A7,'détails investissements'!$A$71:$B$88,2,FALSE)+1,FALSE)="","",VLOOKUP($A7,'détails investissements'!$A$26:$DE$43,DE$3-VLOOKUP($A7,'détails investissements'!$A$71:$B$88,2,FALSE)+1,FALSE)))&lt;&gt;"",HLOOKUP(IF(DE$3-VLOOKUP($A7,'détails investissements'!$A$71:$B$88,2,FALSE)&lt;=0,"",IF(VLOOKUP($A7,'détails investissements'!$A$26:$DE$43,DE$3-VLOOKUP($A7,'détails investissements'!$A$71:$B$88,2,FALSE)+1,FALSE)="","",VLOOKUP($A7,'détails investissements'!$A$26:$DE$43,DE$3-VLOOKUP($A7,'détails investissements'!$A$71:$B$88,2,FALSE)+1,FALSE))),'détails investissements'!$U$6:$AB$7,2,FALSE),"")&lt;&gt;"",VLOOKUP($A7,'détails investissements'!$A$7:$H$21,1+IF(IF(DE$3-VLOOKUP($A7,'détails investissements'!$A$71:$B$88,2,FALSE)&lt;=0,"",IF(VLOOKUP($A7,'détails investissements'!$A$26:$DE$43,DE$3-VLOOKUP($A7,'détails investissements'!$A$71:$B$88,2,FALSE)+1,FALSE)="","",VLOOKUP($A7,'détails investissements'!$A$26:$DE$43,DE$3-VLOOKUP($A7,'détails investissements'!$A$71:$B$88,2,FALSE)+1,FALSE)))&lt;&gt;"",HLOOKUP(IF(DE$3-VLOOKUP($A7,'détails investissements'!$A$71:$B$88,2,FALSE)&lt;=0,"",IF(VLOOKUP($A7,'détails investissements'!$A$26:$DE$43,DE$3-VLOOKUP($A7,'détails investissements'!$A$71:$B$88,2,FALSE)+1,FALSE)="","",VLOOKUP($A7,'détails investissements'!$A$26:$DE$43,DE$3-VLOOKUP($A7,'détails investissements'!$A$71:$B$88,2,FALSE)+1,FALSE))),'détails investissements'!$U$6:$AB$7,2,FALSE),""),FALSE),"")</f>
        <v/>
      </c>
      <c r="DF7" s="45" t="str">
        <f>IF(IF(IF(DF$3-VLOOKUP($A7,'détails investissements'!$A$71:$B$88,2,FALSE)&lt;=0,"",IF(VLOOKUP($A7,'détails investissements'!$A$26:$DE$43,DF$3-VLOOKUP($A7,'détails investissements'!$A$71:$B$88,2,FALSE)+1,FALSE)="","",VLOOKUP($A7,'détails investissements'!$A$26:$DE$43,DF$3-VLOOKUP($A7,'détails investissements'!$A$71:$B$88,2,FALSE)+1,FALSE)))&lt;&gt;"",HLOOKUP(IF(DF$3-VLOOKUP($A7,'détails investissements'!$A$71:$B$88,2,FALSE)&lt;=0,"",IF(VLOOKUP($A7,'détails investissements'!$A$26:$DE$43,DF$3-VLOOKUP($A7,'détails investissements'!$A$71:$B$88,2,FALSE)+1,FALSE)="","",VLOOKUP($A7,'détails investissements'!$A$26:$DE$43,DF$3-VLOOKUP($A7,'détails investissements'!$A$71:$B$88,2,FALSE)+1,FALSE))),'détails investissements'!$U$6:$AB$7,2,FALSE),"")&lt;&gt;"",VLOOKUP($A7,'détails investissements'!$A$7:$H$21,1+IF(IF(DF$3-VLOOKUP($A7,'détails investissements'!$A$71:$B$88,2,FALSE)&lt;=0,"",IF(VLOOKUP($A7,'détails investissements'!$A$26:$DE$43,DF$3-VLOOKUP($A7,'détails investissements'!$A$71:$B$88,2,FALSE)+1,FALSE)="","",VLOOKUP($A7,'détails investissements'!$A$26:$DE$43,DF$3-VLOOKUP($A7,'détails investissements'!$A$71:$B$88,2,FALSE)+1,FALSE)))&lt;&gt;"",HLOOKUP(IF(DF$3-VLOOKUP($A7,'détails investissements'!$A$71:$B$88,2,FALSE)&lt;=0,"",IF(VLOOKUP($A7,'détails investissements'!$A$26:$DE$43,DF$3-VLOOKUP($A7,'détails investissements'!$A$71:$B$88,2,FALSE)+1,FALSE)="","",VLOOKUP($A7,'détails investissements'!$A$26:$DE$43,DF$3-VLOOKUP($A7,'détails investissements'!$A$71:$B$88,2,FALSE)+1,FALSE))),'détails investissements'!$U$6:$AB$7,2,FALSE),""),FALSE),"")</f>
        <v/>
      </c>
      <c r="DG7">
        <f t="shared" ref="DG7:DG23" si="0">SUM(C7:DF7)</f>
        <v>1</v>
      </c>
    </row>
    <row r="8" spans="1:111" x14ac:dyDescent="0.2">
      <c r="A8" s="15" t="str">
        <f>'[4]Données investissements'!A28</f>
        <v>1er Four VAR :</v>
      </c>
      <c r="B8" s="23">
        <f>'détails investissements'!B96</f>
        <v>2.6</v>
      </c>
      <c r="C8" s="45" t="str">
        <f>IF(IF(IF(C$3-VLOOKUP($A8,'détails investissements'!$A$71:$B$88,2,FALSE)&lt;=0,"",IF(VLOOKUP($A8,'détails investissements'!$A$26:$DE$43,C$3-VLOOKUP($A8,'détails investissements'!$A$71:$B$88,2,FALSE)+1,FALSE)="","",VLOOKUP($A8,'détails investissements'!$A$26:$DE$43,C$3-VLOOKUP($A8,'détails investissements'!$A$71:$B$88,2,FALSE)+1,FALSE)))&lt;&gt;"",HLOOKUP(IF(C$3-VLOOKUP($A8,'détails investissements'!$A$71:$B$88,2,FALSE)&lt;=0,"",IF(VLOOKUP($A8,'détails investissements'!$A$26:$DE$43,C$3-VLOOKUP($A8,'détails investissements'!$A$71:$B$88,2,FALSE)+1,FALSE)="","",VLOOKUP($A8,'détails investissements'!$A$26:$DE$43,C$3-VLOOKUP($A8,'détails investissements'!$A$71:$B$88,2,FALSE)+1,FALSE))),'détails investissements'!$U$6:$AB$7,2,FALSE),"")&lt;&gt;"",VLOOKUP($A8,'détails investissements'!$A$7:$H$21,1+IF(IF(C$3-VLOOKUP($A8,'détails investissements'!$A$71:$B$88,2,FALSE)&lt;=0,"",IF(VLOOKUP($A8,'détails investissements'!$A$26:$DE$43,C$3-VLOOKUP($A8,'détails investissements'!$A$71:$B$88,2,FALSE)+1,FALSE)="","",VLOOKUP($A8,'détails investissements'!$A$26:$DE$43,C$3-VLOOKUP($A8,'détails investissements'!$A$71:$B$88,2,FALSE)+1,FALSE)))&lt;&gt;"",HLOOKUP(IF(C$3-VLOOKUP($A8,'détails investissements'!$A$71:$B$88,2,FALSE)&lt;=0,"",IF(VLOOKUP($A8,'détails investissements'!$A$26:$DE$43,C$3-VLOOKUP($A8,'détails investissements'!$A$71:$B$88,2,FALSE)+1,FALSE)="","",VLOOKUP($A8,'détails investissements'!$A$26:$DE$43,C$3-VLOOKUP($A8,'détails investissements'!$A$71:$B$88,2,FALSE)+1,FALSE))),'détails investissements'!$U$6:$AB$7,2,FALSE),""),FALSE),"")</f>
        <v/>
      </c>
      <c r="D8" s="45" t="str">
        <f>IF(IF(IF(D$3-VLOOKUP($A8,'détails investissements'!$A$71:$B$88,2,FALSE)&lt;=0,"",IF(VLOOKUP($A8,'détails investissements'!$A$26:$DE$43,D$3-VLOOKUP($A8,'détails investissements'!$A$71:$B$88,2,FALSE)+1,FALSE)="","",VLOOKUP($A8,'détails investissements'!$A$26:$DE$43,D$3-VLOOKUP($A8,'détails investissements'!$A$71:$B$88,2,FALSE)+1,FALSE)))&lt;&gt;"",HLOOKUP(IF(D$3-VLOOKUP($A8,'détails investissements'!$A$71:$B$88,2,FALSE)&lt;=0,"",IF(VLOOKUP($A8,'détails investissements'!$A$26:$DE$43,D$3-VLOOKUP($A8,'détails investissements'!$A$71:$B$88,2,FALSE)+1,FALSE)="","",VLOOKUP($A8,'détails investissements'!$A$26:$DE$43,D$3-VLOOKUP($A8,'détails investissements'!$A$71:$B$88,2,FALSE)+1,FALSE))),'détails investissements'!$U$6:$AB$7,2,FALSE),"")&lt;&gt;"",VLOOKUP($A8,'détails investissements'!$A$7:$H$21,1+IF(IF(D$3-VLOOKUP($A8,'détails investissements'!$A$71:$B$88,2,FALSE)&lt;=0,"",IF(VLOOKUP($A8,'détails investissements'!$A$26:$DE$43,D$3-VLOOKUP($A8,'détails investissements'!$A$71:$B$88,2,FALSE)+1,FALSE)="","",VLOOKUP($A8,'détails investissements'!$A$26:$DE$43,D$3-VLOOKUP($A8,'détails investissements'!$A$71:$B$88,2,FALSE)+1,FALSE)))&lt;&gt;"",HLOOKUP(IF(D$3-VLOOKUP($A8,'détails investissements'!$A$71:$B$88,2,FALSE)&lt;=0,"",IF(VLOOKUP($A8,'détails investissements'!$A$26:$DE$43,D$3-VLOOKUP($A8,'détails investissements'!$A$71:$B$88,2,FALSE)+1,FALSE)="","",VLOOKUP($A8,'détails investissements'!$A$26:$DE$43,D$3-VLOOKUP($A8,'détails investissements'!$A$71:$B$88,2,FALSE)+1,FALSE))),'détails investissements'!$U$6:$AB$7,2,FALSE),""),FALSE),"")</f>
        <v/>
      </c>
      <c r="E8" s="45" t="str">
        <f>IF(IF(IF(E$3-VLOOKUP($A8,'détails investissements'!$A$71:$B$88,2,FALSE)&lt;=0,"",IF(VLOOKUP($A8,'détails investissements'!$A$26:$DE$43,E$3-VLOOKUP($A8,'détails investissements'!$A$71:$B$88,2,FALSE)+1,FALSE)="","",VLOOKUP($A8,'détails investissements'!$A$26:$DE$43,E$3-VLOOKUP($A8,'détails investissements'!$A$71:$B$88,2,FALSE)+1,FALSE)))&lt;&gt;"",HLOOKUP(IF(E$3-VLOOKUP($A8,'détails investissements'!$A$71:$B$88,2,FALSE)&lt;=0,"",IF(VLOOKUP($A8,'détails investissements'!$A$26:$DE$43,E$3-VLOOKUP($A8,'détails investissements'!$A$71:$B$88,2,FALSE)+1,FALSE)="","",VLOOKUP($A8,'détails investissements'!$A$26:$DE$43,E$3-VLOOKUP($A8,'détails investissements'!$A$71:$B$88,2,FALSE)+1,FALSE))),'détails investissements'!$U$6:$AB$7,2,FALSE),"")&lt;&gt;"",VLOOKUP($A8,'détails investissements'!$A$7:$H$21,1+IF(IF(E$3-VLOOKUP($A8,'détails investissements'!$A$71:$B$88,2,FALSE)&lt;=0,"",IF(VLOOKUP($A8,'détails investissements'!$A$26:$DE$43,E$3-VLOOKUP($A8,'détails investissements'!$A$71:$B$88,2,FALSE)+1,FALSE)="","",VLOOKUP($A8,'détails investissements'!$A$26:$DE$43,E$3-VLOOKUP($A8,'détails investissements'!$A$71:$B$88,2,FALSE)+1,FALSE)))&lt;&gt;"",HLOOKUP(IF(E$3-VLOOKUP($A8,'détails investissements'!$A$71:$B$88,2,FALSE)&lt;=0,"",IF(VLOOKUP($A8,'détails investissements'!$A$26:$DE$43,E$3-VLOOKUP($A8,'détails investissements'!$A$71:$B$88,2,FALSE)+1,FALSE)="","",VLOOKUP($A8,'détails investissements'!$A$26:$DE$43,E$3-VLOOKUP($A8,'détails investissements'!$A$71:$B$88,2,FALSE)+1,FALSE))),'détails investissements'!$U$6:$AB$7,2,FALSE),""),FALSE),"")</f>
        <v/>
      </c>
      <c r="F8" s="45" t="str">
        <f>IF(IF(IF(F$3-VLOOKUP($A8,'détails investissements'!$A$71:$B$88,2,FALSE)&lt;=0,"",IF(VLOOKUP($A8,'détails investissements'!$A$26:$DE$43,F$3-VLOOKUP($A8,'détails investissements'!$A$71:$B$88,2,FALSE)+1,FALSE)="","",VLOOKUP($A8,'détails investissements'!$A$26:$DE$43,F$3-VLOOKUP($A8,'détails investissements'!$A$71:$B$88,2,FALSE)+1,FALSE)))&lt;&gt;"",HLOOKUP(IF(F$3-VLOOKUP($A8,'détails investissements'!$A$71:$B$88,2,FALSE)&lt;=0,"",IF(VLOOKUP($A8,'détails investissements'!$A$26:$DE$43,F$3-VLOOKUP($A8,'détails investissements'!$A$71:$B$88,2,FALSE)+1,FALSE)="","",VLOOKUP($A8,'détails investissements'!$A$26:$DE$43,F$3-VLOOKUP($A8,'détails investissements'!$A$71:$B$88,2,FALSE)+1,FALSE))),'détails investissements'!$U$6:$AB$7,2,FALSE),"")&lt;&gt;"",VLOOKUP($A8,'détails investissements'!$A$7:$H$21,1+IF(IF(F$3-VLOOKUP($A8,'détails investissements'!$A$71:$B$88,2,FALSE)&lt;=0,"",IF(VLOOKUP($A8,'détails investissements'!$A$26:$DE$43,F$3-VLOOKUP($A8,'détails investissements'!$A$71:$B$88,2,FALSE)+1,FALSE)="","",VLOOKUP($A8,'détails investissements'!$A$26:$DE$43,F$3-VLOOKUP($A8,'détails investissements'!$A$71:$B$88,2,FALSE)+1,FALSE)))&lt;&gt;"",HLOOKUP(IF(F$3-VLOOKUP($A8,'détails investissements'!$A$71:$B$88,2,FALSE)&lt;=0,"",IF(VLOOKUP($A8,'détails investissements'!$A$26:$DE$43,F$3-VLOOKUP($A8,'détails investissements'!$A$71:$B$88,2,FALSE)+1,FALSE)="","",VLOOKUP($A8,'détails investissements'!$A$26:$DE$43,F$3-VLOOKUP($A8,'détails investissements'!$A$71:$B$88,2,FALSE)+1,FALSE))),'détails investissements'!$U$6:$AB$7,2,FALSE),""),FALSE),"")</f>
        <v/>
      </c>
      <c r="G8" s="45" t="str">
        <f>IF(IF(IF(G$3-VLOOKUP($A8,'détails investissements'!$A$71:$B$88,2,FALSE)&lt;=0,"",IF(VLOOKUP($A8,'détails investissements'!$A$26:$DE$43,G$3-VLOOKUP($A8,'détails investissements'!$A$71:$B$88,2,FALSE)+1,FALSE)="","",VLOOKUP($A8,'détails investissements'!$A$26:$DE$43,G$3-VLOOKUP($A8,'détails investissements'!$A$71:$B$88,2,FALSE)+1,FALSE)))&lt;&gt;"",HLOOKUP(IF(G$3-VLOOKUP($A8,'détails investissements'!$A$71:$B$88,2,FALSE)&lt;=0,"",IF(VLOOKUP($A8,'détails investissements'!$A$26:$DE$43,G$3-VLOOKUP($A8,'détails investissements'!$A$71:$B$88,2,FALSE)+1,FALSE)="","",VLOOKUP($A8,'détails investissements'!$A$26:$DE$43,G$3-VLOOKUP($A8,'détails investissements'!$A$71:$B$88,2,FALSE)+1,FALSE))),'détails investissements'!$U$6:$AB$7,2,FALSE),"")&lt;&gt;"",VLOOKUP($A8,'détails investissements'!$A$7:$H$21,1+IF(IF(G$3-VLOOKUP($A8,'détails investissements'!$A$71:$B$88,2,FALSE)&lt;=0,"",IF(VLOOKUP($A8,'détails investissements'!$A$26:$DE$43,G$3-VLOOKUP($A8,'détails investissements'!$A$71:$B$88,2,FALSE)+1,FALSE)="","",VLOOKUP($A8,'détails investissements'!$A$26:$DE$43,G$3-VLOOKUP($A8,'détails investissements'!$A$71:$B$88,2,FALSE)+1,FALSE)))&lt;&gt;"",HLOOKUP(IF(G$3-VLOOKUP($A8,'détails investissements'!$A$71:$B$88,2,FALSE)&lt;=0,"",IF(VLOOKUP($A8,'détails investissements'!$A$26:$DE$43,G$3-VLOOKUP($A8,'détails investissements'!$A$71:$B$88,2,FALSE)+1,FALSE)="","",VLOOKUP($A8,'détails investissements'!$A$26:$DE$43,G$3-VLOOKUP($A8,'détails investissements'!$A$71:$B$88,2,FALSE)+1,FALSE))),'détails investissements'!$U$6:$AB$7,2,FALSE),""),FALSE),"")</f>
        <v/>
      </c>
      <c r="H8" s="45" t="str">
        <f>IF(IF(IF(H$3-VLOOKUP($A8,'détails investissements'!$A$71:$B$88,2,FALSE)&lt;=0,"",IF(VLOOKUP($A8,'détails investissements'!$A$26:$DE$43,H$3-VLOOKUP($A8,'détails investissements'!$A$71:$B$88,2,FALSE)+1,FALSE)="","",VLOOKUP($A8,'détails investissements'!$A$26:$DE$43,H$3-VLOOKUP($A8,'détails investissements'!$A$71:$B$88,2,FALSE)+1,FALSE)))&lt;&gt;"",HLOOKUP(IF(H$3-VLOOKUP($A8,'détails investissements'!$A$71:$B$88,2,FALSE)&lt;=0,"",IF(VLOOKUP($A8,'détails investissements'!$A$26:$DE$43,H$3-VLOOKUP($A8,'détails investissements'!$A$71:$B$88,2,FALSE)+1,FALSE)="","",VLOOKUP($A8,'détails investissements'!$A$26:$DE$43,H$3-VLOOKUP($A8,'détails investissements'!$A$71:$B$88,2,FALSE)+1,FALSE))),'détails investissements'!$U$6:$AB$7,2,FALSE),"")&lt;&gt;"",VLOOKUP($A8,'détails investissements'!$A$7:$H$21,1+IF(IF(H$3-VLOOKUP($A8,'détails investissements'!$A$71:$B$88,2,FALSE)&lt;=0,"",IF(VLOOKUP($A8,'détails investissements'!$A$26:$DE$43,H$3-VLOOKUP($A8,'détails investissements'!$A$71:$B$88,2,FALSE)+1,FALSE)="","",VLOOKUP($A8,'détails investissements'!$A$26:$DE$43,H$3-VLOOKUP($A8,'détails investissements'!$A$71:$B$88,2,FALSE)+1,FALSE)))&lt;&gt;"",HLOOKUP(IF(H$3-VLOOKUP($A8,'détails investissements'!$A$71:$B$88,2,FALSE)&lt;=0,"",IF(VLOOKUP($A8,'détails investissements'!$A$26:$DE$43,H$3-VLOOKUP($A8,'détails investissements'!$A$71:$B$88,2,FALSE)+1,FALSE)="","",VLOOKUP($A8,'détails investissements'!$A$26:$DE$43,H$3-VLOOKUP($A8,'détails investissements'!$A$71:$B$88,2,FALSE)+1,FALSE))),'détails investissements'!$U$6:$AB$7,2,FALSE),""),FALSE),"")</f>
        <v/>
      </c>
      <c r="I8" s="45" t="str">
        <f>IF(IF(IF(I$3-VLOOKUP($A8,'détails investissements'!$A$71:$B$88,2,FALSE)&lt;=0,"",IF(VLOOKUP($A8,'détails investissements'!$A$26:$DE$43,I$3-VLOOKUP($A8,'détails investissements'!$A$71:$B$88,2,FALSE)+1,FALSE)="","",VLOOKUP($A8,'détails investissements'!$A$26:$DE$43,I$3-VLOOKUP($A8,'détails investissements'!$A$71:$B$88,2,FALSE)+1,FALSE)))&lt;&gt;"",HLOOKUP(IF(I$3-VLOOKUP($A8,'détails investissements'!$A$71:$B$88,2,FALSE)&lt;=0,"",IF(VLOOKUP($A8,'détails investissements'!$A$26:$DE$43,I$3-VLOOKUP($A8,'détails investissements'!$A$71:$B$88,2,FALSE)+1,FALSE)="","",VLOOKUP($A8,'détails investissements'!$A$26:$DE$43,I$3-VLOOKUP($A8,'détails investissements'!$A$71:$B$88,2,FALSE)+1,FALSE))),'détails investissements'!$U$6:$AB$7,2,FALSE),"")&lt;&gt;"",VLOOKUP($A8,'détails investissements'!$A$7:$H$21,1+IF(IF(I$3-VLOOKUP($A8,'détails investissements'!$A$71:$B$88,2,FALSE)&lt;=0,"",IF(VLOOKUP($A8,'détails investissements'!$A$26:$DE$43,I$3-VLOOKUP($A8,'détails investissements'!$A$71:$B$88,2,FALSE)+1,FALSE)="","",VLOOKUP($A8,'détails investissements'!$A$26:$DE$43,I$3-VLOOKUP($A8,'détails investissements'!$A$71:$B$88,2,FALSE)+1,FALSE)))&lt;&gt;"",HLOOKUP(IF(I$3-VLOOKUP($A8,'détails investissements'!$A$71:$B$88,2,FALSE)&lt;=0,"",IF(VLOOKUP($A8,'détails investissements'!$A$26:$DE$43,I$3-VLOOKUP($A8,'détails investissements'!$A$71:$B$88,2,FALSE)+1,FALSE)="","",VLOOKUP($A8,'détails investissements'!$A$26:$DE$43,I$3-VLOOKUP($A8,'détails investissements'!$A$71:$B$88,2,FALSE)+1,FALSE))),'détails investissements'!$U$6:$AB$7,2,FALSE),""),FALSE),"")</f>
        <v/>
      </c>
      <c r="J8" s="45" t="str">
        <f>IF(IF(IF(J$3-VLOOKUP($A8,'détails investissements'!$A$71:$B$88,2,FALSE)&lt;=0,"",IF(VLOOKUP($A8,'détails investissements'!$A$26:$DE$43,J$3-VLOOKUP($A8,'détails investissements'!$A$71:$B$88,2,FALSE)+1,FALSE)="","",VLOOKUP($A8,'détails investissements'!$A$26:$DE$43,J$3-VLOOKUP($A8,'détails investissements'!$A$71:$B$88,2,FALSE)+1,FALSE)))&lt;&gt;"",HLOOKUP(IF(J$3-VLOOKUP($A8,'détails investissements'!$A$71:$B$88,2,FALSE)&lt;=0,"",IF(VLOOKUP($A8,'détails investissements'!$A$26:$DE$43,J$3-VLOOKUP($A8,'détails investissements'!$A$71:$B$88,2,FALSE)+1,FALSE)="","",VLOOKUP($A8,'détails investissements'!$A$26:$DE$43,J$3-VLOOKUP($A8,'détails investissements'!$A$71:$B$88,2,FALSE)+1,FALSE))),'détails investissements'!$U$6:$AB$7,2,FALSE),"")&lt;&gt;"",VLOOKUP($A8,'détails investissements'!$A$7:$H$21,1+IF(IF(J$3-VLOOKUP($A8,'détails investissements'!$A$71:$B$88,2,FALSE)&lt;=0,"",IF(VLOOKUP($A8,'détails investissements'!$A$26:$DE$43,J$3-VLOOKUP($A8,'détails investissements'!$A$71:$B$88,2,FALSE)+1,FALSE)="","",VLOOKUP($A8,'détails investissements'!$A$26:$DE$43,J$3-VLOOKUP($A8,'détails investissements'!$A$71:$B$88,2,FALSE)+1,FALSE)))&lt;&gt;"",HLOOKUP(IF(J$3-VLOOKUP($A8,'détails investissements'!$A$71:$B$88,2,FALSE)&lt;=0,"",IF(VLOOKUP($A8,'détails investissements'!$A$26:$DE$43,J$3-VLOOKUP($A8,'détails investissements'!$A$71:$B$88,2,FALSE)+1,FALSE)="","",VLOOKUP($A8,'détails investissements'!$A$26:$DE$43,J$3-VLOOKUP($A8,'détails investissements'!$A$71:$B$88,2,FALSE)+1,FALSE))),'détails investissements'!$U$6:$AB$7,2,FALSE),""),FALSE),"")</f>
        <v/>
      </c>
      <c r="K8" s="45" t="str">
        <f>IF(IF(IF(K$3-VLOOKUP($A8,'détails investissements'!$A$71:$B$88,2,FALSE)&lt;=0,"",IF(VLOOKUP($A8,'détails investissements'!$A$26:$DE$43,K$3-VLOOKUP($A8,'détails investissements'!$A$71:$B$88,2,FALSE)+1,FALSE)="","",VLOOKUP($A8,'détails investissements'!$A$26:$DE$43,K$3-VLOOKUP($A8,'détails investissements'!$A$71:$B$88,2,FALSE)+1,FALSE)))&lt;&gt;"",HLOOKUP(IF(K$3-VLOOKUP($A8,'détails investissements'!$A$71:$B$88,2,FALSE)&lt;=0,"",IF(VLOOKUP($A8,'détails investissements'!$A$26:$DE$43,K$3-VLOOKUP($A8,'détails investissements'!$A$71:$B$88,2,FALSE)+1,FALSE)="","",VLOOKUP($A8,'détails investissements'!$A$26:$DE$43,K$3-VLOOKUP($A8,'détails investissements'!$A$71:$B$88,2,FALSE)+1,FALSE))),'détails investissements'!$U$6:$AB$7,2,FALSE),"")&lt;&gt;"",VLOOKUP($A8,'détails investissements'!$A$7:$H$21,1+IF(IF(K$3-VLOOKUP($A8,'détails investissements'!$A$71:$B$88,2,FALSE)&lt;=0,"",IF(VLOOKUP($A8,'détails investissements'!$A$26:$DE$43,K$3-VLOOKUP($A8,'détails investissements'!$A$71:$B$88,2,FALSE)+1,FALSE)="","",VLOOKUP($A8,'détails investissements'!$A$26:$DE$43,K$3-VLOOKUP($A8,'détails investissements'!$A$71:$B$88,2,FALSE)+1,FALSE)))&lt;&gt;"",HLOOKUP(IF(K$3-VLOOKUP($A8,'détails investissements'!$A$71:$B$88,2,FALSE)&lt;=0,"",IF(VLOOKUP($A8,'détails investissements'!$A$26:$DE$43,K$3-VLOOKUP($A8,'détails investissements'!$A$71:$B$88,2,FALSE)+1,FALSE)="","",VLOOKUP($A8,'détails investissements'!$A$26:$DE$43,K$3-VLOOKUP($A8,'détails investissements'!$A$71:$B$88,2,FALSE)+1,FALSE))),'détails investissements'!$U$6:$AB$7,2,FALSE),""),FALSE),"")</f>
        <v/>
      </c>
      <c r="L8" s="45" t="str">
        <f>IF(IF(IF(L$3-VLOOKUP($A8,'détails investissements'!$A$71:$B$88,2,FALSE)&lt;=0,"",IF(VLOOKUP($A8,'détails investissements'!$A$26:$DE$43,L$3-VLOOKUP($A8,'détails investissements'!$A$71:$B$88,2,FALSE)+1,FALSE)="","",VLOOKUP($A8,'détails investissements'!$A$26:$DE$43,L$3-VLOOKUP($A8,'détails investissements'!$A$71:$B$88,2,FALSE)+1,FALSE)))&lt;&gt;"",HLOOKUP(IF(L$3-VLOOKUP($A8,'détails investissements'!$A$71:$B$88,2,FALSE)&lt;=0,"",IF(VLOOKUP($A8,'détails investissements'!$A$26:$DE$43,L$3-VLOOKUP($A8,'détails investissements'!$A$71:$B$88,2,FALSE)+1,FALSE)="","",VLOOKUP($A8,'détails investissements'!$A$26:$DE$43,L$3-VLOOKUP($A8,'détails investissements'!$A$71:$B$88,2,FALSE)+1,FALSE))),'détails investissements'!$U$6:$AB$7,2,FALSE),"")&lt;&gt;"",VLOOKUP($A8,'détails investissements'!$A$7:$H$21,1+IF(IF(L$3-VLOOKUP($A8,'détails investissements'!$A$71:$B$88,2,FALSE)&lt;=0,"",IF(VLOOKUP($A8,'détails investissements'!$A$26:$DE$43,L$3-VLOOKUP($A8,'détails investissements'!$A$71:$B$88,2,FALSE)+1,FALSE)="","",VLOOKUP($A8,'détails investissements'!$A$26:$DE$43,L$3-VLOOKUP($A8,'détails investissements'!$A$71:$B$88,2,FALSE)+1,FALSE)))&lt;&gt;"",HLOOKUP(IF(L$3-VLOOKUP($A8,'détails investissements'!$A$71:$B$88,2,FALSE)&lt;=0,"",IF(VLOOKUP($A8,'détails investissements'!$A$26:$DE$43,L$3-VLOOKUP($A8,'détails investissements'!$A$71:$B$88,2,FALSE)+1,FALSE)="","",VLOOKUP($A8,'détails investissements'!$A$26:$DE$43,L$3-VLOOKUP($A8,'détails investissements'!$A$71:$B$88,2,FALSE)+1,FALSE))),'détails investissements'!$U$6:$AB$7,2,FALSE),""),FALSE),"")</f>
        <v/>
      </c>
      <c r="M8" s="45">
        <f>IF(IF(IF(M$3-VLOOKUP($A8,'détails investissements'!$A$71:$B$88,2,FALSE)&lt;=0,"",IF(VLOOKUP($A8,'détails investissements'!$A$26:$DE$43,M$3-VLOOKUP($A8,'détails investissements'!$A$71:$B$88,2,FALSE)+1,FALSE)="","",VLOOKUP($A8,'détails investissements'!$A$26:$DE$43,M$3-VLOOKUP($A8,'détails investissements'!$A$71:$B$88,2,FALSE)+1,FALSE)))&lt;&gt;"",HLOOKUP(IF(M$3-VLOOKUP($A8,'détails investissements'!$A$71:$B$88,2,FALSE)&lt;=0,"",IF(VLOOKUP($A8,'détails investissements'!$A$26:$DE$43,M$3-VLOOKUP($A8,'détails investissements'!$A$71:$B$88,2,FALSE)+1,FALSE)="","",VLOOKUP($A8,'détails investissements'!$A$26:$DE$43,M$3-VLOOKUP($A8,'détails investissements'!$A$71:$B$88,2,FALSE)+1,FALSE))),'détails investissements'!$U$6:$AB$7,2,FALSE),"")&lt;&gt;"",VLOOKUP($A8,'détails investissements'!$A$7:$H$21,1+IF(IF(M$3-VLOOKUP($A8,'détails investissements'!$A$71:$B$88,2,FALSE)&lt;=0,"",IF(VLOOKUP($A8,'détails investissements'!$A$26:$DE$43,M$3-VLOOKUP($A8,'détails investissements'!$A$71:$B$88,2,FALSE)+1,FALSE)="","",VLOOKUP($A8,'détails investissements'!$A$26:$DE$43,M$3-VLOOKUP($A8,'détails investissements'!$A$71:$B$88,2,FALSE)+1,FALSE)))&lt;&gt;"",HLOOKUP(IF(M$3-VLOOKUP($A8,'détails investissements'!$A$71:$B$88,2,FALSE)&lt;=0,"",IF(VLOOKUP($A8,'détails investissements'!$A$26:$DE$43,M$3-VLOOKUP($A8,'détails investissements'!$A$71:$B$88,2,FALSE)+1,FALSE)="","",VLOOKUP($A8,'détails investissements'!$A$26:$DE$43,M$3-VLOOKUP($A8,'détails investissements'!$A$71:$B$88,2,FALSE)+1,FALSE))),'détails investissements'!$U$6:$AB$7,2,FALSE),""),FALSE),"")</f>
        <v>0.15</v>
      </c>
      <c r="N8" s="45" t="str">
        <f>IF(IF(IF(N$3-VLOOKUP($A8,'détails investissements'!$A$71:$B$88,2,FALSE)&lt;=0,"",IF(VLOOKUP($A8,'détails investissements'!$A$26:$DE$43,N$3-VLOOKUP($A8,'détails investissements'!$A$71:$B$88,2,FALSE)+1,FALSE)="","",VLOOKUP($A8,'détails investissements'!$A$26:$DE$43,N$3-VLOOKUP($A8,'détails investissements'!$A$71:$B$88,2,FALSE)+1,FALSE)))&lt;&gt;"",HLOOKUP(IF(N$3-VLOOKUP($A8,'détails investissements'!$A$71:$B$88,2,FALSE)&lt;=0,"",IF(VLOOKUP($A8,'détails investissements'!$A$26:$DE$43,N$3-VLOOKUP($A8,'détails investissements'!$A$71:$B$88,2,FALSE)+1,FALSE)="","",VLOOKUP($A8,'détails investissements'!$A$26:$DE$43,N$3-VLOOKUP($A8,'détails investissements'!$A$71:$B$88,2,FALSE)+1,FALSE))),'détails investissements'!$U$6:$AB$7,2,FALSE),"")&lt;&gt;"",VLOOKUP($A8,'détails investissements'!$A$7:$H$21,1+IF(IF(N$3-VLOOKUP($A8,'détails investissements'!$A$71:$B$88,2,FALSE)&lt;=0,"",IF(VLOOKUP($A8,'détails investissements'!$A$26:$DE$43,N$3-VLOOKUP($A8,'détails investissements'!$A$71:$B$88,2,FALSE)+1,FALSE)="","",VLOOKUP($A8,'détails investissements'!$A$26:$DE$43,N$3-VLOOKUP($A8,'détails investissements'!$A$71:$B$88,2,FALSE)+1,FALSE)))&lt;&gt;"",HLOOKUP(IF(N$3-VLOOKUP($A8,'détails investissements'!$A$71:$B$88,2,FALSE)&lt;=0,"",IF(VLOOKUP($A8,'détails investissements'!$A$26:$DE$43,N$3-VLOOKUP($A8,'détails investissements'!$A$71:$B$88,2,FALSE)+1,FALSE)="","",VLOOKUP($A8,'détails investissements'!$A$26:$DE$43,N$3-VLOOKUP($A8,'détails investissements'!$A$71:$B$88,2,FALSE)+1,FALSE))),'détails investissements'!$U$6:$AB$7,2,FALSE),""),FALSE),"")</f>
        <v/>
      </c>
      <c r="O8" s="45">
        <f>IF(IF(IF(O$3-VLOOKUP($A8,'détails investissements'!$A$71:$B$88,2,FALSE)&lt;=0,"",IF(VLOOKUP($A8,'détails investissements'!$A$26:$DE$43,O$3-VLOOKUP($A8,'détails investissements'!$A$71:$B$88,2,FALSE)+1,FALSE)="","",VLOOKUP($A8,'détails investissements'!$A$26:$DE$43,O$3-VLOOKUP($A8,'détails investissements'!$A$71:$B$88,2,FALSE)+1,FALSE)))&lt;&gt;"",HLOOKUP(IF(O$3-VLOOKUP($A8,'détails investissements'!$A$71:$B$88,2,FALSE)&lt;=0,"",IF(VLOOKUP($A8,'détails investissements'!$A$26:$DE$43,O$3-VLOOKUP($A8,'détails investissements'!$A$71:$B$88,2,FALSE)+1,FALSE)="","",VLOOKUP($A8,'détails investissements'!$A$26:$DE$43,O$3-VLOOKUP($A8,'détails investissements'!$A$71:$B$88,2,FALSE)+1,FALSE))),'détails investissements'!$U$6:$AB$7,2,FALSE),"")&lt;&gt;"",VLOOKUP($A8,'détails investissements'!$A$7:$H$21,1+IF(IF(O$3-VLOOKUP($A8,'détails investissements'!$A$71:$B$88,2,FALSE)&lt;=0,"",IF(VLOOKUP($A8,'détails investissements'!$A$26:$DE$43,O$3-VLOOKUP($A8,'détails investissements'!$A$71:$B$88,2,FALSE)+1,FALSE)="","",VLOOKUP($A8,'détails investissements'!$A$26:$DE$43,O$3-VLOOKUP($A8,'détails investissements'!$A$71:$B$88,2,FALSE)+1,FALSE)))&lt;&gt;"",HLOOKUP(IF(O$3-VLOOKUP($A8,'détails investissements'!$A$71:$B$88,2,FALSE)&lt;=0,"",IF(VLOOKUP($A8,'détails investissements'!$A$26:$DE$43,O$3-VLOOKUP($A8,'détails investissements'!$A$71:$B$88,2,FALSE)+1,FALSE)="","",VLOOKUP($A8,'détails investissements'!$A$26:$DE$43,O$3-VLOOKUP($A8,'détails investissements'!$A$71:$B$88,2,FALSE)+1,FALSE))),'détails investissements'!$U$6:$AB$7,2,FALSE),""),FALSE),"")</f>
        <v>0.1</v>
      </c>
      <c r="P8" s="45" t="str">
        <f>IF(IF(IF(P$3-VLOOKUP($A8,'détails investissements'!$A$71:$B$88,2,FALSE)&lt;=0,"",IF(VLOOKUP($A8,'détails investissements'!$A$26:$DE$43,P$3-VLOOKUP($A8,'détails investissements'!$A$71:$B$88,2,FALSE)+1,FALSE)="","",VLOOKUP($A8,'détails investissements'!$A$26:$DE$43,P$3-VLOOKUP($A8,'détails investissements'!$A$71:$B$88,2,FALSE)+1,FALSE)))&lt;&gt;"",HLOOKUP(IF(P$3-VLOOKUP($A8,'détails investissements'!$A$71:$B$88,2,FALSE)&lt;=0,"",IF(VLOOKUP($A8,'détails investissements'!$A$26:$DE$43,P$3-VLOOKUP($A8,'détails investissements'!$A$71:$B$88,2,FALSE)+1,FALSE)="","",VLOOKUP($A8,'détails investissements'!$A$26:$DE$43,P$3-VLOOKUP($A8,'détails investissements'!$A$71:$B$88,2,FALSE)+1,FALSE))),'détails investissements'!$U$6:$AB$7,2,FALSE),"")&lt;&gt;"",VLOOKUP($A8,'détails investissements'!$A$7:$H$21,1+IF(IF(P$3-VLOOKUP($A8,'détails investissements'!$A$71:$B$88,2,FALSE)&lt;=0,"",IF(VLOOKUP($A8,'détails investissements'!$A$26:$DE$43,P$3-VLOOKUP($A8,'détails investissements'!$A$71:$B$88,2,FALSE)+1,FALSE)="","",VLOOKUP($A8,'détails investissements'!$A$26:$DE$43,P$3-VLOOKUP($A8,'détails investissements'!$A$71:$B$88,2,FALSE)+1,FALSE)))&lt;&gt;"",HLOOKUP(IF(P$3-VLOOKUP($A8,'détails investissements'!$A$71:$B$88,2,FALSE)&lt;=0,"",IF(VLOOKUP($A8,'détails investissements'!$A$26:$DE$43,P$3-VLOOKUP($A8,'détails investissements'!$A$71:$B$88,2,FALSE)+1,FALSE)="","",VLOOKUP($A8,'détails investissements'!$A$26:$DE$43,P$3-VLOOKUP($A8,'détails investissements'!$A$71:$B$88,2,FALSE)+1,FALSE))),'détails investissements'!$U$6:$AB$7,2,FALSE),""),FALSE),"")</f>
        <v/>
      </c>
      <c r="Q8" s="45" t="str">
        <f>IF(IF(IF(Q$3-VLOOKUP($A8,'détails investissements'!$A$71:$B$88,2,FALSE)&lt;=0,"",IF(VLOOKUP($A8,'détails investissements'!$A$26:$DE$43,Q$3-VLOOKUP($A8,'détails investissements'!$A$71:$B$88,2,FALSE)+1,FALSE)="","",VLOOKUP($A8,'détails investissements'!$A$26:$DE$43,Q$3-VLOOKUP($A8,'détails investissements'!$A$71:$B$88,2,FALSE)+1,FALSE)))&lt;&gt;"",HLOOKUP(IF(Q$3-VLOOKUP($A8,'détails investissements'!$A$71:$B$88,2,FALSE)&lt;=0,"",IF(VLOOKUP($A8,'détails investissements'!$A$26:$DE$43,Q$3-VLOOKUP($A8,'détails investissements'!$A$71:$B$88,2,FALSE)+1,FALSE)="","",VLOOKUP($A8,'détails investissements'!$A$26:$DE$43,Q$3-VLOOKUP($A8,'détails investissements'!$A$71:$B$88,2,FALSE)+1,FALSE))),'détails investissements'!$U$6:$AB$7,2,FALSE),"")&lt;&gt;"",VLOOKUP($A8,'détails investissements'!$A$7:$H$21,1+IF(IF(Q$3-VLOOKUP($A8,'détails investissements'!$A$71:$B$88,2,FALSE)&lt;=0,"",IF(VLOOKUP($A8,'détails investissements'!$A$26:$DE$43,Q$3-VLOOKUP($A8,'détails investissements'!$A$71:$B$88,2,FALSE)+1,FALSE)="","",VLOOKUP($A8,'détails investissements'!$A$26:$DE$43,Q$3-VLOOKUP($A8,'détails investissements'!$A$71:$B$88,2,FALSE)+1,FALSE)))&lt;&gt;"",HLOOKUP(IF(Q$3-VLOOKUP($A8,'détails investissements'!$A$71:$B$88,2,FALSE)&lt;=0,"",IF(VLOOKUP($A8,'détails investissements'!$A$26:$DE$43,Q$3-VLOOKUP($A8,'détails investissements'!$A$71:$B$88,2,FALSE)+1,FALSE)="","",VLOOKUP($A8,'détails investissements'!$A$26:$DE$43,Q$3-VLOOKUP($A8,'détails investissements'!$A$71:$B$88,2,FALSE)+1,FALSE))),'détails investissements'!$U$6:$AB$7,2,FALSE),""),FALSE),"")</f>
        <v/>
      </c>
      <c r="R8" s="45" t="str">
        <f>IF(IF(IF(R$3-VLOOKUP($A8,'détails investissements'!$A$71:$B$88,2,FALSE)&lt;=0,"",IF(VLOOKUP($A8,'détails investissements'!$A$26:$DE$43,R$3-VLOOKUP($A8,'détails investissements'!$A$71:$B$88,2,FALSE)+1,FALSE)="","",VLOOKUP($A8,'détails investissements'!$A$26:$DE$43,R$3-VLOOKUP($A8,'détails investissements'!$A$71:$B$88,2,FALSE)+1,FALSE)))&lt;&gt;"",HLOOKUP(IF(R$3-VLOOKUP($A8,'détails investissements'!$A$71:$B$88,2,FALSE)&lt;=0,"",IF(VLOOKUP($A8,'détails investissements'!$A$26:$DE$43,R$3-VLOOKUP($A8,'détails investissements'!$A$71:$B$88,2,FALSE)+1,FALSE)="","",VLOOKUP($A8,'détails investissements'!$A$26:$DE$43,R$3-VLOOKUP($A8,'détails investissements'!$A$71:$B$88,2,FALSE)+1,FALSE))),'détails investissements'!$U$6:$AB$7,2,FALSE),"")&lt;&gt;"",VLOOKUP($A8,'détails investissements'!$A$7:$H$21,1+IF(IF(R$3-VLOOKUP($A8,'détails investissements'!$A$71:$B$88,2,FALSE)&lt;=0,"",IF(VLOOKUP($A8,'détails investissements'!$A$26:$DE$43,R$3-VLOOKUP($A8,'détails investissements'!$A$71:$B$88,2,FALSE)+1,FALSE)="","",VLOOKUP($A8,'détails investissements'!$A$26:$DE$43,R$3-VLOOKUP($A8,'détails investissements'!$A$71:$B$88,2,FALSE)+1,FALSE)))&lt;&gt;"",HLOOKUP(IF(R$3-VLOOKUP($A8,'détails investissements'!$A$71:$B$88,2,FALSE)&lt;=0,"",IF(VLOOKUP($A8,'détails investissements'!$A$26:$DE$43,R$3-VLOOKUP($A8,'détails investissements'!$A$71:$B$88,2,FALSE)+1,FALSE)="","",VLOOKUP($A8,'détails investissements'!$A$26:$DE$43,R$3-VLOOKUP($A8,'détails investissements'!$A$71:$B$88,2,FALSE)+1,FALSE))),'détails investissements'!$U$6:$AB$7,2,FALSE),""),FALSE),"")</f>
        <v/>
      </c>
      <c r="S8" s="45" t="str">
        <f>IF(IF(IF(S$3-VLOOKUP($A8,'détails investissements'!$A$71:$B$88,2,FALSE)&lt;=0,"",IF(VLOOKUP($A8,'détails investissements'!$A$26:$DE$43,S$3-VLOOKUP($A8,'détails investissements'!$A$71:$B$88,2,FALSE)+1,FALSE)="","",VLOOKUP($A8,'détails investissements'!$A$26:$DE$43,S$3-VLOOKUP($A8,'détails investissements'!$A$71:$B$88,2,FALSE)+1,FALSE)))&lt;&gt;"",HLOOKUP(IF(S$3-VLOOKUP($A8,'détails investissements'!$A$71:$B$88,2,FALSE)&lt;=0,"",IF(VLOOKUP($A8,'détails investissements'!$A$26:$DE$43,S$3-VLOOKUP($A8,'détails investissements'!$A$71:$B$88,2,FALSE)+1,FALSE)="","",VLOOKUP($A8,'détails investissements'!$A$26:$DE$43,S$3-VLOOKUP($A8,'détails investissements'!$A$71:$B$88,2,FALSE)+1,FALSE))),'détails investissements'!$U$6:$AB$7,2,FALSE),"")&lt;&gt;"",VLOOKUP($A8,'détails investissements'!$A$7:$H$21,1+IF(IF(S$3-VLOOKUP($A8,'détails investissements'!$A$71:$B$88,2,FALSE)&lt;=0,"",IF(VLOOKUP($A8,'détails investissements'!$A$26:$DE$43,S$3-VLOOKUP($A8,'détails investissements'!$A$71:$B$88,2,FALSE)+1,FALSE)="","",VLOOKUP($A8,'détails investissements'!$A$26:$DE$43,S$3-VLOOKUP($A8,'détails investissements'!$A$71:$B$88,2,FALSE)+1,FALSE)))&lt;&gt;"",HLOOKUP(IF(S$3-VLOOKUP($A8,'détails investissements'!$A$71:$B$88,2,FALSE)&lt;=0,"",IF(VLOOKUP($A8,'détails investissements'!$A$26:$DE$43,S$3-VLOOKUP($A8,'détails investissements'!$A$71:$B$88,2,FALSE)+1,FALSE)="","",VLOOKUP($A8,'détails investissements'!$A$26:$DE$43,S$3-VLOOKUP($A8,'détails investissements'!$A$71:$B$88,2,FALSE)+1,FALSE))),'détails investissements'!$U$6:$AB$7,2,FALSE),""),FALSE),"")</f>
        <v/>
      </c>
      <c r="T8" s="45" t="str">
        <f>IF(IF(IF(T$3-VLOOKUP($A8,'détails investissements'!$A$71:$B$88,2,FALSE)&lt;=0,"",IF(VLOOKUP($A8,'détails investissements'!$A$26:$DE$43,T$3-VLOOKUP($A8,'détails investissements'!$A$71:$B$88,2,FALSE)+1,FALSE)="","",VLOOKUP($A8,'détails investissements'!$A$26:$DE$43,T$3-VLOOKUP($A8,'détails investissements'!$A$71:$B$88,2,FALSE)+1,FALSE)))&lt;&gt;"",HLOOKUP(IF(T$3-VLOOKUP($A8,'détails investissements'!$A$71:$B$88,2,FALSE)&lt;=0,"",IF(VLOOKUP($A8,'détails investissements'!$A$26:$DE$43,T$3-VLOOKUP($A8,'détails investissements'!$A$71:$B$88,2,FALSE)+1,FALSE)="","",VLOOKUP($A8,'détails investissements'!$A$26:$DE$43,T$3-VLOOKUP($A8,'détails investissements'!$A$71:$B$88,2,FALSE)+1,FALSE))),'détails investissements'!$U$6:$AB$7,2,FALSE),"")&lt;&gt;"",VLOOKUP($A8,'détails investissements'!$A$7:$H$21,1+IF(IF(T$3-VLOOKUP($A8,'détails investissements'!$A$71:$B$88,2,FALSE)&lt;=0,"",IF(VLOOKUP($A8,'détails investissements'!$A$26:$DE$43,T$3-VLOOKUP($A8,'détails investissements'!$A$71:$B$88,2,FALSE)+1,FALSE)="","",VLOOKUP($A8,'détails investissements'!$A$26:$DE$43,T$3-VLOOKUP($A8,'détails investissements'!$A$71:$B$88,2,FALSE)+1,FALSE)))&lt;&gt;"",HLOOKUP(IF(T$3-VLOOKUP($A8,'détails investissements'!$A$71:$B$88,2,FALSE)&lt;=0,"",IF(VLOOKUP($A8,'détails investissements'!$A$26:$DE$43,T$3-VLOOKUP($A8,'détails investissements'!$A$71:$B$88,2,FALSE)+1,FALSE)="","",VLOOKUP($A8,'détails investissements'!$A$26:$DE$43,T$3-VLOOKUP($A8,'détails investissements'!$A$71:$B$88,2,FALSE)+1,FALSE))),'détails investissements'!$U$6:$AB$7,2,FALSE),""),FALSE),"")</f>
        <v/>
      </c>
      <c r="U8" s="45" t="str">
        <f>IF(IF(IF(U$3-VLOOKUP($A8,'détails investissements'!$A$71:$B$88,2,FALSE)&lt;=0,"",IF(VLOOKUP($A8,'détails investissements'!$A$26:$DE$43,U$3-VLOOKUP($A8,'détails investissements'!$A$71:$B$88,2,FALSE)+1,FALSE)="","",VLOOKUP($A8,'détails investissements'!$A$26:$DE$43,U$3-VLOOKUP($A8,'détails investissements'!$A$71:$B$88,2,FALSE)+1,FALSE)))&lt;&gt;"",HLOOKUP(IF(U$3-VLOOKUP($A8,'détails investissements'!$A$71:$B$88,2,FALSE)&lt;=0,"",IF(VLOOKUP($A8,'détails investissements'!$A$26:$DE$43,U$3-VLOOKUP($A8,'détails investissements'!$A$71:$B$88,2,FALSE)+1,FALSE)="","",VLOOKUP($A8,'détails investissements'!$A$26:$DE$43,U$3-VLOOKUP($A8,'détails investissements'!$A$71:$B$88,2,FALSE)+1,FALSE))),'détails investissements'!$U$6:$AB$7,2,FALSE),"")&lt;&gt;"",VLOOKUP($A8,'détails investissements'!$A$7:$H$21,1+IF(IF(U$3-VLOOKUP($A8,'détails investissements'!$A$71:$B$88,2,FALSE)&lt;=0,"",IF(VLOOKUP($A8,'détails investissements'!$A$26:$DE$43,U$3-VLOOKUP($A8,'détails investissements'!$A$71:$B$88,2,FALSE)+1,FALSE)="","",VLOOKUP($A8,'détails investissements'!$A$26:$DE$43,U$3-VLOOKUP($A8,'détails investissements'!$A$71:$B$88,2,FALSE)+1,FALSE)))&lt;&gt;"",HLOOKUP(IF(U$3-VLOOKUP($A8,'détails investissements'!$A$71:$B$88,2,FALSE)&lt;=0,"",IF(VLOOKUP($A8,'détails investissements'!$A$26:$DE$43,U$3-VLOOKUP($A8,'détails investissements'!$A$71:$B$88,2,FALSE)+1,FALSE)="","",VLOOKUP($A8,'détails investissements'!$A$26:$DE$43,U$3-VLOOKUP($A8,'détails investissements'!$A$71:$B$88,2,FALSE)+1,FALSE))),'détails investissements'!$U$6:$AB$7,2,FALSE),""),FALSE),"")</f>
        <v/>
      </c>
      <c r="V8" s="45">
        <f>IF(IF(IF(V$3-VLOOKUP($A8,'détails investissements'!$A$71:$B$88,2,FALSE)&lt;=0,"",IF(VLOOKUP($A8,'détails investissements'!$A$26:$DE$43,V$3-VLOOKUP($A8,'détails investissements'!$A$71:$B$88,2,FALSE)+1,FALSE)="","",VLOOKUP($A8,'détails investissements'!$A$26:$DE$43,V$3-VLOOKUP($A8,'détails investissements'!$A$71:$B$88,2,FALSE)+1,FALSE)))&lt;&gt;"",HLOOKUP(IF(V$3-VLOOKUP($A8,'détails investissements'!$A$71:$B$88,2,FALSE)&lt;=0,"",IF(VLOOKUP($A8,'détails investissements'!$A$26:$DE$43,V$3-VLOOKUP($A8,'détails investissements'!$A$71:$B$88,2,FALSE)+1,FALSE)="","",VLOOKUP($A8,'détails investissements'!$A$26:$DE$43,V$3-VLOOKUP($A8,'détails investissements'!$A$71:$B$88,2,FALSE)+1,FALSE))),'détails investissements'!$U$6:$AB$7,2,FALSE),"")&lt;&gt;"",VLOOKUP($A8,'détails investissements'!$A$7:$H$21,1+IF(IF(V$3-VLOOKUP($A8,'détails investissements'!$A$71:$B$88,2,FALSE)&lt;=0,"",IF(VLOOKUP($A8,'détails investissements'!$A$26:$DE$43,V$3-VLOOKUP($A8,'détails investissements'!$A$71:$B$88,2,FALSE)+1,FALSE)="","",VLOOKUP($A8,'détails investissements'!$A$26:$DE$43,V$3-VLOOKUP($A8,'détails investissements'!$A$71:$B$88,2,FALSE)+1,FALSE)))&lt;&gt;"",HLOOKUP(IF(V$3-VLOOKUP($A8,'détails investissements'!$A$71:$B$88,2,FALSE)&lt;=0,"",IF(VLOOKUP($A8,'détails investissements'!$A$26:$DE$43,V$3-VLOOKUP($A8,'détails investissements'!$A$71:$B$88,2,FALSE)+1,FALSE)="","",VLOOKUP($A8,'détails investissements'!$A$26:$DE$43,V$3-VLOOKUP($A8,'détails investissements'!$A$71:$B$88,2,FALSE)+1,FALSE))),'détails investissements'!$U$6:$AB$7,2,FALSE),""),FALSE),"")</f>
        <v>0.2</v>
      </c>
      <c r="W8" s="45" t="str">
        <f>IF(IF(IF(W$3-VLOOKUP($A8,'détails investissements'!$A$71:$B$88,2,FALSE)&lt;=0,"",IF(VLOOKUP($A8,'détails investissements'!$A$26:$DE$43,W$3-VLOOKUP($A8,'détails investissements'!$A$71:$B$88,2,FALSE)+1,FALSE)="","",VLOOKUP($A8,'détails investissements'!$A$26:$DE$43,W$3-VLOOKUP($A8,'détails investissements'!$A$71:$B$88,2,FALSE)+1,FALSE)))&lt;&gt;"",HLOOKUP(IF(W$3-VLOOKUP($A8,'détails investissements'!$A$71:$B$88,2,FALSE)&lt;=0,"",IF(VLOOKUP($A8,'détails investissements'!$A$26:$DE$43,W$3-VLOOKUP($A8,'détails investissements'!$A$71:$B$88,2,FALSE)+1,FALSE)="","",VLOOKUP($A8,'détails investissements'!$A$26:$DE$43,W$3-VLOOKUP($A8,'détails investissements'!$A$71:$B$88,2,FALSE)+1,FALSE))),'détails investissements'!$U$6:$AB$7,2,FALSE),"")&lt;&gt;"",VLOOKUP($A8,'détails investissements'!$A$7:$H$21,1+IF(IF(W$3-VLOOKUP($A8,'détails investissements'!$A$71:$B$88,2,FALSE)&lt;=0,"",IF(VLOOKUP($A8,'détails investissements'!$A$26:$DE$43,W$3-VLOOKUP($A8,'détails investissements'!$A$71:$B$88,2,FALSE)+1,FALSE)="","",VLOOKUP($A8,'détails investissements'!$A$26:$DE$43,W$3-VLOOKUP($A8,'détails investissements'!$A$71:$B$88,2,FALSE)+1,FALSE)))&lt;&gt;"",HLOOKUP(IF(W$3-VLOOKUP($A8,'détails investissements'!$A$71:$B$88,2,FALSE)&lt;=0,"",IF(VLOOKUP($A8,'détails investissements'!$A$26:$DE$43,W$3-VLOOKUP($A8,'détails investissements'!$A$71:$B$88,2,FALSE)+1,FALSE)="","",VLOOKUP($A8,'détails investissements'!$A$26:$DE$43,W$3-VLOOKUP($A8,'détails investissements'!$A$71:$B$88,2,FALSE)+1,FALSE))),'détails investissements'!$U$6:$AB$7,2,FALSE),""),FALSE),"")</f>
        <v/>
      </c>
      <c r="X8" s="45">
        <f>IF(IF(IF(X$3-VLOOKUP($A8,'détails investissements'!$A$71:$B$88,2,FALSE)&lt;=0,"",IF(VLOOKUP($A8,'détails investissements'!$A$26:$DE$43,X$3-VLOOKUP($A8,'détails investissements'!$A$71:$B$88,2,FALSE)+1,FALSE)="","",VLOOKUP($A8,'détails investissements'!$A$26:$DE$43,X$3-VLOOKUP($A8,'détails investissements'!$A$71:$B$88,2,FALSE)+1,FALSE)))&lt;&gt;"",HLOOKUP(IF(X$3-VLOOKUP($A8,'détails investissements'!$A$71:$B$88,2,FALSE)&lt;=0,"",IF(VLOOKUP($A8,'détails investissements'!$A$26:$DE$43,X$3-VLOOKUP($A8,'détails investissements'!$A$71:$B$88,2,FALSE)+1,FALSE)="","",VLOOKUP($A8,'détails investissements'!$A$26:$DE$43,X$3-VLOOKUP($A8,'détails investissements'!$A$71:$B$88,2,FALSE)+1,FALSE))),'détails investissements'!$U$6:$AB$7,2,FALSE),"")&lt;&gt;"",VLOOKUP($A8,'détails investissements'!$A$7:$H$21,1+IF(IF(X$3-VLOOKUP($A8,'détails investissements'!$A$71:$B$88,2,FALSE)&lt;=0,"",IF(VLOOKUP($A8,'détails investissements'!$A$26:$DE$43,X$3-VLOOKUP($A8,'détails investissements'!$A$71:$B$88,2,FALSE)+1,FALSE)="","",VLOOKUP($A8,'détails investissements'!$A$26:$DE$43,X$3-VLOOKUP($A8,'détails investissements'!$A$71:$B$88,2,FALSE)+1,FALSE)))&lt;&gt;"",HLOOKUP(IF(X$3-VLOOKUP($A8,'détails investissements'!$A$71:$B$88,2,FALSE)&lt;=0,"",IF(VLOOKUP($A8,'détails investissements'!$A$26:$DE$43,X$3-VLOOKUP($A8,'détails investissements'!$A$71:$B$88,2,FALSE)+1,FALSE)="","",VLOOKUP($A8,'détails investissements'!$A$26:$DE$43,X$3-VLOOKUP($A8,'détails investissements'!$A$71:$B$88,2,FALSE)+1,FALSE))),'détails investissements'!$U$6:$AB$7,2,FALSE),""),FALSE),"")</f>
        <v>0.2</v>
      </c>
      <c r="Y8" s="45" t="str">
        <f>IF(IF(IF(Y$3-VLOOKUP($A8,'détails investissements'!$A$71:$B$88,2,FALSE)&lt;=0,"",IF(VLOOKUP($A8,'détails investissements'!$A$26:$DE$43,Y$3-VLOOKUP($A8,'détails investissements'!$A$71:$B$88,2,FALSE)+1,FALSE)="","",VLOOKUP($A8,'détails investissements'!$A$26:$DE$43,Y$3-VLOOKUP($A8,'détails investissements'!$A$71:$B$88,2,FALSE)+1,FALSE)))&lt;&gt;"",HLOOKUP(IF(Y$3-VLOOKUP($A8,'détails investissements'!$A$71:$B$88,2,FALSE)&lt;=0,"",IF(VLOOKUP($A8,'détails investissements'!$A$26:$DE$43,Y$3-VLOOKUP($A8,'détails investissements'!$A$71:$B$88,2,FALSE)+1,FALSE)="","",VLOOKUP($A8,'détails investissements'!$A$26:$DE$43,Y$3-VLOOKUP($A8,'détails investissements'!$A$71:$B$88,2,FALSE)+1,FALSE))),'détails investissements'!$U$6:$AB$7,2,FALSE),"")&lt;&gt;"",VLOOKUP($A8,'détails investissements'!$A$7:$H$21,1+IF(IF(Y$3-VLOOKUP($A8,'détails investissements'!$A$71:$B$88,2,FALSE)&lt;=0,"",IF(VLOOKUP($A8,'détails investissements'!$A$26:$DE$43,Y$3-VLOOKUP($A8,'détails investissements'!$A$71:$B$88,2,FALSE)+1,FALSE)="","",VLOOKUP($A8,'détails investissements'!$A$26:$DE$43,Y$3-VLOOKUP($A8,'détails investissements'!$A$71:$B$88,2,FALSE)+1,FALSE)))&lt;&gt;"",HLOOKUP(IF(Y$3-VLOOKUP($A8,'détails investissements'!$A$71:$B$88,2,FALSE)&lt;=0,"",IF(VLOOKUP($A8,'détails investissements'!$A$26:$DE$43,Y$3-VLOOKUP($A8,'détails investissements'!$A$71:$B$88,2,FALSE)+1,FALSE)="","",VLOOKUP($A8,'détails investissements'!$A$26:$DE$43,Y$3-VLOOKUP($A8,'détails investissements'!$A$71:$B$88,2,FALSE)+1,FALSE))),'détails investissements'!$U$6:$AB$7,2,FALSE),""),FALSE),"")</f>
        <v/>
      </c>
      <c r="Z8" s="45" t="str">
        <f>IF(IF(IF(Z$3-VLOOKUP($A8,'détails investissements'!$A$71:$B$88,2,FALSE)&lt;=0,"",IF(VLOOKUP($A8,'détails investissements'!$A$26:$DE$43,Z$3-VLOOKUP($A8,'détails investissements'!$A$71:$B$88,2,FALSE)+1,FALSE)="","",VLOOKUP($A8,'détails investissements'!$A$26:$DE$43,Z$3-VLOOKUP($A8,'détails investissements'!$A$71:$B$88,2,FALSE)+1,FALSE)))&lt;&gt;"",HLOOKUP(IF(Z$3-VLOOKUP($A8,'détails investissements'!$A$71:$B$88,2,FALSE)&lt;=0,"",IF(VLOOKUP($A8,'détails investissements'!$A$26:$DE$43,Z$3-VLOOKUP($A8,'détails investissements'!$A$71:$B$88,2,FALSE)+1,FALSE)="","",VLOOKUP($A8,'détails investissements'!$A$26:$DE$43,Z$3-VLOOKUP($A8,'détails investissements'!$A$71:$B$88,2,FALSE)+1,FALSE))),'détails investissements'!$U$6:$AB$7,2,FALSE),"")&lt;&gt;"",VLOOKUP($A8,'détails investissements'!$A$7:$H$21,1+IF(IF(Z$3-VLOOKUP($A8,'détails investissements'!$A$71:$B$88,2,FALSE)&lt;=0,"",IF(VLOOKUP($A8,'détails investissements'!$A$26:$DE$43,Z$3-VLOOKUP($A8,'détails investissements'!$A$71:$B$88,2,FALSE)+1,FALSE)="","",VLOOKUP($A8,'détails investissements'!$A$26:$DE$43,Z$3-VLOOKUP($A8,'détails investissements'!$A$71:$B$88,2,FALSE)+1,FALSE)))&lt;&gt;"",HLOOKUP(IF(Z$3-VLOOKUP($A8,'détails investissements'!$A$71:$B$88,2,FALSE)&lt;=0,"",IF(VLOOKUP($A8,'détails investissements'!$A$26:$DE$43,Z$3-VLOOKUP($A8,'détails investissements'!$A$71:$B$88,2,FALSE)+1,FALSE)="","",VLOOKUP($A8,'détails investissements'!$A$26:$DE$43,Z$3-VLOOKUP($A8,'détails investissements'!$A$71:$B$88,2,FALSE)+1,FALSE))),'détails investissements'!$U$6:$AB$7,2,FALSE),""),FALSE),"")</f>
        <v/>
      </c>
      <c r="AA8" s="45" t="str">
        <f>IF(IF(IF(AA$3-VLOOKUP($A8,'détails investissements'!$A$71:$B$88,2,FALSE)&lt;=0,"",IF(VLOOKUP($A8,'détails investissements'!$A$26:$DE$43,AA$3-VLOOKUP($A8,'détails investissements'!$A$71:$B$88,2,FALSE)+1,FALSE)="","",VLOOKUP($A8,'détails investissements'!$A$26:$DE$43,AA$3-VLOOKUP($A8,'détails investissements'!$A$71:$B$88,2,FALSE)+1,FALSE)))&lt;&gt;"",HLOOKUP(IF(AA$3-VLOOKUP($A8,'détails investissements'!$A$71:$B$88,2,FALSE)&lt;=0,"",IF(VLOOKUP($A8,'détails investissements'!$A$26:$DE$43,AA$3-VLOOKUP($A8,'détails investissements'!$A$71:$B$88,2,FALSE)+1,FALSE)="","",VLOOKUP($A8,'détails investissements'!$A$26:$DE$43,AA$3-VLOOKUP($A8,'détails investissements'!$A$71:$B$88,2,FALSE)+1,FALSE))),'détails investissements'!$U$6:$AB$7,2,FALSE),"")&lt;&gt;"",VLOOKUP($A8,'détails investissements'!$A$7:$H$21,1+IF(IF(AA$3-VLOOKUP($A8,'détails investissements'!$A$71:$B$88,2,FALSE)&lt;=0,"",IF(VLOOKUP($A8,'détails investissements'!$A$26:$DE$43,AA$3-VLOOKUP($A8,'détails investissements'!$A$71:$B$88,2,FALSE)+1,FALSE)="","",VLOOKUP($A8,'détails investissements'!$A$26:$DE$43,AA$3-VLOOKUP($A8,'détails investissements'!$A$71:$B$88,2,FALSE)+1,FALSE)))&lt;&gt;"",HLOOKUP(IF(AA$3-VLOOKUP($A8,'détails investissements'!$A$71:$B$88,2,FALSE)&lt;=0,"",IF(VLOOKUP($A8,'détails investissements'!$A$26:$DE$43,AA$3-VLOOKUP($A8,'détails investissements'!$A$71:$B$88,2,FALSE)+1,FALSE)="","",VLOOKUP($A8,'détails investissements'!$A$26:$DE$43,AA$3-VLOOKUP($A8,'détails investissements'!$A$71:$B$88,2,FALSE)+1,FALSE))),'détails investissements'!$U$6:$AB$7,2,FALSE),""),FALSE),"")</f>
        <v/>
      </c>
      <c r="AB8" s="45" t="str">
        <f>IF(IF(IF(AB$3-VLOOKUP($A8,'détails investissements'!$A$71:$B$88,2,FALSE)&lt;=0,"",IF(VLOOKUP($A8,'détails investissements'!$A$26:$DE$43,AB$3-VLOOKUP($A8,'détails investissements'!$A$71:$B$88,2,FALSE)+1,FALSE)="","",VLOOKUP($A8,'détails investissements'!$A$26:$DE$43,AB$3-VLOOKUP($A8,'détails investissements'!$A$71:$B$88,2,FALSE)+1,FALSE)))&lt;&gt;"",HLOOKUP(IF(AB$3-VLOOKUP($A8,'détails investissements'!$A$71:$B$88,2,FALSE)&lt;=0,"",IF(VLOOKUP($A8,'détails investissements'!$A$26:$DE$43,AB$3-VLOOKUP($A8,'détails investissements'!$A$71:$B$88,2,FALSE)+1,FALSE)="","",VLOOKUP($A8,'détails investissements'!$A$26:$DE$43,AB$3-VLOOKUP($A8,'détails investissements'!$A$71:$B$88,2,FALSE)+1,FALSE))),'détails investissements'!$U$6:$AB$7,2,FALSE),"")&lt;&gt;"",VLOOKUP($A8,'détails investissements'!$A$7:$H$21,1+IF(IF(AB$3-VLOOKUP($A8,'détails investissements'!$A$71:$B$88,2,FALSE)&lt;=0,"",IF(VLOOKUP($A8,'détails investissements'!$A$26:$DE$43,AB$3-VLOOKUP($A8,'détails investissements'!$A$71:$B$88,2,FALSE)+1,FALSE)="","",VLOOKUP($A8,'détails investissements'!$A$26:$DE$43,AB$3-VLOOKUP($A8,'détails investissements'!$A$71:$B$88,2,FALSE)+1,FALSE)))&lt;&gt;"",HLOOKUP(IF(AB$3-VLOOKUP($A8,'détails investissements'!$A$71:$B$88,2,FALSE)&lt;=0,"",IF(VLOOKUP($A8,'détails investissements'!$A$26:$DE$43,AB$3-VLOOKUP($A8,'détails investissements'!$A$71:$B$88,2,FALSE)+1,FALSE)="","",VLOOKUP($A8,'détails investissements'!$A$26:$DE$43,AB$3-VLOOKUP($A8,'détails investissements'!$A$71:$B$88,2,FALSE)+1,FALSE))),'détails investissements'!$U$6:$AB$7,2,FALSE),""),FALSE),"")</f>
        <v/>
      </c>
      <c r="AC8" s="45">
        <f>IF(IF(IF(AC$3-VLOOKUP($A8,'détails investissements'!$A$71:$B$88,2,FALSE)&lt;=0,"",IF(VLOOKUP($A8,'détails investissements'!$A$26:$DE$43,AC$3-VLOOKUP($A8,'détails investissements'!$A$71:$B$88,2,FALSE)+1,FALSE)="","",VLOOKUP($A8,'détails investissements'!$A$26:$DE$43,AC$3-VLOOKUP($A8,'détails investissements'!$A$71:$B$88,2,FALSE)+1,FALSE)))&lt;&gt;"",HLOOKUP(IF(AC$3-VLOOKUP($A8,'détails investissements'!$A$71:$B$88,2,FALSE)&lt;=0,"",IF(VLOOKUP($A8,'détails investissements'!$A$26:$DE$43,AC$3-VLOOKUP($A8,'détails investissements'!$A$71:$B$88,2,FALSE)+1,FALSE)="","",VLOOKUP($A8,'détails investissements'!$A$26:$DE$43,AC$3-VLOOKUP($A8,'détails investissements'!$A$71:$B$88,2,FALSE)+1,FALSE))),'détails investissements'!$U$6:$AB$7,2,FALSE),"")&lt;&gt;"",VLOOKUP($A8,'détails investissements'!$A$7:$H$21,1+IF(IF(AC$3-VLOOKUP($A8,'détails investissements'!$A$71:$B$88,2,FALSE)&lt;=0,"",IF(VLOOKUP($A8,'détails investissements'!$A$26:$DE$43,AC$3-VLOOKUP($A8,'détails investissements'!$A$71:$B$88,2,FALSE)+1,FALSE)="","",VLOOKUP($A8,'détails investissements'!$A$26:$DE$43,AC$3-VLOOKUP($A8,'détails investissements'!$A$71:$B$88,2,FALSE)+1,FALSE)))&lt;&gt;"",HLOOKUP(IF(AC$3-VLOOKUP($A8,'détails investissements'!$A$71:$B$88,2,FALSE)&lt;=0,"",IF(VLOOKUP($A8,'détails investissements'!$A$26:$DE$43,AC$3-VLOOKUP($A8,'détails investissements'!$A$71:$B$88,2,FALSE)+1,FALSE)="","",VLOOKUP($A8,'détails investissements'!$A$26:$DE$43,AC$3-VLOOKUP($A8,'détails investissements'!$A$71:$B$88,2,FALSE)+1,FALSE))),'détails investissements'!$U$6:$AB$7,2,FALSE),""),FALSE),"")</f>
        <v>0.2</v>
      </c>
      <c r="AD8" s="45" t="str">
        <f>IF(IF(IF(AD$3-VLOOKUP($A8,'détails investissements'!$A$71:$B$88,2,FALSE)&lt;=0,"",IF(VLOOKUP($A8,'détails investissements'!$A$26:$DE$43,AD$3-VLOOKUP($A8,'détails investissements'!$A$71:$B$88,2,FALSE)+1,FALSE)="","",VLOOKUP($A8,'détails investissements'!$A$26:$DE$43,AD$3-VLOOKUP($A8,'détails investissements'!$A$71:$B$88,2,FALSE)+1,FALSE)))&lt;&gt;"",HLOOKUP(IF(AD$3-VLOOKUP($A8,'détails investissements'!$A$71:$B$88,2,FALSE)&lt;=0,"",IF(VLOOKUP($A8,'détails investissements'!$A$26:$DE$43,AD$3-VLOOKUP($A8,'détails investissements'!$A$71:$B$88,2,FALSE)+1,FALSE)="","",VLOOKUP($A8,'détails investissements'!$A$26:$DE$43,AD$3-VLOOKUP($A8,'détails investissements'!$A$71:$B$88,2,FALSE)+1,FALSE))),'détails investissements'!$U$6:$AB$7,2,FALSE),"")&lt;&gt;"",VLOOKUP($A8,'détails investissements'!$A$7:$H$21,1+IF(IF(AD$3-VLOOKUP($A8,'détails investissements'!$A$71:$B$88,2,FALSE)&lt;=0,"",IF(VLOOKUP($A8,'détails investissements'!$A$26:$DE$43,AD$3-VLOOKUP($A8,'détails investissements'!$A$71:$B$88,2,FALSE)+1,FALSE)="","",VLOOKUP($A8,'détails investissements'!$A$26:$DE$43,AD$3-VLOOKUP($A8,'détails investissements'!$A$71:$B$88,2,FALSE)+1,FALSE)))&lt;&gt;"",HLOOKUP(IF(AD$3-VLOOKUP($A8,'détails investissements'!$A$71:$B$88,2,FALSE)&lt;=0,"",IF(VLOOKUP($A8,'détails investissements'!$A$26:$DE$43,AD$3-VLOOKUP($A8,'détails investissements'!$A$71:$B$88,2,FALSE)+1,FALSE)="","",VLOOKUP($A8,'détails investissements'!$A$26:$DE$43,AD$3-VLOOKUP($A8,'détails investissements'!$A$71:$B$88,2,FALSE)+1,FALSE))),'détails investissements'!$U$6:$AB$7,2,FALSE),""),FALSE),"")</f>
        <v/>
      </c>
      <c r="AE8" s="45" t="str">
        <f>IF(IF(IF(AE$3-VLOOKUP($A8,'détails investissements'!$A$71:$B$88,2,FALSE)&lt;=0,"",IF(VLOOKUP($A8,'détails investissements'!$A$26:$DE$43,AE$3-VLOOKUP($A8,'détails investissements'!$A$71:$B$88,2,FALSE)+1,FALSE)="","",VLOOKUP($A8,'détails investissements'!$A$26:$DE$43,AE$3-VLOOKUP($A8,'détails investissements'!$A$71:$B$88,2,FALSE)+1,FALSE)))&lt;&gt;"",HLOOKUP(IF(AE$3-VLOOKUP($A8,'détails investissements'!$A$71:$B$88,2,FALSE)&lt;=0,"",IF(VLOOKUP($A8,'détails investissements'!$A$26:$DE$43,AE$3-VLOOKUP($A8,'détails investissements'!$A$71:$B$88,2,FALSE)+1,FALSE)="","",VLOOKUP($A8,'détails investissements'!$A$26:$DE$43,AE$3-VLOOKUP($A8,'détails investissements'!$A$71:$B$88,2,FALSE)+1,FALSE))),'détails investissements'!$U$6:$AB$7,2,FALSE),"")&lt;&gt;"",VLOOKUP($A8,'détails investissements'!$A$7:$H$21,1+IF(IF(AE$3-VLOOKUP($A8,'détails investissements'!$A$71:$B$88,2,FALSE)&lt;=0,"",IF(VLOOKUP($A8,'détails investissements'!$A$26:$DE$43,AE$3-VLOOKUP($A8,'détails investissements'!$A$71:$B$88,2,FALSE)+1,FALSE)="","",VLOOKUP($A8,'détails investissements'!$A$26:$DE$43,AE$3-VLOOKUP($A8,'détails investissements'!$A$71:$B$88,2,FALSE)+1,FALSE)))&lt;&gt;"",HLOOKUP(IF(AE$3-VLOOKUP($A8,'détails investissements'!$A$71:$B$88,2,FALSE)&lt;=0,"",IF(VLOOKUP($A8,'détails investissements'!$A$26:$DE$43,AE$3-VLOOKUP($A8,'détails investissements'!$A$71:$B$88,2,FALSE)+1,FALSE)="","",VLOOKUP($A8,'détails investissements'!$A$26:$DE$43,AE$3-VLOOKUP($A8,'détails investissements'!$A$71:$B$88,2,FALSE)+1,FALSE))),'détails investissements'!$U$6:$AB$7,2,FALSE),""),FALSE),"")</f>
        <v/>
      </c>
      <c r="AF8" s="45">
        <f>IF(IF(IF(AF$3-VLOOKUP($A8,'détails investissements'!$A$71:$B$88,2,FALSE)&lt;=0,"",IF(VLOOKUP($A8,'détails investissements'!$A$26:$DE$43,AF$3-VLOOKUP($A8,'détails investissements'!$A$71:$B$88,2,FALSE)+1,FALSE)="","",VLOOKUP($A8,'détails investissements'!$A$26:$DE$43,AF$3-VLOOKUP($A8,'détails investissements'!$A$71:$B$88,2,FALSE)+1,FALSE)))&lt;&gt;"",HLOOKUP(IF(AF$3-VLOOKUP($A8,'détails investissements'!$A$71:$B$88,2,FALSE)&lt;=0,"",IF(VLOOKUP($A8,'détails investissements'!$A$26:$DE$43,AF$3-VLOOKUP($A8,'détails investissements'!$A$71:$B$88,2,FALSE)+1,FALSE)="","",VLOOKUP($A8,'détails investissements'!$A$26:$DE$43,AF$3-VLOOKUP($A8,'détails investissements'!$A$71:$B$88,2,FALSE)+1,FALSE))),'détails investissements'!$U$6:$AB$7,2,FALSE),"")&lt;&gt;"",VLOOKUP($A8,'détails investissements'!$A$7:$H$21,1+IF(IF(AF$3-VLOOKUP($A8,'détails investissements'!$A$71:$B$88,2,FALSE)&lt;=0,"",IF(VLOOKUP($A8,'détails investissements'!$A$26:$DE$43,AF$3-VLOOKUP($A8,'détails investissements'!$A$71:$B$88,2,FALSE)+1,FALSE)="","",VLOOKUP($A8,'détails investissements'!$A$26:$DE$43,AF$3-VLOOKUP($A8,'détails investissements'!$A$71:$B$88,2,FALSE)+1,FALSE)))&lt;&gt;"",HLOOKUP(IF(AF$3-VLOOKUP($A8,'détails investissements'!$A$71:$B$88,2,FALSE)&lt;=0,"",IF(VLOOKUP($A8,'détails investissements'!$A$26:$DE$43,AF$3-VLOOKUP($A8,'détails investissements'!$A$71:$B$88,2,FALSE)+1,FALSE)="","",VLOOKUP($A8,'détails investissements'!$A$26:$DE$43,AF$3-VLOOKUP($A8,'détails investissements'!$A$71:$B$88,2,FALSE)+1,FALSE))),'détails investissements'!$U$6:$AB$7,2,FALSE),""),FALSE),"")</f>
        <v>0.1</v>
      </c>
      <c r="AG8" s="45" t="str">
        <f>IF(IF(IF(AG$3-VLOOKUP($A8,'détails investissements'!$A$71:$B$88,2,FALSE)&lt;=0,"",IF(VLOOKUP($A8,'détails investissements'!$A$26:$DE$43,AG$3-VLOOKUP($A8,'détails investissements'!$A$71:$B$88,2,FALSE)+1,FALSE)="","",VLOOKUP($A8,'détails investissements'!$A$26:$DE$43,AG$3-VLOOKUP($A8,'détails investissements'!$A$71:$B$88,2,FALSE)+1,FALSE)))&lt;&gt;"",HLOOKUP(IF(AG$3-VLOOKUP($A8,'détails investissements'!$A$71:$B$88,2,FALSE)&lt;=0,"",IF(VLOOKUP($A8,'détails investissements'!$A$26:$DE$43,AG$3-VLOOKUP($A8,'détails investissements'!$A$71:$B$88,2,FALSE)+1,FALSE)="","",VLOOKUP($A8,'détails investissements'!$A$26:$DE$43,AG$3-VLOOKUP($A8,'détails investissements'!$A$71:$B$88,2,FALSE)+1,FALSE))),'détails investissements'!$U$6:$AB$7,2,FALSE),"")&lt;&gt;"",VLOOKUP($A8,'détails investissements'!$A$7:$H$21,1+IF(IF(AG$3-VLOOKUP($A8,'détails investissements'!$A$71:$B$88,2,FALSE)&lt;=0,"",IF(VLOOKUP($A8,'détails investissements'!$A$26:$DE$43,AG$3-VLOOKUP($A8,'détails investissements'!$A$71:$B$88,2,FALSE)+1,FALSE)="","",VLOOKUP($A8,'détails investissements'!$A$26:$DE$43,AG$3-VLOOKUP($A8,'détails investissements'!$A$71:$B$88,2,FALSE)+1,FALSE)))&lt;&gt;"",HLOOKUP(IF(AG$3-VLOOKUP($A8,'détails investissements'!$A$71:$B$88,2,FALSE)&lt;=0,"",IF(VLOOKUP($A8,'détails investissements'!$A$26:$DE$43,AG$3-VLOOKUP($A8,'détails investissements'!$A$71:$B$88,2,FALSE)+1,FALSE)="","",VLOOKUP($A8,'détails investissements'!$A$26:$DE$43,AG$3-VLOOKUP($A8,'détails investissements'!$A$71:$B$88,2,FALSE)+1,FALSE))),'détails investissements'!$U$6:$AB$7,2,FALSE),""),FALSE),"")</f>
        <v/>
      </c>
      <c r="AH8" s="45" t="str">
        <f>IF(IF(IF(AH$3-VLOOKUP($A8,'détails investissements'!$A$71:$B$88,2,FALSE)&lt;=0,"",IF(VLOOKUP($A8,'détails investissements'!$A$26:$DE$43,AH$3-VLOOKUP($A8,'détails investissements'!$A$71:$B$88,2,FALSE)+1,FALSE)="","",VLOOKUP($A8,'détails investissements'!$A$26:$DE$43,AH$3-VLOOKUP($A8,'détails investissements'!$A$71:$B$88,2,FALSE)+1,FALSE)))&lt;&gt;"",HLOOKUP(IF(AH$3-VLOOKUP($A8,'détails investissements'!$A$71:$B$88,2,FALSE)&lt;=0,"",IF(VLOOKUP($A8,'détails investissements'!$A$26:$DE$43,AH$3-VLOOKUP($A8,'détails investissements'!$A$71:$B$88,2,FALSE)+1,FALSE)="","",VLOOKUP($A8,'détails investissements'!$A$26:$DE$43,AH$3-VLOOKUP($A8,'détails investissements'!$A$71:$B$88,2,FALSE)+1,FALSE))),'détails investissements'!$U$6:$AB$7,2,FALSE),"")&lt;&gt;"",VLOOKUP($A8,'détails investissements'!$A$7:$H$21,1+IF(IF(AH$3-VLOOKUP($A8,'détails investissements'!$A$71:$B$88,2,FALSE)&lt;=0,"",IF(VLOOKUP($A8,'détails investissements'!$A$26:$DE$43,AH$3-VLOOKUP($A8,'détails investissements'!$A$71:$B$88,2,FALSE)+1,FALSE)="","",VLOOKUP($A8,'détails investissements'!$A$26:$DE$43,AH$3-VLOOKUP($A8,'détails investissements'!$A$71:$B$88,2,FALSE)+1,FALSE)))&lt;&gt;"",HLOOKUP(IF(AH$3-VLOOKUP($A8,'détails investissements'!$A$71:$B$88,2,FALSE)&lt;=0,"",IF(VLOOKUP($A8,'détails investissements'!$A$26:$DE$43,AH$3-VLOOKUP($A8,'détails investissements'!$A$71:$B$88,2,FALSE)+1,FALSE)="","",VLOOKUP($A8,'détails investissements'!$A$26:$DE$43,AH$3-VLOOKUP($A8,'détails investissements'!$A$71:$B$88,2,FALSE)+1,FALSE))),'détails investissements'!$U$6:$AB$7,2,FALSE),""),FALSE),"")</f>
        <v/>
      </c>
      <c r="AI8" s="45" t="str">
        <f>IF(IF(IF(AI$3-VLOOKUP($A8,'détails investissements'!$A$71:$B$88,2,FALSE)&lt;=0,"",IF(VLOOKUP($A8,'détails investissements'!$A$26:$DE$43,AI$3-VLOOKUP($A8,'détails investissements'!$A$71:$B$88,2,FALSE)+1,FALSE)="","",VLOOKUP($A8,'détails investissements'!$A$26:$DE$43,AI$3-VLOOKUP($A8,'détails investissements'!$A$71:$B$88,2,FALSE)+1,FALSE)))&lt;&gt;"",HLOOKUP(IF(AI$3-VLOOKUP($A8,'détails investissements'!$A$71:$B$88,2,FALSE)&lt;=0,"",IF(VLOOKUP($A8,'détails investissements'!$A$26:$DE$43,AI$3-VLOOKUP($A8,'détails investissements'!$A$71:$B$88,2,FALSE)+1,FALSE)="","",VLOOKUP($A8,'détails investissements'!$A$26:$DE$43,AI$3-VLOOKUP($A8,'détails investissements'!$A$71:$B$88,2,FALSE)+1,FALSE))),'détails investissements'!$U$6:$AB$7,2,FALSE),"")&lt;&gt;"",VLOOKUP($A8,'détails investissements'!$A$7:$H$21,1+IF(IF(AI$3-VLOOKUP($A8,'détails investissements'!$A$71:$B$88,2,FALSE)&lt;=0,"",IF(VLOOKUP($A8,'détails investissements'!$A$26:$DE$43,AI$3-VLOOKUP($A8,'détails investissements'!$A$71:$B$88,2,FALSE)+1,FALSE)="","",VLOOKUP($A8,'détails investissements'!$A$26:$DE$43,AI$3-VLOOKUP($A8,'détails investissements'!$A$71:$B$88,2,FALSE)+1,FALSE)))&lt;&gt;"",HLOOKUP(IF(AI$3-VLOOKUP($A8,'détails investissements'!$A$71:$B$88,2,FALSE)&lt;=0,"",IF(VLOOKUP($A8,'détails investissements'!$A$26:$DE$43,AI$3-VLOOKUP($A8,'détails investissements'!$A$71:$B$88,2,FALSE)+1,FALSE)="","",VLOOKUP($A8,'détails investissements'!$A$26:$DE$43,AI$3-VLOOKUP($A8,'détails investissements'!$A$71:$B$88,2,FALSE)+1,FALSE))),'détails investissements'!$U$6:$AB$7,2,FALSE),""),FALSE),"")</f>
        <v/>
      </c>
      <c r="AJ8" s="45" t="str">
        <f>IF(IF(IF(AJ$3-VLOOKUP($A8,'détails investissements'!$A$71:$B$88,2,FALSE)&lt;=0,"",IF(VLOOKUP($A8,'détails investissements'!$A$26:$DE$43,AJ$3-VLOOKUP($A8,'détails investissements'!$A$71:$B$88,2,FALSE)+1,FALSE)="","",VLOOKUP($A8,'détails investissements'!$A$26:$DE$43,AJ$3-VLOOKUP($A8,'détails investissements'!$A$71:$B$88,2,FALSE)+1,FALSE)))&lt;&gt;"",HLOOKUP(IF(AJ$3-VLOOKUP($A8,'détails investissements'!$A$71:$B$88,2,FALSE)&lt;=0,"",IF(VLOOKUP($A8,'détails investissements'!$A$26:$DE$43,AJ$3-VLOOKUP($A8,'détails investissements'!$A$71:$B$88,2,FALSE)+1,FALSE)="","",VLOOKUP($A8,'détails investissements'!$A$26:$DE$43,AJ$3-VLOOKUP($A8,'détails investissements'!$A$71:$B$88,2,FALSE)+1,FALSE))),'détails investissements'!$U$6:$AB$7,2,FALSE),"")&lt;&gt;"",VLOOKUP($A8,'détails investissements'!$A$7:$H$21,1+IF(IF(AJ$3-VLOOKUP($A8,'détails investissements'!$A$71:$B$88,2,FALSE)&lt;=0,"",IF(VLOOKUP($A8,'détails investissements'!$A$26:$DE$43,AJ$3-VLOOKUP($A8,'détails investissements'!$A$71:$B$88,2,FALSE)+1,FALSE)="","",VLOOKUP($A8,'détails investissements'!$A$26:$DE$43,AJ$3-VLOOKUP($A8,'détails investissements'!$A$71:$B$88,2,FALSE)+1,FALSE)))&lt;&gt;"",HLOOKUP(IF(AJ$3-VLOOKUP($A8,'détails investissements'!$A$71:$B$88,2,FALSE)&lt;=0,"",IF(VLOOKUP($A8,'détails investissements'!$A$26:$DE$43,AJ$3-VLOOKUP($A8,'détails investissements'!$A$71:$B$88,2,FALSE)+1,FALSE)="","",VLOOKUP($A8,'détails investissements'!$A$26:$DE$43,AJ$3-VLOOKUP($A8,'détails investissements'!$A$71:$B$88,2,FALSE)+1,FALSE))),'détails investissements'!$U$6:$AB$7,2,FALSE),""),FALSE),"")</f>
        <v/>
      </c>
      <c r="AK8" s="45" t="str">
        <f>IF(IF(IF(AK$3-VLOOKUP($A8,'détails investissements'!$A$71:$B$88,2,FALSE)&lt;=0,"",IF(VLOOKUP($A8,'détails investissements'!$A$26:$DE$43,AK$3-VLOOKUP($A8,'détails investissements'!$A$71:$B$88,2,FALSE)+1,FALSE)="","",VLOOKUP($A8,'détails investissements'!$A$26:$DE$43,AK$3-VLOOKUP($A8,'détails investissements'!$A$71:$B$88,2,FALSE)+1,FALSE)))&lt;&gt;"",HLOOKUP(IF(AK$3-VLOOKUP($A8,'détails investissements'!$A$71:$B$88,2,FALSE)&lt;=0,"",IF(VLOOKUP($A8,'détails investissements'!$A$26:$DE$43,AK$3-VLOOKUP($A8,'détails investissements'!$A$71:$B$88,2,FALSE)+1,FALSE)="","",VLOOKUP($A8,'détails investissements'!$A$26:$DE$43,AK$3-VLOOKUP($A8,'détails investissements'!$A$71:$B$88,2,FALSE)+1,FALSE))),'détails investissements'!$U$6:$AB$7,2,FALSE),"")&lt;&gt;"",VLOOKUP($A8,'détails investissements'!$A$7:$H$21,1+IF(IF(AK$3-VLOOKUP($A8,'détails investissements'!$A$71:$B$88,2,FALSE)&lt;=0,"",IF(VLOOKUP($A8,'détails investissements'!$A$26:$DE$43,AK$3-VLOOKUP($A8,'détails investissements'!$A$71:$B$88,2,FALSE)+1,FALSE)="","",VLOOKUP($A8,'détails investissements'!$A$26:$DE$43,AK$3-VLOOKUP($A8,'détails investissements'!$A$71:$B$88,2,FALSE)+1,FALSE)))&lt;&gt;"",HLOOKUP(IF(AK$3-VLOOKUP($A8,'détails investissements'!$A$71:$B$88,2,FALSE)&lt;=0,"",IF(VLOOKUP($A8,'détails investissements'!$A$26:$DE$43,AK$3-VLOOKUP($A8,'détails investissements'!$A$71:$B$88,2,FALSE)+1,FALSE)="","",VLOOKUP($A8,'détails investissements'!$A$26:$DE$43,AK$3-VLOOKUP($A8,'détails investissements'!$A$71:$B$88,2,FALSE)+1,FALSE))),'détails investissements'!$U$6:$AB$7,2,FALSE),""),FALSE),"")</f>
        <v/>
      </c>
      <c r="AL8" s="45" t="str">
        <f>IF(IF(IF(AL$3-VLOOKUP($A8,'détails investissements'!$A$71:$B$88,2,FALSE)&lt;=0,"",IF(VLOOKUP($A8,'détails investissements'!$A$26:$DE$43,AL$3-VLOOKUP($A8,'détails investissements'!$A$71:$B$88,2,FALSE)+1,FALSE)="","",VLOOKUP($A8,'détails investissements'!$A$26:$DE$43,AL$3-VLOOKUP($A8,'détails investissements'!$A$71:$B$88,2,FALSE)+1,FALSE)))&lt;&gt;"",HLOOKUP(IF(AL$3-VLOOKUP($A8,'détails investissements'!$A$71:$B$88,2,FALSE)&lt;=0,"",IF(VLOOKUP($A8,'détails investissements'!$A$26:$DE$43,AL$3-VLOOKUP($A8,'détails investissements'!$A$71:$B$88,2,FALSE)+1,FALSE)="","",VLOOKUP($A8,'détails investissements'!$A$26:$DE$43,AL$3-VLOOKUP($A8,'détails investissements'!$A$71:$B$88,2,FALSE)+1,FALSE))),'détails investissements'!$U$6:$AB$7,2,FALSE),"")&lt;&gt;"",VLOOKUP($A8,'détails investissements'!$A$7:$H$21,1+IF(IF(AL$3-VLOOKUP($A8,'détails investissements'!$A$71:$B$88,2,FALSE)&lt;=0,"",IF(VLOOKUP($A8,'détails investissements'!$A$26:$DE$43,AL$3-VLOOKUP($A8,'détails investissements'!$A$71:$B$88,2,FALSE)+1,FALSE)="","",VLOOKUP($A8,'détails investissements'!$A$26:$DE$43,AL$3-VLOOKUP($A8,'détails investissements'!$A$71:$B$88,2,FALSE)+1,FALSE)))&lt;&gt;"",HLOOKUP(IF(AL$3-VLOOKUP($A8,'détails investissements'!$A$71:$B$88,2,FALSE)&lt;=0,"",IF(VLOOKUP($A8,'détails investissements'!$A$26:$DE$43,AL$3-VLOOKUP($A8,'détails investissements'!$A$71:$B$88,2,FALSE)+1,FALSE)="","",VLOOKUP($A8,'détails investissements'!$A$26:$DE$43,AL$3-VLOOKUP($A8,'détails investissements'!$A$71:$B$88,2,FALSE)+1,FALSE))),'détails investissements'!$U$6:$AB$7,2,FALSE),""),FALSE),"")</f>
        <v/>
      </c>
      <c r="AM8" s="45" t="str">
        <f>IF(IF(IF(AM$3-VLOOKUP($A8,'détails investissements'!$A$71:$B$88,2,FALSE)&lt;=0,"",IF(VLOOKUP($A8,'détails investissements'!$A$26:$DE$43,AM$3-VLOOKUP($A8,'détails investissements'!$A$71:$B$88,2,FALSE)+1,FALSE)="","",VLOOKUP($A8,'détails investissements'!$A$26:$DE$43,AM$3-VLOOKUP($A8,'détails investissements'!$A$71:$B$88,2,FALSE)+1,FALSE)))&lt;&gt;"",HLOOKUP(IF(AM$3-VLOOKUP($A8,'détails investissements'!$A$71:$B$88,2,FALSE)&lt;=0,"",IF(VLOOKUP($A8,'détails investissements'!$A$26:$DE$43,AM$3-VLOOKUP($A8,'détails investissements'!$A$71:$B$88,2,FALSE)+1,FALSE)="","",VLOOKUP($A8,'détails investissements'!$A$26:$DE$43,AM$3-VLOOKUP($A8,'détails investissements'!$A$71:$B$88,2,FALSE)+1,FALSE))),'détails investissements'!$U$6:$AB$7,2,FALSE),"")&lt;&gt;"",VLOOKUP($A8,'détails investissements'!$A$7:$H$21,1+IF(IF(AM$3-VLOOKUP($A8,'détails investissements'!$A$71:$B$88,2,FALSE)&lt;=0,"",IF(VLOOKUP($A8,'détails investissements'!$A$26:$DE$43,AM$3-VLOOKUP($A8,'détails investissements'!$A$71:$B$88,2,FALSE)+1,FALSE)="","",VLOOKUP($A8,'détails investissements'!$A$26:$DE$43,AM$3-VLOOKUP($A8,'détails investissements'!$A$71:$B$88,2,FALSE)+1,FALSE)))&lt;&gt;"",HLOOKUP(IF(AM$3-VLOOKUP($A8,'détails investissements'!$A$71:$B$88,2,FALSE)&lt;=0,"",IF(VLOOKUP($A8,'détails investissements'!$A$26:$DE$43,AM$3-VLOOKUP($A8,'détails investissements'!$A$71:$B$88,2,FALSE)+1,FALSE)="","",VLOOKUP($A8,'détails investissements'!$A$26:$DE$43,AM$3-VLOOKUP($A8,'détails investissements'!$A$71:$B$88,2,FALSE)+1,FALSE))),'détails investissements'!$U$6:$AB$7,2,FALSE),""),FALSE),"")</f>
        <v/>
      </c>
      <c r="AN8" s="45" t="str">
        <f>IF(IF(IF(AN$3-VLOOKUP($A8,'détails investissements'!$A$71:$B$88,2,FALSE)&lt;=0,"",IF(VLOOKUP($A8,'détails investissements'!$A$26:$DE$43,AN$3-VLOOKUP($A8,'détails investissements'!$A$71:$B$88,2,FALSE)+1,FALSE)="","",VLOOKUP($A8,'détails investissements'!$A$26:$DE$43,AN$3-VLOOKUP($A8,'détails investissements'!$A$71:$B$88,2,FALSE)+1,FALSE)))&lt;&gt;"",HLOOKUP(IF(AN$3-VLOOKUP($A8,'détails investissements'!$A$71:$B$88,2,FALSE)&lt;=0,"",IF(VLOOKUP($A8,'détails investissements'!$A$26:$DE$43,AN$3-VLOOKUP($A8,'détails investissements'!$A$71:$B$88,2,FALSE)+1,FALSE)="","",VLOOKUP($A8,'détails investissements'!$A$26:$DE$43,AN$3-VLOOKUP($A8,'détails investissements'!$A$71:$B$88,2,FALSE)+1,FALSE))),'détails investissements'!$U$6:$AB$7,2,FALSE),"")&lt;&gt;"",VLOOKUP($A8,'détails investissements'!$A$7:$H$21,1+IF(IF(AN$3-VLOOKUP($A8,'détails investissements'!$A$71:$B$88,2,FALSE)&lt;=0,"",IF(VLOOKUP($A8,'détails investissements'!$A$26:$DE$43,AN$3-VLOOKUP($A8,'détails investissements'!$A$71:$B$88,2,FALSE)+1,FALSE)="","",VLOOKUP($A8,'détails investissements'!$A$26:$DE$43,AN$3-VLOOKUP($A8,'détails investissements'!$A$71:$B$88,2,FALSE)+1,FALSE)))&lt;&gt;"",HLOOKUP(IF(AN$3-VLOOKUP($A8,'détails investissements'!$A$71:$B$88,2,FALSE)&lt;=0,"",IF(VLOOKUP($A8,'détails investissements'!$A$26:$DE$43,AN$3-VLOOKUP($A8,'détails investissements'!$A$71:$B$88,2,FALSE)+1,FALSE)="","",VLOOKUP($A8,'détails investissements'!$A$26:$DE$43,AN$3-VLOOKUP($A8,'détails investissements'!$A$71:$B$88,2,FALSE)+1,FALSE))),'détails investissements'!$U$6:$AB$7,2,FALSE),""),FALSE),"")</f>
        <v/>
      </c>
      <c r="AO8" s="45" t="str">
        <f>IF(IF(IF(AO$3-VLOOKUP($A8,'détails investissements'!$A$71:$B$88,2,FALSE)&lt;=0,"",IF(VLOOKUP($A8,'détails investissements'!$A$26:$DE$43,AO$3-VLOOKUP($A8,'détails investissements'!$A$71:$B$88,2,FALSE)+1,FALSE)="","",VLOOKUP($A8,'détails investissements'!$A$26:$DE$43,AO$3-VLOOKUP($A8,'détails investissements'!$A$71:$B$88,2,FALSE)+1,FALSE)))&lt;&gt;"",HLOOKUP(IF(AO$3-VLOOKUP($A8,'détails investissements'!$A$71:$B$88,2,FALSE)&lt;=0,"",IF(VLOOKUP($A8,'détails investissements'!$A$26:$DE$43,AO$3-VLOOKUP($A8,'détails investissements'!$A$71:$B$88,2,FALSE)+1,FALSE)="","",VLOOKUP($A8,'détails investissements'!$A$26:$DE$43,AO$3-VLOOKUP($A8,'détails investissements'!$A$71:$B$88,2,FALSE)+1,FALSE))),'détails investissements'!$U$6:$AB$7,2,FALSE),"")&lt;&gt;"",VLOOKUP($A8,'détails investissements'!$A$7:$H$21,1+IF(IF(AO$3-VLOOKUP($A8,'détails investissements'!$A$71:$B$88,2,FALSE)&lt;=0,"",IF(VLOOKUP($A8,'détails investissements'!$A$26:$DE$43,AO$3-VLOOKUP($A8,'détails investissements'!$A$71:$B$88,2,FALSE)+1,FALSE)="","",VLOOKUP($A8,'détails investissements'!$A$26:$DE$43,AO$3-VLOOKUP($A8,'détails investissements'!$A$71:$B$88,2,FALSE)+1,FALSE)))&lt;&gt;"",HLOOKUP(IF(AO$3-VLOOKUP($A8,'détails investissements'!$A$71:$B$88,2,FALSE)&lt;=0,"",IF(VLOOKUP($A8,'détails investissements'!$A$26:$DE$43,AO$3-VLOOKUP($A8,'détails investissements'!$A$71:$B$88,2,FALSE)+1,FALSE)="","",VLOOKUP($A8,'détails investissements'!$A$26:$DE$43,AO$3-VLOOKUP($A8,'détails investissements'!$A$71:$B$88,2,FALSE)+1,FALSE))),'détails investissements'!$U$6:$AB$7,2,FALSE),""),FALSE),"")</f>
        <v/>
      </c>
      <c r="AP8" s="45" t="str">
        <f>IF(IF(IF(AP$3-VLOOKUP($A8,'détails investissements'!$A$71:$B$88,2,FALSE)&lt;=0,"",IF(VLOOKUP($A8,'détails investissements'!$A$26:$DE$43,AP$3-VLOOKUP($A8,'détails investissements'!$A$71:$B$88,2,FALSE)+1,FALSE)="","",VLOOKUP($A8,'détails investissements'!$A$26:$DE$43,AP$3-VLOOKUP($A8,'détails investissements'!$A$71:$B$88,2,FALSE)+1,FALSE)))&lt;&gt;"",HLOOKUP(IF(AP$3-VLOOKUP($A8,'détails investissements'!$A$71:$B$88,2,FALSE)&lt;=0,"",IF(VLOOKUP($A8,'détails investissements'!$A$26:$DE$43,AP$3-VLOOKUP($A8,'détails investissements'!$A$71:$B$88,2,FALSE)+1,FALSE)="","",VLOOKUP($A8,'détails investissements'!$A$26:$DE$43,AP$3-VLOOKUP($A8,'détails investissements'!$A$71:$B$88,2,FALSE)+1,FALSE))),'détails investissements'!$U$6:$AB$7,2,FALSE),"")&lt;&gt;"",VLOOKUP($A8,'détails investissements'!$A$7:$H$21,1+IF(IF(AP$3-VLOOKUP($A8,'détails investissements'!$A$71:$B$88,2,FALSE)&lt;=0,"",IF(VLOOKUP($A8,'détails investissements'!$A$26:$DE$43,AP$3-VLOOKUP($A8,'détails investissements'!$A$71:$B$88,2,FALSE)+1,FALSE)="","",VLOOKUP($A8,'détails investissements'!$A$26:$DE$43,AP$3-VLOOKUP($A8,'détails investissements'!$A$71:$B$88,2,FALSE)+1,FALSE)))&lt;&gt;"",HLOOKUP(IF(AP$3-VLOOKUP($A8,'détails investissements'!$A$71:$B$88,2,FALSE)&lt;=0,"",IF(VLOOKUP($A8,'détails investissements'!$A$26:$DE$43,AP$3-VLOOKUP($A8,'détails investissements'!$A$71:$B$88,2,FALSE)+1,FALSE)="","",VLOOKUP($A8,'détails investissements'!$A$26:$DE$43,AP$3-VLOOKUP($A8,'détails investissements'!$A$71:$B$88,2,FALSE)+1,FALSE))),'détails investissements'!$U$6:$AB$7,2,FALSE),""),FALSE),"")</f>
        <v/>
      </c>
      <c r="AQ8" s="45" t="str">
        <f>IF(IF(IF(AQ$3-VLOOKUP($A8,'détails investissements'!$A$71:$B$88,2,FALSE)&lt;=0,"",IF(VLOOKUP($A8,'détails investissements'!$A$26:$DE$43,AQ$3-VLOOKUP($A8,'détails investissements'!$A$71:$B$88,2,FALSE)+1,FALSE)="","",VLOOKUP($A8,'détails investissements'!$A$26:$DE$43,AQ$3-VLOOKUP($A8,'détails investissements'!$A$71:$B$88,2,FALSE)+1,FALSE)))&lt;&gt;"",HLOOKUP(IF(AQ$3-VLOOKUP($A8,'détails investissements'!$A$71:$B$88,2,FALSE)&lt;=0,"",IF(VLOOKUP($A8,'détails investissements'!$A$26:$DE$43,AQ$3-VLOOKUP($A8,'détails investissements'!$A$71:$B$88,2,FALSE)+1,FALSE)="","",VLOOKUP($A8,'détails investissements'!$A$26:$DE$43,AQ$3-VLOOKUP($A8,'détails investissements'!$A$71:$B$88,2,FALSE)+1,FALSE))),'détails investissements'!$U$6:$AB$7,2,FALSE),"")&lt;&gt;"",VLOOKUP($A8,'détails investissements'!$A$7:$H$21,1+IF(IF(AQ$3-VLOOKUP($A8,'détails investissements'!$A$71:$B$88,2,FALSE)&lt;=0,"",IF(VLOOKUP($A8,'détails investissements'!$A$26:$DE$43,AQ$3-VLOOKUP($A8,'détails investissements'!$A$71:$B$88,2,FALSE)+1,FALSE)="","",VLOOKUP($A8,'détails investissements'!$A$26:$DE$43,AQ$3-VLOOKUP($A8,'détails investissements'!$A$71:$B$88,2,FALSE)+1,FALSE)))&lt;&gt;"",HLOOKUP(IF(AQ$3-VLOOKUP($A8,'détails investissements'!$A$71:$B$88,2,FALSE)&lt;=0,"",IF(VLOOKUP($A8,'détails investissements'!$A$26:$DE$43,AQ$3-VLOOKUP($A8,'détails investissements'!$A$71:$B$88,2,FALSE)+1,FALSE)="","",VLOOKUP($A8,'détails investissements'!$A$26:$DE$43,AQ$3-VLOOKUP($A8,'détails investissements'!$A$71:$B$88,2,FALSE)+1,FALSE))),'détails investissements'!$U$6:$AB$7,2,FALSE),""),FALSE),"")</f>
        <v/>
      </c>
      <c r="AR8" s="45">
        <f>IF(IF(IF(AR$3-VLOOKUP($A8,'détails investissements'!$A$71:$B$88,2,FALSE)&lt;=0,"",IF(VLOOKUP($A8,'détails investissements'!$A$26:$DE$43,AR$3-VLOOKUP($A8,'détails investissements'!$A$71:$B$88,2,FALSE)+1,FALSE)="","",VLOOKUP($A8,'détails investissements'!$A$26:$DE$43,AR$3-VLOOKUP($A8,'détails investissements'!$A$71:$B$88,2,FALSE)+1,FALSE)))&lt;&gt;"",HLOOKUP(IF(AR$3-VLOOKUP($A8,'détails investissements'!$A$71:$B$88,2,FALSE)&lt;=0,"",IF(VLOOKUP($A8,'détails investissements'!$A$26:$DE$43,AR$3-VLOOKUP($A8,'détails investissements'!$A$71:$B$88,2,FALSE)+1,FALSE)="","",VLOOKUP($A8,'détails investissements'!$A$26:$DE$43,AR$3-VLOOKUP($A8,'détails investissements'!$A$71:$B$88,2,FALSE)+1,FALSE))),'détails investissements'!$U$6:$AB$7,2,FALSE),"")&lt;&gt;"",VLOOKUP($A8,'détails investissements'!$A$7:$H$21,1+IF(IF(AR$3-VLOOKUP($A8,'détails investissements'!$A$71:$B$88,2,FALSE)&lt;=0,"",IF(VLOOKUP($A8,'détails investissements'!$A$26:$DE$43,AR$3-VLOOKUP($A8,'détails investissements'!$A$71:$B$88,2,FALSE)+1,FALSE)="","",VLOOKUP($A8,'détails investissements'!$A$26:$DE$43,AR$3-VLOOKUP($A8,'détails investissements'!$A$71:$B$88,2,FALSE)+1,FALSE)))&lt;&gt;"",HLOOKUP(IF(AR$3-VLOOKUP($A8,'détails investissements'!$A$71:$B$88,2,FALSE)&lt;=0,"",IF(VLOOKUP($A8,'détails investissements'!$A$26:$DE$43,AR$3-VLOOKUP($A8,'détails investissements'!$A$71:$B$88,2,FALSE)+1,FALSE)="","",VLOOKUP($A8,'détails investissements'!$A$26:$DE$43,AR$3-VLOOKUP($A8,'détails investissements'!$A$71:$B$88,2,FALSE)+1,FALSE))),'détails investissements'!$U$6:$AB$7,2,FALSE),""),FALSE),"")</f>
        <v>0.05</v>
      </c>
      <c r="AS8" s="45" t="str">
        <f>IF(IF(IF(AS$3-VLOOKUP($A8,'détails investissements'!$A$71:$B$88,2,FALSE)&lt;=0,"",IF(VLOOKUP($A8,'détails investissements'!$A$26:$DE$43,AS$3-VLOOKUP($A8,'détails investissements'!$A$71:$B$88,2,FALSE)+1,FALSE)="","",VLOOKUP($A8,'détails investissements'!$A$26:$DE$43,AS$3-VLOOKUP($A8,'détails investissements'!$A$71:$B$88,2,FALSE)+1,FALSE)))&lt;&gt;"",HLOOKUP(IF(AS$3-VLOOKUP($A8,'détails investissements'!$A$71:$B$88,2,FALSE)&lt;=0,"",IF(VLOOKUP($A8,'détails investissements'!$A$26:$DE$43,AS$3-VLOOKUP($A8,'détails investissements'!$A$71:$B$88,2,FALSE)+1,FALSE)="","",VLOOKUP($A8,'détails investissements'!$A$26:$DE$43,AS$3-VLOOKUP($A8,'détails investissements'!$A$71:$B$88,2,FALSE)+1,FALSE))),'détails investissements'!$U$6:$AB$7,2,FALSE),"")&lt;&gt;"",VLOOKUP($A8,'détails investissements'!$A$7:$H$21,1+IF(IF(AS$3-VLOOKUP($A8,'détails investissements'!$A$71:$B$88,2,FALSE)&lt;=0,"",IF(VLOOKUP($A8,'détails investissements'!$A$26:$DE$43,AS$3-VLOOKUP($A8,'détails investissements'!$A$71:$B$88,2,FALSE)+1,FALSE)="","",VLOOKUP($A8,'détails investissements'!$A$26:$DE$43,AS$3-VLOOKUP($A8,'détails investissements'!$A$71:$B$88,2,FALSE)+1,FALSE)))&lt;&gt;"",HLOOKUP(IF(AS$3-VLOOKUP($A8,'détails investissements'!$A$71:$B$88,2,FALSE)&lt;=0,"",IF(VLOOKUP($A8,'détails investissements'!$A$26:$DE$43,AS$3-VLOOKUP($A8,'détails investissements'!$A$71:$B$88,2,FALSE)+1,FALSE)="","",VLOOKUP($A8,'détails investissements'!$A$26:$DE$43,AS$3-VLOOKUP($A8,'détails investissements'!$A$71:$B$88,2,FALSE)+1,FALSE))),'détails investissements'!$U$6:$AB$7,2,FALSE),""),FALSE),"")</f>
        <v/>
      </c>
      <c r="AT8" s="45" t="str">
        <f>IF(IF(IF(AT$3-VLOOKUP($A8,'détails investissements'!$A$71:$B$88,2,FALSE)&lt;=0,"",IF(VLOOKUP($A8,'détails investissements'!$A$26:$DE$43,AT$3-VLOOKUP($A8,'détails investissements'!$A$71:$B$88,2,FALSE)+1,FALSE)="","",VLOOKUP($A8,'détails investissements'!$A$26:$DE$43,AT$3-VLOOKUP($A8,'détails investissements'!$A$71:$B$88,2,FALSE)+1,FALSE)))&lt;&gt;"",HLOOKUP(IF(AT$3-VLOOKUP($A8,'détails investissements'!$A$71:$B$88,2,FALSE)&lt;=0,"",IF(VLOOKUP($A8,'détails investissements'!$A$26:$DE$43,AT$3-VLOOKUP($A8,'détails investissements'!$A$71:$B$88,2,FALSE)+1,FALSE)="","",VLOOKUP($A8,'détails investissements'!$A$26:$DE$43,AT$3-VLOOKUP($A8,'détails investissements'!$A$71:$B$88,2,FALSE)+1,FALSE))),'détails investissements'!$U$6:$AB$7,2,FALSE),"")&lt;&gt;"",VLOOKUP($A8,'détails investissements'!$A$7:$H$21,1+IF(IF(AT$3-VLOOKUP($A8,'détails investissements'!$A$71:$B$88,2,FALSE)&lt;=0,"",IF(VLOOKUP($A8,'détails investissements'!$A$26:$DE$43,AT$3-VLOOKUP($A8,'détails investissements'!$A$71:$B$88,2,FALSE)+1,FALSE)="","",VLOOKUP($A8,'détails investissements'!$A$26:$DE$43,AT$3-VLOOKUP($A8,'détails investissements'!$A$71:$B$88,2,FALSE)+1,FALSE)))&lt;&gt;"",HLOOKUP(IF(AT$3-VLOOKUP($A8,'détails investissements'!$A$71:$B$88,2,FALSE)&lt;=0,"",IF(VLOOKUP($A8,'détails investissements'!$A$26:$DE$43,AT$3-VLOOKUP($A8,'détails investissements'!$A$71:$B$88,2,FALSE)+1,FALSE)="","",VLOOKUP($A8,'détails investissements'!$A$26:$DE$43,AT$3-VLOOKUP($A8,'détails investissements'!$A$71:$B$88,2,FALSE)+1,FALSE))),'détails investissements'!$U$6:$AB$7,2,FALSE),""),FALSE),"")</f>
        <v/>
      </c>
      <c r="AU8" s="45" t="str">
        <f>IF(IF(IF(AU$3-VLOOKUP($A8,'détails investissements'!$A$71:$B$88,2,FALSE)&lt;=0,"",IF(VLOOKUP($A8,'détails investissements'!$A$26:$DE$43,AU$3-VLOOKUP($A8,'détails investissements'!$A$71:$B$88,2,FALSE)+1,FALSE)="","",VLOOKUP($A8,'détails investissements'!$A$26:$DE$43,AU$3-VLOOKUP($A8,'détails investissements'!$A$71:$B$88,2,FALSE)+1,FALSE)))&lt;&gt;"",HLOOKUP(IF(AU$3-VLOOKUP($A8,'détails investissements'!$A$71:$B$88,2,FALSE)&lt;=0,"",IF(VLOOKUP($A8,'détails investissements'!$A$26:$DE$43,AU$3-VLOOKUP($A8,'détails investissements'!$A$71:$B$88,2,FALSE)+1,FALSE)="","",VLOOKUP($A8,'détails investissements'!$A$26:$DE$43,AU$3-VLOOKUP($A8,'détails investissements'!$A$71:$B$88,2,FALSE)+1,FALSE))),'détails investissements'!$U$6:$AB$7,2,FALSE),"")&lt;&gt;"",VLOOKUP($A8,'détails investissements'!$A$7:$H$21,1+IF(IF(AU$3-VLOOKUP($A8,'détails investissements'!$A$71:$B$88,2,FALSE)&lt;=0,"",IF(VLOOKUP($A8,'détails investissements'!$A$26:$DE$43,AU$3-VLOOKUP($A8,'détails investissements'!$A$71:$B$88,2,FALSE)+1,FALSE)="","",VLOOKUP($A8,'détails investissements'!$A$26:$DE$43,AU$3-VLOOKUP($A8,'détails investissements'!$A$71:$B$88,2,FALSE)+1,FALSE)))&lt;&gt;"",HLOOKUP(IF(AU$3-VLOOKUP($A8,'détails investissements'!$A$71:$B$88,2,FALSE)&lt;=0,"",IF(VLOOKUP($A8,'détails investissements'!$A$26:$DE$43,AU$3-VLOOKUP($A8,'détails investissements'!$A$71:$B$88,2,FALSE)+1,FALSE)="","",VLOOKUP($A8,'détails investissements'!$A$26:$DE$43,AU$3-VLOOKUP($A8,'détails investissements'!$A$71:$B$88,2,FALSE)+1,FALSE))),'détails investissements'!$U$6:$AB$7,2,FALSE),""),FALSE),"")</f>
        <v/>
      </c>
      <c r="AV8" s="45" t="str">
        <f>IF(IF(IF(AV$3-VLOOKUP($A8,'détails investissements'!$A$71:$B$88,2,FALSE)&lt;=0,"",IF(VLOOKUP($A8,'détails investissements'!$A$26:$DE$43,AV$3-VLOOKUP($A8,'détails investissements'!$A$71:$B$88,2,FALSE)+1,FALSE)="","",VLOOKUP($A8,'détails investissements'!$A$26:$DE$43,AV$3-VLOOKUP($A8,'détails investissements'!$A$71:$B$88,2,FALSE)+1,FALSE)))&lt;&gt;"",HLOOKUP(IF(AV$3-VLOOKUP($A8,'détails investissements'!$A$71:$B$88,2,FALSE)&lt;=0,"",IF(VLOOKUP($A8,'détails investissements'!$A$26:$DE$43,AV$3-VLOOKUP($A8,'détails investissements'!$A$71:$B$88,2,FALSE)+1,FALSE)="","",VLOOKUP($A8,'détails investissements'!$A$26:$DE$43,AV$3-VLOOKUP($A8,'détails investissements'!$A$71:$B$88,2,FALSE)+1,FALSE))),'détails investissements'!$U$6:$AB$7,2,FALSE),"")&lt;&gt;"",VLOOKUP($A8,'détails investissements'!$A$7:$H$21,1+IF(IF(AV$3-VLOOKUP($A8,'détails investissements'!$A$71:$B$88,2,FALSE)&lt;=0,"",IF(VLOOKUP($A8,'détails investissements'!$A$26:$DE$43,AV$3-VLOOKUP($A8,'détails investissements'!$A$71:$B$88,2,FALSE)+1,FALSE)="","",VLOOKUP($A8,'détails investissements'!$A$26:$DE$43,AV$3-VLOOKUP($A8,'détails investissements'!$A$71:$B$88,2,FALSE)+1,FALSE)))&lt;&gt;"",HLOOKUP(IF(AV$3-VLOOKUP($A8,'détails investissements'!$A$71:$B$88,2,FALSE)&lt;=0,"",IF(VLOOKUP($A8,'détails investissements'!$A$26:$DE$43,AV$3-VLOOKUP($A8,'détails investissements'!$A$71:$B$88,2,FALSE)+1,FALSE)="","",VLOOKUP($A8,'détails investissements'!$A$26:$DE$43,AV$3-VLOOKUP($A8,'détails investissements'!$A$71:$B$88,2,FALSE)+1,FALSE))),'détails investissements'!$U$6:$AB$7,2,FALSE),""),FALSE),"")</f>
        <v/>
      </c>
      <c r="AW8" s="45" t="str">
        <f>IF(IF(IF(AW$3-VLOOKUP($A8,'détails investissements'!$A$71:$B$88,2,FALSE)&lt;=0,"",IF(VLOOKUP($A8,'détails investissements'!$A$26:$DE$43,AW$3-VLOOKUP($A8,'détails investissements'!$A$71:$B$88,2,FALSE)+1,FALSE)="","",VLOOKUP($A8,'détails investissements'!$A$26:$DE$43,AW$3-VLOOKUP($A8,'détails investissements'!$A$71:$B$88,2,FALSE)+1,FALSE)))&lt;&gt;"",HLOOKUP(IF(AW$3-VLOOKUP($A8,'détails investissements'!$A$71:$B$88,2,FALSE)&lt;=0,"",IF(VLOOKUP($A8,'détails investissements'!$A$26:$DE$43,AW$3-VLOOKUP($A8,'détails investissements'!$A$71:$B$88,2,FALSE)+1,FALSE)="","",VLOOKUP($A8,'détails investissements'!$A$26:$DE$43,AW$3-VLOOKUP($A8,'détails investissements'!$A$71:$B$88,2,FALSE)+1,FALSE))),'détails investissements'!$U$6:$AB$7,2,FALSE),"")&lt;&gt;"",VLOOKUP($A8,'détails investissements'!$A$7:$H$21,1+IF(IF(AW$3-VLOOKUP($A8,'détails investissements'!$A$71:$B$88,2,FALSE)&lt;=0,"",IF(VLOOKUP($A8,'détails investissements'!$A$26:$DE$43,AW$3-VLOOKUP($A8,'détails investissements'!$A$71:$B$88,2,FALSE)+1,FALSE)="","",VLOOKUP($A8,'détails investissements'!$A$26:$DE$43,AW$3-VLOOKUP($A8,'détails investissements'!$A$71:$B$88,2,FALSE)+1,FALSE)))&lt;&gt;"",HLOOKUP(IF(AW$3-VLOOKUP($A8,'détails investissements'!$A$71:$B$88,2,FALSE)&lt;=0,"",IF(VLOOKUP($A8,'détails investissements'!$A$26:$DE$43,AW$3-VLOOKUP($A8,'détails investissements'!$A$71:$B$88,2,FALSE)+1,FALSE)="","",VLOOKUP($A8,'détails investissements'!$A$26:$DE$43,AW$3-VLOOKUP($A8,'détails investissements'!$A$71:$B$88,2,FALSE)+1,FALSE))),'détails investissements'!$U$6:$AB$7,2,FALSE),""),FALSE),"")</f>
        <v/>
      </c>
      <c r="AX8" s="45" t="str">
        <f>IF(IF(IF(AX$3-VLOOKUP($A8,'détails investissements'!$A$71:$B$88,2,FALSE)&lt;=0,"",IF(VLOOKUP($A8,'détails investissements'!$A$26:$DE$43,AX$3-VLOOKUP($A8,'détails investissements'!$A$71:$B$88,2,FALSE)+1,FALSE)="","",VLOOKUP($A8,'détails investissements'!$A$26:$DE$43,AX$3-VLOOKUP($A8,'détails investissements'!$A$71:$B$88,2,FALSE)+1,FALSE)))&lt;&gt;"",HLOOKUP(IF(AX$3-VLOOKUP($A8,'détails investissements'!$A$71:$B$88,2,FALSE)&lt;=0,"",IF(VLOOKUP($A8,'détails investissements'!$A$26:$DE$43,AX$3-VLOOKUP($A8,'détails investissements'!$A$71:$B$88,2,FALSE)+1,FALSE)="","",VLOOKUP($A8,'détails investissements'!$A$26:$DE$43,AX$3-VLOOKUP($A8,'détails investissements'!$A$71:$B$88,2,FALSE)+1,FALSE))),'détails investissements'!$U$6:$AB$7,2,FALSE),"")&lt;&gt;"",VLOOKUP($A8,'détails investissements'!$A$7:$H$21,1+IF(IF(AX$3-VLOOKUP($A8,'détails investissements'!$A$71:$B$88,2,FALSE)&lt;=0,"",IF(VLOOKUP($A8,'détails investissements'!$A$26:$DE$43,AX$3-VLOOKUP($A8,'détails investissements'!$A$71:$B$88,2,FALSE)+1,FALSE)="","",VLOOKUP($A8,'détails investissements'!$A$26:$DE$43,AX$3-VLOOKUP($A8,'détails investissements'!$A$71:$B$88,2,FALSE)+1,FALSE)))&lt;&gt;"",HLOOKUP(IF(AX$3-VLOOKUP($A8,'détails investissements'!$A$71:$B$88,2,FALSE)&lt;=0,"",IF(VLOOKUP($A8,'détails investissements'!$A$26:$DE$43,AX$3-VLOOKUP($A8,'détails investissements'!$A$71:$B$88,2,FALSE)+1,FALSE)="","",VLOOKUP($A8,'détails investissements'!$A$26:$DE$43,AX$3-VLOOKUP($A8,'détails investissements'!$A$71:$B$88,2,FALSE)+1,FALSE))),'détails investissements'!$U$6:$AB$7,2,FALSE),""),FALSE),"")</f>
        <v/>
      </c>
      <c r="AY8" s="45" t="str">
        <f>IF(IF(IF(AY$3-VLOOKUP($A8,'détails investissements'!$A$71:$B$88,2,FALSE)&lt;=0,"",IF(VLOOKUP($A8,'détails investissements'!$A$26:$DE$43,AY$3-VLOOKUP($A8,'détails investissements'!$A$71:$B$88,2,FALSE)+1,FALSE)="","",VLOOKUP($A8,'détails investissements'!$A$26:$DE$43,AY$3-VLOOKUP($A8,'détails investissements'!$A$71:$B$88,2,FALSE)+1,FALSE)))&lt;&gt;"",HLOOKUP(IF(AY$3-VLOOKUP($A8,'détails investissements'!$A$71:$B$88,2,FALSE)&lt;=0,"",IF(VLOOKUP($A8,'détails investissements'!$A$26:$DE$43,AY$3-VLOOKUP($A8,'détails investissements'!$A$71:$B$88,2,FALSE)+1,FALSE)="","",VLOOKUP($A8,'détails investissements'!$A$26:$DE$43,AY$3-VLOOKUP($A8,'détails investissements'!$A$71:$B$88,2,FALSE)+1,FALSE))),'détails investissements'!$U$6:$AB$7,2,FALSE),"")&lt;&gt;"",VLOOKUP($A8,'détails investissements'!$A$7:$H$21,1+IF(IF(AY$3-VLOOKUP($A8,'détails investissements'!$A$71:$B$88,2,FALSE)&lt;=0,"",IF(VLOOKUP($A8,'détails investissements'!$A$26:$DE$43,AY$3-VLOOKUP($A8,'détails investissements'!$A$71:$B$88,2,FALSE)+1,FALSE)="","",VLOOKUP($A8,'détails investissements'!$A$26:$DE$43,AY$3-VLOOKUP($A8,'détails investissements'!$A$71:$B$88,2,FALSE)+1,FALSE)))&lt;&gt;"",HLOOKUP(IF(AY$3-VLOOKUP($A8,'détails investissements'!$A$71:$B$88,2,FALSE)&lt;=0,"",IF(VLOOKUP($A8,'détails investissements'!$A$26:$DE$43,AY$3-VLOOKUP($A8,'détails investissements'!$A$71:$B$88,2,FALSE)+1,FALSE)="","",VLOOKUP($A8,'détails investissements'!$A$26:$DE$43,AY$3-VLOOKUP($A8,'détails investissements'!$A$71:$B$88,2,FALSE)+1,FALSE))),'détails investissements'!$U$6:$AB$7,2,FALSE),""),FALSE),"")</f>
        <v/>
      </c>
      <c r="AZ8" s="45" t="str">
        <f>IF(IF(IF(AZ$3-VLOOKUP($A8,'détails investissements'!$A$71:$B$88,2,FALSE)&lt;=0,"",IF(VLOOKUP($A8,'détails investissements'!$A$26:$DE$43,AZ$3-VLOOKUP($A8,'détails investissements'!$A$71:$B$88,2,FALSE)+1,FALSE)="","",VLOOKUP($A8,'détails investissements'!$A$26:$DE$43,AZ$3-VLOOKUP($A8,'détails investissements'!$A$71:$B$88,2,FALSE)+1,FALSE)))&lt;&gt;"",HLOOKUP(IF(AZ$3-VLOOKUP($A8,'détails investissements'!$A$71:$B$88,2,FALSE)&lt;=0,"",IF(VLOOKUP($A8,'détails investissements'!$A$26:$DE$43,AZ$3-VLOOKUP($A8,'détails investissements'!$A$71:$B$88,2,FALSE)+1,FALSE)="","",VLOOKUP($A8,'détails investissements'!$A$26:$DE$43,AZ$3-VLOOKUP($A8,'détails investissements'!$A$71:$B$88,2,FALSE)+1,FALSE))),'détails investissements'!$U$6:$AB$7,2,FALSE),"")&lt;&gt;"",VLOOKUP($A8,'détails investissements'!$A$7:$H$21,1+IF(IF(AZ$3-VLOOKUP($A8,'détails investissements'!$A$71:$B$88,2,FALSE)&lt;=0,"",IF(VLOOKUP($A8,'détails investissements'!$A$26:$DE$43,AZ$3-VLOOKUP($A8,'détails investissements'!$A$71:$B$88,2,FALSE)+1,FALSE)="","",VLOOKUP($A8,'détails investissements'!$A$26:$DE$43,AZ$3-VLOOKUP($A8,'détails investissements'!$A$71:$B$88,2,FALSE)+1,FALSE)))&lt;&gt;"",HLOOKUP(IF(AZ$3-VLOOKUP($A8,'détails investissements'!$A$71:$B$88,2,FALSE)&lt;=0,"",IF(VLOOKUP($A8,'détails investissements'!$A$26:$DE$43,AZ$3-VLOOKUP($A8,'détails investissements'!$A$71:$B$88,2,FALSE)+1,FALSE)="","",VLOOKUP($A8,'détails investissements'!$A$26:$DE$43,AZ$3-VLOOKUP($A8,'détails investissements'!$A$71:$B$88,2,FALSE)+1,FALSE))),'détails investissements'!$U$6:$AB$7,2,FALSE),""),FALSE),"")</f>
        <v/>
      </c>
      <c r="BA8" s="45" t="str">
        <f>IF(IF(IF(BA$3-VLOOKUP($A8,'détails investissements'!$A$71:$B$88,2,FALSE)&lt;=0,"",IF(VLOOKUP($A8,'détails investissements'!$A$26:$DE$43,BA$3-VLOOKUP($A8,'détails investissements'!$A$71:$B$88,2,FALSE)+1,FALSE)="","",VLOOKUP($A8,'détails investissements'!$A$26:$DE$43,BA$3-VLOOKUP($A8,'détails investissements'!$A$71:$B$88,2,FALSE)+1,FALSE)))&lt;&gt;"",HLOOKUP(IF(BA$3-VLOOKUP($A8,'détails investissements'!$A$71:$B$88,2,FALSE)&lt;=0,"",IF(VLOOKUP($A8,'détails investissements'!$A$26:$DE$43,BA$3-VLOOKUP($A8,'détails investissements'!$A$71:$B$88,2,FALSE)+1,FALSE)="","",VLOOKUP($A8,'détails investissements'!$A$26:$DE$43,BA$3-VLOOKUP($A8,'détails investissements'!$A$71:$B$88,2,FALSE)+1,FALSE))),'détails investissements'!$U$6:$AB$7,2,FALSE),"")&lt;&gt;"",VLOOKUP($A8,'détails investissements'!$A$7:$H$21,1+IF(IF(BA$3-VLOOKUP($A8,'détails investissements'!$A$71:$B$88,2,FALSE)&lt;=0,"",IF(VLOOKUP($A8,'détails investissements'!$A$26:$DE$43,BA$3-VLOOKUP($A8,'détails investissements'!$A$71:$B$88,2,FALSE)+1,FALSE)="","",VLOOKUP($A8,'détails investissements'!$A$26:$DE$43,BA$3-VLOOKUP($A8,'détails investissements'!$A$71:$B$88,2,FALSE)+1,FALSE)))&lt;&gt;"",HLOOKUP(IF(BA$3-VLOOKUP($A8,'détails investissements'!$A$71:$B$88,2,FALSE)&lt;=0,"",IF(VLOOKUP($A8,'détails investissements'!$A$26:$DE$43,BA$3-VLOOKUP($A8,'détails investissements'!$A$71:$B$88,2,FALSE)+1,FALSE)="","",VLOOKUP($A8,'détails investissements'!$A$26:$DE$43,BA$3-VLOOKUP($A8,'détails investissements'!$A$71:$B$88,2,FALSE)+1,FALSE))),'détails investissements'!$U$6:$AB$7,2,FALSE),""),FALSE),"")</f>
        <v/>
      </c>
      <c r="BB8" s="45" t="str">
        <f>IF(IF(IF(BB$3-VLOOKUP($A8,'détails investissements'!$A$71:$B$88,2,FALSE)&lt;=0,"",IF(VLOOKUP($A8,'détails investissements'!$A$26:$DE$43,BB$3-VLOOKUP($A8,'détails investissements'!$A$71:$B$88,2,FALSE)+1,FALSE)="","",VLOOKUP($A8,'détails investissements'!$A$26:$DE$43,BB$3-VLOOKUP($A8,'détails investissements'!$A$71:$B$88,2,FALSE)+1,FALSE)))&lt;&gt;"",HLOOKUP(IF(BB$3-VLOOKUP($A8,'détails investissements'!$A$71:$B$88,2,FALSE)&lt;=0,"",IF(VLOOKUP($A8,'détails investissements'!$A$26:$DE$43,BB$3-VLOOKUP($A8,'détails investissements'!$A$71:$B$88,2,FALSE)+1,FALSE)="","",VLOOKUP($A8,'détails investissements'!$A$26:$DE$43,BB$3-VLOOKUP($A8,'détails investissements'!$A$71:$B$88,2,FALSE)+1,FALSE))),'détails investissements'!$U$6:$AB$7,2,FALSE),"")&lt;&gt;"",VLOOKUP($A8,'détails investissements'!$A$7:$H$21,1+IF(IF(BB$3-VLOOKUP($A8,'détails investissements'!$A$71:$B$88,2,FALSE)&lt;=0,"",IF(VLOOKUP($A8,'détails investissements'!$A$26:$DE$43,BB$3-VLOOKUP($A8,'détails investissements'!$A$71:$B$88,2,FALSE)+1,FALSE)="","",VLOOKUP($A8,'détails investissements'!$A$26:$DE$43,BB$3-VLOOKUP($A8,'détails investissements'!$A$71:$B$88,2,FALSE)+1,FALSE)))&lt;&gt;"",HLOOKUP(IF(BB$3-VLOOKUP($A8,'détails investissements'!$A$71:$B$88,2,FALSE)&lt;=0,"",IF(VLOOKUP($A8,'détails investissements'!$A$26:$DE$43,BB$3-VLOOKUP($A8,'détails investissements'!$A$71:$B$88,2,FALSE)+1,FALSE)="","",VLOOKUP($A8,'détails investissements'!$A$26:$DE$43,BB$3-VLOOKUP($A8,'détails investissements'!$A$71:$B$88,2,FALSE)+1,FALSE))),'détails investissements'!$U$6:$AB$7,2,FALSE),""),FALSE),"")</f>
        <v/>
      </c>
      <c r="BC8" s="45" t="str">
        <f>IF(IF(IF(BC$3-VLOOKUP($A8,'détails investissements'!$A$71:$B$88,2,FALSE)&lt;=0,"",IF(VLOOKUP($A8,'détails investissements'!$A$26:$DE$43,BC$3-VLOOKUP($A8,'détails investissements'!$A$71:$B$88,2,FALSE)+1,FALSE)="","",VLOOKUP($A8,'détails investissements'!$A$26:$DE$43,BC$3-VLOOKUP($A8,'détails investissements'!$A$71:$B$88,2,FALSE)+1,FALSE)))&lt;&gt;"",HLOOKUP(IF(BC$3-VLOOKUP($A8,'détails investissements'!$A$71:$B$88,2,FALSE)&lt;=0,"",IF(VLOOKUP($A8,'détails investissements'!$A$26:$DE$43,BC$3-VLOOKUP($A8,'détails investissements'!$A$71:$B$88,2,FALSE)+1,FALSE)="","",VLOOKUP($A8,'détails investissements'!$A$26:$DE$43,BC$3-VLOOKUP($A8,'détails investissements'!$A$71:$B$88,2,FALSE)+1,FALSE))),'détails investissements'!$U$6:$AB$7,2,FALSE),"")&lt;&gt;"",VLOOKUP($A8,'détails investissements'!$A$7:$H$21,1+IF(IF(BC$3-VLOOKUP($A8,'détails investissements'!$A$71:$B$88,2,FALSE)&lt;=0,"",IF(VLOOKUP($A8,'détails investissements'!$A$26:$DE$43,BC$3-VLOOKUP($A8,'détails investissements'!$A$71:$B$88,2,FALSE)+1,FALSE)="","",VLOOKUP($A8,'détails investissements'!$A$26:$DE$43,BC$3-VLOOKUP($A8,'détails investissements'!$A$71:$B$88,2,FALSE)+1,FALSE)))&lt;&gt;"",HLOOKUP(IF(BC$3-VLOOKUP($A8,'détails investissements'!$A$71:$B$88,2,FALSE)&lt;=0,"",IF(VLOOKUP($A8,'détails investissements'!$A$26:$DE$43,BC$3-VLOOKUP($A8,'détails investissements'!$A$71:$B$88,2,FALSE)+1,FALSE)="","",VLOOKUP($A8,'détails investissements'!$A$26:$DE$43,BC$3-VLOOKUP($A8,'détails investissements'!$A$71:$B$88,2,FALSE)+1,FALSE))),'détails investissements'!$U$6:$AB$7,2,FALSE),""),FALSE),"")</f>
        <v/>
      </c>
      <c r="BD8" s="45" t="str">
        <f>IF(IF(IF(BD$3-VLOOKUP($A8,'détails investissements'!$A$71:$B$88,2,FALSE)&lt;=0,"",IF(VLOOKUP($A8,'détails investissements'!$A$26:$DE$43,BD$3-VLOOKUP($A8,'détails investissements'!$A$71:$B$88,2,FALSE)+1,FALSE)="","",VLOOKUP($A8,'détails investissements'!$A$26:$DE$43,BD$3-VLOOKUP($A8,'détails investissements'!$A$71:$B$88,2,FALSE)+1,FALSE)))&lt;&gt;"",HLOOKUP(IF(BD$3-VLOOKUP($A8,'détails investissements'!$A$71:$B$88,2,FALSE)&lt;=0,"",IF(VLOOKUP($A8,'détails investissements'!$A$26:$DE$43,BD$3-VLOOKUP($A8,'détails investissements'!$A$71:$B$88,2,FALSE)+1,FALSE)="","",VLOOKUP($A8,'détails investissements'!$A$26:$DE$43,BD$3-VLOOKUP($A8,'détails investissements'!$A$71:$B$88,2,FALSE)+1,FALSE))),'détails investissements'!$U$6:$AB$7,2,FALSE),"")&lt;&gt;"",VLOOKUP($A8,'détails investissements'!$A$7:$H$21,1+IF(IF(BD$3-VLOOKUP($A8,'détails investissements'!$A$71:$B$88,2,FALSE)&lt;=0,"",IF(VLOOKUP($A8,'détails investissements'!$A$26:$DE$43,BD$3-VLOOKUP($A8,'détails investissements'!$A$71:$B$88,2,FALSE)+1,FALSE)="","",VLOOKUP($A8,'détails investissements'!$A$26:$DE$43,BD$3-VLOOKUP($A8,'détails investissements'!$A$71:$B$88,2,FALSE)+1,FALSE)))&lt;&gt;"",HLOOKUP(IF(BD$3-VLOOKUP($A8,'détails investissements'!$A$71:$B$88,2,FALSE)&lt;=0,"",IF(VLOOKUP($A8,'détails investissements'!$A$26:$DE$43,BD$3-VLOOKUP($A8,'détails investissements'!$A$71:$B$88,2,FALSE)+1,FALSE)="","",VLOOKUP($A8,'détails investissements'!$A$26:$DE$43,BD$3-VLOOKUP($A8,'détails investissements'!$A$71:$B$88,2,FALSE)+1,FALSE))),'détails investissements'!$U$6:$AB$7,2,FALSE),""),FALSE),"")</f>
        <v/>
      </c>
      <c r="BE8" s="45" t="str">
        <f>IF(IF(IF(BE$3-VLOOKUP($A8,'détails investissements'!$A$71:$B$88,2,FALSE)&lt;=0,"",IF(VLOOKUP($A8,'détails investissements'!$A$26:$DE$43,BE$3-VLOOKUP($A8,'détails investissements'!$A$71:$B$88,2,FALSE)+1,FALSE)="","",VLOOKUP($A8,'détails investissements'!$A$26:$DE$43,BE$3-VLOOKUP($A8,'détails investissements'!$A$71:$B$88,2,FALSE)+1,FALSE)))&lt;&gt;"",HLOOKUP(IF(BE$3-VLOOKUP($A8,'détails investissements'!$A$71:$B$88,2,FALSE)&lt;=0,"",IF(VLOOKUP($A8,'détails investissements'!$A$26:$DE$43,BE$3-VLOOKUP($A8,'détails investissements'!$A$71:$B$88,2,FALSE)+1,FALSE)="","",VLOOKUP($A8,'détails investissements'!$A$26:$DE$43,BE$3-VLOOKUP($A8,'détails investissements'!$A$71:$B$88,2,FALSE)+1,FALSE))),'détails investissements'!$U$6:$AB$7,2,FALSE),"")&lt;&gt;"",VLOOKUP($A8,'détails investissements'!$A$7:$H$21,1+IF(IF(BE$3-VLOOKUP($A8,'détails investissements'!$A$71:$B$88,2,FALSE)&lt;=0,"",IF(VLOOKUP($A8,'détails investissements'!$A$26:$DE$43,BE$3-VLOOKUP($A8,'détails investissements'!$A$71:$B$88,2,FALSE)+1,FALSE)="","",VLOOKUP($A8,'détails investissements'!$A$26:$DE$43,BE$3-VLOOKUP($A8,'détails investissements'!$A$71:$B$88,2,FALSE)+1,FALSE)))&lt;&gt;"",HLOOKUP(IF(BE$3-VLOOKUP($A8,'détails investissements'!$A$71:$B$88,2,FALSE)&lt;=0,"",IF(VLOOKUP($A8,'détails investissements'!$A$26:$DE$43,BE$3-VLOOKUP($A8,'détails investissements'!$A$71:$B$88,2,FALSE)+1,FALSE)="","",VLOOKUP($A8,'détails investissements'!$A$26:$DE$43,BE$3-VLOOKUP($A8,'détails investissements'!$A$71:$B$88,2,FALSE)+1,FALSE))),'détails investissements'!$U$6:$AB$7,2,FALSE),""),FALSE),"")</f>
        <v/>
      </c>
      <c r="BF8" s="45" t="str">
        <f>IF(IF(IF(BF$3-VLOOKUP($A8,'détails investissements'!$A$71:$B$88,2,FALSE)&lt;=0,"",IF(VLOOKUP($A8,'détails investissements'!$A$26:$DE$43,BF$3-VLOOKUP($A8,'détails investissements'!$A$71:$B$88,2,FALSE)+1,FALSE)="","",VLOOKUP($A8,'détails investissements'!$A$26:$DE$43,BF$3-VLOOKUP($A8,'détails investissements'!$A$71:$B$88,2,FALSE)+1,FALSE)))&lt;&gt;"",HLOOKUP(IF(BF$3-VLOOKUP($A8,'détails investissements'!$A$71:$B$88,2,FALSE)&lt;=0,"",IF(VLOOKUP($A8,'détails investissements'!$A$26:$DE$43,BF$3-VLOOKUP($A8,'détails investissements'!$A$71:$B$88,2,FALSE)+1,FALSE)="","",VLOOKUP($A8,'détails investissements'!$A$26:$DE$43,BF$3-VLOOKUP($A8,'détails investissements'!$A$71:$B$88,2,FALSE)+1,FALSE))),'détails investissements'!$U$6:$AB$7,2,FALSE),"")&lt;&gt;"",VLOOKUP($A8,'détails investissements'!$A$7:$H$21,1+IF(IF(BF$3-VLOOKUP($A8,'détails investissements'!$A$71:$B$88,2,FALSE)&lt;=0,"",IF(VLOOKUP($A8,'détails investissements'!$A$26:$DE$43,BF$3-VLOOKUP($A8,'détails investissements'!$A$71:$B$88,2,FALSE)+1,FALSE)="","",VLOOKUP($A8,'détails investissements'!$A$26:$DE$43,BF$3-VLOOKUP($A8,'détails investissements'!$A$71:$B$88,2,FALSE)+1,FALSE)))&lt;&gt;"",HLOOKUP(IF(BF$3-VLOOKUP($A8,'détails investissements'!$A$71:$B$88,2,FALSE)&lt;=0,"",IF(VLOOKUP($A8,'détails investissements'!$A$26:$DE$43,BF$3-VLOOKUP($A8,'détails investissements'!$A$71:$B$88,2,FALSE)+1,FALSE)="","",VLOOKUP($A8,'détails investissements'!$A$26:$DE$43,BF$3-VLOOKUP($A8,'détails investissements'!$A$71:$B$88,2,FALSE)+1,FALSE))),'détails investissements'!$U$6:$AB$7,2,FALSE),""),FALSE),"")</f>
        <v/>
      </c>
      <c r="BG8" s="45" t="str">
        <f>IF(IF(IF(BG$3-VLOOKUP($A8,'détails investissements'!$A$71:$B$88,2,FALSE)&lt;=0,"",IF(VLOOKUP($A8,'détails investissements'!$A$26:$DE$43,BG$3-VLOOKUP($A8,'détails investissements'!$A$71:$B$88,2,FALSE)+1,FALSE)="","",VLOOKUP($A8,'détails investissements'!$A$26:$DE$43,BG$3-VLOOKUP($A8,'détails investissements'!$A$71:$B$88,2,FALSE)+1,FALSE)))&lt;&gt;"",HLOOKUP(IF(BG$3-VLOOKUP($A8,'détails investissements'!$A$71:$B$88,2,FALSE)&lt;=0,"",IF(VLOOKUP($A8,'détails investissements'!$A$26:$DE$43,BG$3-VLOOKUP($A8,'détails investissements'!$A$71:$B$88,2,FALSE)+1,FALSE)="","",VLOOKUP($A8,'détails investissements'!$A$26:$DE$43,BG$3-VLOOKUP($A8,'détails investissements'!$A$71:$B$88,2,FALSE)+1,FALSE))),'détails investissements'!$U$6:$AB$7,2,FALSE),"")&lt;&gt;"",VLOOKUP($A8,'détails investissements'!$A$7:$H$21,1+IF(IF(BG$3-VLOOKUP($A8,'détails investissements'!$A$71:$B$88,2,FALSE)&lt;=0,"",IF(VLOOKUP($A8,'détails investissements'!$A$26:$DE$43,BG$3-VLOOKUP($A8,'détails investissements'!$A$71:$B$88,2,FALSE)+1,FALSE)="","",VLOOKUP($A8,'détails investissements'!$A$26:$DE$43,BG$3-VLOOKUP($A8,'détails investissements'!$A$71:$B$88,2,FALSE)+1,FALSE)))&lt;&gt;"",HLOOKUP(IF(BG$3-VLOOKUP($A8,'détails investissements'!$A$71:$B$88,2,FALSE)&lt;=0,"",IF(VLOOKUP($A8,'détails investissements'!$A$26:$DE$43,BG$3-VLOOKUP($A8,'détails investissements'!$A$71:$B$88,2,FALSE)+1,FALSE)="","",VLOOKUP($A8,'détails investissements'!$A$26:$DE$43,BG$3-VLOOKUP($A8,'détails investissements'!$A$71:$B$88,2,FALSE)+1,FALSE))),'détails investissements'!$U$6:$AB$7,2,FALSE),""),FALSE),"")</f>
        <v/>
      </c>
      <c r="BH8" s="45" t="str">
        <f>IF(IF(IF(BH$3-VLOOKUP($A8,'détails investissements'!$A$71:$B$88,2,FALSE)&lt;=0,"",IF(VLOOKUP($A8,'détails investissements'!$A$26:$DE$43,BH$3-VLOOKUP($A8,'détails investissements'!$A$71:$B$88,2,FALSE)+1,FALSE)="","",VLOOKUP($A8,'détails investissements'!$A$26:$DE$43,BH$3-VLOOKUP($A8,'détails investissements'!$A$71:$B$88,2,FALSE)+1,FALSE)))&lt;&gt;"",HLOOKUP(IF(BH$3-VLOOKUP($A8,'détails investissements'!$A$71:$B$88,2,FALSE)&lt;=0,"",IF(VLOOKUP($A8,'détails investissements'!$A$26:$DE$43,BH$3-VLOOKUP($A8,'détails investissements'!$A$71:$B$88,2,FALSE)+1,FALSE)="","",VLOOKUP($A8,'détails investissements'!$A$26:$DE$43,BH$3-VLOOKUP($A8,'détails investissements'!$A$71:$B$88,2,FALSE)+1,FALSE))),'détails investissements'!$U$6:$AB$7,2,FALSE),"")&lt;&gt;"",VLOOKUP($A8,'détails investissements'!$A$7:$H$21,1+IF(IF(BH$3-VLOOKUP($A8,'détails investissements'!$A$71:$B$88,2,FALSE)&lt;=0,"",IF(VLOOKUP($A8,'détails investissements'!$A$26:$DE$43,BH$3-VLOOKUP($A8,'détails investissements'!$A$71:$B$88,2,FALSE)+1,FALSE)="","",VLOOKUP($A8,'détails investissements'!$A$26:$DE$43,BH$3-VLOOKUP($A8,'détails investissements'!$A$71:$B$88,2,FALSE)+1,FALSE)))&lt;&gt;"",HLOOKUP(IF(BH$3-VLOOKUP($A8,'détails investissements'!$A$71:$B$88,2,FALSE)&lt;=0,"",IF(VLOOKUP($A8,'détails investissements'!$A$26:$DE$43,BH$3-VLOOKUP($A8,'détails investissements'!$A$71:$B$88,2,FALSE)+1,FALSE)="","",VLOOKUP($A8,'détails investissements'!$A$26:$DE$43,BH$3-VLOOKUP($A8,'détails investissements'!$A$71:$B$88,2,FALSE)+1,FALSE))),'détails investissements'!$U$6:$AB$7,2,FALSE),""),FALSE),"")</f>
        <v/>
      </c>
      <c r="BI8" s="45" t="str">
        <f>IF(IF(IF(BI$3-VLOOKUP($A8,'détails investissements'!$A$71:$B$88,2,FALSE)&lt;=0,"",IF(VLOOKUP($A8,'détails investissements'!$A$26:$DE$43,BI$3-VLOOKUP($A8,'détails investissements'!$A$71:$B$88,2,FALSE)+1,FALSE)="","",VLOOKUP($A8,'détails investissements'!$A$26:$DE$43,BI$3-VLOOKUP($A8,'détails investissements'!$A$71:$B$88,2,FALSE)+1,FALSE)))&lt;&gt;"",HLOOKUP(IF(BI$3-VLOOKUP($A8,'détails investissements'!$A$71:$B$88,2,FALSE)&lt;=0,"",IF(VLOOKUP($A8,'détails investissements'!$A$26:$DE$43,BI$3-VLOOKUP($A8,'détails investissements'!$A$71:$B$88,2,FALSE)+1,FALSE)="","",VLOOKUP($A8,'détails investissements'!$A$26:$DE$43,BI$3-VLOOKUP($A8,'détails investissements'!$A$71:$B$88,2,FALSE)+1,FALSE))),'détails investissements'!$U$6:$AB$7,2,FALSE),"")&lt;&gt;"",VLOOKUP($A8,'détails investissements'!$A$7:$H$21,1+IF(IF(BI$3-VLOOKUP($A8,'détails investissements'!$A$71:$B$88,2,FALSE)&lt;=0,"",IF(VLOOKUP($A8,'détails investissements'!$A$26:$DE$43,BI$3-VLOOKUP($A8,'détails investissements'!$A$71:$B$88,2,FALSE)+1,FALSE)="","",VLOOKUP($A8,'détails investissements'!$A$26:$DE$43,BI$3-VLOOKUP($A8,'détails investissements'!$A$71:$B$88,2,FALSE)+1,FALSE)))&lt;&gt;"",HLOOKUP(IF(BI$3-VLOOKUP($A8,'détails investissements'!$A$71:$B$88,2,FALSE)&lt;=0,"",IF(VLOOKUP($A8,'détails investissements'!$A$26:$DE$43,BI$3-VLOOKUP($A8,'détails investissements'!$A$71:$B$88,2,FALSE)+1,FALSE)="","",VLOOKUP($A8,'détails investissements'!$A$26:$DE$43,BI$3-VLOOKUP($A8,'détails investissements'!$A$71:$B$88,2,FALSE)+1,FALSE))),'détails investissements'!$U$6:$AB$7,2,FALSE),""),FALSE),"")</f>
        <v/>
      </c>
      <c r="BJ8" s="45" t="str">
        <f>IF(IF(IF(BJ$3-VLOOKUP($A8,'détails investissements'!$A$71:$B$88,2,FALSE)&lt;=0,"",IF(VLOOKUP($A8,'détails investissements'!$A$26:$DE$43,BJ$3-VLOOKUP($A8,'détails investissements'!$A$71:$B$88,2,FALSE)+1,FALSE)="","",VLOOKUP($A8,'détails investissements'!$A$26:$DE$43,BJ$3-VLOOKUP($A8,'détails investissements'!$A$71:$B$88,2,FALSE)+1,FALSE)))&lt;&gt;"",HLOOKUP(IF(BJ$3-VLOOKUP($A8,'détails investissements'!$A$71:$B$88,2,FALSE)&lt;=0,"",IF(VLOOKUP($A8,'détails investissements'!$A$26:$DE$43,BJ$3-VLOOKUP($A8,'détails investissements'!$A$71:$B$88,2,FALSE)+1,FALSE)="","",VLOOKUP($A8,'détails investissements'!$A$26:$DE$43,BJ$3-VLOOKUP($A8,'détails investissements'!$A$71:$B$88,2,FALSE)+1,FALSE))),'détails investissements'!$U$6:$AB$7,2,FALSE),"")&lt;&gt;"",VLOOKUP($A8,'détails investissements'!$A$7:$H$21,1+IF(IF(BJ$3-VLOOKUP($A8,'détails investissements'!$A$71:$B$88,2,FALSE)&lt;=0,"",IF(VLOOKUP($A8,'détails investissements'!$A$26:$DE$43,BJ$3-VLOOKUP($A8,'détails investissements'!$A$71:$B$88,2,FALSE)+1,FALSE)="","",VLOOKUP($A8,'détails investissements'!$A$26:$DE$43,BJ$3-VLOOKUP($A8,'détails investissements'!$A$71:$B$88,2,FALSE)+1,FALSE)))&lt;&gt;"",HLOOKUP(IF(BJ$3-VLOOKUP($A8,'détails investissements'!$A$71:$B$88,2,FALSE)&lt;=0,"",IF(VLOOKUP($A8,'détails investissements'!$A$26:$DE$43,BJ$3-VLOOKUP($A8,'détails investissements'!$A$71:$B$88,2,FALSE)+1,FALSE)="","",VLOOKUP($A8,'détails investissements'!$A$26:$DE$43,BJ$3-VLOOKUP($A8,'détails investissements'!$A$71:$B$88,2,FALSE)+1,FALSE))),'détails investissements'!$U$6:$AB$7,2,FALSE),""),FALSE),"")</f>
        <v/>
      </c>
      <c r="BK8" s="45" t="str">
        <f>IF(IF(IF(BK$3-VLOOKUP($A8,'détails investissements'!$A$71:$B$88,2,FALSE)&lt;=0,"",IF(VLOOKUP($A8,'détails investissements'!$A$26:$DE$43,BK$3-VLOOKUP($A8,'détails investissements'!$A$71:$B$88,2,FALSE)+1,FALSE)="","",VLOOKUP($A8,'détails investissements'!$A$26:$DE$43,BK$3-VLOOKUP($A8,'détails investissements'!$A$71:$B$88,2,FALSE)+1,FALSE)))&lt;&gt;"",HLOOKUP(IF(BK$3-VLOOKUP($A8,'détails investissements'!$A$71:$B$88,2,FALSE)&lt;=0,"",IF(VLOOKUP($A8,'détails investissements'!$A$26:$DE$43,BK$3-VLOOKUP($A8,'détails investissements'!$A$71:$B$88,2,FALSE)+1,FALSE)="","",VLOOKUP($A8,'détails investissements'!$A$26:$DE$43,BK$3-VLOOKUP($A8,'détails investissements'!$A$71:$B$88,2,FALSE)+1,FALSE))),'détails investissements'!$U$6:$AB$7,2,FALSE),"")&lt;&gt;"",VLOOKUP($A8,'détails investissements'!$A$7:$H$21,1+IF(IF(BK$3-VLOOKUP($A8,'détails investissements'!$A$71:$B$88,2,FALSE)&lt;=0,"",IF(VLOOKUP($A8,'détails investissements'!$A$26:$DE$43,BK$3-VLOOKUP($A8,'détails investissements'!$A$71:$B$88,2,FALSE)+1,FALSE)="","",VLOOKUP($A8,'détails investissements'!$A$26:$DE$43,BK$3-VLOOKUP($A8,'détails investissements'!$A$71:$B$88,2,FALSE)+1,FALSE)))&lt;&gt;"",HLOOKUP(IF(BK$3-VLOOKUP($A8,'détails investissements'!$A$71:$B$88,2,FALSE)&lt;=0,"",IF(VLOOKUP($A8,'détails investissements'!$A$26:$DE$43,BK$3-VLOOKUP($A8,'détails investissements'!$A$71:$B$88,2,FALSE)+1,FALSE)="","",VLOOKUP($A8,'détails investissements'!$A$26:$DE$43,BK$3-VLOOKUP($A8,'détails investissements'!$A$71:$B$88,2,FALSE)+1,FALSE))),'détails investissements'!$U$6:$AB$7,2,FALSE),""),FALSE),"")</f>
        <v/>
      </c>
      <c r="BL8" s="45" t="str">
        <f>IF(IF(IF(BL$3-VLOOKUP($A8,'détails investissements'!$A$71:$B$88,2,FALSE)&lt;=0,"",IF(VLOOKUP($A8,'détails investissements'!$A$26:$DE$43,BL$3-VLOOKUP($A8,'détails investissements'!$A$71:$B$88,2,FALSE)+1,FALSE)="","",VLOOKUP($A8,'détails investissements'!$A$26:$DE$43,BL$3-VLOOKUP($A8,'détails investissements'!$A$71:$B$88,2,FALSE)+1,FALSE)))&lt;&gt;"",HLOOKUP(IF(BL$3-VLOOKUP($A8,'détails investissements'!$A$71:$B$88,2,FALSE)&lt;=0,"",IF(VLOOKUP($A8,'détails investissements'!$A$26:$DE$43,BL$3-VLOOKUP($A8,'détails investissements'!$A$71:$B$88,2,FALSE)+1,FALSE)="","",VLOOKUP($A8,'détails investissements'!$A$26:$DE$43,BL$3-VLOOKUP($A8,'détails investissements'!$A$71:$B$88,2,FALSE)+1,FALSE))),'détails investissements'!$U$6:$AB$7,2,FALSE),"")&lt;&gt;"",VLOOKUP($A8,'détails investissements'!$A$7:$H$21,1+IF(IF(BL$3-VLOOKUP($A8,'détails investissements'!$A$71:$B$88,2,FALSE)&lt;=0,"",IF(VLOOKUP($A8,'détails investissements'!$A$26:$DE$43,BL$3-VLOOKUP($A8,'détails investissements'!$A$71:$B$88,2,FALSE)+1,FALSE)="","",VLOOKUP($A8,'détails investissements'!$A$26:$DE$43,BL$3-VLOOKUP($A8,'détails investissements'!$A$71:$B$88,2,FALSE)+1,FALSE)))&lt;&gt;"",HLOOKUP(IF(BL$3-VLOOKUP($A8,'détails investissements'!$A$71:$B$88,2,FALSE)&lt;=0,"",IF(VLOOKUP($A8,'détails investissements'!$A$26:$DE$43,BL$3-VLOOKUP($A8,'détails investissements'!$A$71:$B$88,2,FALSE)+1,FALSE)="","",VLOOKUP($A8,'détails investissements'!$A$26:$DE$43,BL$3-VLOOKUP($A8,'détails investissements'!$A$71:$B$88,2,FALSE)+1,FALSE))),'détails investissements'!$U$6:$AB$7,2,FALSE),""),FALSE),"")</f>
        <v/>
      </c>
      <c r="BM8" s="45" t="str">
        <f>IF(IF(IF(BM$3-VLOOKUP($A8,'détails investissements'!$A$71:$B$88,2,FALSE)&lt;=0,"",IF(VLOOKUP($A8,'détails investissements'!$A$26:$DE$43,BM$3-VLOOKUP($A8,'détails investissements'!$A$71:$B$88,2,FALSE)+1,FALSE)="","",VLOOKUP($A8,'détails investissements'!$A$26:$DE$43,BM$3-VLOOKUP($A8,'détails investissements'!$A$71:$B$88,2,FALSE)+1,FALSE)))&lt;&gt;"",HLOOKUP(IF(BM$3-VLOOKUP($A8,'détails investissements'!$A$71:$B$88,2,FALSE)&lt;=0,"",IF(VLOOKUP($A8,'détails investissements'!$A$26:$DE$43,BM$3-VLOOKUP($A8,'détails investissements'!$A$71:$B$88,2,FALSE)+1,FALSE)="","",VLOOKUP($A8,'détails investissements'!$A$26:$DE$43,BM$3-VLOOKUP($A8,'détails investissements'!$A$71:$B$88,2,FALSE)+1,FALSE))),'détails investissements'!$U$6:$AB$7,2,FALSE),"")&lt;&gt;"",VLOOKUP($A8,'détails investissements'!$A$7:$H$21,1+IF(IF(BM$3-VLOOKUP($A8,'détails investissements'!$A$71:$B$88,2,FALSE)&lt;=0,"",IF(VLOOKUP($A8,'détails investissements'!$A$26:$DE$43,BM$3-VLOOKUP($A8,'détails investissements'!$A$71:$B$88,2,FALSE)+1,FALSE)="","",VLOOKUP($A8,'détails investissements'!$A$26:$DE$43,BM$3-VLOOKUP($A8,'détails investissements'!$A$71:$B$88,2,FALSE)+1,FALSE)))&lt;&gt;"",HLOOKUP(IF(BM$3-VLOOKUP($A8,'détails investissements'!$A$71:$B$88,2,FALSE)&lt;=0,"",IF(VLOOKUP($A8,'détails investissements'!$A$26:$DE$43,BM$3-VLOOKUP($A8,'détails investissements'!$A$71:$B$88,2,FALSE)+1,FALSE)="","",VLOOKUP($A8,'détails investissements'!$A$26:$DE$43,BM$3-VLOOKUP($A8,'détails investissements'!$A$71:$B$88,2,FALSE)+1,FALSE))),'détails investissements'!$U$6:$AB$7,2,FALSE),""),FALSE),"")</f>
        <v/>
      </c>
      <c r="BN8" s="45" t="str">
        <f>IF(IF(IF(BN$3-VLOOKUP($A8,'détails investissements'!$A$71:$B$88,2,FALSE)&lt;=0,"",IF(VLOOKUP($A8,'détails investissements'!$A$26:$DE$43,BN$3-VLOOKUP($A8,'détails investissements'!$A$71:$B$88,2,FALSE)+1,FALSE)="","",VLOOKUP($A8,'détails investissements'!$A$26:$DE$43,BN$3-VLOOKUP($A8,'détails investissements'!$A$71:$B$88,2,FALSE)+1,FALSE)))&lt;&gt;"",HLOOKUP(IF(BN$3-VLOOKUP($A8,'détails investissements'!$A$71:$B$88,2,FALSE)&lt;=0,"",IF(VLOOKUP($A8,'détails investissements'!$A$26:$DE$43,BN$3-VLOOKUP($A8,'détails investissements'!$A$71:$B$88,2,FALSE)+1,FALSE)="","",VLOOKUP($A8,'détails investissements'!$A$26:$DE$43,BN$3-VLOOKUP($A8,'détails investissements'!$A$71:$B$88,2,FALSE)+1,FALSE))),'détails investissements'!$U$6:$AB$7,2,FALSE),"")&lt;&gt;"",VLOOKUP($A8,'détails investissements'!$A$7:$H$21,1+IF(IF(BN$3-VLOOKUP($A8,'détails investissements'!$A$71:$B$88,2,FALSE)&lt;=0,"",IF(VLOOKUP($A8,'détails investissements'!$A$26:$DE$43,BN$3-VLOOKUP($A8,'détails investissements'!$A$71:$B$88,2,FALSE)+1,FALSE)="","",VLOOKUP($A8,'détails investissements'!$A$26:$DE$43,BN$3-VLOOKUP($A8,'détails investissements'!$A$71:$B$88,2,FALSE)+1,FALSE)))&lt;&gt;"",HLOOKUP(IF(BN$3-VLOOKUP($A8,'détails investissements'!$A$71:$B$88,2,FALSE)&lt;=0,"",IF(VLOOKUP($A8,'détails investissements'!$A$26:$DE$43,BN$3-VLOOKUP($A8,'détails investissements'!$A$71:$B$88,2,FALSE)+1,FALSE)="","",VLOOKUP($A8,'détails investissements'!$A$26:$DE$43,BN$3-VLOOKUP($A8,'détails investissements'!$A$71:$B$88,2,FALSE)+1,FALSE))),'détails investissements'!$U$6:$AB$7,2,FALSE),""),FALSE),"")</f>
        <v/>
      </c>
      <c r="BO8" s="45" t="str">
        <f>IF(IF(IF(BO$3-VLOOKUP($A8,'détails investissements'!$A$71:$B$88,2,FALSE)&lt;=0,"",IF(VLOOKUP($A8,'détails investissements'!$A$26:$DE$43,BO$3-VLOOKUP($A8,'détails investissements'!$A$71:$B$88,2,FALSE)+1,FALSE)="","",VLOOKUP($A8,'détails investissements'!$A$26:$DE$43,BO$3-VLOOKUP($A8,'détails investissements'!$A$71:$B$88,2,FALSE)+1,FALSE)))&lt;&gt;"",HLOOKUP(IF(BO$3-VLOOKUP($A8,'détails investissements'!$A$71:$B$88,2,FALSE)&lt;=0,"",IF(VLOOKUP($A8,'détails investissements'!$A$26:$DE$43,BO$3-VLOOKUP($A8,'détails investissements'!$A$71:$B$88,2,FALSE)+1,FALSE)="","",VLOOKUP($A8,'détails investissements'!$A$26:$DE$43,BO$3-VLOOKUP($A8,'détails investissements'!$A$71:$B$88,2,FALSE)+1,FALSE))),'détails investissements'!$U$6:$AB$7,2,FALSE),"")&lt;&gt;"",VLOOKUP($A8,'détails investissements'!$A$7:$H$21,1+IF(IF(BO$3-VLOOKUP($A8,'détails investissements'!$A$71:$B$88,2,FALSE)&lt;=0,"",IF(VLOOKUP($A8,'détails investissements'!$A$26:$DE$43,BO$3-VLOOKUP($A8,'détails investissements'!$A$71:$B$88,2,FALSE)+1,FALSE)="","",VLOOKUP($A8,'détails investissements'!$A$26:$DE$43,BO$3-VLOOKUP($A8,'détails investissements'!$A$71:$B$88,2,FALSE)+1,FALSE)))&lt;&gt;"",HLOOKUP(IF(BO$3-VLOOKUP($A8,'détails investissements'!$A$71:$B$88,2,FALSE)&lt;=0,"",IF(VLOOKUP($A8,'détails investissements'!$A$26:$DE$43,BO$3-VLOOKUP($A8,'détails investissements'!$A$71:$B$88,2,FALSE)+1,FALSE)="","",VLOOKUP($A8,'détails investissements'!$A$26:$DE$43,BO$3-VLOOKUP($A8,'détails investissements'!$A$71:$B$88,2,FALSE)+1,FALSE))),'détails investissements'!$U$6:$AB$7,2,FALSE),""),FALSE),"")</f>
        <v/>
      </c>
      <c r="BP8" s="45" t="str">
        <f>IF(IF(IF(BP$3-VLOOKUP($A8,'détails investissements'!$A$71:$B$88,2,FALSE)&lt;=0,"",IF(VLOOKUP($A8,'détails investissements'!$A$26:$DE$43,BP$3-VLOOKUP($A8,'détails investissements'!$A$71:$B$88,2,FALSE)+1,FALSE)="","",VLOOKUP($A8,'détails investissements'!$A$26:$DE$43,BP$3-VLOOKUP($A8,'détails investissements'!$A$71:$B$88,2,FALSE)+1,FALSE)))&lt;&gt;"",HLOOKUP(IF(BP$3-VLOOKUP($A8,'détails investissements'!$A$71:$B$88,2,FALSE)&lt;=0,"",IF(VLOOKUP($A8,'détails investissements'!$A$26:$DE$43,BP$3-VLOOKUP($A8,'détails investissements'!$A$71:$B$88,2,FALSE)+1,FALSE)="","",VLOOKUP($A8,'détails investissements'!$A$26:$DE$43,BP$3-VLOOKUP($A8,'détails investissements'!$A$71:$B$88,2,FALSE)+1,FALSE))),'détails investissements'!$U$6:$AB$7,2,FALSE),"")&lt;&gt;"",VLOOKUP($A8,'détails investissements'!$A$7:$H$21,1+IF(IF(BP$3-VLOOKUP($A8,'détails investissements'!$A$71:$B$88,2,FALSE)&lt;=0,"",IF(VLOOKUP($A8,'détails investissements'!$A$26:$DE$43,BP$3-VLOOKUP($A8,'détails investissements'!$A$71:$B$88,2,FALSE)+1,FALSE)="","",VLOOKUP($A8,'détails investissements'!$A$26:$DE$43,BP$3-VLOOKUP($A8,'détails investissements'!$A$71:$B$88,2,FALSE)+1,FALSE)))&lt;&gt;"",HLOOKUP(IF(BP$3-VLOOKUP($A8,'détails investissements'!$A$71:$B$88,2,FALSE)&lt;=0,"",IF(VLOOKUP($A8,'détails investissements'!$A$26:$DE$43,BP$3-VLOOKUP($A8,'détails investissements'!$A$71:$B$88,2,FALSE)+1,FALSE)="","",VLOOKUP($A8,'détails investissements'!$A$26:$DE$43,BP$3-VLOOKUP($A8,'détails investissements'!$A$71:$B$88,2,FALSE)+1,FALSE))),'détails investissements'!$U$6:$AB$7,2,FALSE),""),FALSE),"")</f>
        <v/>
      </c>
      <c r="BQ8" s="45" t="str">
        <f>IF(IF(IF(BQ$3-VLOOKUP($A8,'détails investissements'!$A$71:$B$88,2,FALSE)&lt;=0,"",IF(VLOOKUP($A8,'détails investissements'!$A$26:$DE$43,BQ$3-VLOOKUP($A8,'détails investissements'!$A$71:$B$88,2,FALSE)+1,FALSE)="","",VLOOKUP($A8,'détails investissements'!$A$26:$DE$43,BQ$3-VLOOKUP($A8,'détails investissements'!$A$71:$B$88,2,FALSE)+1,FALSE)))&lt;&gt;"",HLOOKUP(IF(BQ$3-VLOOKUP($A8,'détails investissements'!$A$71:$B$88,2,FALSE)&lt;=0,"",IF(VLOOKUP($A8,'détails investissements'!$A$26:$DE$43,BQ$3-VLOOKUP($A8,'détails investissements'!$A$71:$B$88,2,FALSE)+1,FALSE)="","",VLOOKUP($A8,'détails investissements'!$A$26:$DE$43,BQ$3-VLOOKUP($A8,'détails investissements'!$A$71:$B$88,2,FALSE)+1,FALSE))),'détails investissements'!$U$6:$AB$7,2,FALSE),"")&lt;&gt;"",VLOOKUP($A8,'détails investissements'!$A$7:$H$21,1+IF(IF(BQ$3-VLOOKUP($A8,'détails investissements'!$A$71:$B$88,2,FALSE)&lt;=0,"",IF(VLOOKUP($A8,'détails investissements'!$A$26:$DE$43,BQ$3-VLOOKUP($A8,'détails investissements'!$A$71:$B$88,2,FALSE)+1,FALSE)="","",VLOOKUP($A8,'détails investissements'!$A$26:$DE$43,BQ$3-VLOOKUP($A8,'détails investissements'!$A$71:$B$88,2,FALSE)+1,FALSE)))&lt;&gt;"",HLOOKUP(IF(BQ$3-VLOOKUP($A8,'détails investissements'!$A$71:$B$88,2,FALSE)&lt;=0,"",IF(VLOOKUP($A8,'détails investissements'!$A$26:$DE$43,BQ$3-VLOOKUP($A8,'détails investissements'!$A$71:$B$88,2,FALSE)+1,FALSE)="","",VLOOKUP($A8,'détails investissements'!$A$26:$DE$43,BQ$3-VLOOKUP($A8,'détails investissements'!$A$71:$B$88,2,FALSE)+1,FALSE))),'détails investissements'!$U$6:$AB$7,2,FALSE),""),FALSE),"")</f>
        <v/>
      </c>
      <c r="BR8" s="45" t="str">
        <f>IF(IF(IF(BR$3-VLOOKUP($A8,'détails investissements'!$A$71:$B$88,2,FALSE)&lt;=0,"",IF(VLOOKUP($A8,'détails investissements'!$A$26:$DE$43,BR$3-VLOOKUP($A8,'détails investissements'!$A$71:$B$88,2,FALSE)+1,FALSE)="","",VLOOKUP($A8,'détails investissements'!$A$26:$DE$43,BR$3-VLOOKUP($A8,'détails investissements'!$A$71:$B$88,2,FALSE)+1,FALSE)))&lt;&gt;"",HLOOKUP(IF(BR$3-VLOOKUP($A8,'détails investissements'!$A$71:$B$88,2,FALSE)&lt;=0,"",IF(VLOOKUP($A8,'détails investissements'!$A$26:$DE$43,BR$3-VLOOKUP($A8,'détails investissements'!$A$71:$B$88,2,FALSE)+1,FALSE)="","",VLOOKUP($A8,'détails investissements'!$A$26:$DE$43,BR$3-VLOOKUP($A8,'détails investissements'!$A$71:$B$88,2,FALSE)+1,FALSE))),'détails investissements'!$U$6:$AB$7,2,FALSE),"")&lt;&gt;"",VLOOKUP($A8,'détails investissements'!$A$7:$H$21,1+IF(IF(BR$3-VLOOKUP($A8,'détails investissements'!$A$71:$B$88,2,FALSE)&lt;=0,"",IF(VLOOKUP($A8,'détails investissements'!$A$26:$DE$43,BR$3-VLOOKUP($A8,'détails investissements'!$A$71:$B$88,2,FALSE)+1,FALSE)="","",VLOOKUP($A8,'détails investissements'!$A$26:$DE$43,BR$3-VLOOKUP($A8,'détails investissements'!$A$71:$B$88,2,FALSE)+1,FALSE)))&lt;&gt;"",HLOOKUP(IF(BR$3-VLOOKUP($A8,'détails investissements'!$A$71:$B$88,2,FALSE)&lt;=0,"",IF(VLOOKUP($A8,'détails investissements'!$A$26:$DE$43,BR$3-VLOOKUP($A8,'détails investissements'!$A$71:$B$88,2,FALSE)+1,FALSE)="","",VLOOKUP($A8,'détails investissements'!$A$26:$DE$43,BR$3-VLOOKUP($A8,'détails investissements'!$A$71:$B$88,2,FALSE)+1,FALSE))),'détails investissements'!$U$6:$AB$7,2,FALSE),""),FALSE),"")</f>
        <v/>
      </c>
      <c r="BS8" s="45" t="str">
        <f>IF(IF(IF(BS$3-VLOOKUP($A8,'détails investissements'!$A$71:$B$88,2,FALSE)&lt;=0,"",IF(VLOOKUP($A8,'détails investissements'!$A$26:$DE$43,BS$3-VLOOKUP($A8,'détails investissements'!$A$71:$B$88,2,FALSE)+1,FALSE)="","",VLOOKUP($A8,'détails investissements'!$A$26:$DE$43,BS$3-VLOOKUP($A8,'détails investissements'!$A$71:$B$88,2,FALSE)+1,FALSE)))&lt;&gt;"",HLOOKUP(IF(BS$3-VLOOKUP($A8,'détails investissements'!$A$71:$B$88,2,FALSE)&lt;=0,"",IF(VLOOKUP($A8,'détails investissements'!$A$26:$DE$43,BS$3-VLOOKUP($A8,'détails investissements'!$A$71:$B$88,2,FALSE)+1,FALSE)="","",VLOOKUP($A8,'détails investissements'!$A$26:$DE$43,BS$3-VLOOKUP($A8,'détails investissements'!$A$71:$B$88,2,FALSE)+1,FALSE))),'détails investissements'!$U$6:$AB$7,2,FALSE),"")&lt;&gt;"",VLOOKUP($A8,'détails investissements'!$A$7:$H$21,1+IF(IF(BS$3-VLOOKUP($A8,'détails investissements'!$A$71:$B$88,2,FALSE)&lt;=0,"",IF(VLOOKUP($A8,'détails investissements'!$A$26:$DE$43,BS$3-VLOOKUP($A8,'détails investissements'!$A$71:$B$88,2,FALSE)+1,FALSE)="","",VLOOKUP($A8,'détails investissements'!$A$26:$DE$43,BS$3-VLOOKUP($A8,'détails investissements'!$A$71:$B$88,2,FALSE)+1,FALSE)))&lt;&gt;"",HLOOKUP(IF(BS$3-VLOOKUP($A8,'détails investissements'!$A$71:$B$88,2,FALSE)&lt;=0,"",IF(VLOOKUP($A8,'détails investissements'!$A$26:$DE$43,BS$3-VLOOKUP($A8,'détails investissements'!$A$71:$B$88,2,FALSE)+1,FALSE)="","",VLOOKUP($A8,'détails investissements'!$A$26:$DE$43,BS$3-VLOOKUP($A8,'détails investissements'!$A$71:$B$88,2,FALSE)+1,FALSE))),'détails investissements'!$U$6:$AB$7,2,FALSE),""),FALSE),"")</f>
        <v/>
      </c>
      <c r="BT8" s="45" t="str">
        <f>IF(IF(IF(BT$3-VLOOKUP($A8,'détails investissements'!$A$71:$B$88,2,FALSE)&lt;=0,"",IF(VLOOKUP($A8,'détails investissements'!$A$26:$DE$43,BT$3-VLOOKUP($A8,'détails investissements'!$A$71:$B$88,2,FALSE)+1,FALSE)="","",VLOOKUP($A8,'détails investissements'!$A$26:$DE$43,BT$3-VLOOKUP($A8,'détails investissements'!$A$71:$B$88,2,FALSE)+1,FALSE)))&lt;&gt;"",HLOOKUP(IF(BT$3-VLOOKUP($A8,'détails investissements'!$A$71:$B$88,2,FALSE)&lt;=0,"",IF(VLOOKUP($A8,'détails investissements'!$A$26:$DE$43,BT$3-VLOOKUP($A8,'détails investissements'!$A$71:$B$88,2,FALSE)+1,FALSE)="","",VLOOKUP($A8,'détails investissements'!$A$26:$DE$43,BT$3-VLOOKUP($A8,'détails investissements'!$A$71:$B$88,2,FALSE)+1,FALSE))),'détails investissements'!$U$6:$AB$7,2,FALSE),"")&lt;&gt;"",VLOOKUP($A8,'détails investissements'!$A$7:$H$21,1+IF(IF(BT$3-VLOOKUP($A8,'détails investissements'!$A$71:$B$88,2,FALSE)&lt;=0,"",IF(VLOOKUP($A8,'détails investissements'!$A$26:$DE$43,BT$3-VLOOKUP($A8,'détails investissements'!$A$71:$B$88,2,FALSE)+1,FALSE)="","",VLOOKUP($A8,'détails investissements'!$A$26:$DE$43,BT$3-VLOOKUP($A8,'détails investissements'!$A$71:$B$88,2,FALSE)+1,FALSE)))&lt;&gt;"",HLOOKUP(IF(BT$3-VLOOKUP($A8,'détails investissements'!$A$71:$B$88,2,FALSE)&lt;=0,"",IF(VLOOKUP($A8,'détails investissements'!$A$26:$DE$43,BT$3-VLOOKUP($A8,'détails investissements'!$A$71:$B$88,2,FALSE)+1,FALSE)="","",VLOOKUP($A8,'détails investissements'!$A$26:$DE$43,BT$3-VLOOKUP($A8,'détails investissements'!$A$71:$B$88,2,FALSE)+1,FALSE))),'détails investissements'!$U$6:$AB$7,2,FALSE),""),FALSE),"")</f>
        <v/>
      </c>
      <c r="BU8" s="45" t="str">
        <f>IF(IF(IF(BU$3-VLOOKUP($A8,'détails investissements'!$A$71:$B$88,2,FALSE)&lt;=0,"",IF(VLOOKUP($A8,'détails investissements'!$A$26:$DE$43,BU$3-VLOOKUP($A8,'détails investissements'!$A$71:$B$88,2,FALSE)+1,FALSE)="","",VLOOKUP($A8,'détails investissements'!$A$26:$DE$43,BU$3-VLOOKUP($A8,'détails investissements'!$A$71:$B$88,2,FALSE)+1,FALSE)))&lt;&gt;"",HLOOKUP(IF(BU$3-VLOOKUP($A8,'détails investissements'!$A$71:$B$88,2,FALSE)&lt;=0,"",IF(VLOOKUP($A8,'détails investissements'!$A$26:$DE$43,BU$3-VLOOKUP($A8,'détails investissements'!$A$71:$B$88,2,FALSE)+1,FALSE)="","",VLOOKUP($A8,'détails investissements'!$A$26:$DE$43,BU$3-VLOOKUP($A8,'détails investissements'!$A$71:$B$88,2,FALSE)+1,FALSE))),'détails investissements'!$U$6:$AB$7,2,FALSE),"")&lt;&gt;"",VLOOKUP($A8,'détails investissements'!$A$7:$H$21,1+IF(IF(BU$3-VLOOKUP($A8,'détails investissements'!$A$71:$B$88,2,FALSE)&lt;=0,"",IF(VLOOKUP($A8,'détails investissements'!$A$26:$DE$43,BU$3-VLOOKUP($A8,'détails investissements'!$A$71:$B$88,2,FALSE)+1,FALSE)="","",VLOOKUP($A8,'détails investissements'!$A$26:$DE$43,BU$3-VLOOKUP($A8,'détails investissements'!$A$71:$B$88,2,FALSE)+1,FALSE)))&lt;&gt;"",HLOOKUP(IF(BU$3-VLOOKUP($A8,'détails investissements'!$A$71:$B$88,2,FALSE)&lt;=0,"",IF(VLOOKUP($A8,'détails investissements'!$A$26:$DE$43,BU$3-VLOOKUP($A8,'détails investissements'!$A$71:$B$88,2,FALSE)+1,FALSE)="","",VLOOKUP($A8,'détails investissements'!$A$26:$DE$43,BU$3-VLOOKUP($A8,'détails investissements'!$A$71:$B$88,2,FALSE)+1,FALSE))),'détails investissements'!$U$6:$AB$7,2,FALSE),""),FALSE),"")</f>
        <v/>
      </c>
      <c r="BV8" s="45" t="str">
        <f>IF(IF(IF(BV$3-VLOOKUP($A8,'détails investissements'!$A$71:$B$88,2,FALSE)&lt;=0,"",IF(VLOOKUP($A8,'détails investissements'!$A$26:$DE$43,BV$3-VLOOKUP($A8,'détails investissements'!$A$71:$B$88,2,FALSE)+1,FALSE)="","",VLOOKUP($A8,'détails investissements'!$A$26:$DE$43,BV$3-VLOOKUP($A8,'détails investissements'!$A$71:$B$88,2,FALSE)+1,FALSE)))&lt;&gt;"",HLOOKUP(IF(BV$3-VLOOKUP($A8,'détails investissements'!$A$71:$B$88,2,FALSE)&lt;=0,"",IF(VLOOKUP($A8,'détails investissements'!$A$26:$DE$43,BV$3-VLOOKUP($A8,'détails investissements'!$A$71:$B$88,2,FALSE)+1,FALSE)="","",VLOOKUP($A8,'détails investissements'!$A$26:$DE$43,BV$3-VLOOKUP($A8,'détails investissements'!$A$71:$B$88,2,FALSE)+1,FALSE))),'détails investissements'!$U$6:$AB$7,2,FALSE),"")&lt;&gt;"",VLOOKUP($A8,'détails investissements'!$A$7:$H$21,1+IF(IF(BV$3-VLOOKUP($A8,'détails investissements'!$A$71:$B$88,2,FALSE)&lt;=0,"",IF(VLOOKUP($A8,'détails investissements'!$A$26:$DE$43,BV$3-VLOOKUP($A8,'détails investissements'!$A$71:$B$88,2,FALSE)+1,FALSE)="","",VLOOKUP($A8,'détails investissements'!$A$26:$DE$43,BV$3-VLOOKUP($A8,'détails investissements'!$A$71:$B$88,2,FALSE)+1,FALSE)))&lt;&gt;"",HLOOKUP(IF(BV$3-VLOOKUP($A8,'détails investissements'!$A$71:$B$88,2,FALSE)&lt;=0,"",IF(VLOOKUP($A8,'détails investissements'!$A$26:$DE$43,BV$3-VLOOKUP($A8,'détails investissements'!$A$71:$B$88,2,FALSE)+1,FALSE)="","",VLOOKUP($A8,'détails investissements'!$A$26:$DE$43,BV$3-VLOOKUP($A8,'détails investissements'!$A$71:$B$88,2,FALSE)+1,FALSE))),'détails investissements'!$U$6:$AB$7,2,FALSE),""),FALSE),"")</f>
        <v/>
      </c>
      <c r="BW8" s="45" t="str">
        <f>IF(IF(IF(BW$3-VLOOKUP($A8,'détails investissements'!$A$71:$B$88,2,FALSE)&lt;=0,"",IF(VLOOKUP($A8,'détails investissements'!$A$26:$DE$43,BW$3-VLOOKUP($A8,'détails investissements'!$A$71:$B$88,2,FALSE)+1,FALSE)="","",VLOOKUP($A8,'détails investissements'!$A$26:$DE$43,BW$3-VLOOKUP($A8,'détails investissements'!$A$71:$B$88,2,FALSE)+1,FALSE)))&lt;&gt;"",HLOOKUP(IF(BW$3-VLOOKUP($A8,'détails investissements'!$A$71:$B$88,2,FALSE)&lt;=0,"",IF(VLOOKUP($A8,'détails investissements'!$A$26:$DE$43,BW$3-VLOOKUP($A8,'détails investissements'!$A$71:$B$88,2,FALSE)+1,FALSE)="","",VLOOKUP($A8,'détails investissements'!$A$26:$DE$43,BW$3-VLOOKUP($A8,'détails investissements'!$A$71:$B$88,2,FALSE)+1,FALSE))),'détails investissements'!$U$6:$AB$7,2,FALSE),"")&lt;&gt;"",VLOOKUP($A8,'détails investissements'!$A$7:$H$21,1+IF(IF(BW$3-VLOOKUP($A8,'détails investissements'!$A$71:$B$88,2,FALSE)&lt;=0,"",IF(VLOOKUP($A8,'détails investissements'!$A$26:$DE$43,BW$3-VLOOKUP($A8,'détails investissements'!$A$71:$B$88,2,FALSE)+1,FALSE)="","",VLOOKUP($A8,'détails investissements'!$A$26:$DE$43,BW$3-VLOOKUP($A8,'détails investissements'!$A$71:$B$88,2,FALSE)+1,FALSE)))&lt;&gt;"",HLOOKUP(IF(BW$3-VLOOKUP($A8,'détails investissements'!$A$71:$B$88,2,FALSE)&lt;=0,"",IF(VLOOKUP($A8,'détails investissements'!$A$26:$DE$43,BW$3-VLOOKUP($A8,'détails investissements'!$A$71:$B$88,2,FALSE)+1,FALSE)="","",VLOOKUP($A8,'détails investissements'!$A$26:$DE$43,BW$3-VLOOKUP($A8,'détails investissements'!$A$71:$B$88,2,FALSE)+1,FALSE))),'détails investissements'!$U$6:$AB$7,2,FALSE),""),FALSE),"")</f>
        <v/>
      </c>
      <c r="BX8" s="45" t="str">
        <f>IF(IF(IF(BX$3-VLOOKUP($A8,'détails investissements'!$A$71:$B$88,2,FALSE)&lt;=0,"",IF(VLOOKUP($A8,'détails investissements'!$A$26:$DE$43,BX$3-VLOOKUP($A8,'détails investissements'!$A$71:$B$88,2,FALSE)+1,FALSE)="","",VLOOKUP($A8,'détails investissements'!$A$26:$DE$43,BX$3-VLOOKUP($A8,'détails investissements'!$A$71:$B$88,2,FALSE)+1,FALSE)))&lt;&gt;"",HLOOKUP(IF(BX$3-VLOOKUP($A8,'détails investissements'!$A$71:$B$88,2,FALSE)&lt;=0,"",IF(VLOOKUP($A8,'détails investissements'!$A$26:$DE$43,BX$3-VLOOKUP($A8,'détails investissements'!$A$71:$B$88,2,FALSE)+1,FALSE)="","",VLOOKUP($A8,'détails investissements'!$A$26:$DE$43,BX$3-VLOOKUP($A8,'détails investissements'!$A$71:$B$88,2,FALSE)+1,FALSE))),'détails investissements'!$U$6:$AB$7,2,FALSE),"")&lt;&gt;"",VLOOKUP($A8,'détails investissements'!$A$7:$H$21,1+IF(IF(BX$3-VLOOKUP($A8,'détails investissements'!$A$71:$B$88,2,FALSE)&lt;=0,"",IF(VLOOKUP($A8,'détails investissements'!$A$26:$DE$43,BX$3-VLOOKUP($A8,'détails investissements'!$A$71:$B$88,2,FALSE)+1,FALSE)="","",VLOOKUP($A8,'détails investissements'!$A$26:$DE$43,BX$3-VLOOKUP($A8,'détails investissements'!$A$71:$B$88,2,FALSE)+1,FALSE)))&lt;&gt;"",HLOOKUP(IF(BX$3-VLOOKUP($A8,'détails investissements'!$A$71:$B$88,2,FALSE)&lt;=0,"",IF(VLOOKUP($A8,'détails investissements'!$A$26:$DE$43,BX$3-VLOOKUP($A8,'détails investissements'!$A$71:$B$88,2,FALSE)+1,FALSE)="","",VLOOKUP($A8,'détails investissements'!$A$26:$DE$43,BX$3-VLOOKUP($A8,'détails investissements'!$A$71:$B$88,2,FALSE)+1,FALSE))),'détails investissements'!$U$6:$AB$7,2,FALSE),""),FALSE),"")</f>
        <v/>
      </c>
      <c r="BY8" s="45" t="str">
        <f>IF(IF(IF(BY$3-VLOOKUP($A8,'détails investissements'!$A$71:$B$88,2,FALSE)&lt;=0,"",IF(VLOOKUP($A8,'détails investissements'!$A$26:$DE$43,BY$3-VLOOKUP($A8,'détails investissements'!$A$71:$B$88,2,FALSE)+1,FALSE)="","",VLOOKUP($A8,'détails investissements'!$A$26:$DE$43,BY$3-VLOOKUP($A8,'détails investissements'!$A$71:$B$88,2,FALSE)+1,FALSE)))&lt;&gt;"",HLOOKUP(IF(BY$3-VLOOKUP($A8,'détails investissements'!$A$71:$B$88,2,FALSE)&lt;=0,"",IF(VLOOKUP($A8,'détails investissements'!$A$26:$DE$43,BY$3-VLOOKUP($A8,'détails investissements'!$A$71:$B$88,2,FALSE)+1,FALSE)="","",VLOOKUP($A8,'détails investissements'!$A$26:$DE$43,BY$3-VLOOKUP($A8,'détails investissements'!$A$71:$B$88,2,FALSE)+1,FALSE))),'détails investissements'!$U$6:$AB$7,2,FALSE),"")&lt;&gt;"",VLOOKUP($A8,'détails investissements'!$A$7:$H$21,1+IF(IF(BY$3-VLOOKUP($A8,'détails investissements'!$A$71:$B$88,2,FALSE)&lt;=0,"",IF(VLOOKUP($A8,'détails investissements'!$A$26:$DE$43,BY$3-VLOOKUP($A8,'détails investissements'!$A$71:$B$88,2,FALSE)+1,FALSE)="","",VLOOKUP($A8,'détails investissements'!$A$26:$DE$43,BY$3-VLOOKUP($A8,'détails investissements'!$A$71:$B$88,2,FALSE)+1,FALSE)))&lt;&gt;"",HLOOKUP(IF(BY$3-VLOOKUP($A8,'détails investissements'!$A$71:$B$88,2,FALSE)&lt;=0,"",IF(VLOOKUP($A8,'détails investissements'!$A$26:$DE$43,BY$3-VLOOKUP($A8,'détails investissements'!$A$71:$B$88,2,FALSE)+1,FALSE)="","",VLOOKUP($A8,'détails investissements'!$A$26:$DE$43,BY$3-VLOOKUP($A8,'détails investissements'!$A$71:$B$88,2,FALSE)+1,FALSE))),'détails investissements'!$U$6:$AB$7,2,FALSE),""),FALSE),"")</f>
        <v/>
      </c>
      <c r="BZ8" s="45" t="str">
        <f>IF(IF(IF(BZ$3-VLOOKUP($A8,'détails investissements'!$A$71:$B$88,2,FALSE)&lt;=0,"",IF(VLOOKUP($A8,'détails investissements'!$A$26:$DE$43,BZ$3-VLOOKUP($A8,'détails investissements'!$A$71:$B$88,2,FALSE)+1,FALSE)="","",VLOOKUP($A8,'détails investissements'!$A$26:$DE$43,BZ$3-VLOOKUP($A8,'détails investissements'!$A$71:$B$88,2,FALSE)+1,FALSE)))&lt;&gt;"",HLOOKUP(IF(BZ$3-VLOOKUP($A8,'détails investissements'!$A$71:$B$88,2,FALSE)&lt;=0,"",IF(VLOOKUP($A8,'détails investissements'!$A$26:$DE$43,BZ$3-VLOOKUP($A8,'détails investissements'!$A$71:$B$88,2,FALSE)+1,FALSE)="","",VLOOKUP($A8,'détails investissements'!$A$26:$DE$43,BZ$3-VLOOKUP($A8,'détails investissements'!$A$71:$B$88,2,FALSE)+1,FALSE))),'détails investissements'!$U$6:$AB$7,2,FALSE),"")&lt;&gt;"",VLOOKUP($A8,'détails investissements'!$A$7:$H$21,1+IF(IF(BZ$3-VLOOKUP($A8,'détails investissements'!$A$71:$B$88,2,FALSE)&lt;=0,"",IF(VLOOKUP($A8,'détails investissements'!$A$26:$DE$43,BZ$3-VLOOKUP($A8,'détails investissements'!$A$71:$B$88,2,FALSE)+1,FALSE)="","",VLOOKUP($A8,'détails investissements'!$A$26:$DE$43,BZ$3-VLOOKUP($A8,'détails investissements'!$A$71:$B$88,2,FALSE)+1,FALSE)))&lt;&gt;"",HLOOKUP(IF(BZ$3-VLOOKUP($A8,'détails investissements'!$A$71:$B$88,2,FALSE)&lt;=0,"",IF(VLOOKUP($A8,'détails investissements'!$A$26:$DE$43,BZ$3-VLOOKUP($A8,'détails investissements'!$A$71:$B$88,2,FALSE)+1,FALSE)="","",VLOOKUP($A8,'détails investissements'!$A$26:$DE$43,BZ$3-VLOOKUP($A8,'détails investissements'!$A$71:$B$88,2,FALSE)+1,FALSE))),'détails investissements'!$U$6:$AB$7,2,FALSE),""),FALSE),"")</f>
        <v/>
      </c>
      <c r="CA8" s="45" t="str">
        <f>IF(IF(IF(CA$3-VLOOKUP($A8,'détails investissements'!$A$71:$B$88,2,FALSE)&lt;=0,"",IF(VLOOKUP($A8,'détails investissements'!$A$26:$DE$43,CA$3-VLOOKUP($A8,'détails investissements'!$A$71:$B$88,2,FALSE)+1,FALSE)="","",VLOOKUP($A8,'détails investissements'!$A$26:$DE$43,CA$3-VLOOKUP($A8,'détails investissements'!$A$71:$B$88,2,FALSE)+1,FALSE)))&lt;&gt;"",HLOOKUP(IF(CA$3-VLOOKUP($A8,'détails investissements'!$A$71:$B$88,2,FALSE)&lt;=0,"",IF(VLOOKUP($A8,'détails investissements'!$A$26:$DE$43,CA$3-VLOOKUP($A8,'détails investissements'!$A$71:$B$88,2,FALSE)+1,FALSE)="","",VLOOKUP($A8,'détails investissements'!$A$26:$DE$43,CA$3-VLOOKUP($A8,'détails investissements'!$A$71:$B$88,2,FALSE)+1,FALSE))),'détails investissements'!$U$6:$AB$7,2,FALSE),"")&lt;&gt;"",VLOOKUP($A8,'détails investissements'!$A$7:$H$21,1+IF(IF(CA$3-VLOOKUP($A8,'détails investissements'!$A$71:$B$88,2,FALSE)&lt;=0,"",IF(VLOOKUP($A8,'détails investissements'!$A$26:$DE$43,CA$3-VLOOKUP($A8,'détails investissements'!$A$71:$B$88,2,FALSE)+1,FALSE)="","",VLOOKUP($A8,'détails investissements'!$A$26:$DE$43,CA$3-VLOOKUP($A8,'détails investissements'!$A$71:$B$88,2,FALSE)+1,FALSE)))&lt;&gt;"",HLOOKUP(IF(CA$3-VLOOKUP($A8,'détails investissements'!$A$71:$B$88,2,FALSE)&lt;=0,"",IF(VLOOKUP($A8,'détails investissements'!$A$26:$DE$43,CA$3-VLOOKUP($A8,'détails investissements'!$A$71:$B$88,2,FALSE)+1,FALSE)="","",VLOOKUP($A8,'détails investissements'!$A$26:$DE$43,CA$3-VLOOKUP($A8,'détails investissements'!$A$71:$B$88,2,FALSE)+1,FALSE))),'détails investissements'!$U$6:$AB$7,2,FALSE),""),FALSE),"")</f>
        <v/>
      </c>
      <c r="CB8" s="45" t="str">
        <f>IF(IF(IF(CB$3-VLOOKUP($A8,'détails investissements'!$A$71:$B$88,2,FALSE)&lt;=0,"",IF(VLOOKUP($A8,'détails investissements'!$A$26:$DE$43,CB$3-VLOOKUP($A8,'détails investissements'!$A$71:$B$88,2,FALSE)+1,FALSE)="","",VLOOKUP($A8,'détails investissements'!$A$26:$DE$43,CB$3-VLOOKUP($A8,'détails investissements'!$A$71:$B$88,2,FALSE)+1,FALSE)))&lt;&gt;"",HLOOKUP(IF(CB$3-VLOOKUP($A8,'détails investissements'!$A$71:$B$88,2,FALSE)&lt;=0,"",IF(VLOOKUP($A8,'détails investissements'!$A$26:$DE$43,CB$3-VLOOKUP($A8,'détails investissements'!$A$71:$B$88,2,FALSE)+1,FALSE)="","",VLOOKUP($A8,'détails investissements'!$A$26:$DE$43,CB$3-VLOOKUP($A8,'détails investissements'!$A$71:$B$88,2,FALSE)+1,FALSE))),'détails investissements'!$U$6:$AB$7,2,FALSE),"")&lt;&gt;"",VLOOKUP($A8,'détails investissements'!$A$7:$H$21,1+IF(IF(CB$3-VLOOKUP($A8,'détails investissements'!$A$71:$B$88,2,FALSE)&lt;=0,"",IF(VLOOKUP($A8,'détails investissements'!$A$26:$DE$43,CB$3-VLOOKUP($A8,'détails investissements'!$A$71:$B$88,2,FALSE)+1,FALSE)="","",VLOOKUP($A8,'détails investissements'!$A$26:$DE$43,CB$3-VLOOKUP($A8,'détails investissements'!$A$71:$B$88,2,FALSE)+1,FALSE)))&lt;&gt;"",HLOOKUP(IF(CB$3-VLOOKUP($A8,'détails investissements'!$A$71:$B$88,2,FALSE)&lt;=0,"",IF(VLOOKUP($A8,'détails investissements'!$A$26:$DE$43,CB$3-VLOOKUP($A8,'détails investissements'!$A$71:$B$88,2,FALSE)+1,FALSE)="","",VLOOKUP($A8,'détails investissements'!$A$26:$DE$43,CB$3-VLOOKUP($A8,'détails investissements'!$A$71:$B$88,2,FALSE)+1,FALSE))),'détails investissements'!$U$6:$AB$7,2,FALSE),""),FALSE),"")</f>
        <v/>
      </c>
      <c r="CC8" s="45" t="str">
        <f>IF(IF(IF(CC$3-VLOOKUP($A8,'détails investissements'!$A$71:$B$88,2,FALSE)&lt;=0,"",IF(VLOOKUP($A8,'détails investissements'!$A$26:$DE$43,CC$3-VLOOKUP($A8,'détails investissements'!$A$71:$B$88,2,FALSE)+1,FALSE)="","",VLOOKUP($A8,'détails investissements'!$A$26:$DE$43,CC$3-VLOOKUP($A8,'détails investissements'!$A$71:$B$88,2,FALSE)+1,FALSE)))&lt;&gt;"",HLOOKUP(IF(CC$3-VLOOKUP($A8,'détails investissements'!$A$71:$B$88,2,FALSE)&lt;=0,"",IF(VLOOKUP($A8,'détails investissements'!$A$26:$DE$43,CC$3-VLOOKUP($A8,'détails investissements'!$A$71:$B$88,2,FALSE)+1,FALSE)="","",VLOOKUP($A8,'détails investissements'!$A$26:$DE$43,CC$3-VLOOKUP($A8,'détails investissements'!$A$71:$B$88,2,FALSE)+1,FALSE))),'détails investissements'!$U$6:$AB$7,2,FALSE),"")&lt;&gt;"",VLOOKUP($A8,'détails investissements'!$A$7:$H$21,1+IF(IF(CC$3-VLOOKUP($A8,'détails investissements'!$A$71:$B$88,2,FALSE)&lt;=0,"",IF(VLOOKUP($A8,'détails investissements'!$A$26:$DE$43,CC$3-VLOOKUP($A8,'détails investissements'!$A$71:$B$88,2,FALSE)+1,FALSE)="","",VLOOKUP($A8,'détails investissements'!$A$26:$DE$43,CC$3-VLOOKUP($A8,'détails investissements'!$A$71:$B$88,2,FALSE)+1,FALSE)))&lt;&gt;"",HLOOKUP(IF(CC$3-VLOOKUP($A8,'détails investissements'!$A$71:$B$88,2,FALSE)&lt;=0,"",IF(VLOOKUP($A8,'détails investissements'!$A$26:$DE$43,CC$3-VLOOKUP($A8,'détails investissements'!$A$71:$B$88,2,FALSE)+1,FALSE)="","",VLOOKUP($A8,'détails investissements'!$A$26:$DE$43,CC$3-VLOOKUP($A8,'détails investissements'!$A$71:$B$88,2,FALSE)+1,FALSE))),'détails investissements'!$U$6:$AB$7,2,FALSE),""),FALSE),"")</f>
        <v/>
      </c>
      <c r="CD8" s="45" t="str">
        <f>IF(IF(IF(CD$3-VLOOKUP($A8,'détails investissements'!$A$71:$B$88,2,FALSE)&lt;=0,"",IF(VLOOKUP($A8,'détails investissements'!$A$26:$DE$43,CD$3-VLOOKUP($A8,'détails investissements'!$A$71:$B$88,2,FALSE)+1,FALSE)="","",VLOOKUP($A8,'détails investissements'!$A$26:$DE$43,CD$3-VLOOKUP($A8,'détails investissements'!$A$71:$B$88,2,FALSE)+1,FALSE)))&lt;&gt;"",HLOOKUP(IF(CD$3-VLOOKUP($A8,'détails investissements'!$A$71:$B$88,2,FALSE)&lt;=0,"",IF(VLOOKUP($A8,'détails investissements'!$A$26:$DE$43,CD$3-VLOOKUP($A8,'détails investissements'!$A$71:$B$88,2,FALSE)+1,FALSE)="","",VLOOKUP($A8,'détails investissements'!$A$26:$DE$43,CD$3-VLOOKUP($A8,'détails investissements'!$A$71:$B$88,2,FALSE)+1,FALSE))),'détails investissements'!$U$6:$AB$7,2,FALSE),"")&lt;&gt;"",VLOOKUP($A8,'détails investissements'!$A$7:$H$21,1+IF(IF(CD$3-VLOOKUP($A8,'détails investissements'!$A$71:$B$88,2,FALSE)&lt;=0,"",IF(VLOOKUP($A8,'détails investissements'!$A$26:$DE$43,CD$3-VLOOKUP($A8,'détails investissements'!$A$71:$B$88,2,FALSE)+1,FALSE)="","",VLOOKUP($A8,'détails investissements'!$A$26:$DE$43,CD$3-VLOOKUP($A8,'détails investissements'!$A$71:$B$88,2,FALSE)+1,FALSE)))&lt;&gt;"",HLOOKUP(IF(CD$3-VLOOKUP($A8,'détails investissements'!$A$71:$B$88,2,FALSE)&lt;=0,"",IF(VLOOKUP($A8,'détails investissements'!$A$26:$DE$43,CD$3-VLOOKUP($A8,'détails investissements'!$A$71:$B$88,2,FALSE)+1,FALSE)="","",VLOOKUP($A8,'détails investissements'!$A$26:$DE$43,CD$3-VLOOKUP($A8,'détails investissements'!$A$71:$B$88,2,FALSE)+1,FALSE))),'détails investissements'!$U$6:$AB$7,2,FALSE),""),FALSE),"")</f>
        <v/>
      </c>
      <c r="CE8" s="45" t="str">
        <f>IF(IF(IF(CE$3-VLOOKUP($A8,'détails investissements'!$A$71:$B$88,2,FALSE)&lt;=0,"",IF(VLOOKUP($A8,'détails investissements'!$A$26:$DE$43,CE$3-VLOOKUP($A8,'détails investissements'!$A$71:$B$88,2,FALSE)+1,FALSE)="","",VLOOKUP($A8,'détails investissements'!$A$26:$DE$43,CE$3-VLOOKUP($A8,'détails investissements'!$A$71:$B$88,2,FALSE)+1,FALSE)))&lt;&gt;"",HLOOKUP(IF(CE$3-VLOOKUP($A8,'détails investissements'!$A$71:$B$88,2,FALSE)&lt;=0,"",IF(VLOOKUP($A8,'détails investissements'!$A$26:$DE$43,CE$3-VLOOKUP($A8,'détails investissements'!$A$71:$B$88,2,FALSE)+1,FALSE)="","",VLOOKUP($A8,'détails investissements'!$A$26:$DE$43,CE$3-VLOOKUP($A8,'détails investissements'!$A$71:$B$88,2,FALSE)+1,FALSE))),'détails investissements'!$U$6:$AB$7,2,FALSE),"")&lt;&gt;"",VLOOKUP($A8,'détails investissements'!$A$7:$H$21,1+IF(IF(CE$3-VLOOKUP($A8,'détails investissements'!$A$71:$B$88,2,FALSE)&lt;=0,"",IF(VLOOKUP($A8,'détails investissements'!$A$26:$DE$43,CE$3-VLOOKUP($A8,'détails investissements'!$A$71:$B$88,2,FALSE)+1,FALSE)="","",VLOOKUP($A8,'détails investissements'!$A$26:$DE$43,CE$3-VLOOKUP($A8,'détails investissements'!$A$71:$B$88,2,FALSE)+1,FALSE)))&lt;&gt;"",HLOOKUP(IF(CE$3-VLOOKUP($A8,'détails investissements'!$A$71:$B$88,2,FALSE)&lt;=0,"",IF(VLOOKUP($A8,'détails investissements'!$A$26:$DE$43,CE$3-VLOOKUP($A8,'détails investissements'!$A$71:$B$88,2,FALSE)+1,FALSE)="","",VLOOKUP($A8,'détails investissements'!$A$26:$DE$43,CE$3-VLOOKUP($A8,'détails investissements'!$A$71:$B$88,2,FALSE)+1,FALSE))),'détails investissements'!$U$6:$AB$7,2,FALSE),""),FALSE),"")</f>
        <v/>
      </c>
      <c r="CF8" s="45" t="str">
        <f>IF(IF(IF(CF$3-VLOOKUP($A8,'détails investissements'!$A$71:$B$88,2,FALSE)&lt;=0,"",IF(VLOOKUP($A8,'détails investissements'!$A$26:$DE$43,CF$3-VLOOKUP($A8,'détails investissements'!$A$71:$B$88,2,FALSE)+1,FALSE)="","",VLOOKUP($A8,'détails investissements'!$A$26:$DE$43,CF$3-VLOOKUP($A8,'détails investissements'!$A$71:$B$88,2,FALSE)+1,FALSE)))&lt;&gt;"",HLOOKUP(IF(CF$3-VLOOKUP($A8,'détails investissements'!$A$71:$B$88,2,FALSE)&lt;=0,"",IF(VLOOKUP($A8,'détails investissements'!$A$26:$DE$43,CF$3-VLOOKUP($A8,'détails investissements'!$A$71:$B$88,2,FALSE)+1,FALSE)="","",VLOOKUP($A8,'détails investissements'!$A$26:$DE$43,CF$3-VLOOKUP($A8,'détails investissements'!$A$71:$B$88,2,FALSE)+1,FALSE))),'détails investissements'!$U$6:$AB$7,2,FALSE),"")&lt;&gt;"",VLOOKUP($A8,'détails investissements'!$A$7:$H$21,1+IF(IF(CF$3-VLOOKUP($A8,'détails investissements'!$A$71:$B$88,2,FALSE)&lt;=0,"",IF(VLOOKUP($A8,'détails investissements'!$A$26:$DE$43,CF$3-VLOOKUP($A8,'détails investissements'!$A$71:$B$88,2,FALSE)+1,FALSE)="","",VLOOKUP($A8,'détails investissements'!$A$26:$DE$43,CF$3-VLOOKUP($A8,'détails investissements'!$A$71:$B$88,2,FALSE)+1,FALSE)))&lt;&gt;"",HLOOKUP(IF(CF$3-VLOOKUP($A8,'détails investissements'!$A$71:$B$88,2,FALSE)&lt;=0,"",IF(VLOOKUP($A8,'détails investissements'!$A$26:$DE$43,CF$3-VLOOKUP($A8,'détails investissements'!$A$71:$B$88,2,FALSE)+1,FALSE)="","",VLOOKUP($A8,'détails investissements'!$A$26:$DE$43,CF$3-VLOOKUP($A8,'détails investissements'!$A$71:$B$88,2,FALSE)+1,FALSE))),'détails investissements'!$U$6:$AB$7,2,FALSE),""),FALSE),"")</f>
        <v/>
      </c>
      <c r="CG8" s="45" t="str">
        <f>IF(IF(IF(CG$3-VLOOKUP($A8,'détails investissements'!$A$71:$B$88,2,FALSE)&lt;=0,"",IF(VLOOKUP($A8,'détails investissements'!$A$26:$DE$43,CG$3-VLOOKUP($A8,'détails investissements'!$A$71:$B$88,2,FALSE)+1,FALSE)="","",VLOOKUP($A8,'détails investissements'!$A$26:$DE$43,CG$3-VLOOKUP($A8,'détails investissements'!$A$71:$B$88,2,FALSE)+1,FALSE)))&lt;&gt;"",HLOOKUP(IF(CG$3-VLOOKUP($A8,'détails investissements'!$A$71:$B$88,2,FALSE)&lt;=0,"",IF(VLOOKUP($A8,'détails investissements'!$A$26:$DE$43,CG$3-VLOOKUP($A8,'détails investissements'!$A$71:$B$88,2,FALSE)+1,FALSE)="","",VLOOKUP($A8,'détails investissements'!$A$26:$DE$43,CG$3-VLOOKUP($A8,'détails investissements'!$A$71:$B$88,2,FALSE)+1,FALSE))),'détails investissements'!$U$6:$AB$7,2,FALSE),"")&lt;&gt;"",VLOOKUP($A8,'détails investissements'!$A$7:$H$21,1+IF(IF(CG$3-VLOOKUP($A8,'détails investissements'!$A$71:$B$88,2,FALSE)&lt;=0,"",IF(VLOOKUP($A8,'détails investissements'!$A$26:$DE$43,CG$3-VLOOKUP($A8,'détails investissements'!$A$71:$B$88,2,FALSE)+1,FALSE)="","",VLOOKUP($A8,'détails investissements'!$A$26:$DE$43,CG$3-VLOOKUP($A8,'détails investissements'!$A$71:$B$88,2,FALSE)+1,FALSE)))&lt;&gt;"",HLOOKUP(IF(CG$3-VLOOKUP($A8,'détails investissements'!$A$71:$B$88,2,FALSE)&lt;=0,"",IF(VLOOKUP($A8,'détails investissements'!$A$26:$DE$43,CG$3-VLOOKUP($A8,'détails investissements'!$A$71:$B$88,2,FALSE)+1,FALSE)="","",VLOOKUP($A8,'détails investissements'!$A$26:$DE$43,CG$3-VLOOKUP($A8,'détails investissements'!$A$71:$B$88,2,FALSE)+1,FALSE))),'détails investissements'!$U$6:$AB$7,2,FALSE),""),FALSE),"")</f>
        <v/>
      </c>
      <c r="CH8" s="45" t="str">
        <f>IF(IF(IF(CH$3-VLOOKUP($A8,'détails investissements'!$A$71:$B$88,2,FALSE)&lt;=0,"",IF(VLOOKUP($A8,'détails investissements'!$A$26:$DE$43,CH$3-VLOOKUP($A8,'détails investissements'!$A$71:$B$88,2,FALSE)+1,FALSE)="","",VLOOKUP($A8,'détails investissements'!$A$26:$DE$43,CH$3-VLOOKUP($A8,'détails investissements'!$A$71:$B$88,2,FALSE)+1,FALSE)))&lt;&gt;"",HLOOKUP(IF(CH$3-VLOOKUP($A8,'détails investissements'!$A$71:$B$88,2,FALSE)&lt;=0,"",IF(VLOOKUP($A8,'détails investissements'!$A$26:$DE$43,CH$3-VLOOKUP($A8,'détails investissements'!$A$71:$B$88,2,FALSE)+1,FALSE)="","",VLOOKUP($A8,'détails investissements'!$A$26:$DE$43,CH$3-VLOOKUP($A8,'détails investissements'!$A$71:$B$88,2,FALSE)+1,FALSE))),'détails investissements'!$U$6:$AB$7,2,FALSE),"")&lt;&gt;"",VLOOKUP($A8,'détails investissements'!$A$7:$H$21,1+IF(IF(CH$3-VLOOKUP($A8,'détails investissements'!$A$71:$B$88,2,FALSE)&lt;=0,"",IF(VLOOKUP($A8,'détails investissements'!$A$26:$DE$43,CH$3-VLOOKUP($A8,'détails investissements'!$A$71:$B$88,2,FALSE)+1,FALSE)="","",VLOOKUP($A8,'détails investissements'!$A$26:$DE$43,CH$3-VLOOKUP($A8,'détails investissements'!$A$71:$B$88,2,FALSE)+1,FALSE)))&lt;&gt;"",HLOOKUP(IF(CH$3-VLOOKUP($A8,'détails investissements'!$A$71:$B$88,2,FALSE)&lt;=0,"",IF(VLOOKUP($A8,'détails investissements'!$A$26:$DE$43,CH$3-VLOOKUP($A8,'détails investissements'!$A$71:$B$88,2,FALSE)+1,FALSE)="","",VLOOKUP($A8,'détails investissements'!$A$26:$DE$43,CH$3-VLOOKUP($A8,'détails investissements'!$A$71:$B$88,2,FALSE)+1,FALSE))),'détails investissements'!$U$6:$AB$7,2,FALSE),""),FALSE),"")</f>
        <v/>
      </c>
      <c r="CI8" s="45" t="str">
        <f>IF(IF(IF(CI$3-VLOOKUP($A8,'détails investissements'!$A$71:$B$88,2,FALSE)&lt;=0,"",IF(VLOOKUP($A8,'détails investissements'!$A$26:$DE$43,CI$3-VLOOKUP($A8,'détails investissements'!$A$71:$B$88,2,FALSE)+1,FALSE)="","",VLOOKUP($A8,'détails investissements'!$A$26:$DE$43,CI$3-VLOOKUP($A8,'détails investissements'!$A$71:$B$88,2,FALSE)+1,FALSE)))&lt;&gt;"",HLOOKUP(IF(CI$3-VLOOKUP($A8,'détails investissements'!$A$71:$B$88,2,FALSE)&lt;=0,"",IF(VLOOKUP($A8,'détails investissements'!$A$26:$DE$43,CI$3-VLOOKUP($A8,'détails investissements'!$A$71:$B$88,2,FALSE)+1,FALSE)="","",VLOOKUP($A8,'détails investissements'!$A$26:$DE$43,CI$3-VLOOKUP($A8,'détails investissements'!$A$71:$B$88,2,FALSE)+1,FALSE))),'détails investissements'!$U$6:$AB$7,2,FALSE),"")&lt;&gt;"",VLOOKUP($A8,'détails investissements'!$A$7:$H$21,1+IF(IF(CI$3-VLOOKUP($A8,'détails investissements'!$A$71:$B$88,2,FALSE)&lt;=0,"",IF(VLOOKUP($A8,'détails investissements'!$A$26:$DE$43,CI$3-VLOOKUP($A8,'détails investissements'!$A$71:$B$88,2,FALSE)+1,FALSE)="","",VLOOKUP($A8,'détails investissements'!$A$26:$DE$43,CI$3-VLOOKUP($A8,'détails investissements'!$A$71:$B$88,2,FALSE)+1,FALSE)))&lt;&gt;"",HLOOKUP(IF(CI$3-VLOOKUP($A8,'détails investissements'!$A$71:$B$88,2,FALSE)&lt;=0,"",IF(VLOOKUP($A8,'détails investissements'!$A$26:$DE$43,CI$3-VLOOKUP($A8,'détails investissements'!$A$71:$B$88,2,FALSE)+1,FALSE)="","",VLOOKUP($A8,'détails investissements'!$A$26:$DE$43,CI$3-VLOOKUP($A8,'détails investissements'!$A$71:$B$88,2,FALSE)+1,FALSE))),'détails investissements'!$U$6:$AB$7,2,FALSE),""),FALSE),"")</f>
        <v/>
      </c>
      <c r="CJ8" s="45" t="str">
        <f>IF(IF(IF(CJ$3-VLOOKUP($A8,'détails investissements'!$A$71:$B$88,2,FALSE)&lt;=0,"",IF(VLOOKUP($A8,'détails investissements'!$A$26:$DE$43,CJ$3-VLOOKUP($A8,'détails investissements'!$A$71:$B$88,2,FALSE)+1,FALSE)="","",VLOOKUP($A8,'détails investissements'!$A$26:$DE$43,CJ$3-VLOOKUP($A8,'détails investissements'!$A$71:$B$88,2,FALSE)+1,FALSE)))&lt;&gt;"",HLOOKUP(IF(CJ$3-VLOOKUP($A8,'détails investissements'!$A$71:$B$88,2,FALSE)&lt;=0,"",IF(VLOOKUP($A8,'détails investissements'!$A$26:$DE$43,CJ$3-VLOOKUP($A8,'détails investissements'!$A$71:$B$88,2,FALSE)+1,FALSE)="","",VLOOKUP($A8,'détails investissements'!$A$26:$DE$43,CJ$3-VLOOKUP($A8,'détails investissements'!$A$71:$B$88,2,FALSE)+1,FALSE))),'détails investissements'!$U$6:$AB$7,2,FALSE),"")&lt;&gt;"",VLOOKUP($A8,'détails investissements'!$A$7:$H$21,1+IF(IF(CJ$3-VLOOKUP($A8,'détails investissements'!$A$71:$B$88,2,FALSE)&lt;=0,"",IF(VLOOKUP($A8,'détails investissements'!$A$26:$DE$43,CJ$3-VLOOKUP($A8,'détails investissements'!$A$71:$B$88,2,FALSE)+1,FALSE)="","",VLOOKUP($A8,'détails investissements'!$A$26:$DE$43,CJ$3-VLOOKUP($A8,'détails investissements'!$A$71:$B$88,2,FALSE)+1,FALSE)))&lt;&gt;"",HLOOKUP(IF(CJ$3-VLOOKUP($A8,'détails investissements'!$A$71:$B$88,2,FALSE)&lt;=0,"",IF(VLOOKUP($A8,'détails investissements'!$A$26:$DE$43,CJ$3-VLOOKUP($A8,'détails investissements'!$A$71:$B$88,2,FALSE)+1,FALSE)="","",VLOOKUP($A8,'détails investissements'!$A$26:$DE$43,CJ$3-VLOOKUP($A8,'détails investissements'!$A$71:$B$88,2,FALSE)+1,FALSE))),'détails investissements'!$U$6:$AB$7,2,FALSE),""),FALSE),"")</f>
        <v/>
      </c>
      <c r="CK8" s="45" t="str">
        <f>IF(IF(IF(CK$3-VLOOKUP($A8,'détails investissements'!$A$71:$B$88,2,FALSE)&lt;=0,"",IF(VLOOKUP($A8,'détails investissements'!$A$26:$DE$43,CK$3-VLOOKUP($A8,'détails investissements'!$A$71:$B$88,2,FALSE)+1,FALSE)="","",VLOOKUP($A8,'détails investissements'!$A$26:$DE$43,CK$3-VLOOKUP($A8,'détails investissements'!$A$71:$B$88,2,FALSE)+1,FALSE)))&lt;&gt;"",HLOOKUP(IF(CK$3-VLOOKUP($A8,'détails investissements'!$A$71:$B$88,2,FALSE)&lt;=0,"",IF(VLOOKUP($A8,'détails investissements'!$A$26:$DE$43,CK$3-VLOOKUP($A8,'détails investissements'!$A$71:$B$88,2,FALSE)+1,FALSE)="","",VLOOKUP($A8,'détails investissements'!$A$26:$DE$43,CK$3-VLOOKUP($A8,'détails investissements'!$A$71:$B$88,2,FALSE)+1,FALSE))),'détails investissements'!$U$6:$AB$7,2,FALSE),"")&lt;&gt;"",VLOOKUP($A8,'détails investissements'!$A$7:$H$21,1+IF(IF(CK$3-VLOOKUP($A8,'détails investissements'!$A$71:$B$88,2,FALSE)&lt;=0,"",IF(VLOOKUP($A8,'détails investissements'!$A$26:$DE$43,CK$3-VLOOKUP($A8,'détails investissements'!$A$71:$B$88,2,FALSE)+1,FALSE)="","",VLOOKUP($A8,'détails investissements'!$A$26:$DE$43,CK$3-VLOOKUP($A8,'détails investissements'!$A$71:$B$88,2,FALSE)+1,FALSE)))&lt;&gt;"",HLOOKUP(IF(CK$3-VLOOKUP($A8,'détails investissements'!$A$71:$B$88,2,FALSE)&lt;=0,"",IF(VLOOKUP($A8,'détails investissements'!$A$26:$DE$43,CK$3-VLOOKUP($A8,'détails investissements'!$A$71:$B$88,2,FALSE)+1,FALSE)="","",VLOOKUP($A8,'détails investissements'!$A$26:$DE$43,CK$3-VLOOKUP($A8,'détails investissements'!$A$71:$B$88,2,FALSE)+1,FALSE))),'détails investissements'!$U$6:$AB$7,2,FALSE),""),FALSE),"")</f>
        <v/>
      </c>
      <c r="CL8" s="45" t="str">
        <f>IF(IF(IF(CL$3-VLOOKUP($A8,'détails investissements'!$A$71:$B$88,2,FALSE)&lt;=0,"",IF(VLOOKUP($A8,'détails investissements'!$A$26:$DE$43,CL$3-VLOOKUP($A8,'détails investissements'!$A$71:$B$88,2,FALSE)+1,FALSE)="","",VLOOKUP($A8,'détails investissements'!$A$26:$DE$43,CL$3-VLOOKUP($A8,'détails investissements'!$A$71:$B$88,2,FALSE)+1,FALSE)))&lt;&gt;"",HLOOKUP(IF(CL$3-VLOOKUP($A8,'détails investissements'!$A$71:$B$88,2,FALSE)&lt;=0,"",IF(VLOOKUP($A8,'détails investissements'!$A$26:$DE$43,CL$3-VLOOKUP($A8,'détails investissements'!$A$71:$B$88,2,FALSE)+1,FALSE)="","",VLOOKUP($A8,'détails investissements'!$A$26:$DE$43,CL$3-VLOOKUP($A8,'détails investissements'!$A$71:$B$88,2,FALSE)+1,FALSE))),'détails investissements'!$U$6:$AB$7,2,FALSE),"")&lt;&gt;"",VLOOKUP($A8,'détails investissements'!$A$7:$H$21,1+IF(IF(CL$3-VLOOKUP($A8,'détails investissements'!$A$71:$B$88,2,FALSE)&lt;=0,"",IF(VLOOKUP($A8,'détails investissements'!$A$26:$DE$43,CL$3-VLOOKUP($A8,'détails investissements'!$A$71:$B$88,2,FALSE)+1,FALSE)="","",VLOOKUP($A8,'détails investissements'!$A$26:$DE$43,CL$3-VLOOKUP($A8,'détails investissements'!$A$71:$B$88,2,FALSE)+1,FALSE)))&lt;&gt;"",HLOOKUP(IF(CL$3-VLOOKUP($A8,'détails investissements'!$A$71:$B$88,2,FALSE)&lt;=0,"",IF(VLOOKUP($A8,'détails investissements'!$A$26:$DE$43,CL$3-VLOOKUP($A8,'détails investissements'!$A$71:$B$88,2,FALSE)+1,FALSE)="","",VLOOKUP($A8,'détails investissements'!$A$26:$DE$43,CL$3-VLOOKUP($A8,'détails investissements'!$A$71:$B$88,2,FALSE)+1,FALSE))),'détails investissements'!$U$6:$AB$7,2,FALSE),""),FALSE),"")</f>
        <v/>
      </c>
      <c r="CM8" s="45" t="str">
        <f>IF(IF(IF(CM$3-VLOOKUP($A8,'détails investissements'!$A$71:$B$88,2,FALSE)&lt;=0,"",IF(VLOOKUP($A8,'détails investissements'!$A$26:$DE$43,CM$3-VLOOKUP($A8,'détails investissements'!$A$71:$B$88,2,FALSE)+1,FALSE)="","",VLOOKUP($A8,'détails investissements'!$A$26:$DE$43,CM$3-VLOOKUP($A8,'détails investissements'!$A$71:$B$88,2,FALSE)+1,FALSE)))&lt;&gt;"",HLOOKUP(IF(CM$3-VLOOKUP($A8,'détails investissements'!$A$71:$B$88,2,FALSE)&lt;=0,"",IF(VLOOKUP($A8,'détails investissements'!$A$26:$DE$43,CM$3-VLOOKUP($A8,'détails investissements'!$A$71:$B$88,2,FALSE)+1,FALSE)="","",VLOOKUP($A8,'détails investissements'!$A$26:$DE$43,CM$3-VLOOKUP($A8,'détails investissements'!$A$71:$B$88,2,FALSE)+1,FALSE))),'détails investissements'!$U$6:$AB$7,2,FALSE),"")&lt;&gt;"",VLOOKUP($A8,'détails investissements'!$A$7:$H$21,1+IF(IF(CM$3-VLOOKUP($A8,'détails investissements'!$A$71:$B$88,2,FALSE)&lt;=0,"",IF(VLOOKUP($A8,'détails investissements'!$A$26:$DE$43,CM$3-VLOOKUP($A8,'détails investissements'!$A$71:$B$88,2,FALSE)+1,FALSE)="","",VLOOKUP($A8,'détails investissements'!$A$26:$DE$43,CM$3-VLOOKUP($A8,'détails investissements'!$A$71:$B$88,2,FALSE)+1,FALSE)))&lt;&gt;"",HLOOKUP(IF(CM$3-VLOOKUP($A8,'détails investissements'!$A$71:$B$88,2,FALSE)&lt;=0,"",IF(VLOOKUP($A8,'détails investissements'!$A$26:$DE$43,CM$3-VLOOKUP($A8,'détails investissements'!$A$71:$B$88,2,FALSE)+1,FALSE)="","",VLOOKUP($A8,'détails investissements'!$A$26:$DE$43,CM$3-VLOOKUP($A8,'détails investissements'!$A$71:$B$88,2,FALSE)+1,FALSE))),'détails investissements'!$U$6:$AB$7,2,FALSE),""),FALSE),"")</f>
        <v/>
      </c>
      <c r="CN8" s="45" t="str">
        <f>IF(IF(IF(CN$3-VLOOKUP($A8,'détails investissements'!$A$71:$B$88,2,FALSE)&lt;=0,"",IF(VLOOKUP($A8,'détails investissements'!$A$26:$DE$43,CN$3-VLOOKUP($A8,'détails investissements'!$A$71:$B$88,2,FALSE)+1,FALSE)="","",VLOOKUP($A8,'détails investissements'!$A$26:$DE$43,CN$3-VLOOKUP($A8,'détails investissements'!$A$71:$B$88,2,FALSE)+1,FALSE)))&lt;&gt;"",HLOOKUP(IF(CN$3-VLOOKUP($A8,'détails investissements'!$A$71:$B$88,2,FALSE)&lt;=0,"",IF(VLOOKUP($A8,'détails investissements'!$A$26:$DE$43,CN$3-VLOOKUP($A8,'détails investissements'!$A$71:$B$88,2,FALSE)+1,FALSE)="","",VLOOKUP($A8,'détails investissements'!$A$26:$DE$43,CN$3-VLOOKUP($A8,'détails investissements'!$A$71:$B$88,2,FALSE)+1,FALSE))),'détails investissements'!$U$6:$AB$7,2,FALSE),"")&lt;&gt;"",VLOOKUP($A8,'détails investissements'!$A$7:$H$21,1+IF(IF(CN$3-VLOOKUP($A8,'détails investissements'!$A$71:$B$88,2,FALSE)&lt;=0,"",IF(VLOOKUP($A8,'détails investissements'!$A$26:$DE$43,CN$3-VLOOKUP($A8,'détails investissements'!$A$71:$B$88,2,FALSE)+1,FALSE)="","",VLOOKUP($A8,'détails investissements'!$A$26:$DE$43,CN$3-VLOOKUP($A8,'détails investissements'!$A$71:$B$88,2,FALSE)+1,FALSE)))&lt;&gt;"",HLOOKUP(IF(CN$3-VLOOKUP($A8,'détails investissements'!$A$71:$B$88,2,FALSE)&lt;=0,"",IF(VLOOKUP($A8,'détails investissements'!$A$26:$DE$43,CN$3-VLOOKUP($A8,'détails investissements'!$A$71:$B$88,2,FALSE)+1,FALSE)="","",VLOOKUP($A8,'détails investissements'!$A$26:$DE$43,CN$3-VLOOKUP($A8,'détails investissements'!$A$71:$B$88,2,FALSE)+1,FALSE))),'détails investissements'!$U$6:$AB$7,2,FALSE),""),FALSE),"")</f>
        <v/>
      </c>
      <c r="CO8" s="45" t="str">
        <f>IF(IF(IF(CO$3-VLOOKUP($A8,'détails investissements'!$A$71:$B$88,2,FALSE)&lt;=0,"",IF(VLOOKUP($A8,'détails investissements'!$A$26:$DE$43,CO$3-VLOOKUP($A8,'détails investissements'!$A$71:$B$88,2,FALSE)+1,FALSE)="","",VLOOKUP($A8,'détails investissements'!$A$26:$DE$43,CO$3-VLOOKUP($A8,'détails investissements'!$A$71:$B$88,2,FALSE)+1,FALSE)))&lt;&gt;"",HLOOKUP(IF(CO$3-VLOOKUP($A8,'détails investissements'!$A$71:$B$88,2,FALSE)&lt;=0,"",IF(VLOOKUP($A8,'détails investissements'!$A$26:$DE$43,CO$3-VLOOKUP($A8,'détails investissements'!$A$71:$B$88,2,FALSE)+1,FALSE)="","",VLOOKUP($A8,'détails investissements'!$A$26:$DE$43,CO$3-VLOOKUP($A8,'détails investissements'!$A$71:$B$88,2,FALSE)+1,FALSE))),'détails investissements'!$U$6:$AB$7,2,FALSE),"")&lt;&gt;"",VLOOKUP($A8,'détails investissements'!$A$7:$H$21,1+IF(IF(CO$3-VLOOKUP($A8,'détails investissements'!$A$71:$B$88,2,FALSE)&lt;=0,"",IF(VLOOKUP($A8,'détails investissements'!$A$26:$DE$43,CO$3-VLOOKUP($A8,'détails investissements'!$A$71:$B$88,2,FALSE)+1,FALSE)="","",VLOOKUP($A8,'détails investissements'!$A$26:$DE$43,CO$3-VLOOKUP($A8,'détails investissements'!$A$71:$B$88,2,FALSE)+1,FALSE)))&lt;&gt;"",HLOOKUP(IF(CO$3-VLOOKUP($A8,'détails investissements'!$A$71:$B$88,2,FALSE)&lt;=0,"",IF(VLOOKUP($A8,'détails investissements'!$A$26:$DE$43,CO$3-VLOOKUP($A8,'détails investissements'!$A$71:$B$88,2,FALSE)+1,FALSE)="","",VLOOKUP($A8,'détails investissements'!$A$26:$DE$43,CO$3-VLOOKUP($A8,'détails investissements'!$A$71:$B$88,2,FALSE)+1,FALSE))),'détails investissements'!$U$6:$AB$7,2,FALSE),""),FALSE),"")</f>
        <v/>
      </c>
      <c r="CP8" s="45" t="str">
        <f>IF(IF(IF(CP$3-VLOOKUP($A8,'détails investissements'!$A$71:$B$88,2,FALSE)&lt;=0,"",IF(VLOOKUP($A8,'détails investissements'!$A$26:$DE$43,CP$3-VLOOKUP($A8,'détails investissements'!$A$71:$B$88,2,FALSE)+1,FALSE)="","",VLOOKUP($A8,'détails investissements'!$A$26:$DE$43,CP$3-VLOOKUP($A8,'détails investissements'!$A$71:$B$88,2,FALSE)+1,FALSE)))&lt;&gt;"",HLOOKUP(IF(CP$3-VLOOKUP($A8,'détails investissements'!$A$71:$B$88,2,FALSE)&lt;=0,"",IF(VLOOKUP($A8,'détails investissements'!$A$26:$DE$43,CP$3-VLOOKUP($A8,'détails investissements'!$A$71:$B$88,2,FALSE)+1,FALSE)="","",VLOOKUP($A8,'détails investissements'!$A$26:$DE$43,CP$3-VLOOKUP($A8,'détails investissements'!$A$71:$B$88,2,FALSE)+1,FALSE))),'détails investissements'!$U$6:$AB$7,2,FALSE),"")&lt;&gt;"",VLOOKUP($A8,'détails investissements'!$A$7:$H$21,1+IF(IF(CP$3-VLOOKUP($A8,'détails investissements'!$A$71:$B$88,2,FALSE)&lt;=0,"",IF(VLOOKUP($A8,'détails investissements'!$A$26:$DE$43,CP$3-VLOOKUP($A8,'détails investissements'!$A$71:$B$88,2,FALSE)+1,FALSE)="","",VLOOKUP($A8,'détails investissements'!$A$26:$DE$43,CP$3-VLOOKUP($A8,'détails investissements'!$A$71:$B$88,2,FALSE)+1,FALSE)))&lt;&gt;"",HLOOKUP(IF(CP$3-VLOOKUP($A8,'détails investissements'!$A$71:$B$88,2,FALSE)&lt;=0,"",IF(VLOOKUP($A8,'détails investissements'!$A$26:$DE$43,CP$3-VLOOKUP($A8,'détails investissements'!$A$71:$B$88,2,FALSE)+1,FALSE)="","",VLOOKUP($A8,'détails investissements'!$A$26:$DE$43,CP$3-VLOOKUP($A8,'détails investissements'!$A$71:$B$88,2,FALSE)+1,FALSE))),'détails investissements'!$U$6:$AB$7,2,FALSE),""),FALSE),"")</f>
        <v/>
      </c>
      <c r="CQ8" s="45" t="str">
        <f>IF(IF(IF(CQ$3-VLOOKUP($A8,'détails investissements'!$A$71:$B$88,2,FALSE)&lt;=0,"",IF(VLOOKUP($A8,'détails investissements'!$A$26:$DE$43,CQ$3-VLOOKUP($A8,'détails investissements'!$A$71:$B$88,2,FALSE)+1,FALSE)="","",VLOOKUP($A8,'détails investissements'!$A$26:$DE$43,CQ$3-VLOOKUP($A8,'détails investissements'!$A$71:$B$88,2,FALSE)+1,FALSE)))&lt;&gt;"",HLOOKUP(IF(CQ$3-VLOOKUP($A8,'détails investissements'!$A$71:$B$88,2,FALSE)&lt;=0,"",IF(VLOOKUP($A8,'détails investissements'!$A$26:$DE$43,CQ$3-VLOOKUP($A8,'détails investissements'!$A$71:$B$88,2,FALSE)+1,FALSE)="","",VLOOKUP($A8,'détails investissements'!$A$26:$DE$43,CQ$3-VLOOKUP($A8,'détails investissements'!$A$71:$B$88,2,FALSE)+1,FALSE))),'détails investissements'!$U$6:$AB$7,2,FALSE),"")&lt;&gt;"",VLOOKUP($A8,'détails investissements'!$A$7:$H$21,1+IF(IF(CQ$3-VLOOKUP($A8,'détails investissements'!$A$71:$B$88,2,FALSE)&lt;=0,"",IF(VLOOKUP($A8,'détails investissements'!$A$26:$DE$43,CQ$3-VLOOKUP($A8,'détails investissements'!$A$71:$B$88,2,FALSE)+1,FALSE)="","",VLOOKUP($A8,'détails investissements'!$A$26:$DE$43,CQ$3-VLOOKUP($A8,'détails investissements'!$A$71:$B$88,2,FALSE)+1,FALSE)))&lt;&gt;"",HLOOKUP(IF(CQ$3-VLOOKUP($A8,'détails investissements'!$A$71:$B$88,2,FALSE)&lt;=0,"",IF(VLOOKUP($A8,'détails investissements'!$A$26:$DE$43,CQ$3-VLOOKUP($A8,'détails investissements'!$A$71:$B$88,2,FALSE)+1,FALSE)="","",VLOOKUP($A8,'détails investissements'!$A$26:$DE$43,CQ$3-VLOOKUP($A8,'détails investissements'!$A$71:$B$88,2,FALSE)+1,FALSE))),'détails investissements'!$U$6:$AB$7,2,FALSE),""),FALSE),"")</f>
        <v/>
      </c>
      <c r="CR8" s="45" t="str">
        <f>IF(IF(IF(CR$3-VLOOKUP($A8,'détails investissements'!$A$71:$B$88,2,FALSE)&lt;=0,"",IF(VLOOKUP($A8,'détails investissements'!$A$26:$DE$43,CR$3-VLOOKUP($A8,'détails investissements'!$A$71:$B$88,2,FALSE)+1,FALSE)="","",VLOOKUP($A8,'détails investissements'!$A$26:$DE$43,CR$3-VLOOKUP($A8,'détails investissements'!$A$71:$B$88,2,FALSE)+1,FALSE)))&lt;&gt;"",HLOOKUP(IF(CR$3-VLOOKUP($A8,'détails investissements'!$A$71:$B$88,2,FALSE)&lt;=0,"",IF(VLOOKUP($A8,'détails investissements'!$A$26:$DE$43,CR$3-VLOOKUP($A8,'détails investissements'!$A$71:$B$88,2,FALSE)+1,FALSE)="","",VLOOKUP($A8,'détails investissements'!$A$26:$DE$43,CR$3-VLOOKUP($A8,'détails investissements'!$A$71:$B$88,2,FALSE)+1,FALSE))),'détails investissements'!$U$6:$AB$7,2,FALSE),"")&lt;&gt;"",VLOOKUP($A8,'détails investissements'!$A$7:$H$21,1+IF(IF(CR$3-VLOOKUP($A8,'détails investissements'!$A$71:$B$88,2,FALSE)&lt;=0,"",IF(VLOOKUP($A8,'détails investissements'!$A$26:$DE$43,CR$3-VLOOKUP($A8,'détails investissements'!$A$71:$B$88,2,FALSE)+1,FALSE)="","",VLOOKUP($A8,'détails investissements'!$A$26:$DE$43,CR$3-VLOOKUP($A8,'détails investissements'!$A$71:$B$88,2,FALSE)+1,FALSE)))&lt;&gt;"",HLOOKUP(IF(CR$3-VLOOKUP($A8,'détails investissements'!$A$71:$B$88,2,FALSE)&lt;=0,"",IF(VLOOKUP($A8,'détails investissements'!$A$26:$DE$43,CR$3-VLOOKUP($A8,'détails investissements'!$A$71:$B$88,2,FALSE)+1,FALSE)="","",VLOOKUP($A8,'détails investissements'!$A$26:$DE$43,CR$3-VLOOKUP($A8,'détails investissements'!$A$71:$B$88,2,FALSE)+1,FALSE))),'détails investissements'!$U$6:$AB$7,2,FALSE),""),FALSE),"")</f>
        <v/>
      </c>
      <c r="CS8" s="45" t="str">
        <f>IF(IF(IF(CS$3-VLOOKUP($A8,'détails investissements'!$A$71:$B$88,2,FALSE)&lt;=0,"",IF(VLOOKUP($A8,'détails investissements'!$A$26:$DE$43,CS$3-VLOOKUP($A8,'détails investissements'!$A$71:$B$88,2,FALSE)+1,FALSE)="","",VLOOKUP($A8,'détails investissements'!$A$26:$DE$43,CS$3-VLOOKUP($A8,'détails investissements'!$A$71:$B$88,2,FALSE)+1,FALSE)))&lt;&gt;"",HLOOKUP(IF(CS$3-VLOOKUP($A8,'détails investissements'!$A$71:$B$88,2,FALSE)&lt;=0,"",IF(VLOOKUP($A8,'détails investissements'!$A$26:$DE$43,CS$3-VLOOKUP($A8,'détails investissements'!$A$71:$B$88,2,FALSE)+1,FALSE)="","",VLOOKUP($A8,'détails investissements'!$A$26:$DE$43,CS$3-VLOOKUP($A8,'détails investissements'!$A$71:$B$88,2,FALSE)+1,FALSE))),'détails investissements'!$U$6:$AB$7,2,FALSE),"")&lt;&gt;"",VLOOKUP($A8,'détails investissements'!$A$7:$H$21,1+IF(IF(CS$3-VLOOKUP($A8,'détails investissements'!$A$71:$B$88,2,FALSE)&lt;=0,"",IF(VLOOKUP($A8,'détails investissements'!$A$26:$DE$43,CS$3-VLOOKUP($A8,'détails investissements'!$A$71:$B$88,2,FALSE)+1,FALSE)="","",VLOOKUP($A8,'détails investissements'!$A$26:$DE$43,CS$3-VLOOKUP($A8,'détails investissements'!$A$71:$B$88,2,FALSE)+1,FALSE)))&lt;&gt;"",HLOOKUP(IF(CS$3-VLOOKUP($A8,'détails investissements'!$A$71:$B$88,2,FALSE)&lt;=0,"",IF(VLOOKUP($A8,'détails investissements'!$A$26:$DE$43,CS$3-VLOOKUP($A8,'détails investissements'!$A$71:$B$88,2,FALSE)+1,FALSE)="","",VLOOKUP($A8,'détails investissements'!$A$26:$DE$43,CS$3-VLOOKUP($A8,'détails investissements'!$A$71:$B$88,2,FALSE)+1,FALSE))),'détails investissements'!$U$6:$AB$7,2,FALSE),""),FALSE),"")</f>
        <v/>
      </c>
      <c r="CT8" s="45" t="str">
        <f>IF(IF(IF(CT$3-VLOOKUP($A8,'détails investissements'!$A$71:$B$88,2,FALSE)&lt;=0,"",IF(VLOOKUP($A8,'détails investissements'!$A$26:$DE$43,CT$3-VLOOKUP($A8,'détails investissements'!$A$71:$B$88,2,FALSE)+1,FALSE)="","",VLOOKUP($A8,'détails investissements'!$A$26:$DE$43,CT$3-VLOOKUP($A8,'détails investissements'!$A$71:$B$88,2,FALSE)+1,FALSE)))&lt;&gt;"",HLOOKUP(IF(CT$3-VLOOKUP($A8,'détails investissements'!$A$71:$B$88,2,FALSE)&lt;=0,"",IF(VLOOKUP($A8,'détails investissements'!$A$26:$DE$43,CT$3-VLOOKUP($A8,'détails investissements'!$A$71:$B$88,2,FALSE)+1,FALSE)="","",VLOOKUP($A8,'détails investissements'!$A$26:$DE$43,CT$3-VLOOKUP($A8,'détails investissements'!$A$71:$B$88,2,FALSE)+1,FALSE))),'détails investissements'!$U$6:$AB$7,2,FALSE),"")&lt;&gt;"",VLOOKUP($A8,'détails investissements'!$A$7:$H$21,1+IF(IF(CT$3-VLOOKUP($A8,'détails investissements'!$A$71:$B$88,2,FALSE)&lt;=0,"",IF(VLOOKUP($A8,'détails investissements'!$A$26:$DE$43,CT$3-VLOOKUP($A8,'détails investissements'!$A$71:$B$88,2,FALSE)+1,FALSE)="","",VLOOKUP($A8,'détails investissements'!$A$26:$DE$43,CT$3-VLOOKUP($A8,'détails investissements'!$A$71:$B$88,2,FALSE)+1,FALSE)))&lt;&gt;"",HLOOKUP(IF(CT$3-VLOOKUP($A8,'détails investissements'!$A$71:$B$88,2,FALSE)&lt;=0,"",IF(VLOOKUP($A8,'détails investissements'!$A$26:$DE$43,CT$3-VLOOKUP($A8,'détails investissements'!$A$71:$B$88,2,FALSE)+1,FALSE)="","",VLOOKUP($A8,'détails investissements'!$A$26:$DE$43,CT$3-VLOOKUP($A8,'détails investissements'!$A$71:$B$88,2,FALSE)+1,FALSE))),'détails investissements'!$U$6:$AB$7,2,FALSE),""),FALSE),"")</f>
        <v/>
      </c>
      <c r="CU8" s="45" t="str">
        <f>IF(IF(IF(CU$3-VLOOKUP($A8,'détails investissements'!$A$71:$B$88,2,FALSE)&lt;=0,"",IF(VLOOKUP($A8,'détails investissements'!$A$26:$DE$43,CU$3-VLOOKUP($A8,'détails investissements'!$A$71:$B$88,2,FALSE)+1,FALSE)="","",VLOOKUP($A8,'détails investissements'!$A$26:$DE$43,CU$3-VLOOKUP($A8,'détails investissements'!$A$71:$B$88,2,FALSE)+1,FALSE)))&lt;&gt;"",HLOOKUP(IF(CU$3-VLOOKUP($A8,'détails investissements'!$A$71:$B$88,2,FALSE)&lt;=0,"",IF(VLOOKUP($A8,'détails investissements'!$A$26:$DE$43,CU$3-VLOOKUP($A8,'détails investissements'!$A$71:$B$88,2,FALSE)+1,FALSE)="","",VLOOKUP($A8,'détails investissements'!$A$26:$DE$43,CU$3-VLOOKUP($A8,'détails investissements'!$A$71:$B$88,2,FALSE)+1,FALSE))),'détails investissements'!$U$6:$AB$7,2,FALSE),"")&lt;&gt;"",VLOOKUP($A8,'détails investissements'!$A$7:$H$21,1+IF(IF(CU$3-VLOOKUP($A8,'détails investissements'!$A$71:$B$88,2,FALSE)&lt;=0,"",IF(VLOOKUP($A8,'détails investissements'!$A$26:$DE$43,CU$3-VLOOKUP($A8,'détails investissements'!$A$71:$B$88,2,FALSE)+1,FALSE)="","",VLOOKUP($A8,'détails investissements'!$A$26:$DE$43,CU$3-VLOOKUP($A8,'détails investissements'!$A$71:$B$88,2,FALSE)+1,FALSE)))&lt;&gt;"",HLOOKUP(IF(CU$3-VLOOKUP($A8,'détails investissements'!$A$71:$B$88,2,FALSE)&lt;=0,"",IF(VLOOKUP($A8,'détails investissements'!$A$26:$DE$43,CU$3-VLOOKUP($A8,'détails investissements'!$A$71:$B$88,2,FALSE)+1,FALSE)="","",VLOOKUP($A8,'détails investissements'!$A$26:$DE$43,CU$3-VLOOKUP($A8,'détails investissements'!$A$71:$B$88,2,FALSE)+1,FALSE))),'détails investissements'!$U$6:$AB$7,2,FALSE),""),FALSE),"")</f>
        <v/>
      </c>
      <c r="CV8" s="45" t="str">
        <f>IF(IF(IF(CV$3-VLOOKUP($A8,'détails investissements'!$A$71:$B$88,2,FALSE)&lt;=0,"",IF(VLOOKUP($A8,'détails investissements'!$A$26:$DE$43,CV$3-VLOOKUP($A8,'détails investissements'!$A$71:$B$88,2,FALSE)+1,FALSE)="","",VLOOKUP($A8,'détails investissements'!$A$26:$DE$43,CV$3-VLOOKUP($A8,'détails investissements'!$A$71:$B$88,2,FALSE)+1,FALSE)))&lt;&gt;"",HLOOKUP(IF(CV$3-VLOOKUP($A8,'détails investissements'!$A$71:$B$88,2,FALSE)&lt;=0,"",IF(VLOOKUP($A8,'détails investissements'!$A$26:$DE$43,CV$3-VLOOKUP($A8,'détails investissements'!$A$71:$B$88,2,FALSE)+1,FALSE)="","",VLOOKUP($A8,'détails investissements'!$A$26:$DE$43,CV$3-VLOOKUP($A8,'détails investissements'!$A$71:$B$88,2,FALSE)+1,FALSE))),'détails investissements'!$U$6:$AB$7,2,FALSE),"")&lt;&gt;"",VLOOKUP($A8,'détails investissements'!$A$7:$H$21,1+IF(IF(CV$3-VLOOKUP($A8,'détails investissements'!$A$71:$B$88,2,FALSE)&lt;=0,"",IF(VLOOKUP($A8,'détails investissements'!$A$26:$DE$43,CV$3-VLOOKUP($A8,'détails investissements'!$A$71:$B$88,2,FALSE)+1,FALSE)="","",VLOOKUP($A8,'détails investissements'!$A$26:$DE$43,CV$3-VLOOKUP($A8,'détails investissements'!$A$71:$B$88,2,FALSE)+1,FALSE)))&lt;&gt;"",HLOOKUP(IF(CV$3-VLOOKUP($A8,'détails investissements'!$A$71:$B$88,2,FALSE)&lt;=0,"",IF(VLOOKUP($A8,'détails investissements'!$A$26:$DE$43,CV$3-VLOOKUP($A8,'détails investissements'!$A$71:$B$88,2,FALSE)+1,FALSE)="","",VLOOKUP($A8,'détails investissements'!$A$26:$DE$43,CV$3-VLOOKUP($A8,'détails investissements'!$A$71:$B$88,2,FALSE)+1,FALSE))),'détails investissements'!$U$6:$AB$7,2,FALSE),""),FALSE),"")</f>
        <v/>
      </c>
      <c r="CW8" s="45" t="str">
        <f>IF(IF(IF(CW$3-VLOOKUP($A8,'détails investissements'!$A$71:$B$88,2,FALSE)&lt;=0,"",IF(VLOOKUP($A8,'détails investissements'!$A$26:$DE$43,CW$3-VLOOKUP($A8,'détails investissements'!$A$71:$B$88,2,FALSE)+1,FALSE)="","",VLOOKUP($A8,'détails investissements'!$A$26:$DE$43,CW$3-VLOOKUP($A8,'détails investissements'!$A$71:$B$88,2,FALSE)+1,FALSE)))&lt;&gt;"",HLOOKUP(IF(CW$3-VLOOKUP($A8,'détails investissements'!$A$71:$B$88,2,FALSE)&lt;=0,"",IF(VLOOKUP($A8,'détails investissements'!$A$26:$DE$43,CW$3-VLOOKUP($A8,'détails investissements'!$A$71:$B$88,2,FALSE)+1,FALSE)="","",VLOOKUP($A8,'détails investissements'!$A$26:$DE$43,CW$3-VLOOKUP($A8,'détails investissements'!$A$71:$B$88,2,FALSE)+1,FALSE))),'détails investissements'!$U$6:$AB$7,2,FALSE),"")&lt;&gt;"",VLOOKUP($A8,'détails investissements'!$A$7:$H$21,1+IF(IF(CW$3-VLOOKUP($A8,'détails investissements'!$A$71:$B$88,2,FALSE)&lt;=0,"",IF(VLOOKUP($A8,'détails investissements'!$A$26:$DE$43,CW$3-VLOOKUP($A8,'détails investissements'!$A$71:$B$88,2,FALSE)+1,FALSE)="","",VLOOKUP($A8,'détails investissements'!$A$26:$DE$43,CW$3-VLOOKUP($A8,'détails investissements'!$A$71:$B$88,2,FALSE)+1,FALSE)))&lt;&gt;"",HLOOKUP(IF(CW$3-VLOOKUP($A8,'détails investissements'!$A$71:$B$88,2,FALSE)&lt;=0,"",IF(VLOOKUP($A8,'détails investissements'!$A$26:$DE$43,CW$3-VLOOKUP($A8,'détails investissements'!$A$71:$B$88,2,FALSE)+1,FALSE)="","",VLOOKUP($A8,'détails investissements'!$A$26:$DE$43,CW$3-VLOOKUP($A8,'détails investissements'!$A$71:$B$88,2,FALSE)+1,FALSE))),'détails investissements'!$U$6:$AB$7,2,FALSE),""),FALSE),"")</f>
        <v/>
      </c>
      <c r="CX8" s="45" t="str">
        <f>IF(IF(IF(CX$3-VLOOKUP($A8,'détails investissements'!$A$71:$B$88,2,FALSE)&lt;=0,"",IF(VLOOKUP($A8,'détails investissements'!$A$26:$DE$43,CX$3-VLOOKUP($A8,'détails investissements'!$A$71:$B$88,2,FALSE)+1,FALSE)="","",VLOOKUP($A8,'détails investissements'!$A$26:$DE$43,CX$3-VLOOKUP($A8,'détails investissements'!$A$71:$B$88,2,FALSE)+1,FALSE)))&lt;&gt;"",HLOOKUP(IF(CX$3-VLOOKUP($A8,'détails investissements'!$A$71:$B$88,2,FALSE)&lt;=0,"",IF(VLOOKUP($A8,'détails investissements'!$A$26:$DE$43,CX$3-VLOOKUP($A8,'détails investissements'!$A$71:$B$88,2,FALSE)+1,FALSE)="","",VLOOKUP($A8,'détails investissements'!$A$26:$DE$43,CX$3-VLOOKUP($A8,'détails investissements'!$A$71:$B$88,2,FALSE)+1,FALSE))),'détails investissements'!$U$6:$AB$7,2,FALSE),"")&lt;&gt;"",VLOOKUP($A8,'détails investissements'!$A$7:$H$21,1+IF(IF(CX$3-VLOOKUP($A8,'détails investissements'!$A$71:$B$88,2,FALSE)&lt;=0,"",IF(VLOOKUP($A8,'détails investissements'!$A$26:$DE$43,CX$3-VLOOKUP($A8,'détails investissements'!$A$71:$B$88,2,FALSE)+1,FALSE)="","",VLOOKUP($A8,'détails investissements'!$A$26:$DE$43,CX$3-VLOOKUP($A8,'détails investissements'!$A$71:$B$88,2,FALSE)+1,FALSE)))&lt;&gt;"",HLOOKUP(IF(CX$3-VLOOKUP($A8,'détails investissements'!$A$71:$B$88,2,FALSE)&lt;=0,"",IF(VLOOKUP($A8,'détails investissements'!$A$26:$DE$43,CX$3-VLOOKUP($A8,'détails investissements'!$A$71:$B$88,2,FALSE)+1,FALSE)="","",VLOOKUP($A8,'détails investissements'!$A$26:$DE$43,CX$3-VLOOKUP($A8,'détails investissements'!$A$71:$B$88,2,FALSE)+1,FALSE))),'détails investissements'!$U$6:$AB$7,2,FALSE),""),FALSE),"")</f>
        <v/>
      </c>
      <c r="CY8" s="45" t="str">
        <f>IF(IF(IF(CY$3-VLOOKUP($A8,'détails investissements'!$A$71:$B$88,2,FALSE)&lt;=0,"",IF(VLOOKUP($A8,'détails investissements'!$A$26:$DE$43,CY$3-VLOOKUP($A8,'détails investissements'!$A$71:$B$88,2,FALSE)+1,FALSE)="","",VLOOKUP($A8,'détails investissements'!$A$26:$DE$43,CY$3-VLOOKUP($A8,'détails investissements'!$A$71:$B$88,2,FALSE)+1,FALSE)))&lt;&gt;"",HLOOKUP(IF(CY$3-VLOOKUP($A8,'détails investissements'!$A$71:$B$88,2,FALSE)&lt;=0,"",IF(VLOOKUP($A8,'détails investissements'!$A$26:$DE$43,CY$3-VLOOKUP($A8,'détails investissements'!$A$71:$B$88,2,FALSE)+1,FALSE)="","",VLOOKUP($A8,'détails investissements'!$A$26:$DE$43,CY$3-VLOOKUP($A8,'détails investissements'!$A$71:$B$88,2,FALSE)+1,FALSE))),'détails investissements'!$U$6:$AB$7,2,FALSE),"")&lt;&gt;"",VLOOKUP($A8,'détails investissements'!$A$7:$H$21,1+IF(IF(CY$3-VLOOKUP($A8,'détails investissements'!$A$71:$B$88,2,FALSE)&lt;=0,"",IF(VLOOKUP($A8,'détails investissements'!$A$26:$DE$43,CY$3-VLOOKUP($A8,'détails investissements'!$A$71:$B$88,2,FALSE)+1,FALSE)="","",VLOOKUP($A8,'détails investissements'!$A$26:$DE$43,CY$3-VLOOKUP($A8,'détails investissements'!$A$71:$B$88,2,FALSE)+1,FALSE)))&lt;&gt;"",HLOOKUP(IF(CY$3-VLOOKUP($A8,'détails investissements'!$A$71:$B$88,2,FALSE)&lt;=0,"",IF(VLOOKUP($A8,'détails investissements'!$A$26:$DE$43,CY$3-VLOOKUP($A8,'détails investissements'!$A$71:$B$88,2,FALSE)+1,FALSE)="","",VLOOKUP($A8,'détails investissements'!$A$26:$DE$43,CY$3-VLOOKUP($A8,'détails investissements'!$A$71:$B$88,2,FALSE)+1,FALSE))),'détails investissements'!$U$6:$AB$7,2,FALSE),""),FALSE),"")</f>
        <v/>
      </c>
      <c r="CZ8" s="45" t="str">
        <f>IF(IF(IF(CZ$3-VLOOKUP($A8,'détails investissements'!$A$71:$B$88,2,FALSE)&lt;=0,"",IF(VLOOKUP($A8,'détails investissements'!$A$26:$DE$43,CZ$3-VLOOKUP($A8,'détails investissements'!$A$71:$B$88,2,FALSE)+1,FALSE)="","",VLOOKUP($A8,'détails investissements'!$A$26:$DE$43,CZ$3-VLOOKUP($A8,'détails investissements'!$A$71:$B$88,2,FALSE)+1,FALSE)))&lt;&gt;"",HLOOKUP(IF(CZ$3-VLOOKUP($A8,'détails investissements'!$A$71:$B$88,2,FALSE)&lt;=0,"",IF(VLOOKUP($A8,'détails investissements'!$A$26:$DE$43,CZ$3-VLOOKUP($A8,'détails investissements'!$A$71:$B$88,2,FALSE)+1,FALSE)="","",VLOOKUP($A8,'détails investissements'!$A$26:$DE$43,CZ$3-VLOOKUP($A8,'détails investissements'!$A$71:$B$88,2,FALSE)+1,FALSE))),'détails investissements'!$U$6:$AB$7,2,FALSE),"")&lt;&gt;"",VLOOKUP($A8,'détails investissements'!$A$7:$H$21,1+IF(IF(CZ$3-VLOOKUP($A8,'détails investissements'!$A$71:$B$88,2,FALSE)&lt;=0,"",IF(VLOOKUP($A8,'détails investissements'!$A$26:$DE$43,CZ$3-VLOOKUP($A8,'détails investissements'!$A$71:$B$88,2,FALSE)+1,FALSE)="","",VLOOKUP($A8,'détails investissements'!$A$26:$DE$43,CZ$3-VLOOKUP($A8,'détails investissements'!$A$71:$B$88,2,FALSE)+1,FALSE)))&lt;&gt;"",HLOOKUP(IF(CZ$3-VLOOKUP($A8,'détails investissements'!$A$71:$B$88,2,FALSE)&lt;=0,"",IF(VLOOKUP($A8,'détails investissements'!$A$26:$DE$43,CZ$3-VLOOKUP($A8,'détails investissements'!$A$71:$B$88,2,FALSE)+1,FALSE)="","",VLOOKUP($A8,'détails investissements'!$A$26:$DE$43,CZ$3-VLOOKUP($A8,'détails investissements'!$A$71:$B$88,2,FALSE)+1,FALSE))),'détails investissements'!$U$6:$AB$7,2,FALSE),""),FALSE),"")</f>
        <v/>
      </c>
      <c r="DA8" s="45" t="str">
        <f>IF(IF(IF(DA$3-VLOOKUP($A8,'détails investissements'!$A$71:$B$88,2,FALSE)&lt;=0,"",IF(VLOOKUP($A8,'détails investissements'!$A$26:$DE$43,DA$3-VLOOKUP($A8,'détails investissements'!$A$71:$B$88,2,FALSE)+1,FALSE)="","",VLOOKUP($A8,'détails investissements'!$A$26:$DE$43,DA$3-VLOOKUP($A8,'détails investissements'!$A$71:$B$88,2,FALSE)+1,FALSE)))&lt;&gt;"",HLOOKUP(IF(DA$3-VLOOKUP($A8,'détails investissements'!$A$71:$B$88,2,FALSE)&lt;=0,"",IF(VLOOKUP($A8,'détails investissements'!$A$26:$DE$43,DA$3-VLOOKUP($A8,'détails investissements'!$A$71:$B$88,2,FALSE)+1,FALSE)="","",VLOOKUP($A8,'détails investissements'!$A$26:$DE$43,DA$3-VLOOKUP($A8,'détails investissements'!$A$71:$B$88,2,FALSE)+1,FALSE))),'détails investissements'!$U$6:$AB$7,2,FALSE),"")&lt;&gt;"",VLOOKUP($A8,'détails investissements'!$A$7:$H$21,1+IF(IF(DA$3-VLOOKUP($A8,'détails investissements'!$A$71:$B$88,2,FALSE)&lt;=0,"",IF(VLOOKUP($A8,'détails investissements'!$A$26:$DE$43,DA$3-VLOOKUP($A8,'détails investissements'!$A$71:$B$88,2,FALSE)+1,FALSE)="","",VLOOKUP($A8,'détails investissements'!$A$26:$DE$43,DA$3-VLOOKUP($A8,'détails investissements'!$A$71:$B$88,2,FALSE)+1,FALSE)))&lt;&gt;"",HLOOKUP(IF(DA$3-VLOOKUP($A8,'détails investissements'!$A$71:$B$88,2,FALSE)&lt;=0,"",IF(VLOOKUP($A8,'détails investissements'!$A$26:$DE$43,DA$3-VLOOKUP($A8,'détails investissements'!$A$71:$B$88,2,FALSE)+1,FALSE)="","",VLOOKUP($A8,'détails investissements'!$A$26:$DE$43,DA$3-VLOOKUP($A8,'détails investissements'!$A$71:$B$88,2,FALSE)+1,FALSE))),'détails investissements'!$U$6:$AB$7,2,FALSE),""),FALSE),"")</f>
        <v/>
      </c>
      <c r="DB8" s="45" t="str">
        <f>IF(IF(IF(DB$3-VLOOKUP($A8,'détails investissements'!$A$71:$B$88,2,FALSE)&lt;=0,"",IF(VLOOKUP($A8,'détails investissements'!$A$26:$DE$43,DB$3-VLOOKUP($A8,'détails investissements'!$A$71:$B$88,2,FALSE)+1,FALSE)="","",VLOOKUP($A8,'détails investissements'!$A$26:$DE$43,DB$3-VLOOKUP($A8,'détails investissements'!$A$71:$B$88,2,FALSE)+1,FALSE)))&lt;&gt;"",HLOOKUP(IF(DB$3-VLOOKUP($A8,'détails investissements'!$A$71:$B$88,2,FALSE)&lt;=0,"",IF(VLOOKUP($A8,'détails investissements'!$A$26:$DE$43,DB$3-VLOOKUP($A8,'détails investissements'!$A$71:$B$88,2,FALSE)+1,FALSE)="","",VLOOKUP($A8,'détails investissements'!$A$26:$DE$43,DB$3-VLOOKUP($A8,'détails investissements'!$A$71:$B$88,2,FALSE)+1,FALSE))),'détails investissements'!$U$6:$AB$7,2,FALSE),"")&lt;&gt;"",VLOOKUP($A8,'détails investissements'!$A$7:$H$21,1+IF(IF(DB$3-VLOOKUP($A8,'détails investissements'!$A$71:$B$88,2,FALSE)&lt;=0,"",IF(VLOOKUP($A8,'détails investissements'!$A$26:$DE$43,DB$3-VLOOKUP($A8,'détails investissements'!$A$71:$B$88,2,FALSE)+1,FALSE)="","",VLOOKUP($A8,'détails investissements'!$A$26:$DE$43,DB$3-VLOOKUP($A8,'détails investissements'!$A$71:$B$88,2,FALSE)+1,FALSE)))&lt;&gt;"",HLOOKUP(IF(DB$3-VLOOKUP($A8,'détails investissements'!$A$71:$B$88,2,FALSE)&lt;=0,"",IF(VLOOKUP($A8,'détails investissements'!$A$26:$DE$43,DB$3-VLOOKUP($A8,'détails investissements'!$A$71:$B$88,2,FALSE)+1,FALSE)="","",VLOOKUP($A8,'détails investissements'!$A$26:$DE$43,DB$3-VLOOKUP($A8,'détails investissements'!$A$71:$B$88,2,FALSE)+1,FALSE))),'détails investissements'!$U$6:$AB$7,2,FALSE),""),FALSE),"")</f>
        <v/>
      </c>
      <c r="DC8" s="45" t="str">
        <f>IF(IF(IF(DC$3-VLOOKUP($A8,'détails investissements'!$A$71:$B$88,2,FALSE)&lt;=0,"",IF(VLOOKUP($A8,'détails investissements'!$A$26:$DE$43,DC$3-VLOOKUP($A8,'détails investissements'!$A$71:$B$88,2,FALSE)+1,FALSE)="","",VLOOKUP($A8,'détails investissements'!$A$26:$DE$43,DC$3-VLOOKUP($A8,'détails investissements'!$A$71:$B$88,2,FALSE)+1,FALSE)))&lt;&gt;"",HLOOKUP(IF(DC$3-VLOOKUP($A8,'détails investissements'!$A$71:$B$88,2,FALSE)&lt;=0,"",IF(VLOOKUP($A8,'détails investissements'!$A$26:$DE$43,DC$3-VLOOKUP($A8,'détails investissements'!$A$71:$B$88,2,FALSE)+1,FALSE)="","",VLOOKUP($A8,'détails investissements'!$A$26:$DE$43,DC$3-VLOOKUP($A8,'détails investissements'!$A$71:$B$88,2,FALSE)+1,FALSE))),'détails investissements'!$U$6:$AB$7,2,FALSE),"")&lt;&gt;"",VLOOKUP($A8,'détails investissements'!$A$7:$H$21,1+IF(IF(DC$3-VLOOKUP($A8,'détails investissements'!$A$71:$B$88,2,FALSE)&lt;=0,"",IF(VLOOKUP($A8,'détails investissements'!$A$26:$DE$43,DC$3-VLOOKUP($A8,'détails investissements'!$A$71:$B$88,2,FALSE)+1,FALSE)="","",VLOOKUP($A8,'détails investissements'!$A$26:$DE$43,DC$3-VLOOKUP($A8,'détails investissements'!$A$71:$B$88,2,FALSE)+1,FALSE)))&lt;&gt;"",HLOOKUP(IF(DC$3-VLOOKUP($A8,'détails investissements'!$A$71:$B$88,2,FALSE)&lt;=0,"",IF(VLOOKUP($A8,'détails investissements'!$A$26:$DE$43,DC$3-VLOOKUP($A8,'détails investissements'!$A$71:$B$88,2,FALSE)+1,FALSE)="","",VLOOKUP($A8,'détails investissements'!$A$26:$DE$43,DC$3-VLOOKUP($A8,'détails investissements'!$A$71:$B$88,2,FALSE)+1,FALSE))),'détails investissements'!$U$6:$AB$7,2,FALSE),""),FALSE),"")</f>
        <v/>
      </c>
      <c r="DD8" s="45" t="str">
        <f>IF(IF(IF(DD$3-VLOOKUP($A8,'détails investissements'!$A$71:$B$88,2,FALSE)&lt;=0,"",IF(VLOOKUP($A8,'détails investissements'!$A$26:$DE$43,DD$3-VLOOKUP($A8,'détails investissements'!$A$71:$B$88,2,FALSE)+1,FALSE)="","",VLOOKUP($A8,'détails investissements'!$A$26:$DE$43,DD$3-VLOOKUP($A8,'détails investissements'!$A$71:$B$88,2,FALSE)+1,FALSE)))&lt;&gt;"",HLOOKUP(IF(DD$3-VLOOKUP($A8,'détails investissements'!$A$71:$B$88,2,FALSE)&lt;=0,"",IF(VLOOKUP($A8,'détails investissements'!$A$26:$DE$43,DD$3-VLOOKUP($A8,'détails investissements'!$A$71:$B$88,2,FALSE)+1,FALSE)="","",VLOOKUP($A8,'détails investissements'!$A$26:$DE$43,DD$3-VLOOKUP($A8,'détails investissements'!$A$71:$B$88,2,FALSE)+1,FALSE))),'détails investissements'!$U$6:$AB$7,2,FALSE),"")&lt;&gt;"",VLOOKUP($A8,'détails investissements'!$A$7:$H$21,1+IF(IF(DD$3-VLOOKUP($A8,'détails investissements'!$A$71:$B$88,2,FALSE)&lt;=0,"",IF(VLOOKUP($A8,'détails investissements'!$A$26:$DE$43,DD$3-VLOOKUP($A8,'détails investissements'!$A$71:$B$88,2,FALSE)+1,FALSE)="","",VLOOKUP($A8,'détails investissements'!$A$26:$DE$43,DD$3-VLOOKUP($A8,'détails investissements'!$A$71:$B$88,2,FALSE)+1,FALSE)))&lt;&gt;"",HLOOKUP(IF(DD$3-VLOOKUP($A8,'détails investissements'!$A$71:$B$88,2,FALSE)&lt;=0,"",IF(VLOOKUP($A8,'détails investissements'!$A$26:$DE$43,DD$3-VLOOKUP($A8,'détails investissements'!$A$71:$B$88,2,FALSE)+1,FALSE)="","",VLOOKUP($A8,'détails investissements'!$A$26:$DE$43,DD$3-VLOOKUP($A8,'détails investissements'!$A$71:$B$88,2,FALSE)+1,FALSE))),'détails investissements'!$U$6:$AB$7,2,FALSE),""),FALSE),"")</f>
        <v/>
      </c>
      <c r="DE8" s="45" t="str">
        <f>IF(IF(IF(DE$3-VLOOKUP($A8,'détails investissements'!$A$71:$B$88,2,FALSE)&lt;=0,"",IF(VLOOKUP($A8,'détails investissements'!$A$26:$DE$43,DE$3-VLOOKUP($A8,'détails investissements'!$A$71:$B$88,2,FALSE)+1,FALSE)="","",VLOOKUP($A8,'détails investissements'!$A$26:$DE$43,DE$3-VLOOKUP($A8,'détails investissements'!$A$71:$B$88,2,FALSE)+1,FALSE)))&lt;&gt;"",HLOOKUP(IF(DE$3-VLOOKUP($A8,'détails investissements'!$A$71:$B$88,2,FALSE)&lt;=0,"",IF(VLOOKUP($A8,'détails investissements'!$A$26:$DE$43,DE$3-VLOOKUP($A8,'détails investissements'!$A$71:$B$88,2,FALSE)+1,FALSE)="","",VLOOKUP($A8,'détails investissements'!$A$26:$DE$43,DE$3-VLOOKUP($A8,'détails investissements'!$A$71:$B$88,2,FALSE)+1,FALSE))),'détails investissements'!$U$6:$AB$7,2,FALSE),"")&lt;&gt;"",VLOOKUP($A8,'détails investissements'!$A$7:$H$21,1+IF(IF(DE$3-VLOOKUP($A8,'détails investissements'!$A$71:$B$88,2,FALSE)&lt;=0,"",IF(VLOOKUP($A8,'détails investissements'!$A$26:$DE$43,DE$3-VLOOKUP($A8,'détails investissements'!$A$71:$B$88,2,FALSE)+1,FALSE)="","",VLOOKUP($A8,'détails investissements'!$A$26:$DE$43,DE$3-VLOOKUP($A8,'détails investissements'!$A$71:$B$88,2,FALSE)+1,FALSE)))&lt;&gt;"",HLOOKUP(IF(DE$3-VLOOKUP($A8,'détails investissements'!$A$71:$B$88,2,FALSE)&lt;=0,"",IF(VLOOKUP($A8,'détails investissements'!$A$26:$DE$43,DE$3-VLOOKUP($A8,'détails investissements'!$A$71:$B$88,2,FALSE)+1,FALSE)="","",VLOOKUP($A8,'détails investissements'!$A$26:$DE$43,DE$3-VLOOKUP($A8,'détails investissements'!$A$71:$B$88,2,FALSE)+1,FALSE))),'détails investissements'!$U$6:$AB$7,2,FALSE),""),FALSE),"")</f>
        <v/>
      </c>
      <c r="DF8" s="45" t="str">
        <f>IF(IF(IF(DF$3-VLOOKUP($A8,'détails investissements'!$A$71:$B$88,2,FALSE)&lt;=0,"",IF(VLOOKUP($A8,'détails investissements'!$A$26:$DE$43,DF$3-VLOOKUP($A8,'détails investissements'!$A$71:$B$88,2,FALSE)+1,FALSE)="","",VLOOKUP($A8,'détails investissements'!$A$26:$DE$43,DF$3-VLOOKUP($A8,'détails investissements'!$A$71:$B$88,2,FALSE)+1,FALSE)))&lt;&gt;"",HLOOKUP(IF(DF$3-VLOOKUP($A8,'détails investissements'!$A$71:$B$88,2,FALSE)&lt;=0,"",IF(VLOOKUP($A8,'détails investissements'!$A$26:$DE$43,DF$3-VLOOKUP($A8,'détails investissements'!$A$71:$B$88,2,FALSE)+1,FALSE)="","",VLOOKUP($A8,'détails investissements'!$A$26:$DE$43,DF$3-VLOOKUP($A8,'détails investissements'!$A$71:$B$88,2,FALSE)+1,FALSE))),'détails investissements'!$U$6:$AB$7,2,FALSE),"")&lt;&gt;"",VLOOKUP($A8,'détails investissements'!$A$7:$H$21,1+IF(IF(DF$3-VLOOKUP($A8,'détails investissements'!$A$71:$B$88,2,FALSE)&lt;=0,"",IF(VLOOKUP($A8,'détails investissements'!$A$26:$DE$43,DF$3-VLOOKUP($A8,'détails investissements'!$A$71:$B$88,2,FALSE)+1,FALSE)="","",VLOOKUP($A8,'détails investissements'!$A$26:$DE$43,DF$3-VLOOKUP($A8,'détails investissements'!$A$71:$B$88,2,FALSE)+1,FALSE)))&lt;&gt;"",HLOOKUP(IF(DF$3-VLOOKUP($A8,'détails investissements'!$A$71:$B$88,2,FALSE)&lt;=0,"",IF(VLOOKUP($A8,'détails investissements'!$A$26:$DE$43,DF$3-VLOOKUP($A8,'détails investissements'!$A$71:$B$88,2,FALSE)+1,FALSE)="","",VLOOKUP($A8,'détails investissements'!$A$26:$DE$43,DF$3-VLOOKUP($A8,'détails investissements'!$A$71:$B$88,2,FALSE)+1,FALSE))),'détails investissements'!$U$6:$AB$7,2,FALSE),""),FALSE),"")</f>
        <v/>
      </c>
      <c r="DG8">
        <f t="shared" si="0"/>
        <v>1</v>
      </c>
    </row>
    <row r="9" spans="1:111" x14ac:dyDescent="0.2">
      <c r="A9" s="15" t="str">
        <f>'[4]Données investissements'!A29</f>
        <v>2ème four VAR :</v>
      </c>
      <c r="B9" s="23">
        <f>'détails investissements'!B97</f>
        <v>2.6</v>
      </c>
      <c r="C9" s="45" t="str">
        <f>IF(IF(IF(C$3-VLOOKUP($A9,'détails investissements'!$A$71:$B$88,2,FALSE)&lt;=0,"",IF(VLOOKUP($A9,'détails investissements'!$A$26:$DE$43,C$3-VLOOKUP($A9,'détails investissements'!$A$71:$B$88,2,FALSE)+1,FALSE)="","",VLOOKUP($A9,'détails investissements'!$A$26:$DE$43,C$3-VLOOKUP($A9,'détails investissements'!$A$71:$B$88,2,FALSE)+1,FALSE)))&lt;&gt;"",HLOOKUP(IF(C$3-VLOOKUP($A9,'détails investissements'!$A$71:$B$88,2,FALSE)&lt;=0,"",IF(VLOOKUP($A9,'détails investissements'!$A$26:$DE$43,C$3-VLOOKUP($A9,'détails investissements'!$A$71:$B$88,2,FALSE)+1,FALSE)="","",VLOOKUP($A9,'détails investissements'!$A$26:$DE$43,C$3-VLOOKUP($A9,'détails investissements'!$A$71:$B$88,2,FALSE)+1,FALSE))),'détails investissements'!$U$6:$AB$7,2,FALSE),"")&lt;&gt;"",VLOOKUP($A9,'détails investissements'!$A$7:$H$21,1+IF(IF(C$3-VLOOKUP($A9,'détails investissements'!$A$71:$B$88,2,FALSE)&lt;=0,"",IF(VLOOKUP($A9,'détails investissements'!$A$26:$DE$43,C$3-VLOOKUP($A9,'détails investissements'!$A$71:$B$88,2,FALSE)+1,FALSE)="","",VLOOKUP($A9,'détails investissements'!$A$26:$DE$43,C$3-VLOOKUP($A9,'détails investissements'!$A$71:$B$88,2,FALSE)+1,FALSE)))&lt;&gt;"",HLOOKUP(IF(C$3-VLOOKUP($A9,'détails investissements'!$A$71:$B$88,2,FALSE)&lt;=0,"",IF(VLOOKUP($A9,'détails investissements'!$A$26:$DE$43,C$3-VLOOKUP($A9,'détails investissements'!$A$71:$B$88,2,FALSE)+1,FALSE)="","",VLOOKUP($A9,'détails investissements'!$A$26:$DE$43,C$3-VLOOKUP($A9,'détails investissements'!$A$71:$B$88,2,FALSE)+1,FALSE))),'détails investissements'!$U$6:$AB$7,2,FALSE),""),FALSE),"")</f>
        <v/>
      </c>
      <c r="D9" s="45" t="str">
        <f>IF(IF(IF(D$3-VLOOKUP($A9,'détails investissements'!$A$71:$B$88,2,FALSE)&lt;=0,"",IF(VLOOKUP($A9,'détails investissements'!$A$26:$DE$43,D$3-VLOOKUP($A9,'détails investissements'!$A$71:$B$88,2,FALSE)+1,FALSE)="","",VLOOKUP($A9,'détails investissements'!$A$26:$DE$43,D$3-VLOOKUP($A9,'détails investissements'!$A$71:$B$88,2,FALSE)+1,FALSE)))&lt;&gt;"",HLOOKUP(IF(D$3-VLOOKUP($A9,'détails investissements'!$A$71:$B$88,2,FALSE)&lt;=0,"",IF(VLOOKUP($A9,'détails investissements'!$A$26:$DE$43,D$3-VLOOKUP($A9,'détails investissements'!$A$71:$B$88,2,FALSE)+1,FALSE)="","",VLOOKUP($A9,'détails investissements'!$A$26:$DE$43,D$3-VLOOKUP($A9,'détails investissements'!$A$71:$B$88,2,FALSE)+1,FALSE))),'détails investissements'!$U$6:$AB$7,2,FALSE),"")&lt;&gt;"",VLOOKUP($A9,'détails investissements'!$A$7:$H$21,1+IF(IF(D$3-VLOOKUP($A9,'détails investissements'!$A$71:$B$88,2,FALSE)&lt;=0,"",IF(VLOOKUP($A9,'détails investissements'!$A$26:$DE$43,D$3-VLOOKUP($A9,'détails investissements'!$A$71:$B$88,2,FALSE)+1,FALSE)="","",VLOOKUP($A9,'détails investissements'!$A$26:$DE$43,D$3-VLOOKUP($A9,'détails investissements'!$A$71:$B$88,2,FALSE)+1,FALSE)))&lt;&gt;"",HLOOKUP(IF(D$3-VLOOKUP($A9,'détails investissements'!$A$71:$B$88,2,FALSE)&lt;=0,"",IF(VLOOKUP($A9,'détails investissements'!$A$26:$DE$43,D$3-VLOOKUP($A9,'détails investissements'!$A$71:$B$88,2,FALSE)+1,FALSE)="","",VLOOKUP($A9,'détails investissements'!$A$26:$DE$43,D$3-VLOOKUP($A9,'détails investissements'!$A$71:$B$88,2,FALSE)+1,FALSE))),'détails investissements'!$U$6:$AB$7,2,FALSE),""),FALSE),"")</f>
        <v/>
      </c>
      <c r="E9" s="45" t="str">
        <f>IF(IF(IF(E$3-VLOOKUP($A9,'détails investissements'!$A$71:$B$88,2,FALSE)&lt;=0,"",IF(VLOOKUP($A9,'détails investissements'!$A$26:$DE$43,E$3-VLOOKUP($A9,'détails investissements'!$A$71:$B$88,2,FALSE)+1,FALSE)="","",VLOOKUP($A9,'détails investissements'!$A$26:$DE$43,E$3-VLOOKUP($A9,'détails investissements'!$A$71:$B$88,2,FALSE)+1,FALSE)))&lt;&gt;"",HLOOKUP(IF(E$3-VLOOKUP($A9,'détails investissements'!$A$71:$B$88,2,FALSE)&lt;=0,"",IF(VLOOKUP($A9,'détails investissements'!$A$26:$DE$43,E$3-VLOOKUP($A9,'détails investissements'!$A$71:$B$88,2,FALSE)+1,FALSE)="","",VLOOKUP($A9,'détails investissements'!$A$26:$DE$43,E$3-VLOOKUP($A9,'détails investissements'!$A$71:$B$88,2,FALSE)+1,FALSE))),'détails investissements'!$U$6:$AB$7,2,FALSE),"")&lt;&gt;"",VLOOKUP($A9,'détails investissements'!$A$7:$H$21,1+IF(IF(E$3-VLOOKUP($A9,'détails investissements'!$A$71:$B$88,2,FALSE)&lt;=0,"",IF(VLOOKUP($A9,'détails investissements'!$A$26:$DE$43,E$3-VLOOKUP($A9,'détails investissements'!$A$71:$B$88,2,FALSE)+1,FALSE)="","",VLOOKUP($A9,'détails investissements'!$A$26:$DE$43,E$3-VLOOKUP($A9,'détails investissements'!$A$71:$B$88,2,FALSE)+1,FALSE)))&lt;&gt;"",HLOOKUP(IF(E$3-VLOOKUP($A9,'détails investissements'!$A$71:$B$88,2,FALSE)&lt;=0,"",IF(VLOOKUP($A9,'détails investissements'!$A$26:$DE$43,E$3-VLOOKUP($A9,'détails investissements'!$A$71:$B$88,2,FALSE)+1,FALSE)="","",VLOOKUP($A9,'détails investissements'!$A$26:$DE$43,E$3-VLOOKUP($A9,'détails investissements'!$A$71:$B$88,2,FALSE)+1,FALSE))),'détails investissements'!$U$6:$AB$7,2,FALSE),""),FALSE),"")</f>
        <v/>
      </c>
      <c r="F9" s="45" t="str">
        <f>IF(IF(IF(F$3-VLOOKUP($A9,'détails investissements'!$A$71:$B$88,2,FALSE)&lt;=0,"",IF(VLOOKUP($A9,'détails investissements'!$A$26:$DE$43,F$3-VLOOKUP($A9,'détails investissements'!$A$71:$B$88,2,FALSE)+1,FALSE)="","",VLOOKUP($A9,'détails investissements'!$A$26:$DE$43,F$3-VLOOKUP($A9,'détails investissements'!$A$71:$B$88,2,FALSE)+1,FALSE)))&lt;&gt;"",HLOOKUP(IF(F$3-VLOOKUP($A9,'détails investissements'!$A$71:$B$88,2,FALSE)&lt;=0,"",IF(VLOOKUP($A9,'détails investissements'!$A$26:$DE$43,F$3-VLOOKUP($A9,'détails investissements'!$A$71:$B$88,2,FALSE)+1,FALSE)="","",VLOOKUP($A9,'détails investissements'!$A$26:$DE$43,F$3-VLOOKUP($A9,'détails investissements'!$A$71:$B$88,2,FALSE)+1,FALSE))),'détails investissements'!$U$6:$AB$7,2,FALSE),"")&lt;&gt;"",VLOOKUP($A9,'détails investissements'!$A$7:$H$21,1+IF(IF(F$3-VLOOKUP($A9,'détails investissements'!$A$71:$B$88,2,FALSE)&lt;=0,"",IF(VLOOKUP($A9,'détails investissements'!$A$26:$DE$43,F$3-VLOOKUP($A9,'détails investissements'!$A$71:$B$88,2,FALSE)+1,FALSE)="","",VLOOKUP($A9,'détails investissements'!$A$26:$DE$43,F$3-VLOOKUP($A9,'détails investissements'!$A$71:$B$88,2,FALSE)+1,FALSE)))&lt;&gt;"",HLOOKUP(IF(F$3-VLOOKUP($A9,'détails investissements'!$A$71:$B$88,2,FALSE)&lt;=0,"",IF(VLOOKUP($A9,'détails investissements'!$A$26:$DE$43,F$3-VLOOKUP($A9,'détails investissements'!$A$71:$B$88,2,FALSE)+1,FALSE)="","",VLOOKUP($A9,'détails investissements'!$A$26:$DE$43,F$3-VLOOKUP($A9,'détails investissements'!$A$71:$B$88,2,FALSE)+1,FALSE))),'détails investissements'!$U$6:$AB$7,2,FALSE),""),FALSE),"")</f>
        <v/>
      </c>
      <c r="G9" s="45" t="str">
        <f>IF(IF(IF(G$3-VLOOKUP($A9,'détails investissements'!$A$71:$B$88,2,FALSE)&lt;=0,"",IF(VLOOKUP($A9,'détails investissements'!$A$26:$DE$43,G$3-VLOOKUP($A9,'détails investissements'!$A$71:$B$88,2,FALSE)+1,FALSE)="","",VLOOKUP($A9,'détails investissements'!$A$26:$DE$43,G$3-VLOOKUP($A9,'détails investissements'!$A$71:$B$88,2,FALSE)+1,FALSE)))&lt;&gt;"",HLOOKUP(IF(G$3-VLOOKUP($A9,'détails investissements'!$A$71:$B$88,2,FALSE)&lt;=0,"",IF(VLOOKUP($A9,'détails investissements'!$A$26:$DE$43,G$3-VLOOKUP($A9,'détails investissements'!$A$71:$B$88,2,FALSE)+1,FALSE)="","",VLOOKUP($A9,'détails investissements'!$A$26:$DE$43,G$3-VLOOKUP($A9,'détails investissements'!$A$71:$B$88,2,FALSE)+1,FALSE))),'détails investissements'!$U$6:$AB$7,2,FALSE),"")&lt;&gt;"",VLOOKUP($A9,'détails investissements'!$A$7:$H$21,1+IF(IF(G$3-VLOOKUP($A9,'détails investissements'!$A$71:$B$88,2,FALSE)&lt;=0,"",IF(VLOOKUP($A9,'détails investissements'!$A$26:$DE$43,G$3-VLOOKUP($A9,'détails investissements'!$A$71:$B$88,2,FALSE)+1,FALSE)="","",VLOOKUP($A9,'détails investissements'!$A$26:$DE$43,G$3-VLOOKUP($A9,'détails investissements'!$A$71:$B$88,2,FALSE)+1,FALSE)))&lt;&gt;"",HLOOKUP(IF(G$3-VLOOKUP($A9,'détails investissements'!$A$71:$B$88,2,FALSE)&lt;=0,"",IF(VLOOKUP($A9,'détails investissements'!$A$26:$DE$43,G$3-VLOOKUP($A9,'détails investissements'!$A$71:$B$88,2,FALSE)+1,FALSE)="","",VLOOKUP($A9,'détails investissements'!$A$26:$DE$43,G$3-VLOOKUP($A9,'détails investissements'!$A$71:$B$88,2,FALSE)+1,FALSE))),'détails investissements'!$U$6:$AB$7,2,FALSE),""),FALSE),"")</f>
        <v/>
      </c>
      <c r="H9" s="45" t="str">
        <f>IF(IF(IF(H$3-VLOOKUP($A9,'détails investissements'!$A$71:$B$88,2,FALSE)&lt;=0,"",IF(VLOOKUP($A9,'détails investissements'!$A$26:$DE$43,H$3-VLOOKUP($A9,'détails investissements'!$A$71:$B$88,2,FALSE)+1,FALSE)="","",VLOOKUP($A9,'détails investissements'!$A$26:$DE$43,H$3-VLOOKUP($A9,'détails investissements'!$A$71:$B$88,2,FALSE)+1,FALSE)))&lt;&gt;"",HLOOKUP(IF(H$3-VLOOKUP($A9,'détails investissements'!$A$71:$B$88,2,FALSE)&lt;=0,"",IF(VLOOKUP($A9,'détails investissements'!$A$26:$DE$43,H$3-VLOOKUP($A9,'détails investissements'!$A$71:$B$88,2,FALSE)+1,FALSE)="","",VLOOKUP($A9,'détails investissements'!$A$26:$DE$43,H$3-VLOOKUP($A9,'détails investissements'!$A$71:$B$88,2,FALSE)+1,FALSE))),'détails investissements'!$U$6:$AB$7,2,FALSE),"")&lt;&gt;"",VLOOKUP($A9,'détails investissements'!$A$7:$H$21,1+IF(IF(H$3-VLOOKUP($A9,'détails investissements'!$A$71:$B$88,2,FALSE)&lt;=0,"",IF(VLOOKUP($A9,'détails investissements'!$A$26:$DE$43,H$3-VLOOKUP($A9,'détails investissements'!$A$71:$B$88,2,FALSE)+1,FALSE)="","",VLOOKUP($A9,'détails investissements'!$A$26:$DE$43,H$3-VLOOKUP($A9,'détails investissements'!$A$71:$B$88,2,FALSE)+1,FALSE)))&lt;&gt;"",HLOOKUP(IF(H$3-VLOOKUP($A9,'détails investissements'!$A$71:$B$88,2,FALSE)&lt;=0,"",IF(VLOOKUP($A9,'détails investissements'!$A$26:$DE$43,H$3-VLOOKUP($A9,'détails investissements'!$A$71:$B$88,2,FALSE)+1,FALSE)="","",VLOOKUP($A9,'détails investissements'!$A$26:$DE$43,H$3-VLOOKUP($A9,'détails investissements'!$A$71:$B$88,2,FALSE)+1,FALSE))),'détails investissements'!$U$6:$AB$7,2,FALSE),""),FALSE),"")</f>
        <v/>
      </c>
      <c r="I9" s="45" t="str">
        <f>IF(IF(IF(I$3-VLOOKUP($A9,'détails investissements'!$A$71:$B$88,2,FALSE)&lt;=0,"",IF(VLOOKUP($A9,'détails investissements'!$A$26:$DE$43,I$3-VLOOKUP($A9,'détails investissements'!$A$71:$B$88,2,FALSE)+1,FALSE)="","",VLOOKUP($A9,'détails investissements'!$A$26:$DE$43,I$3-VLOOKUP($A9,'détails investissements'!$A$71:$B$88,2,FALSE)+1,FALSE)))&lt;&gt;"",HLOOKUP(IF(I$3-VLOOKUP($A9,'détails investissements'!$A$71:$B$88,2,FALSE)&lt;=0,"",IF(VLOOKUP($A9,'détails investissements'!$A$26:$DE$43,I$3-VLOOKUP($A9,'détails investissements'!$A$71:$B$88,2,FALSE)+1,FALSE)="","",VLOOKUP($A9,'détails investissements'!$A$26:$DE$43,I$3-VLOOKUP($A9,'détails investissements'!$A$71:$B$88,2,FALSE)+1,FALSE))),'détails investissements'!$U$6:$AB$7,2,FALSE),"")&lt;&gt;"",VLOOKUP($A9,'détails investissements'!$A$7:$H$21,1+IF(IF(I$3-VLOOKUP($A9,'détails investissements'!$A$71:$B$88,2,FALSE)&lt;=0,"",IF(VLOOKUP($A9,'détails investissements'!$A$26:$DE$43,I$3-VLOOKUP($A9,'détails investissements'!$A$71:$B$88,2,FALSE)+1,FALSE)="","",VLOOKUP($A9,'détails investissements'!$A$26:$DE$43,I$3-VLOOKUP($A9,'détails investissements'!$A$71:$B$88,2,FALSE)+1,FALSE)))&lt;&gt;"",HLOOKUP(IF(I$3-VLOOKUP($A9,'détails investissements'!$A$71:$B$88,2,FALSE)&lt;=0,"",IF(VLOOKUP($A9,'détails investissements'!$A$26:$DE$43,I$3-VLOOKUP($A9,'détails investissements'!$A$71:$B$88,2,FALSE)+1,FALSE)="","",VLOOKUP($A9,'détails investissements'!$A$26:$DE$43,I$3-VLOOKUP($A9,'détails investissements'!$A$71:$B$88,2,FALSE)+1,FALSE))),'détails investissements'!$U$6:$AB$7,2,FALSE),""),FALSE),"")</f>
        <v/>
      </c>
      <c r="J9" s="45" t="str">
        <f>IF(IF(IF(J$3-VLOOKUP($A9,'détails investissements'!$A$71:$B$88,2,FALSE)&lt;=0,"",IF(VLOOKUP($A9,'détails investissements'!$A$26:$DE$43,J$3-VLOOKUP($A9,'détails investissements'!$A$71:$B$88,2,FALSE)+1,FALSE)="","",VLOOKUP($A9,'détails investissements'!$A$26:$DE$43,J$3-VLOOKUP($A9,'détails investissements'!$A$71:$B$88,2,FALSE)+1,FALSE)))&lt;&gt;"",HLOOKUP(IF(J$3-VLOOKUP($A9,'détails investissements'!$A$71:$B$88,2,FALSE)&lt;=0,"",IF(VLOOKUP($A9,'détails investissements'!$A$26:$DE$43,J$3-VLOOKUP($A9,'détails investissements'!$A$71:$B$88,2,FALSE)+1,FALSE)="","",VLOOKUP($A9,'détails investissements'!$A$26:$DE$43,J$3-VLOOKUP($A9,'détails investissements'!$A$71:$B$88,2,FALSE)+1,FALSE))),'détails investissements'!$U$6:$AB$7,2,FALSE),"")&lt;&gt;"",VLOOKUP($A9,'détails investissements'!$A$7:$H$21,1+IF(IF(J$3-VLOOKUP($A9,'détails investissements'!$A$71:$B$88,2,FALSE)&lt;=0,"",IF(VLOOKUP($A9,'détails investissements'!$A$26:$DE$43,J$3-VLOOKUP($A9,'détails investissements'!$A$71:$B$88,2,FALSE)+1,FALSE)="","",VLOOKUP($A9,'détails investissements'!$A$26:$DE$43,J$3-VLOOKUP($A9,'détails investissements'!$A$71:$B$88,2,FALSE)+1,FALSE)))&lt;&gt;"",HLOOKUP(IF(J$3-VLOOKUP($A9,'détails investissements'!$A$71:$B$88,2,FALSE)&lt;=0,"",IF(VLOOKUP($A9,'détails investissements'!$A$26:$DE$43,J$3-VLOOKUP($A9,'détails investissements'!$A$71:$B$88,2,FALSE)+1,FALSE)="","",VLOOKUP($A9,'détails investissements'!$A$26:$DE$43,J$3-VLOOKUP($A9,'détails investissements'!$A$71:$B$88,2,FALSE)+1,FALSE))),'détails investissements'!$U$6:$AB$7,2,FALSE),""),FALSE),"")</f>
        <v/>
      </c>
      <c r="K9" s="45" t="str">
        <f>IF(IF(IF(K$3-VLOOKUP($A9,'détails investissements'!$A$71:$B$88,2,FALSE)&lt;=0,"",IF(VLOOKUP($A9,'détails investissements'!$A$26:$DE$43,K$3-VLOOKUP($A9,'détails investissements'!$A$71:$B$88,2,FALSE)+1,FALSE)="","",VLOOKUP($A9,'détails investissements'!$A$26:$DE$43,K$3-VLOOKUP($A9,'détails investissements'!$A$71:$B$88,2,FALSE)+1,FALSE)))&lt;&gt;"",HLOOKUP(IF(K$3-VLOOKUP($A9,'détails investissements'!$A$71:$B$88,2,FALSE)&lt;=0,"",IF(VLOOKUP($A9,'détails investissements'!$A$26:$DE$43,K$3-VLOOKUP($A9,'détails investissements'!$A$71:$B$88,2,FALSE)+1,FALSE)="","",VLOOKUP($A9,'détails investissements'!$A$26:$DE$43,K$3-VLOOKUP($A9,'détails investissements'!$A$71:$B$88,2,FALSE)+1,FALSE))),'détails investissements'!$U$6:$AB$7,2,FALSE),"")&lt;&gt;"",VLOOKUP($A9,'détails investissements'!$A$7:$H$21,1+IF(IF(K$3-VLOOKUP($A9,'détails investissements'!$A$71:$B$88,2,FALSE)&lt;=0,"",IF(VLOOKUP($A9,'détails investissements'!$A$26:$DE$43,K$3-VLOOKUP($A9,'détails investissements'!$A$71:$B$88,2,FALSE)+1,FALSE)="","",VLOOKUP($A9,'détails investissements'!$A$26:$DE$43,K$3-VLOOKUP($A9,'détails investissements'!$A$71:$B$88,2,FALSE)+1,FALSE)))&lt;&gt;"",HLOOKUP(IF(K$3-VLOOKUP($A9,'détails investissements'!$A$71:$B$88,2,FALSE)&lt;=0,"",IF(VLOOKUP($A9,'détails investissements'!$A$26:$DE$43,K$3-VLOOKUP($A9,'détails investissements'!$A$71:$B$88,2,FALSE)+1,FALSE)="","",VLOOKUP($A9,'détails investissements'!$A$26:$DE$43,K$3-VLOOKUP($A9,'détails investissements'!$A$71:$B$88,2,FALSE)+1,FALSE))),'détails investissements'!$U$6:$AB$7,2,FALSE),""),FALSE),"")</f>
        <v/>
      </c>
      <c r="L9" s="45" t="str">
        <f>IF(IF(IF(L$3-VLOOKUP($A9,'détails investissements'!$A$71:$B$88,2,FALSE)&lt;=0,"",IF(VLOOKUP($A9,'détails investissements'!$A$26:$DE$43,L$3-VLOOKUP($A9,'détails investissements'!$A$71:$B$88,2,FALSE)+1,FALSE)="","",VLOOKUP($A9,'détails investissements'!$A$26:$DE$43,L$3-VLOOKUP($A9,'détails investissements'!$A$71:$B$88,2,FALSE)+1,FALSE)))&lt;&gt;"",HLOOKUP(IF(L$3-VLOOKUP($A9,'détails investissements'!$A$71:$B$88,2,FALSE)&lt;=0,"",IF(VLOOKUP($A9,'détails investissements'!$A$26:$DE$43,L$3-VLOOKUP($A9,'détails investissements'!$A$71:$B$88,2,FALSE)+1,FALSE)="","",VLOOKUP($A9,'détails investissements'!$A$26:$DE$43,L$3-VLOOKUP($A9,'détails investissements'!$A$71:$B$88,2,FALSE)+1,FALSE))),'détails investissements'!$U$6:$AB$7,2,FALSE),"")&lt;&gt;"",VLOOKUP($A9,'détails investissements'!$A$7:$H$21,1+IF(IF(L$3-VLOOKUP($A9,'détails investissements'!$A$71:$B$88,2,FALSE)&lt;=0,"",IF(VLOOKUP($A9,'détails investissements'!$A$26:$DE$43,L$3-VLOOKUP($A9,'détails investissements'!$A$71:$B$88,2,FALSE)+1,FALSE)="","",VLOOKUP($A9,'détails investissements'!$A$26:$DE$43,L$3-VLOOKUP($A9,'détails investissements'!$A$71:$B$88,2,FALSE)+1,FALSE)))&lt;&gt;"",HLOOKUP(IF(L$3-VLOOKUP($A9,'détails investissements'!$A$71:$B$88,2,FALSE)&lt;=0,"",IF(VLOOKUP($A9,'détails investissements'!$A$26:$DE$43,L$3-VLOOKUP($A9,'détails investissements'!$A$71:$B$88,2,FALSE)+1,FALSE)="","",VLOOKUP($A9,'détails investissements'!$A$26:$DE$43,L$3-VLOOKUP($A9,'détails investissements'!$A$71:$B$88,2,FALSE)+1,FALSE))),'détails investissements'!$U$6:$AB$7,2,FALSE),""),FALSE),"")</f>
        <v/>
      </c>
      <c r="M9" s="45" t="str">
        <f>IF(IF(IF(M$3-VLOOKUP($A9,'détails investissements'!$A$71:$B$88,2,FALSE)&lt;=0,"",IF(VLOOKUP($A9,'détails investissements'!$A$26:$DE$43,M$3-VLOOKUP($A9,'détails investissements'!$A$71:$B$88,2,FALSE)+1,FALSE)="","",VLOOKUP($A9,'détails investissements'!$A$26:$DE$43,M$3-VLOOKUP($A9,'détails investissements'!$A$71:$B$88,2,FALSE)+1,FALSE)))&lt;&gt;"",HLOOKUP(IF(M$3-VLOOKUP($A9,'détails investissements'!$A$71:$B$88,2,FALSE)&lt;=0,"",IF(VLOOKUP($A9,'détails investissements'!$A$26:$DE$43,M$3-VLOOKUP($A9,'détails investissements'!$A$71:$B$88,2,FALSE)+1,FALSE)="","",VLOOKUP($A9,'détails investissements'!$A$26:$DE$43,M$3-VLOOKUP($A9,'détails investissements'!$A$71:$B$88,2,FALSE)+1,FALSE))),'détails investissements'!$U$6:$AB$7,2,FALSE),"")&lt;&gt;"",VLOOKUP($A9,'détails investissements'!$A$7:$H$21,1+IF(IF(M$3-VLOOKUP($A9,'détails investissements'!$A$71:$B$88,2,FALSE)&lt;=0,"",IF(VLOOKUP($A9,'détails investissements'!$A$26:$DE$43,M$3-VLOOKUP($A9,'détails investissements'!$A$71:$B$88,2,FALSE)+1,FALSE)="","",VLOOKUP($A9,'détails investissements'!$A$26:$DE$43,M$3-VLOOKUP($A9,'détails investissements'!$A$71:$B$88,2,FALSE)+1,FALSE)))&lt;&gt;"",HLOOKUP(IF(M$3-VLOOKUP($A9,'détails investissements'!$A$71:$B$88,2,FALSE)&lt;=0,"",IF(VLOOKUP($A9,'détails investissements'!$A$26:$DE$43,M$3-VLOOKUP($A9,'détails investissements'!$A$71:$B$88,2,FALSE)+1,FALSE)="","",VLOOKUP($A9,'détails investissements'!$A$26:$DE$43,M$3-VLOOKUP($A9,'détails investissements'!$A$71:$B$88,2,FALSE)+1,FALSE))),'détails investissements'!$U$6:$AB$7,2,FALSE),""),FALSE),"")</f>
        <v/>
      </c>
      <c r="N9" s="45" t="str">
        <f>IF(IF(IF(N$3-VLOOKUP($A9,'détails investissements'!$A$71:$B$88,2,FALSE)&lt;=0,"",IF(VLOOKUP($A9,'détails investissements'!$A$26:$DE$43,N$3-VLOOKUP($A9,'détails investissements'!$A$71:$B$88,2,FALSE)+1,FALSE)="","",VLOOKUP($A9,'détails investissements'!$A$26:$DE$43,N$3-VLOOKUP($A9,'détails investissements'!$A$71:$B$88,2,FALSE)+1,FALSE)))&lt;&gt;"",HLOOKUP(IF(N$3-VLOOKUP($A9,'détails investissements'!$A$71:$B$88,2,FALSE)&lt;=0,"",IF(VLOOKUP($A9,'détails investissements'!$A$26:$DE$43,N$3-VLOOKUP($A9,'détails investissements'!$A$71:$B$88,2,FALSE)+1,FALSE)="","",VLOOKUP($A9,'détails investissements'!$A$26:$DE$43,N$3-VLOOKUP($A9,'détails investissements'!$A$71:$B$88,2,FALSE)+1,FALSE))),'détails investissements'!$U$6:$AB$7,2,FALSE),"")&lt;&gt;"",VLOOKUP($A9,'détails investissements'!$A$7:$H$21,1+IF(IF(N$3-VLOOKUP($A9,'détails investissements'!$A$71:$B$88,2,FALSE)&lt;=0,"",IF(VLOOKUP($A9,'détails investissements'!$A$26:$DE$43,N$3-VLOOKUP($A9,'détails investissements'!$A$71:$B$88,2,FALSE)+1,FALSE)="","",VLOOKUP($A9,'détails investissements'!$A$26:$DE$43,N$3-VLOOKUP($A9,'détails investissements'!$A$71:$B$88,2,FALSE)+1,FALSE)))&lt;&gt;"",HLOOKUP(IF(N$3-VLOOKUP($A9,'détails investissements'!$A$71:$B$88,2,FALSE)&lt;=0,"",IF(VLOOKUP($A9,'détails investissements'!$A$26:$DE$43,N$3-VLOOKUP($A9,'détails investissements'!$A$71:$B$88,2,FALSE)+1,FALSE)="","",VLOOKUP($A9,'détails investissements'!$A$26:$DE$43,N$3-VLOOKUP($A9,'détails investissements'!$A$71:$B$88,2,FALSE)+1,FALSE))),'détails investissements'!$U$6:$AB$7,2,FALSE),""),FALSE),"")</f>
        <v/>
      </c>
      <c r="O9" s="45" t="str">
        <f>IF(IF(IF(O$3-VLOOKUP($A9,'détails investissements'!$A$71:$B$88,2,FALSE)&lt;=0,"",IF(VLOOKUP($A9,'détails investissements'!$A$26:$DE$43,O$3-VLOOKUP($A9,'détails investissements'!$A$71:$B$88,2,FALSE)+1,FALSE)="","",VLOOKUP($A9,'détails investissements'!$A$26:$DE$43,O$3-VLOOKUP($A9,'détails investissements'!$A$71:$B$88,2,FALSE)+1,FALSE)))&lt;&gt;"",HLOOKUP(IF(O$3-VLOOKUP($A9,'détails investissements'!$A$71:$B$88,2,FALSE)&lt;=0,"",IF(VLOOKUP($A9,'détails investissements'!$A$26:$DE$43,O$3-VLOOKUP($A9,'détails investissements'!$A$71:$B$88,2,FALSE)+1,FALSE)="","",VLOOKUP($A9,'détails investissements'!$A$26:$DE$43,O$3-VLOOKUP($A9,'détails investissements'!$A$71:$B$88,2,FALSE)+1,FALSE))),'détails investissements'!$U$6:$AB$7,2,FALSE),"")&lt;&gt;"",VLOOKUP($A9,'détails investissements'!$A$7:$H$21,1+IF(IF(O$3-VLOOKUP($A9,'détails investissements'!$A$71:$B$88,2,FALSE)&lt;=0,"",IF(VLOOKUP($A9,'détails investissements'!$A$26:$DE$43,O$3-VLOOKUP($A9,'détails investissements'!$A$71:$B$88,2,FALSE)+1,FALSE)="","",VLOOKUP($A9,'détails investissements'!$A$26:$DE$43,O$3-VLOOKUP($A9,'détails investissements'!$A$71:$B$88,2,FALSE)+1,FALSE)))&lt;&gt;"",HLOOKUP(IF(O$3-VLOOKUP($A9,'détails investissements'!$A$71:$B$88,2,FALSE)&lt;=0,"",IF(VLOOKUP($A9,'détails investissements'!$A$26:$DE$43,O$3-VLOOKUP($A9,'détails investissements'!$A$71:$B$88,2,FALSE)+1,FALSE)="","",VLOOKUP($A9,'détails investissements'!$A$26:$DE$43,O$3-VLOOKUP($A9,'détails investissements'!$A$71:$B$88,2,FALSE)+1,FALSE))),'détails investissements'!$U$6:$AB$7,2,FALSE),""),FALSE),"")</f>
        <v/>
      </c>
      <c r="P9" s="45" t="str">
        <f>IF(IF(IF(P$3-VLOOKUP($A9,'détails investissements'!$A$71:$B$88,2,FALSE)&lt;=0,"",IF(VLOOKUP($A9,'détails investissements'!$A$26:$DE$43,P$3-VLOOKUP($A9,'détails investissements'!$A$71:$B$88,2,FALSE)+1,FALSE)="","",VLOOKUP($A9,'détails investissements'!$A$26:$DE$43,P$3-VLOOKUP($A9,'détails investissements'!$A$71:$B$88,2,FALSE)+1,FALSE)))&lt;&gt;"",HLOOKUP(IF(P$3-VLOOKUP($A9,'détails investissements'!$A$71:$B$88,2,FALSE)&lt;=0,"",IF(VLOOKUP($A9,'détails investissements'!$A$26:$DE$43,P$3-VLOOKUP($A9,'détails investissements'!$A$71:$B$88,2,FALSE)+1,FALSE)="","",VLOOKUP($A9,'détails investissements'!$A$26:$DE$43,P$3-VLOOKUP($A9,'détails investissements'!$A$71:$B$88,2,FALSE)+1,FALSE))),'détails investissements'!$U$6:$AB$7,2,FALSE),"")&lt;&gt;"",VLOOKUP($A9,'détails investissements'!$A$7:$H$21,1+IF(IF(P$3-VLOOKUP($A9,'détails investissements'!$A$71:$B$88,2,FALSE)&lt;=0,"",IF(VLOOKUP($A9,'détails investissements'!$A$26:$DE$43,P$3-VLOOKUP($A9,'détails investissements'!$A$71:$B$88,2,FALSE)+1,FALSE)="","",VLOOKUP($A9,'détails investissements'!$A$26:$DE$43,P$3-VLOOKUP($A9,'détails investissements'!$A$71:$B$88,2,FALSE)+1,FALSE)))&lt;&gt;"",HLOOKUP(IF(P$3-VLOOKUP($A9,'détails investissements'!$A$71:$B$88,2,FALSE)&lt;=0,"",IF(VLOOKUP($A9,'détails investissements'!$A$26:$DE$43,P$3-VLOOKUP($A9,'détails investissements'!$A$71:$B$88,2,FALSE)+1,FALSE)="","",VLOOKUP($A9,'détails investissements'!$A$26:$DE$43,P$3-VLOOKUP($A9,'détails investissements'!$A$71:$B$88,2,FALSE)+1,FALSE))),'détails investissements'!$U$6:$AB$7,2,FALSE),""),FALSE),"")</f>
        <v/>
      </c>
      <c r="Q9" s="45" t="str">
        <f>IF(IF(IF(Q$3-VLOOKUP($A9,'détails investissements'!$A$71:$B$88,2,FALSE)&lt;=0,"",IF(VLOOKUP($A9,'détails investissements'!$A$26:$DE$43,Q$3-VLOOKUP($A9,'détails investissements'!$A$71:$B$88,2,FALSE)+1,FALSE)="","",VLOOKUP($A9,'détails investissements'!$A$26:$DE$43,Q$3-VLOOKUP($A9,'détails investissements'!$A$71:$B$88,2,FALSE)+1,FALSE)))&lt;&gt;"",HLOOKUP(IF(Q$3-VLOOKUP($A9,'détails investissements'!$A$71:$B$88,2,FALSE)&lt;=0,"",IF(VLOOKUP($A9,'détails investissements'!$A$26:$DE$43,Q$3-VLOOKUP($A9,'détails investissements'!$A$71:$B$88,2,FALSE)+1,FALSE)="","",VLOOKUP($A9,'détails investissements'!$A$26:$DE$43,Q$3-VLOOKUP($A9,'détails investissements'!$A$71:$B$88,2,FALSE)+1,FALSE))),'détails investissements'!$U$6:$AB$7,2,FALSE),"")&lt;&gt;"",VLOOKUP($A9,'détails investissements'!$A$7:$H$21,1+IF(IF(Q$3-VLOOKUP($A9,'détails investissements'!$A$71:$B$88,2,FALSE)&lt;=0,"",IF(VLOOKUP($A9,'détails investissements'!$A$26:$DE$43,Q$3-VLOOKUP($A9,'détails investissements'!$A$71:$B$88,2,FALSE)+1,FALSE)="","",VLOOKUP($A9,'détails investissements'!$A$26:$DE$43,Q$3-VLOOKUP($A9,'détails investissements'!$A$71:$B$88,2,FALSE)+1,FALSE)))&lt;&gt;"",HLOOKUP(IF(Q$3-VLOOKUP($A9,'détails investissements'!$A$71:$B$88,2,FALSE)&lt;=0,"",IF(VLOOKUP($A9,'détails investissements'!$A$26:$DE$43,Q$3-VLOOKUP($A9,'détails investissements'!$A$71:$B$88,2,FALSE)+1,FALSE)="","",VLOOKUP($A9,'détails investissements'!$A$26:$DE$43,Q$3-VLOOKUP($A9,'détails investissements'!$A$71:$B$88,2,FALSE)+1,FALSE))),'détails investissements'!$U$6:$AB$7,2,FALSE),""),FALSE),"")</f>
        <v/>
      </c>
      <c r="R9" s="45" t="str">
        <f>IF(IF(IF(R$3-VLOOKUP($A9,'détails investissements'!$A$71:$B$88,2,FALSE)&lt;=0,"",IF(VLOOKUP($A9,'détails investissements'!$A$26:$DE$43,R$3-VLOOKUP($A9,'détails investissements'!$A$71:$B$88,2,FALSE)+1,FALSE)="","",VLOOKUP($A9,'détails investissements'!$A$26:$DE$43,R$3-VLOOKUP($A9,'détails investissements'!$A$71:$B$88,2,FALSE)+1,FALSE)))&lt;&gt;"",HLOOKUP(IF(R$3-VLOOKUP($A9,'détails investissements'!$A$71:$B$88,2,FALSE)&lt;=0,"",IF(VLOOKUP($A9,'détails investissements'!$A$26:$DE$43,R$3-VLOOKUP($A9,'détails investissements'!$A$71:$B$88,2,FALSE)+1,FALSE)="","",VLOOKUP($A9,'détails investissements'!$A$26:$DE$43,R$3-VLOOKUP($A9,'détails investissements'!$A$71:$B$88,2,FALSE)+1,FALSE))),'détails investissements'!$U$6:$AB$7,2,FALSE),"")&lt;&gt;"",VLOOKUP($A9,'détails investissements'!$A$7:$H$21,1+IF(IF(R$3-VLOOKUP($A9,'détails investissements'!$A$71:$B$88,2,FALSE)&lt;=0,"",IF(VLOOKUP($A9,'détails investissements'!$A$26:$DE$43,R$3-VLOOKUP($A9,'détails investissements'!$A$71:$B$88,2,FALSE)+1,FALSE)="","",VLOOKUP($A9,'détails investissements'!$A$26:$DE$43,R$3-VLOOKUP($A9,'détails investissements'!$A$71:$B$88,2,FALSE)+1,FALSE)))&lt;&gt;"",HLOOKUP(IF(R$3-VLOOKUP($A9,'détails investissements'!$A$71:$B$88,2,FALSE)&lt;=0,"",IF(VLOOKUP($A9,'détails investissements'!$A$26:$DE$43,R$3-VLOOKUP($A9,'détails investissements'!$A$71:$B$88,2,FALSE)+1,FALSE)="","",VLOOKUP($A9,'détails investissements'!$A$26:$DE$43,R$3-VLOOKUP($A9,'détails investissements'!$A$71:$B$88,2,FALSE)+1,FALSE))),'détails investissements'!$U$6:$AB$7,2,FALSE),""),FALSE),"")</f>
        <v/>
      </c>
      <c r="S9" s="45" t="str">
        <f>IF(IF(IF(S$3-VLOOKUP($A9,'détails investissements'!$A$71:$B$88,2,FALSE)&lt;=0,"",IF(VLOOKUP($A9,'détails investissements'!$A$26:$DE$43,S$3-VLOOKUP($A9,'détails investissements'!$A$71:$B$88,2,FALSE)+1,FALSE)="","",VLOOKUP($A9,'détails investissements'!$A$26:$DE$43,S$3-VLOOKUP($A9,'détails investissements'!$A$71:$B$88,2,FALSE)+1,FALSE)))&lt;&gt;"",HLOOKUP(IF(S$3-VLOOKUP($A9,'détails investissements'!$A$71:$B$88,2,FALSE)&lt;=0,"",IF(VLOOKUP($A9,'détails investissements'!$A$26:$DE$43,S$3-VLOOKUP($A9,'détails investissements'!$A$71:$B$88,2,FALSE)+1,FALSE)="","",VLOOKUP($A9,'détails investissements'!$A$26:$DE$43,S$3-VLOOKUP($A9,'détails investissements'!$A$71:$B$88,2,FALSE)+1,FALSE))),'détails investissements'!$U$6:$AB$7,2,FALSE),"")&lt;&gt;"",VLOOKUP($A9,'détails investissements'!$A$7:$H$21,1+IF(IF(S$3-VLOOKUP($A9,'détails investissements'!$A$71:$B$88,2,FALSE)&lt;=0,"",IF(VLOOKUP($A9,'détails investissements'!$A$26:$DE$43,S$3-VLOOKUP($A9,'détails investissements'!$A$71:$B$88,2,FALSE)+1,FALSE)="","",VLOOKUP($A9,'détails investissements'!$A$26:$DE$43,S$3-VLOOKUP($A9,'détails investissements'!$A$71:$B$88,2,FALSE)+1,FALSE)))&lt;&gt;"",HLOOKUP(IF(S$3-VLOOKUP($A9,'détails investissements'!$A$71:$B$88,2,FALSE)&lt;=0,"",IF(VLOOKUP($A9,'détails investissements'!$A$26:$DE$43,S$3-VLOOKUP($A9,'détails investissements'!$A$71:$B$88,2,FALSE)+1,FALSE)="","",VLOOKUP($A9,'détails investissements'!$A$26:$DE$43,S$3-VLOOKUP($A9,'détails investissements'!$A$71:$B$88,2,FALSE)+1,FALSE))),'détails investissements'!$U$6:$AB$7,2,FALSE),""),FALSE),"")</f>
        <v/>
      </c>
      <c r="T9" s="45" t="str">
        <f>IF(IF(IF(T$3-VLOOKUP($A9,'détails investissements'!$A$71:$B$88,2,FALSE)&lt;=0,"",IF(VLOOKUP($A9,'détails investissements'!$A$26:$DE$43,T$3-VLOOKUP($A9,'détails investissements'!$A$71:$B$88,2,FALSE)+1,FALSE)="","",VLOOKUP($A9,'détails investissements'!$A$26:$DE$43,T$3-VLOOKUP($A9,'détails investissements'!$A$71:$B$88,2,FALSE)+1,FALSE)))&lt;&gt;"",HLOOKUP(IF(T$3-VLOOKUP($A9,'détails investissements'!$A$71:$B$88,2,FALSE)&lt;=0,"",IF(VLOOKUP($A9,'détails investissements'!$A$26:$DE$43,T$3-VLOOKUP($A9,'détails investissements'!$A$71:$B$88,2,FALSE)+1,FALSE)="","",VLOOKUP($A9,'détails investissements'!$A$26:$DE$43,T$3-VLOOKUP($A9,'détails investissements'!$A$71:$B$88,2,FALSE)+1,FALSE))),'détails investissements'!$U$6:$AB$7,2,FALSE),"")&lt;&gt;"",VLOOKUP($A9,'détails investissements'!$A$7:$H$21,1+IF(IF(T$3-VLOOKUP($A9,'détails investissements'!$A$71:$B$88,2,FALSE)&lt;=0,"",IF(VLOOKUP($A9,'détails investissements'!$A$26:$DE$43,T$3-VLOOKUP($A9,'détails investissements'!$A$71:$B$88,2,FALSE)+1,FALSE)="","",VLOOKUP($A9,'détails investissements'!$A$26:$DE$43,T$3-VLOOKUP($A9,'détails investissements'!$A$71:$B$88,2,FALSE)+1,FALSE)))&lt;&gt;"",HLOOKUP(IF(T$3-VLOOKUP($A9,'détails investissements'!$A$71:$B$88,2,FALSE)&lt;=0,"",IF(VLOOKUP($A9,'détails investissements'!$A$26:$DE$43,T$3-VLOOKUP($A9,'détails investissements'!$A$71:$B$88,2,FALSE)+1,FALSE)="","",VLOOKUP($A9,'détails investissements'!$A$26:$DE$43,T$3-VLOOKUP($A9,'détails investissements'!$A$71:$B$88,2,FALSE)+1,FALSE))),'détails investissements'!$U$6:$AB$7,2,FALSE),""),FALSE),"")</f>
        <v/>
      </c>
      <c r="U9" s="45" t="str">
        <f>IF(IF(IF(U$3-VLOOKUP($A9,'détails investissements'!$A$71:$B$88,2,FALSE)&lt;=0,"",IF(VLOOKUP($A9,'détails investissements'!$A$26:$DE$43,U$3-VLOOKUP($A9,'détails investissements'!$A$71:$B$88,2,FALSE)+1,FALSE)="","",VLOOKUP($A9,'détails investissements'!$A$26:$DE$43,U$3-VLOOKUP($A9,'détails investissements'!$A$71:$B$88,2,FALSE)+1,FALSE)))&lt;&gt;"",HLOOKUP(IF(U$3-VLOOKUP($A9,'détails investissements'!$A$71:$B$88,2,FALSE)&lt;=0,"",IF(VLOOKUP($A9,'détails investissements'!$A$26:$DE$43,U$3-VLOOKUP($A9,'détails investissements'!$A$71:$B$88,2,FALSE)+1,FALSE)="","",VLOOKUP($A9,'détails investissements'!$A$26:$DE$43,U$3-VLOOKUP($A9,'détails investissements'!$A$71:$B$88,2,FALSE)+1,FALSE))),'détails investissements'!$U$6:$AB$7,2,FALSE),"")&lt;&gt;"",VLOOKUP($A9,'détails investissements'!$A$7:$H$21,1+IF(IF(U$3-VLOOKUP($A9,'détails investissements'!$A$71:$B$88,2,FALSE)&lt;=0,"",IF(VLOOKUP($A9,'détails investissements'!$A$26:$DE$43,U$3-VLOOKUP($A9,'détails investissements'!$A$71:$B$88,2,FALSE)+1,FALSE)="","",VLOOKUP($A9,'détails investissements'!$A$26:$DE$43,U$3-VLOOKUP($A9,'détails investissements'!$A$71:$B$88,2,FALSE)+1,FALSE)))&lt;&gt;"",HLOOKUP(IF(U$3-VLOOKUP($A9,'détails investissements'!$A$71:$B$88,2,FALSE)&lt;=0,"",IF(VLOOKUP($A9,'détails investissements'!$A$26:$DE$43,U$3-VLOOKUP($A9,'détails investissements'!$A$71:$B$88,2,FALSE)+1,FALSE)="","",VLOOKUP($A9,'détails investissements'!$A$26:$DE$43,U$3-VLOOKUP($A9,'détails investissements'!$A$71:$B$88,2,FALSE)+1,FALSE))),'détails investissements'!$U$6:$AB$7,2,FALSE),""),FALSE),"")</f>
        <v/>
      </c>
      <c r="V9" s="45" t="str">
        <f>IF(IF(IF(V$3-VLOOKUP($A9,'détails investissements'!$A$71:$B$88,2,FALSE)&lt;=0,"",IF(VLOOKUP($A9,'détails investissements'!$A$26:$DE$43,V$3-VLOOKUP($A9,'détails investissements'!$A$71:$B$88,2,FALSE)+1,FALSE)="","",VLOOKUP($A9,'détails investissements'!$A$26:$DE$43,V$3-VLOOKUP($A9,'détails investissements'!$A$71:$B$88,2,FALSE)+1,FALSE)))&lt;&gt;"",HLOOKUP(IF(V$3-VLOOKUP($A9,'détails investissements'!$A$71:$B$88,2,FALSE)&lt;=0,"",IF(VLOOKUP($A9,'détails investissements'!$A$26:$DE$43,V$3-VLOOKUP($A9,'détails investissements'!$A$71:$B$88,2,FALSE)+1,FALSE)="","",VLOOKUP($A9,'détails investissements'!$A$26:$DE$43,V$3-VLOOKUP($A9,'détails investissements'!$A$71:$B$88,2,FALSE)+1,FALSE))),'détails investissements'!$U$6:$AB$7,2,FALSE),"")&lt;&gt;"",VLOOKUP($A9,'détails investissements'!$A$7:$H$21,1+IF(IF(V$3-VLOOKUP($A9,'détails investissements'!$A$71:$B$88,2,FALSE)&lt;=0,"",IF(VLOOKUP($A9,'détails investissements'!$A$26:$DE$43,V$3-VLOOKUP($A9,'détails investissements'!$A$71:$B$88,2,FALSE)+1,FALSE)="","",VLOOKUP($A9,'détails investissements'!$A$26:$DE$43,V$3-VLOOKUP($A9,'détails investissements'!$A$71:$B$88,2,FALSE)+1,FALSE)))&lt;&gt;"",HLOOKUP(IF(V$3-VLOOKUP($A9,'détails investissements'!$A$71:$B$88,2,FALSE)&lt;=0,"",IF(VLOOKUP($A9,'détails investissements'!$A$26:$DE$43,V$3-VLOOKUP($A9,'détails investissements'!$A$71:$B$88,2,FALSE)+1,FALSE)="","",VLOOKUP($A9,'détails investissements'!$A$26:$DE$43,V$3-VLOOKUP($A9,'détails investissements'!$A$71:$B$88,2,FALSE)+1,FALSE))),'détails investissements'!$U$6:$AB$7,2,FALSE),""),FALSE),"")</f>
        <v/>
      </c>
      <c r="W9" s="45" t="str">
        <f>IF(IF(IF(W$3-VLOOKUP($A9,'détails investissements'!$A$71:$B$88,2,FALSE)&lt;=0,"",IF(VLOOKUP($A9,'détails investissements'!$A$26:$DE$43,W$3-VLOOKUP($A9,'détails investissements'!$A$71:$B$88,2,FALSE)+1,FALSE)="","",VLOOKUP($A9,'détails investissements'!$A$26:$DE$43,W$3-VLOOKUP($A9,'détails investissements'!$A$71:$B$88,2,FALSE)+1,FALSE)))&lt;&gt;"",HLOOKUP(IF(W$3-VLOOKUP($A9,'détails investissements'!$A$71:$B$88,2,FALSE)&lt;=0,"",IF(VLOOKUP($A9,'détails investissements'!$A$26:$DE$43,W$3-VLOOKUP($A9,'détails investissements'!$A$71:$B$88,2,FALSE)+1,FALSE)="","",VLOOKUP($A9,'détails investissements'!$A$26:$DE$43,W$3-VLOOKUP($A9,'détails investissements'!$A$71:$B$88,2,FALSE)+1,FALSE))),'détails investissements'!$U$6:$AB$7,2,FALSE),"")&lt;&gt;"",VLOOKUP($A9,'détails investissements'!$A$7:$H$21,1+IF(IF(W$3-VLOOKUP($A9,'détails investissements'!$A$71:$B$88,2,FALSE)&lt;=0,"",IF(VLOOKUP($A9,'détails investissements'!$A$26:$DE$43,W$3-VLOOKUP($A9,'détails investissements'!$A$71:$B$88,2,FALSE)+1,FALSE)="","",VLOOKUP($A9,'détails investissements'!$A$26:$DE$43,W$3-VLOOKUP($A9,'détails investissements'!$A$71:$B$88,2,FALSE)+1,FALSE)))&lt;&gt;"",HLOOKUP(IF(W$3-VLOOKUP($A9,'détails investissements'!$A$71:$B$88,2,FALSE)&lt;=0,"",IF(VLOOKUP($A9,'détails investissements'!$A$26:$DE$43,W$3-VLOOKUP($A9,'détails investissements'!$A$71:$B$88,2,FALSE)+1,FALSE)="","",VLOOKUP($A9,'détails investissements'!$A$26:$DE$43,W$3-VLOOKUP($A9,'détails investissements'!$A$71:$B$88,2,FALSE)+1,FALSE))),'détails investissements'!$U$6:$AB$7,2,FALSE),""),FALSE),"")</f>
        <v/>
      </c>
      <c r="X9" s="45" t="str">
        <f>IF(IF(IF(X$3-VLOOKUP($A9,'détails investissements'!$A$71:$B$88,2,FALSE)&lt;=0,"",IF(VLOOKUP($A9,'détails investissements'!$A$26:$DE$43,X$3-VLOOKUP($A9,'détails investissements'!$A$71:$B$88,2,FALSE)+1,FALSE)="","",VLOOKUP($A9,'détails investissements'!$A$26:$DE$43,X$3-VLOOKUP($A9,'détails investissements'!$A$71:$B$88,2,FALSE)+1,FALSE)))&lt;&gt;"",HLOOKUP(IF(X$3-VLOOKUP($A9,'détails investissements'!$A$71:$B$88,2,FALSE)&lt;=0,"",IF(VLOOKUP($A9,'détails investissements'!$A$26:$DE$43,X$3-VLOOKUP($A9,'détails investissements'!$A$71:$B$88,2,FALSE)+1,FALSE)="","",VLOOKUP($A9,'détails investissements'!$A$26:$DE$43,X$3-VLOOKUP($A9,'détails investissements'!$A$71:$B$88,2,FALSE)+1,FALSE))),'détails investissements'!$U$6:$AB$7,2,FALSE),"")&lt;&gt;"",VLOOKUP($A9,'détails investissements'!$A$7:$H$21,1+IF(IF(X$3-VLOOKUP($A9,'détails investissements'!$A$71:$B$88,2,FALSE)&lt;=0,"",IF(VLOOKUP($A9,'détails investissements'!$A$26:$DE$43,X$3-VLOOKUP($A9,'détails investissements'!$A$71:$B$88,2,FALSE)+1,FALSE)="","",VLOOKUP($A9,'détails investissements'!$A$26:$DE$43,X$3-VLOOKUP($A9,'détails investissements'!$A$71:$B$88,2,FALSE)+1,FALSE)))&lt;&gt;"",HLOOKUP(IF(X$3-VLOOKUP($A9,'détails investissements'!$A$71:$B$88,2,FALSE)&lt;=0,"",IF(VLOOKUP($A9,'détails investissements'!$A$26:$DE$43,X$3-VLOOKUP($A9,'détails investissements'!$A$71:$B$88,2,FALSE)+1,FALSE)="","",VLOOKUP($A9,'détails investissements'!$A$26:$DE$43,X$3-VLOOKUP($A9,'détails investissements'!$A$71:$B$88,2,FALSE)+1,FALSE))),'détails investissements'!$U$6:$AB$7,2,FALSE),""),FALSE),"")</f>
        <v/>
      </c>
      <c r="Y9" s="45" t="str">
        <f>IF(IF(IF(Y$3-VLOOKUP($A9,'détails investissements'!$A$71:$B$88,2,FALSE)&lt;=0,"",IF(VLOOKUP($A9,'détails investissements'!$A$26:$DE$43,Y$3-VLOOKUP($A9,'détails investissements'!$A$71:$B$88,2,FALSE)+1,FALSE)="","",VLOOKUP($A9,'détails investissements'!$A$26:$DE$43,Y$3-VLOOKUP($A9,'détails investissements'!$A$71:$B$88,2,FALSE)+1,FALSE)))&lt;&gt;"",HLOOKUP(IF(Y$3-VLOOKUP($A9,'détails investissements'!$A$71:$B$88,2,FALSE)&lt;=0,"",IF(VLOOKUP($A9,'détails investissements'!$A$26:$DE$43,Y$3-VLOOKUP($A9,'détails investissements'!$A$71:$B$88,2,FALSE)+1,FALSE)="","",VLOOKUP($A9,'détails investissements'!$A$26:$DE$43,Y$3-VLOOKUP($A9,'détails investissements'!$A$71:$B$88,2,FALSE)+1,FALSE))),'détails investissements'!$U$6:$AB$7,2,FALSE),"")&lt;&gt;"",VLOOKUP($A9,'détails investissements'!$A$7:$H$21,1+IF(IF(Y$3-VLOOKUP($A9,'détails investissements'!$A$71:$B$88,2,FALSE)&lt;=0,"",IF(VLOOKUP($A9,'détails investissements'!$A$26:$DE$43,Y$3-VLOOKUP($A9,'détails investissements'!$A$71:$B$88,2,FALSE)+1,FALSE)="","",VLOOKUP($A9,'détails investissements'!$A$26:$DE$43,Y$3-VLOOKUP($A9,'détails investissements'!$A$71:$B$88,2,FALSE)+1,FALSE)))&lt;&gt;"",HLOOKUP(IF(Y$3-VLOOKUP($A9,'détails investissements'!$A$71:$B$88,2,FALSE)&lt;=0,"",IF(VLOOKUP($A9,'détails investissements'!$A$26:$DE$43,Y$3-VLOOKUP($A9,'détails investissements'!$A$71:$B$88,2,FALSE)+1,FALSE)="","",VLOOKUP($A9,'détails investissements'!$A$26:$DE$43,Y$3-VLOOKUP($A9,'détails investissements'!$A$71:$B$88,2,FALSE)+1,FALSE))),'détails investissements'!$U$6:$AB$7,2,FALSE),""),FALSE),"")</f>
        <v/>
      </c>
      <c r="Z9" s="45" t="str">
        <f>IF(IF(IF(Z$3-VLOOKUP($A9,'détails investissements'!$A$71:$B$88,2,FALSE)&lt;=0,"",IF(VLOOKUP($A9,'détails investissements'!$A$26:$DE$43,Z$3-VLOOKUP($A9,'détails investissements'!$A$71:$B$88,2,FALSE)+1,FALSE)="","",VLOOKUP($A9,'détails investissements'!$A$26:$DE$43,Z$3-VLOOKUP($A9,'détails investissements'!$A$71:$B$88,2,FALSE)+1,FALSE)))&lt;&gt;"",HLOOKUP(IF(Z$3-VLOOKUP($A9,'détails investissements'!$A$71:$B$88,2,FALSE)&lt;=0,"",IF(VLOOKUP($A9,'détails investissements'!$A$26:$DE$43,Z$3-VLOOKUP($A9,'détails investissements'!$A$71:$B$88,2,FALSE)+1,FALSE)="","",VLOOKUP($A9,'détails investissements'!$A$26:$DE$43,Z$3-VLOOKUP($A9,'détails investissements'!$A$71:$B$88,2,FALSE)+1,FALSE))),'détails investissements'!$U$6:$AB$7,2,FALSE),"")&lt;&gt;"",VLOOKUP($A9,'détails investissements'!$A$7:$H$21,1+IF(IF(Z$3-VLOOKUP($A9,'détails investissements'!$A$71:$B$88,2,FALSE)&lt;=0,"",IF(VLOOKUP($A9,'détails investissements'!$A$26:$DE$43,Z$3-VLOOKUP($A9,'détails investissements'!$A$71:$B$88,2,FALSE)+1,FALSE)="","",VLOOKUP($A9,'détails investissements'!$A$26:$DE$43,Z$3-VLOOKUP($A9,'détails investissements'!$A$71:$B$88,2,FALSE)+1,FALSE)))&lt;&gt;"",HLOOKUP(IF(Z$3-VLOOKUP($A9,'détails investissements'!$A$71:$B$88,2,FALSE)&lt;=0,"",IF(VLOOKUP($A9,'détails investissements'!$A$26:$DE$43,Z$3-VLOOKUP($A9,'détails investissements'!$A$71:$B$88,2,FALSE)+1,FALSE)="","",VLOOKUP($A9,'détails investissements'!$A$26:$DE$43,Z$3-VLOOKUP($A9,'détails investissements'!$A$71:$B$88,2,FALSE)+1,FALSE))),'détails investissements'!$U$6:$AB$7,2,FALSE),""),FALSE),"")</f>
        <v/>
      </c>
      <c r="AA9" s="45" t="str">
        <f>IF(IF(IF(AA$3-VLOOKUP($A9,'détails investissements'!$A$71:$B$88,2,FALSE)&lt;=0,"",IF(VLOOKUP($A9,'détails investissements'!$A$26:$DE$43,AA$3-VLOOKUP($A9,'détails investissements'!$A$71:$B$88,2,FALSE)+1,FALSE)="","",VLOOKUP($A9,'détails investissements'!$A$26:$DE$43,AA$3-VLOOKUP($A9,'détails investissements'!$A$71:$B$88,2,FALSE)+1,FALSE)))&lt;&gt;"",HLOOKUP(IF(AA$3-VLOOKUP($A9,'détails investissements'!$A$71:$B$88,2,FALSE)&lt;=0,"",IF(VLOOKUP($A9,'détails investissements'!$A$26:$DE$43,AA$3-VLOOKUP($A9,'détails investissements'!$A$71:$B$88,2,FALSE)+1,FALSE)="","",VLOOKUP($A9,'détails investissements'!$A$26:$DE$43,AA$3-VLOOKUP($A9,'détails investissements'!$A$71:$B$88,2,FALSE)+1,FALSE))),'détails investissements'!$U$6:$AB$7,2,FALSE),"")&lt;&gt;"",VLOOKUP($A9,'détails investissements'!$A$7:$H$21,1+IF(IF(AA$3-VLOOKUP($A9,'détails investissements'!$A$71:$B$88,2,FALSE)&lt;=0,"",IF(VLOOKUP($A9,'détails investissements'!$A$26:$DE$43,AA$3-VLOOKUP($A9,'détails investissements'!$A$71:$B$88,2,FALSE)+1,FALSE)="","",VLOOKUP($A9,'détails investissements'!$A$26:$DE$43,AA$3-VLOOKUP($A9,'détails investissements'!$A$71:$B$88,2,FALSE)+1,FALSE)))&lt;&gt;"",HLOOKUP(IF(AA$3-VLOOKUP($A9,'détails investissements'!$A$71:$B$88,2,FALSE)&lt;=0,"",IF(VLOOKUP($A9,'détails investissements'!$A$26:$DE$43,AA$3-VLOOKUP($A9,'détails investissements'!$A$71:$B$88,2,FALSE)+1,FALSE)="","",VLOOKUP($A9,'détails investissements'!$A$26:$DE$43,AA$3-VLOOKUP($A9,'détails investissements'!$A$71:$B$88,2,FALSE)+1,FALSE))),'détails investissements'!$U$6:$AB$7,2,FALSE),""),FALSE),"")</f>
        <v/>
      </c>
      <c r="AB9" s="45" t="str">
        <f>IF(IF(IF(AB$3-VLOOKUP($A9,'détails investissements'!$A$71:$B$88,2,FALSE)&lt;=0,"",IF(VLOOKUP($A9,'détails investissements'!$A$26:$DE$43,AB$3-VLOOKUP($A9,'détails investissements'!$A$71:$B$88,2,FALSE)+1,FALSE)="","",VLOOKUP($A9,'détails investissements'!$A$26:$DE$43,AB$3-VLOOKUP($A9,'détails investissements'!$A$71:$B$88,2,FALSE)+1,FALSE)))&lt;&gt;"",HLOOKUP(IF(AB$3-VLOOKUP($A9,'détails investissements'!$A$71:$B$88,2,FALSE)&lt;=0,"",IF(VLOOKUP($A9,'détails investissements'!$A$26:$DE$43,AB$3-VLOOKUP($A9,'détails investissements'!$A$71:$B$88,2,FALSE)+1,FALSE)="","",VLOOKUP($A9,'détails investissements'!$A$26:$DE$43,AB$3-VLOOKUP($A9,'détails investissements'!$A$71:$B$88,2,FALSE)+1,FALSE))),'détails investissements'!$U$6:$AB$7,2,FALSE),"")&lt;&gt;"",VLOOKUP($A9,'détails investissements'!$A$7:$H$21,1+IF(IF(AB$3-VLOOKUP($A9,'détails investissements'!$A$71:$B$88,2,FALSE)&lt;=0,"",IF(VLOOKUP($A9,'détails investissements'!$A$26:$DE$43,AB$3-VLOOKUP($A9,'détails investissements'!$A$71:$B$88,2,FALSE)+1,FALSE)="","",VLOOKUP($A9,'détails investissements'!$A$26:$DE$43,AB$3-VLOOKUP($A9,'détails investissements'!$A$71:$B$88,2,FALSE)+1,FALSE)))&lt;&gt;"",HLOOKUP(IF(AB$3-VLOOKUP($A9,'détails investissements'!$A$71:$B$88,2,FALSE)&lt;=0,"",IF(VLOOKUP($A9,'détails investissements'!$A$26:$DE$43,AB$3-VLOOKUP($A9,'détails investissements'!$A$71:$B$88,2,FALSE)+1,FALSE)="","",VLOOKUP($A9,'détails investissements'!$A$26:$DE$43,AB$3-VLOOKUP($A9,'détails investissements'!$A$71:$B$88,2,FALSE)+1,FALSE))),'détails investissements'!$U$6:$AB$7,2,FALSE),""),FALSE),"")</f>
        <v/>
      </c>
      <c r="AC9" s="45" t="str">
        <f>IF(IF(IF(AC$3-VLOOKUP($A9,'détails investissements'!$A$71:$B$88,2,FALSE)&lt;=0,"",IF(VLOOKUP($A9,'détails investissements'!$A$26:$DE$43,AC$3-VLOOKUP($A9,'détails investissements'!$A$71:$B$88,2,FALSE)+1,FALSE)="","",VLOOKUP($A9,'détails investissements'!$A$26:$DE$43,AC$3-VLOOKUP($A9,'détails investissements'!$A$71:$B$88,2,FALSE)+1,FALSE)))&lt;&gt;"",HLOOKUP(IF(AC$3-VLOOKUP($A9,'détails investissements'!$A$71:$B$88,2,FALSE)&lt;=0,"",IF(VLOOKUP($A9,'détails investissements'!$A$26:$DE$43,AC$3-VLOOKUP($A9,'détails investissements'!$A$71:$B$88,2,FALSE)+1,FALSE)="","",VLOOKUP($A9,'détails investissements'!$A$26:$DE$43,AC$3-VLOOKUP($A9,'détails investissements'!$A$71:$B$88,2,FALSE)+1,FALSE))),'détails investissements'!$U$6:$AB$7,2,FALSE),"")&lt;&gt;"",VLOOKUP($A9,'détails investissements'!$A$7:$H$21,1+IF(IF(AC$3-VLOOKUP($A9,'détails investissements'!$A$71:$B$88,2,FALSE)&lt;=0,"",IF(VLOOKUP($A9,'détails investissements'!$A$26:$DE$43,AC$3-VLOOKUP($A9,'détails investissements'!$A$71:$B$88,2,FALSE)+1,FALSE)="","",VLOOKUP($A9,'détails investissements'!$A$26:$DE$43,AC$3-VLOOKUP($A9,'détails investissements'!$A$71:$B$88,2,FALSE)+1,FALSE)))&lt;&gt;"",HLOOKUP(IF(AC$3-VLOOKUP($A9,'détails investissements'!$A$71:$B$88,2,FALSE)&lt;=0,"",IF(VLOOKUP($A9,'détails investissements'!$A$26:$DE$43,AC$3-VLOOKUP($A9,'détails investissements'!$A$71:$B$88,2,FALSE)+1,FALSE)="","",VLOOKUP($A9,'détails investissements'!$A$26:$DE$43,AC$3-VLOOKUP($A9,'détails investissements'!$A$71:$B$88,2,FALSE)+1,FALSE))),'détails investissements'!$U$6:$AB$7,2,FALSE),""),FALSE),"")</f>
        <v/>
      </c>
      <c r="AD9" s="45" t="str">
        <f>IF(IF(IF(AD$3-VLOOKUP($A9,'détails investissements'!$A$71:$B$88,2,FALSE)&lt;=0,"",IF(VLOOKUP($A9,'détails investissements'!$A$26:$DE$43,AD$3-VLOOKUP($A9,'détails investissements'!$A$71:$B$88,2,FALSE)+1,FALSE)="","",VLOOKUP($A9,'détails investissements'!$A$26:$DE$43,AD$3-VLOOKUP($A9,'détails investissements'!$A$71:$B$88,2,FALSE)+1,FALSE)))&lt;&gt;"",HLOOKUP(IF(AD$3-VLOOKUP($A9,'détails investissements'!$A$71:$B$88,2,FALSE)&lt;=0,"",IF(VLOOKUP($A9,'détails investissements'!$A$26:$DE$43,AD$3-VLOOKUP($A9,'détails investissements'!$A$71:$B$88,2,FALSE)+1,FALSE)="","",VLOOKUP($A9,'détails investissements'!$A$26:$DE$43,AD$3-VLOOKUP($A9,'détails investissements'!$A$71:$B$88,2,FALSE)+1,FALSE))),'détails investissements'!$U$6:$AB$7,2,FALSE),"")&lt;&gt;"",VLOOKUP($A9,'détails investissements'!$A$7:$H$21,1+IF(IF(AD$3-VLOOKUP($A9,'détails investissements'!$A$71:$B$88,2,FALSE)&lt;=0,"",IF(VLOOKUP($A9,'détails investissements'!$A$26:$DE$43,AD$3-VLOOKUP($A9,'détails investissements'!$A$71:$B$88,2,FALSE)+1,FALSE)="","",VLOOKUP($A9,'détails investissements'!$A$26:$DE$43,AD$3-VLOOKUP($A9,'détails investissements'!$A$71:$B$88,2,FALSE)+1,FALSE)))&lt;&gt;"",HLOOKUP(IF(AD$3-VLOOKUP($A9,'détails investissements'!$A$71:$B$88,2,FALSE)&lt;=0,"",IF(VLOOKUP($A9,'détails investissements'!$A$26:$DE$43,AD$3-VLOOKUP($A9,'détails investissements'!$A$71:$B$88,2,FALSE)+1,FALSE)="","",VLOOKUP($A9,'détails investissements'!$A$26:$DE$43,AD$3-VLOOKUP($A9,'détails investissements'!$A$71:$B$88,2,FALSE)+1,FALSE))),'détails investissements'!$U$6:$AB$7,2,FALSE),""),FALSE),"")</f>
        <v/>
      </c>
      <c r="AE9" s="45" t="str">
        <f>IF(IF(IF(AE$3-VLOOKUP($A9,'détails investissements'!$A$71:$B$88,2,FALSE)&lt;=0,"",IF(VLOOKUP($A9,'détails investissements'!$A$26:$DE$43,AE$3-VLOOKUP($A9,'détails investissements'!$A$71:$B$88,2,FALSE)+1,FALSE)="","",VLOOKUP($A9,'détails investissements'!$A$26:$DE$43,AE$3-VLOOKUP($A9,'détails investissements'!$A$71:$B$88,2,FALSE)+1,FALSE)))&lt;&gt;"",HLOOKUP(IF(AE$3-VLOOKUP($A9,'détails investissements'!$A$71:$B$88,2,FALSE)&lt;=0,"",IF(VLOOKUP($A9,'détails investissements'!$A$26:$DE$43,AE$3-VLOOKUP($A9,'détails investissements'!$A$71:$B$88,2,FALSE)+1,FALSE)="","",VLOOKUP($A9,'détails investissements'!$A$26:$DE$43,AE$3-VLOOKUP($A9,'détails investissements'!$A$71:$B$88,2,FALSE)+1,FALSE))),'détails investissements'!$U$6:$AB$7,2,FALSE),"")&lt;&gt;"",VLOOKUP($A9,'détails investissements'!$A$7:$H$21,1+IF(IF(AE$3-VLOOKUP($A9,'détails investissements'!$A$71:$B$88,2,FALSE)&lt;=0,"",IF(VLOOKUP($A9,'détails investissements'!$A$26:$DE$43,AE$3-VLOOKUP($A9,'détails investissements'!$A$71:$B$88,2,FALSE)+1,FALSE)="","",VLOOKUP($A9,'détails investissements'!$A$26:$DE$43,AE$3-VLOOKUP($A9,'détails investissements'!$A$71:$B$88,2,FALSE)+1,FALSE)))&lt;&gt;"",HLOOKUP(IF(AE$3-VLOOKUP($A9,'détails investissements'!$A$71:$B$88,2,FALSE)&lt;=0,"",IF(VLOOKUP($A9,'détails investissements'!$A$26:$DE$43,AE$3-VLOOKUP($A9,'détails investissements'!$A$71:$B$88,2,FALSE)+1,FALSE)="","",VLOOKUP($A9,'détails investissements'!$A$26:$DE$43,AE$3-VLOOKUP($A9,'détails investissements'!$A$71:$B$88,2,FALSE)+1,FALSE))),'détails investissements'!$U$6:$AB$7,2,FALSE),""),FALSE),"")</f>
        <v/>
      </c>
      <c r="AF9" s="45" t="str">
        <f>IF(IF(IF(AF$3-VLOOKUP($A9,'détails investissements'!$A$71:$B$88,2,FALSE)&lt;=0,"",IF(VLOOKUP($A9,'détails investissements'!$A$26:$DE$43,AF$3-VLOOKUP($A9,'détails investissements'!$A$71:$B$88,2,FALSE)+1,FALSE)="","",VLOOKUP($A9,'détails investissements'!$A$26:$DE$43,AF$3-VLOOKUP($A9,'détails investissements'!$A$71:$B$88,2,FALSE)+1,FALSE)))&lt;&gt;"",HLOOKUP(IF(AF$3-VLOOKUP($A9,'détails investissements'!$A$71:$B$88,2,FALSE)&lt;=0,"",IF(VLOOKUP($A9,'détails investissements'!$A$26:$DE$43,AF$3-VLOOKUP($A9,'détails investissements'!$A$71:$B$88,2,FALSE)+1,FALSE)="","",VLOOKUP($A9,'détails investissements'!$A$26:$DE$43,AF$3-VLOOKUP($A9,'détails investissements'!$A$71:$B$88,2,FALSE)+1,FALSE))),'détails investissements'!$U$6:$AB$7,2,FALSE),"")&lt;&gt;"",VLOOKUP($A9,'détails investissements'!$A$7:$H$21,1+IF(IF(AF$3-VLOOKUP($A9,'détails investissements'!$A$71:$B$88,2,FALSE)&lt;=0,"",IF(VLOOKUP($A9,'détails investissements'!$A$26:$DE$43,AF$3-VLOOKUP($A9,'détails investissements'!$A$71:$B$88,2,FALSE)+1,FALSE)="","",VLOOKUP($A9,'détails investissements'!$A$26:$DE$43,AF$3-VLOOKUP($A9,'détails investissements'!$A$71:$B$88,2,FALSE)+1,FALSE)))&lt;&gt;"",HLOOKUP(IF(AF$3-VLOOKUP($A9,'détails investissements'!$A$71:$B$88,2,FALSE)&lt;=0,"",IF(VLOOKUP($A9,'détails investissements'!$A$26:$DE$43,AF$3-VLOOKUP($A9,'détails investissements'!$A$71:$B$88,2,FALSE)+1,FALSE)="","",VLOOKUP($A9,'détails investissements'!$A$26:$DE$43,AF$3-VLOOKUP($A9,'détails investissements'!$A$71:$B$88,2,FALSE)+1,FALSE))),'détails investissements'!$U$6:$AB$7,2,FALSE),""),FALSE),"")</f>
        <v/>
      </c>
      <c r="AG9" s="45" t="str">
        <f>IF(IF(IF(AG$3-VLOOKUP($A9,'détails investissements'!$A$71:$B$88,2,FALSE)&lt;=0,"",IF(VLOOKUP($A9,'détails investissements'!$A$26:$DE$43,AG$3-VLOOKUP($A9,'détails investissements'!$A$71:$B$88,2,FALSE)+1,FALSE)="","",VLOOKUP($A9,'détails investissements'!$A$26:$DE$43,AG$3-VLOOKUP($A9,'détails investissements'!$A$71:$B$88,2,FALSE)+1,FALSE)))&lt;&gt;"",HLOOKUP(IF(AG$3-VLOOKUP($A9,'détails investissements'!$A$71:$B$88,2,FALSE)&lt;=0,"",IF(VLOOKUP($A9,'détails investissements'!$A$26:$DE$43,AG$3-VLOOKUP($A9,'détails investissements'!$A$71:$B$88,2,FALSE)+1,FALSE)="","",VLOOKUP($A9,'détails investissements'!$A$26:$DE$43,AG$3-VLOOKUP($A9,'détails investissements'!$A$71:$B$88,2,FALSE)+1,FALSE))),'détails investissements'!$U$6:$AB$7,2,FALSE),"")&lt;&gt;"",VLOOKUP($A9,'détails investissements'!$A$7:$H$21,1+IF(IF(AG$3-VLOOKUP($A9,'détails investissements'!$A$71:$B$88,2,FALSE)&lt;=0,"",IF(VLOOKUP($A9,'détails investissements'!$A$26:$DE$43,AG$3-VLOOKUP($A9,'détails investissements'!$A$71:$B$88,2,FALSE)+1,FALSE)="","",VLOOKUP($A9,'détails investissements'!$A$26:$DE$43,AG$3-VLOOKUP($A9,'détails investissements'!$A$71:$B$88,2,FALSE)+1,FALSE)))&lt;&gt;"",HLOOKUP(IF(AG$3-VLOOKUP($A9,'détails investissements'!$A$71:$B$88,2,FALSE)&lt;=0,"",IF(VLOOKUP($A9,'détails investissements'!$A$26:$DE$43,AG$3-VLOOKUP($A9,'détails investissements'!$A$71:$B$88,2,FALSE)+1,FALSE)="","",VLOOKUP($A9,'détails investissements'!$A$26:$DE$43,AG$3-VLOOKUP($A9,'détails investissements'!$A$71:$B$88,2,FALSE)+1,FALSE))),'détails investissements'!$U$6:$AB$7,2,FALSE),""),FALSE),"")</f>
        <v/>
      </c>
      <c r="AH9" s="45" t="str">
        <f>IF(IF(IF(AH$3-VLOOKUP($A9,'détails investissements'!$A$71:$B$88,2,FALSE)&lt;=0,"",IF(VLOOKUP($A9,'détails investissements'!$A$26:$DE$43,AH$3-VLOOKUP($A9,'détails investissements'!$A$71:$B$88,2,FALSE)+1,FALSE)="","",VLOOKUP($A9,'détails investissements'!$A$26:$DE$43,AH$3-VLOOKUP($A9,'détails investissements'!$A$71:$B$88,2,FALSE)+1,FALSE)))&lt;&gt;"",HLOOKUP(IF(AH$3-VLOOKUP($A9,'détails investissements'!$A$71:$B$88,2,FALSE)&lt;=0,"",IF(VLOOKUP($A9,'détails investissements'!$A$26:$DE$43,AH$3-VLOOKUP($A9,'détails investissements'!$A$71:$B$88,2,FALSE)+1,FALSE)="","",VLOOKUP($A9,'détails investissements'!$A$26:$DE$43,AH$3-VLOOKUP($A9,'détails investissements'!$A$71:$B$88,2,FALSE)+1,FALSE))),'détails investissements'!$U$6:$AB$7,2,FALSE),"")&lt;&gt;"",VLOOKUP($A9,'détails investissements'!$A$7:$H$21,1+IF(IF(AH$3-VLOOKUP($A9,'détails investissements'!$A$71:$B$88,2,FALSE)&lt;=0,"",IF(VLOOKUP($A9,'détails investissements'!$A$26:$DE$43,AH$3-VLOOKUP($A9,'détails investissements'!$A$71:$B$88,2,FALSE)+1,FALSE)="","",VLOOKUP($A9,'détails investissements'!$A$26:$DE$43,AH$3-VLOOKUP($A9,'détails investissements'!$A$71:$B$88,2,FALSE)+1,FALSE)))&lt;&gt;"",HLOOKUP(IF(AH$3-VLOOKUP($A9,'détails investissements'!$A$71:$B$88,2,FALSE)&lt;=0,"",IF(VLOOKUP($A9,'détails investissements'!$A$26:$DE$43,AH$3-VLOOKUP($A9,'détails investissements'!$A$71:$B$88,2,FALSE)+1,FALSE)="","",VLOOKUP($A9,'détails investissements'!$A$26:$DE$43,AH$3-VLOOKUP($A9,'détails investissements'!$A$71:$B$88,2,FALSE)+1,FALSE))),'détails investissements'!$U$6:$AB$7,2,FALSE),""),FALSE),"")</f>
        <v/>
      </c>
      <c r="AI9" s="45" t="str">
        <f>IF(IF(IF(AI$3-VLOOKUP($A9,'détails investissements'!$A$71:$B$88,2,FALSE)&lt;=0,"",IF(VLOOKUP($A9,'détails investissements'!$A$26:$DE$43,AI$3-VLOOKUP($A9,'détails investissements'!$A$71:$B$88,2,FALSE)+1,FALSE)="","",VLOOKUP($A9,'détails investissements'!$A$26:$DE$43,AI$3-VLOOKUP($A9,'détails investissements'!$A$71:$B$88,2,FALSE)+1,FALSE)))&lt;&gt;"",HLOOKUP(IF(AI$3-VLOOKUP($A9,'détails investissements'!$A$71:$B$88,2,FALSE)&lt;=0,"",IF(VLOOKUP($A9,'détails investissements'!$A$26:$DE$43,AI$3-VLOOKUP($A9,'détails investissements'!$A$71:$B$88,2,FALSE)+1,FALSE)="","",VLOOKUP($A9,'détails investissements'!$A$26:$DE$43,AI$3-VLOOKUP($A9,'détails investissements'!$A$71:$B$88,2,FALSE)+1,FALSE))),'détails investissements'!$U$6:$AB$7,2,FALSE),"")&lt;&gt;"",VLOOKUP($A9,'détails investissements'!$A$7:$H$21,1+IF(IF(AI$3-VLOOKUP($A9,'détails investissements'!$A$71:$B$88,2,FALSE)&lt;=0,"",IF(VLOOKUP($A9,'détails investissements'!$A$26:$DE$43,AI$3-VLOOKUP($A9,'détails investissements'!$A$71:$B$88,2,FALSE)+1,FALSE)="","",VLOOKUP($A9,'détails investissements'!$A$26:$DE$43,AI$3-VLOOKUP($A9,'détails investissements'!$A$71:$B$88,2,FALSE)+1,FALSE)))&lt;&gt;"",HLOOKUP(IF(AI$3-VLOOKUP($A9,'détails investissements'!$A$71:$B$88,2,FALSE)&lt;=0,"",IF(VLOOKUP($A9,'détails investissements'!$A$26:$DE$43,AI$3-VLOOKUP($A9,'détails investissements'!$A$71:$B$88,2,FALSE)+1,FALSE)="","",VLOOKUP($A9,'détails investissements'!$A$26:$DE$43,AI$3-VLOOKUP($A9,'détails investissements'!$A$71:$B$88,2,FALSE)+1,FALSE))),'détails investissements'!$U$6:$AB$7,2,FALSE),""),FALSE),"")</f>
        <v/>
      </c>
      <c r="AJ9" s="45" t="str">
        <f>IF(IF(IF(AJ$3-VLOOKUP($A9,'détails investissements'!$A$71:$B$88,2,FALSE)&lt;=0,"",IF(VLOOKUP($A9,'détails investissements'!$A$26:$DE$43,AJ$3-VLOOKUP($A9,'détails investissements'!$A$71:$B$88,2,FALSE)+1,FALSE)="","",VLOOKUP($A9,'détails investissements'!$A$26:$DE$43,AJ$3-VLOOKUP($A9,'détails investissements'!$A$71:$B$88,2,FALSE)+1,FALSE)))&lt;&gt;"",HLOOKUP(IF(AJ$3-VLOOKUP($A9,'détails investissements'!$A$71:$B$88,2,FALSE)&lt;=0,"",IF(VLOOKUP($A9,'détails investissements'!$A$26:$DE$43,AJ$3-VLOOKUP($A9,'détails investissements'!$A$71:$B$88,2,FALSE)+1,FALSE)="","",VLOOKUP($A9,'détails investissements'!$A$26:$DE$43,AJ$3-VLOOKUP($A9,'détails investissements'!$A$71:$B$88,2,FALSE)+1,FALSE))),'détails investissements'!$U$6:$AB$7,2,FALSE),"")&lt;&gt;"",VLOOKUP($A9,'détails investissements'!$A$7:$H$21,1+IF(IF(AJ$3-VLOOKUP($A9,'détails investissements'!$A$71:$B$88,2,FALSE)&lt;=0,"",IF(VLOOKUP($A9,'détails investissements'!$A$26:$DE$43,AJ$3-VLOOKUP($A9,'détails investissements'!$A$71:$B$88,2,FALSE)+1,FALSE)="","",VLOOKUP($A9,'détails investissements'!$A$26:$DE$43,AJ$3-VLOOKUP($A9,'détails investissements'!$A$71:$B$88,2,FALSE)+1,FALSE)))&lt;&gt;"",HLOOKUP(IF(AJ$3-VLOOKUP($A9,'détails investissements'!$A$71:$B$88,2,FALSE)&lt;=0,"",IF(VLOOKUP($A9,'détails investissements'!$A$26:$DE$43,AJ$3-VLOOKUP($A9,'détails investissements'!$A$71:$B$88,2,FALSE)+1,FALSE)="","",VLOOKUP($A9,'détails investissements'!$A$26:$DE$43,AJ$3-VLOOKUP($A9,'détails investissements'!$A$71:$B$88,2,FALSE)+1,FALSE))),'détails investissements'!$U$6:$AB$7,2,FALSE),""),FALSE),"")</f>
        <v/>
      </c>
      <c r="AK9" s="45" t="str">
        <f>IF(IF(IF(AK$3-VLOOKUP($A9,'détails investissements'!$A$71:$B$88,2,FALSE)&lt;=0,"",IF(VLOOKUP($A9,'détails investissements'!$A$26:$DE$43,AK$3-VLOOKUP($A9,'détails investissements'!$A$71:$B$88,2,FALSE)+1,FALSE)="","",VLOOKUP($A9,'détails investissements'!$A$26:$DE$43,AK$3-VLOOKUP($A9,'détails investissements'!$A$71:$B$88,2,FALSE)+1,FALSE)))&lt;&gt;"",HLOOKUP(IF(AK$3-VLOOKUP($A9,'détails investissements'!$A$71:$B$88,2,FALSE)&lt;=0,"",IF(VLOOKUP($A9,'détails investissements'!$A$26:$DE$43,AK$3-VLOOKUP($A9,'détails investissements'!$A$71:$B$88,2,FALSE)+1,FALSE)="","",VLOOKUP($A9,'détails investissements'!$A$26:$DE$43,AK$3-VLOOKUP($A9,'détails investissements'!$A$71:$B$88,2,FALSE)+1,FALSE))),'détails investissements'!$U$6:$AB$7,2,FALSE),"")&lt;&gt;"",VLOOKUP($A9,'détails investissements'!$A$7:$H$21,1+IF(IF(AK$3-VLOOKUP($A9,'détails investissements'!$A$71:$B$88,2,FALSE)&lt;=0,"",IF(VLOOKUP($A9,'détails investissements'!$A$26:$DE$43,AK$3-VLOOKUP($A9,'détails investissements'!$A$71:$B$88,2,FALSE)+1,FALSE)="","",VLOOKUP($A9,'détails investissements'!$A$26:$DE$43,AK$3-VLOOKUP($A9,'détails investissements'!$A$71:$B$88,2,FALSE)+1,FALSE)))&lt;&gt;"",HLOOKUP(IF(AK$3-VLOOKUP($A9,'détails investissements'!$A$71:$B$88,2,FALSE)&lt;=0,"",IF(VLOOKUP($A9,'détails investissements'!$A$26:$DE$43,AK$3-VLOOKUP($A9,'détails investissements'!$A$71:$B$88,2,FALSE)+1,FALSE)="","",VLOOKUP($A9,'détails investissements'!$A$26:$DE$43,AK$3-VLOOKUP($A9,'détails investissements'!$A$71:$B$88,2,FALSE)+1,FALSE))),'détails investissements'!$U$6:$AB$7,2,FALSE),""),FALSE),"")</f>
        <v/>
      </c>
      <c r="AL9" s="45" t="str">
        <f>IF(IF(IF(AL$3-VLOOKUP($A9,'détails investissements'!$A$71:$B$88,2,FALSE)&lt;=0,"",IF(VLOOKUP($A9,'détails investissements'!$A$26:$DE$43,AL$3-VLOOKUP($A9,'détails investissements'!$A$71:$B$88,2,FALSE)+1,FALSE)="","",VLOOKUP($A9,'détails investissements'!$A$26:$DE$43,AL$3-VLOOKUP($A9,'détails investissements'!$A$71:$B$88,2,FALSE)+1,FALSE)))&lt;&gt;"",HLOOKUP(IF(AL$3-VLOOKUP($A9,'détails investissements'!$A$71:$B$88,2,FALSE)&lt;=0,"",IF(VLOOKUP($A9,'détails investissements'!$A$26:$DE$43,AL$3-VLOOKUP($A9,'détails investissements'!$A$71:$B$88,2,FALSE)+1,FALSE)="","",VLOOKUP($A9,'détails investissements'!$A$26:$DE$43,AL$3-VLOOKUP($A9,'détails investissements'!$A$71:$B$88,2,FALSE)+1,FALSE))),'détails investissements'!$U$6:$AB$7,2,FALSE),"")&lt;&gt;"",VLOOKUP($A9,'détails investissements'!$A$7:$H$21,1+IF(IF(AL$3-VLOOKUP($A9,'détails investissements'!$A$71:$B$88,2,FALSE)&lt;=0,"",IF(VLOOKUP($A9,'détails investissements'!$A$26:$DE$43,AL$3-VLOOKUP($A9,'détails investissements'!$A$71:$B$88,2,FALSE)+1,FALSE)="","",VLOOKUP($A9,'détails investissements'!$A$26:$DE$43,AL$3-VLOOKUP($A9,'détails investissements'!$A$71:$B$88,2,FALSE)+1,FALSE)))&lt;&gt;"",HLOOKUP(IF(AL$3-VLOOKUP($A9,'détails investissements'!$A$71:$B$88,2,FALSE)&lt;=0,"",IF(VLOOKUP($A9,'détails investissements'!$A$26:$DE$43,AL$3-VLOOKUP($A9,'détails investissements'!$A$71:$B$88,2,FALSE)+1,FALSE)="","",VLOOKUP($A9,'détails investissements'!$A$26:$DE$43,AL$3-VLOOKUP($A9,'détails investissements'!$A$71:$B$88,2,FALSE)+1,FALSE))),'détails investissements'!$U$6:$AB$7,2,FALSE),""),FALSE),"")</f>
        <v/>
      </c>
      <c r="AM9" s="45" t="str">
        <f>IF(IF(IF(AM$3-VLOOKUP($A9,'détails investissements'!$A$71:$B$88,2,FALSE)&lt;=0,"",IF(VLOOKUP($A9,'détails investissements'!$A$26:$DE$43,AM$3-VLOOKUP($A9,'détails investissements'!$A$71:$B$88,2,FALSE)+1,FALSE)="","",VLOOKUP($A9,'détails investissements'!$A$26:$DE$43,AM$3-VLOOKUP($A9,'détails investissements'!$A$71:$B$88,2,FALSE)+1,FALSE)))&lt;&gt;"",HLOOKUP(IF(AM$3-VLOOKUP($A9,'détails investissements'!$A$71:$B$88,2,FALSE)&lt;=0,"",IF(VLOOKUP($A9,'détails investissements'!$A$26:$DE$43,AM$3-VLOOKUP($A9,'détails investissements'!$A$71:$B$88,2,FALSE)+1,FALSE)="","",VLOOKUP($A9,'détails investissements'!$A$26:$DE$43,AM$3-VLOOKUP($A9,'détails investissements'!$A$71:$B$88,2,FALSE)+1,FALSE))),'détails investissements'!$U$6:$AB$7,2,FALSE),"")&lt;&gt;"",VLOOKUP($A9,'détails investissements'!$A$7:$H$21,1+IF(IF(AM$3-VLOOKUP($A9,'détails investissements'!$A$71:$B$88,2,FALSE)&lt;=0,"",IF(VLOOKUP($A9,'détails investissements'!$A$26:$DE$43,AM$3-VLOOKUP($A9,'détails investissements'!$A$71:$B$88,2,FALSE)+1,FALSE)="","",VLOOKUP($A9,'détails investissements'!$A$26:$DE$43,AM$3-VLOOKUP($A9,'détails investissements'!$A$71:$B$88,2,FALSE)+1,FALSE)))&lt;&gt;"",HLOOKUP(IF(AM$3-VLOOKUP($A9,'détails investissements'!$A$71:$B$88,2,FALSE)&lt;=0,"",IF(VLOOKUP($A9,'détails investissements'!$A$26:$DE$43,AM$3-VLOOKUP($A9,'détails investissements'!$A$71:$B$88,2,FALSE)+1,FALSE)="","",VLOOKUP($A9,'détails investissements'!$A$26:$DE$43,AM$3-VLOOKUP($A9,'détails investissements'!$A$71:$B$88,2,FALSE)+1,FALSE))),'détails investissements'!$U$6:$AB$7,2,FALSE),""),FALSE),"")</f>
        <v/>
      </c>
      <c r="AN9" s="45" t="str">
        <f>IF(IF(IF(AN$3-VLOOKUP($A9,'détails investissements'!$A$71:$B$88,2,FALSE)&lt;=0,"",IF(VLOOKUP($A9,'détails investissements'!$A$26:$DE$43,AN$3-VLOOKUP($A9,'détails investissements'!$A$71:$B$88,2,FALSE)+1,FALSE)="","",VLOOKUP($A9,'détails investissements'!$A$26:$DE$43,AN$3-VLOOKUP($A9,'détails investissements'!$A$71:$B$88,2,FALSE)+1,FALSE)))&lt;&gt;"",HLOOKUP(IF(AN$3-VLOOKUP($A9,'détails investissements'!$A$71:$B$88,2,FALSE)&lt;=0,"",IF(VLOOKUP($A9,'détails investissements'!$A$26:$DE$43,AN$3-VLOOKUP($A9,'détails investissements'!$A$71:$B$88,2,FALSE)+1,FALSE)="","",VLOOKUP($A9,'détails investissements'!$A$26:$DE$43,AN$3-VLOOKUP($A9,'détails investissements'!$A$71:$B$88,2,FALSE)+1,FALSE))),'détails investissements'!$U$6:$AB$7,2,FALSE),"")&lt;&gt;"",VLOOKUP($A9,'détails investissements'!$A$7:$H$21,1+IF(IF(AN$3-VLOOKUP($A9,'détails investissements'!$A$71:$B$88,2,FALSE)&lt;=0,"",IF(VLOOKUP($A9,'détails investissements'!$A$26:$DE$43,AN$3-VLOOKUP($A9,'détails investissements'!$A$71:$B$88,2,FALSE)+1,FALSE)="","",VLOOKUP($A9,'détails investissements'!$A$26:$DE$43,AN$3-VLOOKUP($A9,'détails investissements'!$A$71:$B$88,2,FALSE)+1,FALSE)))&lt;&gt;"",HLOOKUP(IF(AN$3-VLOOKUP($A9,'détails investissements'!$A$71:$B$88,2,FALSE)&lt;=0,"",IF(VLOOKUP($A9,'détails investissements'!$A$26:$DE$43,AN$3-VLOOKUP($A9,'détails investissements'!$A$71:$B$88,2,FALSE)+1,FALSE)="","",VLOOKUP($A9,'détails investissements'!$A$26:$DE$43,AN$3-VLOOKUP($A9,'détails investissements'!$A$71:$B$88,2,FALSE)+1,FALSE))),'détails investissements'!$U$6:$AB$7,2,FALSE),""),FALSE),"")</f>
        <v/>
      </c>
      <c r="AO9" s="45" t="str">
        <f>IF(IF(IF(AO$3-VLOOKUP($A9,'détails investissements'!$A$71:$B$88,2,FALSE)&lt;=0,"",IF(VLOOKUP($A9,'détails investissements'!$A$26:$DE$43,AO$3-VLOOKUP($A9,'détails investissements'!$A$71:$B$88,2,FALSE)+1,FALSE)="","",VLOOKUP($A9,'détails investissements'!$A$26:$DE$43,AO$3-VLOOKUP($A9,'détails investissements'!$A$71:$B$88,2,FALSE)+1,FALSE)))&lt;&gt;"",HLOOKUP(IF(AO$3-VLOOKUP($A9,'détails investissements'!$A$71:$B$88,2,FALSE)&lt;=0,"",IF(VLOOKUP($A9,'détails investissements'!$A$26:$DE$43,AO$3-VLOOKUP($A9,'détails investissements'!$A$71:$B$88,2,FALSE)+1,FALSE)="","",VLOOKUP($A9,'détails investissements'!$A$26:$DE$43,AO$3-VLOOKUP($A9,'détails investissements'!$A$71:$B$88,2,FALSE)+1,FALSE))),'détails investissements'!$U$6:$AB$7,2,FALSE),"")&lt;&gt;"",VLOOKUP($A9,'détails investissements'!$A$7:$H$21,1+IF(IF(AO$3-VLOOKUP($A9,'détails investissements'!$A$71:$B$88,2,FALSE)&lt;=0,"",IF(VLOOKUP($A9,'détails investissements'!$A$26:$DE$43,AO$3-VLOOKUP($A9,'détails investissements'!$A$71:$B$88,2,FALSE)+1,FALSE)="","",VLOOKUP($A9,'détails investissements'!$A$26:$DE$43,AO$3-VLOOKUP($A9,'détails investissements'!$A$71:$B$88,2,FALSE)+1,FALSE)))&lt;&gt;"",HLOOKUP(IF(AO$3-VLOOKUP($A9,'détails investissements'!$A$71:$B$88,2,FALSE)&lt;=0,"",IF(VLOOKUP($A9,'détails investissements'!$A$26:$DE$43,AO$3-VLOOKUP($A9,'détails investissements'!$A$71:$B$88,2,FALSE)+1,FALSE)="","",VLOOKUP($A9,'détails investissements'!$A$26:$DE$43,AO$3-VLOOKUP($A9,'détails investissements'!$A$71:$B$88,2,FALSE)+1,FALSE))),'détails investissements'!$U$6:$AB$7,2,FALSE),""),FALSE),"")</f>
        <v/>
      </c>
      <c r="AP9" s="45" t="str">
        <f>IF(IF(IF(AP$3-VLOOKUP($A9,'détails investissements'!$A$71:$B$88,2,FALSE)&lt;=0,"",IF(VLOOKUP($A9,'détails investissements'!$A$26:$DE$43,AP$3-VLOOKUP($A9,'détails investissements'!$A$71:$B$88,2,FALSE)+1,FALSE)="","",VLOOKUP($A9,'détails investissements'!$A$26:$DE$43,AP$3-VLOOKUP($A9,'détails investissements'!$A$71:$B$88,2,FALSE)+1,FALSE)))&lt;&gt;"",HLOOKUP(IF(AP$3-VLOOKUP($A9,'détails investissements'!$A$71:$B$88,2,FALSE)&lt;=0,"",IF(VLOOKUP($A9,'détails investissements'!$A$26:$DE$43,AP$3-VLOOKUP($A9,'détails investissements'!$A$71:$B$88,2,FALSE)+1,FALSE)="","",VLOOKUP($A9,'détails investissements'!$A$26:$DE$43,AP$3-VLOOKUP($A9,'détails investissements'!$A$71:$B$88,2,FALSE)+1,FALSE))),'détails investissements'!$U$6:$AB$7,2,FALSE),"")&lt;&gt;"",VLOOKUP($A9,'détails investissements'!$A$7:$H$21,1+IF(IF(AP$3-VLOOKUP($A9,'détails investissements'!$A$71:$B$88,2,FALSE)&lt;=0,"",IF(VLOOKUP($A9,'détails investissements'!$A$26:$DE$43,AP$3-VLOOKUP($A9,'détails investissements'!$A$71:$B$88,2,FALSE)+1,FALSE)="","",VLOOKUP($A9,'détails investissements'!$A$26:$DE$43,AP$3-VLOOKUP($A9,'détails investissements'!$A$71:$B$88,2,FALSE)+1,FALSE)))&lt;&gt;"",HLOOKUP(IF(AP$3-VLOOKUP($A9,'détails investissements'!$A$71:$B$88,2,FALSE)&lt;=0,"",IF(VLOOKUP($A9,'détails investissements'!$A$26:$DE$43,AP$3-VLOOKUP($A9,'détails investissements'!$A$71:$B$88,2,FALSE)+1,FALSE)="","",VLOOKUP($A9,'détails investissements'!$A$26:$DE$43,AP$3-VLOOKUP($A9,'détails investissements'!$A$71:$B$88,2,FALSE)+1,FALSE))),'détails investissements'!$U$6:$AB$7,2,FALSE),""),FALSE),"")</f>
        <v/>
      </c>
      <c r="AQ9" s="45" t="str">
        <f>IF(IF(IF(AQ$3-VLOOKUP($A9,'détails investissements'!$A$71:$B$88,2,FALSE)&lt;=0,"",IF(VLOOKUP($A9,'détails investissements'!$A$26:$DE$43,AQ$3-VLOOKUP($A9,'détails investissements'!$A$71:$B$88,2,FALSE)+1,FALSE)="","",VLOOKUP($A9,'détails investissements'!$A$26:$DE$43,AQ$3-VLOOKUP($A9,'détails investissements'!$A$71:$B$88,2,FALSE)+1,FALSE)))&lt;&gt;"",HLOOKUP(IF(AQ$3-VLOOKUP($A9,'détails investissements'!$A$71:$B$88,2,FALSE)&lt;=0,"",IF(VLOOKUP($A9,'détails investissements'!$A$26:$DE$43,AQ$3-VLOOKUP($A9,'détails investissements'!$A$71:$B$88,2,FALSE)+1,FALSE)="","",VLOOKUP($A9,'détails investissements'!$A$26:$DE$43,AQ$3-VLOOKUP($A9,'détails investissements'!$A$71:$B$88,2,FALSE)+1,FALSE))),'détails investissements'!$U$6:$AB$7,2,FALSE),"")&lt;&gt;"",VLOOKUP($A9,'détails investissements'!$A$7:$H$21,1+IF(IF(AQ$3-VLOOKUP($A9,'détails investissements'!$A$71:$B$88,2,FALSE)&lt;=0,"",IF(VLOOKUP($A9,'détails investissements'!$A$26:$DE$43,AQ$3-VLOOKUP($A9,'détails investissements'!$A$71:$B$88,2,FALSE)+1,FALSE)="","",VLOOKUP($A9,'détails investissements'!$A$26:$DE$43,AQ$3-VLOOKUP($A9,'détails investissements'!$A$71:$B$88,2,FALSE)+1,FALSE)))&lt;&gt;"",HLOOKUP(IF(AQ$3-VLOOKUP($A9,'détails investissements'!$A$71:$B$88,2,FALSE)&lt;=0,"",IF(VLOOKUP($A9,'détails investissements'!$A$26:$DE$43,AQ$3-VLOOKUP($A9,'détails investissements'!$A$71:$B$88,2,FALSE)+1,FALSE)="","",VLOOKUP($A9,'détails investissements'!$A$26:$DE$43,AQ$3-VLOOKUP($A9,'détails investissements'!$A$71:$B$88,2,FALSE)+1,FALSE))),'détails investissements'!$U$6:$AB$7,2,FALSE),""),FALSE),"")</f>
        <v/>
      </c>
      <c r="AR9" s="45" t="str">
        <f>IF(IF(IF(AR$3-VLOOKUP($A9,'détails investissements'!$A$71:$B$88,2,FALSE)&lt;=0,"",IF(VLOOKUP($A9,'détails investissements'!$A$26:$DE$43,AR$3-VLOOKUP($A9,'détails investissements'!$A$71:$B$88,2,FALSE)+1,FALSE)="","",VLOOKUP($A9,'détails investissements'!$A$26:$DE$43,AR$3-VLOOKUP($A9,'détails investissements'!$A$71:$B$88,2,FALSE)+1,FALSE)))&lt;&gt;"",HLOOKUP(IF(AR$3-VLOOKUP($A9,'détails investissements'!$A$71:$B$88,2,FALSE)&lt;=0,"",IF(VLOOKUP($A9,'détails investissements'!$A$26:$DE$43,AR$3-VLOOKUP($A9,'détails investissements'!$A$71:$B$88,2,FALSE)+1,FALSE)="","",VLOOKUP($A9,'détails investissements'!$A$26:$DE$43,AR$3-VLOOKUP($A9,'détails investissements'!$A$71:$B$88,2,FALSE)+1,FALSE))),'détails investissements'!$U$6:$AB$7,2,FALSE),"")&lt;&gt;"",VLOOKUP($A9,'détails investissements'!$A$7:$H$21,1+IF(IF(AR$3-VLOOKUP($A9,'détails investissements'!$A$71:$B$88,2,FALSE)&lt;=0,"",IF(VLOOKUP($A9,'détails investissements'!$A$26:$DE$43,AR$3-VLOOKUP($A9,'détails investissements'!$A$71:$B$88,2,FALSE)+1,FALSE)="","",VLOOKUP($A9,'détails investissements'!$A$26:$DE$43,AR$3-VLOOKUP($A9,'détails investissements'!$A$71:$B$88,2,FALSE)+1,FALSE)))&lt;&gt;"",HLOOKUP(IF(AR$3-VLOOKUP($A9,'détails investissements'!$A$71:$B$88,2,FALSE)&lt;=0,"",IF(VLOOKUP($A9,'détails investissements'!$A$26:$DE$43,AR$3-VLOOKUP($A9,'détails investissements'!$A$71:$B$88,2,FALSE)+1,FALSE)="","",VLOOKUP($A9,'détails investissements'!$A$26:$DE$43,AR$3-VLOOKUP($A9,'détails investissements'!$A$71:$B$88,2,FALSE)+1,FALSE))),'détails investissements'!$U$6:$AB$7,2,FALSE),""),FALSE),"")</f>
        <v/>
      </c>
      <c r="AS9" s="45" t="str">
        <f>IF(IF(IF(AS$3-VLOOKUP($A9,'détails investissements'!$A$71:$B$88,2,FALSE)&lt;=0,"",IF(VLOOKUP($A9,'détails investissements'!$A$26:$DE$43,AS$3-VLOOKUP($A9,'détails investissements'!$A$71:$B$88,2,FALSE)+1,FALSE)="","",VLOOKUP($A9,'détails investissements'!$A$26:$DE$43,AS$3-VLOOKUP($A9,'détails investissements'!$A$71:$B$88,2,FALSE)+1,FALSE)))&lt;&gt;"",HLOOKUP(IF(AS$3-VLOOKUP($A9,'détails investissements'!$A$71:$B$88,2,FALSE)&lt;=0,"",IF(VLOOKUP($A9,'détails investissements'!$A$26:$DE$43,AS$3-VLOOKUP($A9,'détails investissements'!$A$71:$B$88,2,FALSE)+1,FALSE)="","",VLOOKUP($A9,'détails investissements'!$A$26:$DE$43,AS$3-VLOOKUP($A9,'détails investissements'!$A$71:$B$88,2,FALSE)+1,FALSE))),'détails investissements'!$U$6:$AB$7,2,FALSE),"")&lt;&gt;"",VLOOKUP($A9,'détails investissements'!$A$7:$H$21,1+IF(IF(AS$3-VLOOKUP($A9,'détails investissements'!$A$71:$B$88,2,FALSE)&lt;=0,"",IF(VLOOKUP($A9,'détails investissements'!$A$26:$DE$43,AS$3-VLOOKUP($A9,'détails investissements'!$A$71:$B$88,2,FALSE)+1,FALSE)="","",VLOOKUP($A9,'détails investissements'!$A$26:$DE$43,AS$3-VLOOKUP($A9,'détails investissements'!$A$71:$B$88,2,FALSE)+1,FALSE)))&lt;&gt;"",HLOOKUP(IF(AS$3-VLOOKUP($A9,'détails investissements'!$A$71:$B$88,2,FALSE)&lt;=0,"",IF(VLOOKUP($A9,'détails investissements'!$A$26:$DE$43,AS$3-VLOOKUP($A9,'détails investissements'!$A$71:$B$88,2,FALSE)+1,FALSE)="","",VLOOKUP($A9,'détails investissements'!$A$26:$DE$43,AS$3-VLOOKUP($A9,'détails investissements'!$A$71:$B$88,2,FALSE)+1,FALSE))),'détails investissements'!$U$6:$AB$7,2,FALSE),""),FALSE),"")</f>
        <v/>
      </c>
      <c r="AT9" s="45" t="str">
        <f>IF(IF(IF(AT$3-VLOOKUP($A9,'détails investissements'!$A$71:$B$88,2,FALSE)&lt;=0,"",IF(VLOOKUP($A9,'détails investissements'!$A$26:$DE$43,AT$3-VLOOKUP($A9,'détails investissements'!$A$71:$B$88,2,FALSE)+1,FALSE)="","",VLOOKUP($A9,'détails investissements'!$A$26:$DE$43,AT$3-VLOOKUP($A9,'détails investissements'!$A$71:$B$88,2,FALSE)+1,FALSE)))&lt;&gt;"",HLOOKUP(IF(AT$3-VLOOKUP($A9,'détails investissements'!$A$71:$B$88,2,FALSE)&lt;=0,"",IF(VLOOKUP($A9,'détails investissements'!$A$26:$DE$43,AT$3-VLOOKUP($A9,'détails investissements'!$A$71:$B$88,2,FALSE)+1,FALSE)="","",VLOOKUP($A9,'détails investissements'!$A$26:$DE$43,AT$3-VLOOKUP($A9,'détails investissements'!$A$71:$B$88,2,FALSE)+1,FALSE))),'détails investissements'!$U$6:$AB$7,2,FALSE),"")&lt;&gt;"",VLOOKUP($A9,'détails investissements'!$A$7:$H$21,1+IF(IF(AT$3-VLOOKUP($A9,'détails investissements'!$A$71:$B$88,2,FALSE)&lt;=0,"",IF(VLOOKUP($A9,'détails investissements'!$A$26:$DE$43,AT$3-VLOOKUP($A9,'détails investissements'!$A$71:$B$88,2,FALSE)+1,FALSE)="","",VLOOKUP($A9,'détails investissements'!$A$26:$DE$43,AT$3-VLOOKUP($A9,'détails investissements'!$A$71:$B$88,2,FALSE)+1,FALSE)))&lt;&gt;"",HLOOKUP(IF(AT$3-VLOOKUP($A9,'détails investissements'!$A$71:$B$88,2,FALSE)&lt;=0,"",IF(VLOOKUP($A9,'détails investissements'!$A$26:$DE$43,AT$3-VLOOKUP($A9,'détails investissements'!$A$71:$B$88,2,FALSE)+1,FALSE)="","",VLOOKUP($A9,'détails investissements'!$A$26:$DE$43,AT$3-VLOOKUP($A9,'détails investissements'!$A$71:$B$88,2,FALSE)+1,FALSE))),'détails investissements'!$U$6:$AB$7,2,FALSE),""),FALSE),"")</f>
        <v/>
      </c>
      <c r="AU9" s="45" t="str">
        <f>IF(IF(IF(AU$3-VLOOKUP($A9,'détails investissements'!$A$71:$B$88,2,FALSE)&lt;=0,"",IF(VLOOKUP($A9,'détails investissements'!$A$26:$DE$43,AU$3-VLOOKUP($A9,'détails investissements'!$A$71:$B$88,2,FALSE)+1,FALSE)="","",VLOOKUP($A9,'détails investissements'!$A$26:$DE$43,AU$3-VLOOKUP($A9,'détails investissements'!$A$71:$B$88,2,FALSE)+1,FALSE)))&lt;&gt;"",HLOOKUP(IF(AU$3-VLOOKUP($A9,'détails investissements'!$A$71:$B$88,2,FALSE)&lt;=0,"",IF(VLOOKUP($A9,'détails investissements'!$A$26:$DE$43,AU$3-VLOOKUP($A9,'détails investissements'!$A$71:$B$88,2,FALSE)+1,FALSE)="","",VLOOKUP($A9,'détails investissements'!$A$26:$DE$43,AU$3-VLOOKUP($A9,'détails investissements'!$A$71:$B$88,2,FALSE)+1,FALSE))),'détails investissements'!$U$6:$AB$7,2,FALSE),"")&lt;&gt;"",VLOOKUP($A9,'détails investissements'!$A$7:$H$21,1+IF(IF(AU$3-VLOOKUP($A9,'détails investissements'!$A$71:$B$88,2,FALSE)&lt;=0,"",IF(VLOOKUP($A9,'détails investissements'!$A$26:$DE$43,AU$3-VLOOKUP($A9,'détails investissements'!$A$71:$B$88,2,FALSE)+1,FALSE)="","",VLOOKUP($A9,'détails investissements'!$A$26:$DE$43,AU$3-VLOOKUP($A9,'détails investissements'!$A$71:$B$88,2,FALSE)+1,FALSE)))&lt;&gt;"",HLOOKUP(IF(AU$3-VLOOKUP($A9,'détails investissements'!$A$71:$B$88,2,FALSE)&lt;=0,"",IF(VLOOKUP($A9,'détails investissements'!$A$26:$DE$43,AU$3-VLOOKUP($A9,'détails investissements'!$A$71:$B$88,2,FALSE)+1,FALSE)="","",VLOOKUP($A9,'détails investissements'!$A$26:$DE$43,AU$3-VLOOKUP($A9,'détails investissements'!$A$71:$B$88,2,FALSE)+1,FALSE))),'détails investissements'!$U$6:$AB$7,2,FALSE),""),FALSE),"")</f>
        <v/>
      </c>
      <c r="AV9" s="45">
        <f>IF(IF(IF(AV$3-VLOOKUP($A9,'détails investissements'!$A$71:$B$88,2,FALSE)&lt;=0,"",IF(VLOOKUP($A9,'détails investissements'!$A$26:$DE$43,AV$3-VLOOKUP($A9,'détails investissements'!$A$71:$B$88,2,FALSE)+1,FALSE)="","",VLOOKUP($A9,'détails investissements'!$A$26:$DE$43,AV$3-VLOOKUP($A9,'détails investissements'!$A$71:$B$88,2,FALSE)+1,FALSE)))&lt;&gt;"",HLOOKUP(IF(AV$3-VLOOKUP($A9,'détails investissements'!$A$71:$B$88,2,FALSE)&lt;=0,"",IF(VLOOKUP($A9,'détails investissements'!$A$26:$DE$43,AV$3-VLOOKUP($A9,'détails investissements'!$A$71:$B$88,2,FALSE)+1,FALSE)="","",VLOOKUP($A9,'détails investissements'!$A$26:$DE$43,AV$3-VLOOKUP($A9,'détails investissements'!$A$71:$B$88,2,FALSE)+1,FALSE))),'détails investissements'!$U$6:$AB$7,2,FALSE),"")&lt;&gt;"",VLOOKUP($A9,'détails investissements'!$A$7:$H$21,1+IF(IF(AV$3-VLOOKUP($A9,'détails investissements'!$A$71:$B$88,2,FALSE)&lt;=0,"",IF(VLOOKUP($A9,'détails investissements'!$A$26:$DE$43,AV$3-VLOOKUP($A9,'détails investissements'!$A$71:$B$88,2,FALSE)+1,FALSE)="","",VLOOKUP($A9,'détails investissements'!$A$26:$DE$43,AV$3-VLOOKUP($A9,'détails investissements'!$A$71:$B$88,2,FALSE)+1,FALSE)))&lt;&gt;"",HLOOKUP(IF(AV$3-VLOOKUP($A9,'détails investissements'!$A$71:$B$88,2,FALSE)&lt;=0,"",IF(VLOOKUP($A9,'détails investissements'!$A$26:$DE$43,AV$3-VLOOKUP($A9,'détails investissements'!$A$71:$B$88,2,FALSE)+1,FALSE)="","",VLOOKUP($A9,'détails investissements'!$A$26:$DE$43,AV$3-VLOOKUP($A9,'détails investissements'!$A$71:$B$88,2,FALSE)+1,FALSE))),'détails investissements'!$U$6:$AB$7,2,FALSE),""),FALSE),"")</f>
        <v>0.15</v>
      </c>
      <c r="AW9" s="45" t="str">
        <f>IF(IF(IF(AW$3-VLOOKUP($A9,'détails investissements'!$A$71:$B$88,2,FALSE)&lt;=0,"",IF(VLOOKUP($A9,'détails investissements'!$A$26:$DE$43,AW$3-VLOOKUP($A9,'détails investissements'!$A$71:$B$88,2,FALSE)+1,FALSE)="","",VLOOKUP($A9,'détails investissements'!$A$26:$DE$43,AW$3-VLOOKUP($A9,'détails investissements'!$A$71:$B$88,2,FALSE)+1,FALSE)))&lt;&gt;"",HLOOKUP(IF(AW$3-VLOOKUP($A9,'détails investissements'!$A$71:$B$88,2,FALSE)&lt;=0,"",IF(VLOOKUP($A9,'détails investissements'!$A$26:$DE$43,AW$3-VLOOKUP($A9,'détails investissements'!$A$71:$B$88,2,FALSE)+1,FALSE)="","",VLOOKUP($A9,'détails investissements'!$A$26:$DE$43,AW$3-VLOOKUP($A9,'détails investissements'!$A$71:$B$88,2,FALSE)+1,FALSE))),'détails investissements'!$U$6:$AB$7,2,FALSE),"")&lt;&gt;"",VLOOKUP($A9,'détails investissements'!$A$7:$H$21,1+IF(IF(AW$3-VLOOKUP($A9,'détails investissements'!$A$71:$B$88,2,FALSE)&lt;=0,"",IF(VLOOKUP($A9,'détails investissements'!$A$26:$DE$43,AW$3-VLOOKUP($A9,'détails investissements'!$A$71:$B$88,2,FALSE)+1,FALSE)="","",VLOOKUP($A9,'détails investissements'!$A$26:$DE$43,AW$3-VLOOKUP($A9,'détails investissements'!$A$71:$B$88,2,FALSE)+1,FALSE)))&lt;&gt;"",HLOOKUP(IF(AW$3-VLOOKUP($A9,'détails investissements'!$A$71:$B$88,2,FALSE)&lt;=0,"",IF(VLOOKUP($A9,'détails investissements'!$A$26:$DE$43,AW$3-VLOOKUP($A9,'détails investissements'!$A$71:$B$88,2,FALSE)+1,FALSE)="","",VLOOKUP($A9,'détails investissements'!$A$26:$DE$43,AW$3-VLOOKUP($A9,'détails investissements'!$A$71:$B$88,2,FALSE)+1,FALSE))),'détails investissements'!$U$6:$AB$7,2,FALSE),""),FALSE),"")</f>
        <v/>
      </c>
      <c r="AX9" s="45">
        <f>IF(IF(IF(AX$3-VLOOKUP($A9,'détails investissements'!$A$71:$B$88,2,FALSE)&lt;=0,"",IF(VLOOKUP($A9,'détails investissements'!$A$26:$DE$43,AX$3-VLOOKUP($A9,'détails investissements'!$A$71:$B$88,2,FALSE)+1,FALSE)="","",VLOOKUP($A9,'détails investissements'!$A$26:$DE$43,AX$3-VLOOKUP($A9,'détails investissements'!$A$71:$B$88,2,FALSE)+1,FALSE)))&lt;&gt;"",HLOOKUP(IF(AX$3-VLOOKUP($A9,'détails investissements'!$A$71:$B$88,2,FALSE)&lt;=0,"",IF(VLOOKUP($A9,'détails investissements'!$A$26:$DE$43,AX$3-VLOOKUP($A9,'détails investissements'!$A$71:$B$88,2,FALSE)+1,FALSE)="","",VLOOKUP($A9,'détails investissements'!$A$26:$DE$43,AX$3-VLOOKUP($A9,'détails investissements'!$A$71:$B$88,2,FALSE)+1,FALSE))),'détails investissements'!$U$6:$AB$7,2,FALSE),"")&lt;&gt;"",VLOOKUP($A9,'détails investissements'!$A$7:$H$21,1+IF(IF(AX$3-VLOOKUP($A9,'détails investissements'!$A$71:$B$88,2,FALSE)&lt;=0,"",IF(VLOOKUP($A9,'détails investissements'!$A$26:$DE$43,AX$3-VLOOKUP($A9,'détails investissements'!$A$71:$B$88,2,FALSE)+1,FALSE)="","",VLOOKUP($A9,'détails investissements'!$A$26:$DE$43,AX$3-VLOOKUP($A9,'détails investissements'!$A$71:$B$88,2,FALSE)+1,FALSE)))&lt;&gt;"",HLOOKUP(IF(AX$3-VLOOKUP($A9,'détails investissements'!$A$71:$B$88,2,FALSE)&lt;=0,"",IF(VLOOKUP($A9,'détails investissements'!$A$26:$DE$43,AX$3-VLOOKUP($A9,'détails investissements'!$A$71:$B$88,2,FALSE)+1,FALSE)="","",VLOOKUP($A9,'détails investissements'!$A$26:$DE$43,AX$3-VLOOKUP($A9,'détails investissements'!$A$71:$B$88,2,FALSE)+1,FALSE))),'détails investissements'!$U$6:$AB$7,2,FALSE),""),FALSE),"")</f>
        <v>0.1</v>
      </c>
      <c r="AY9" s="45" t="str">
        <f>IF(IF(IF(AY$3-VLOOKUP($A9,'détails investissements'!$A$71:$B$88,2,FALSE)&lt;=0,"",IF(VLOOKUP($A9,'détails investissements'!$A$26:$DE$43,AY$3-VLOOKUP($A9,'détails investissements'!$A$71:$B$88,2,FALSE)+1,FALSE)="","",VLOOKUP($A9,'détails investissements'!$A$26:$DE$43,AY$3-VLOOKUP($A9,'détails investissements'!$A$71:$B$88,2,FALSE)+1,FALSE)))&lt;&gt;"",HLOOKUP(IF(AY$3-VLOOKUP($A9,'détails investissements'!$A$71:$B$88,2,FALSE)&lt;=0,"",IF(VLOOKUP($A9,'détails investissements'!$A$26:$DE$43,AY$3-VLOOKUP($A9,'détails investissements'!$A$71:$B$88,2,FALSE)+1,FALSE)="","",VLOOKUP($A9,'détails investissements'!$A$26:$DE$43,AY$3-VLOOKUP($A9,'détails investissements'!$A$71:$B$88,2,FALSE)+1,FALSE))),'détails investissements'!$U$6:$AB$7,2,FALSE),"")&lt;&gt;"",VLOOKUP($A9,'détails investissements'!$A$7:$H$21,1+IF(IF(AY$3-VLOOKUP($A9,'détails investissements'!$A$71:$B$88,2,FALSE)&lt;=0,"",IF(VLOOKUP($A9,'détails investissements'!$A$26:$DE$43,AY$3-VLOOKUP($A9,'détails investissements'!$A$71:$B$88,2,FALSE)+1,FALSE)="","",VLOOKUP($A9,'détails investissements'!$A$26:$DE$43,AY$3-VLOOKUP($A9,'détails investissements'!$A$71:$B$88,2,FALSE)+1,FALSE)))&lt;&gt;"",HLOOKUP(IF(AY$3-VLOOKUP($A9,'détails investissements'!$A$71:$B$88,2,FALSE)&lt;=0,"",IF(VLOOKUP($A9,'détails investissements'!$A$26:$DE$43,AY$3-VLOOKUP($A9,'détails investissements'!$A$71:$B$88,2,FALSE)+1,FALSE)="","",VLOOKUP($A9,'détails investissements'!$A$26:$DE$43,AY$3-VLOOKUP($A9,'détails investissements'!$A$71:$B$88,2,FALSE)+1,FALSE))),'détails investissements'!$U$6:$AB$7,2,FALSE),""),FALSE),"")</f>
        <v/>
      </c>
      <c r="AZ9" s="45" t="str">
        <f>IF(IF(IF(AZ$3-VLOOKUP($A9,'détails investissements'!$A$71:$B$88,2,FALSE)&lt;=0,"",IF(VLOOKUP($A9,'détails investissements'!$A$26:$DE$43,AZ$3-VLOOKUP($A9,'détails investissements'!$A$71:$B$88,2,FALSE)+1,FALSE)="","",VLOOKUP($A9,'détails investissements'!$A$26:$DE$43,AZ$3-VLOOKUP($A9,'détails investissements'!$A$71:$B$88,2,FALSE)+1,FALSE)))&lt;&gt;"",HLOOKUP(IF(AZ$3-VLOOKUP($A9,'détails investissements'!$A$71:$B$88,2,FALSE)&lt;=0,"",IF(VLOOKUP($A9,'détails investissements'!$A$26:$DE$43,AZ$3-VLOOKUP($A9,'détails investissements'!$A$71:$B$88,2,FALSE)+1,FALSE)="","",VLOOKUP($A9,'détails investissements'!$A$26:$DE$43,AZ$3-VLOOKUP($A9,'détails investissements'!$A$71:$B$88,2,FALSE)+1,FALSE))),'détails investissements'!$U$6:$AB$7,2,FALSE),"")&lt;&gt;"",VLOOKUP($A9,'détails investissements'!$A$7:$H$21,1+IF(IF(AZ$3-VLOOKUP($A9,'détails investissements'!$A$71:$B$88,2,FALSE)&lt;=0,"",IF(VLOOKUP($A9,'détails investissements'!$A$26:$DE$43,AZ$3-VLOOKUP($A9,'détails investissements'!$A$71:$B$88,2,FALSE)+1,FALSE)="","",VLOOKUP($A9,'détails investissements'!$A$26:$DE$43,AZ$3-VLOOKUP($A9,'détails investissements'!$A$71:$B$88,2,FALSE)+1,FALSE)))&lt;&gt;"",HLOOKUP(IF(AZ$3-VLOOKUP($A9,'détails investissements'!$A$71:$B$88,2,FALSE)&lt;=0,"",IF(VLOOKUP($A9,'détails investissements'!$A$26:$DE$43,AZ$3-VLOOKUP($A9,'détails investissements'!$A$71:$B$88,2,FALSE)+1,FALSE)="","",VLOOKUP($A9,'détails investissements'!$A$26:$DE$43,AZ$3-VLOOKUP($A9,'détails investissements'!$A$71:$B$88,2,FALSE)+1,FALSE))),'détails investissements'!$U$6:$AB$7,2,FALSE),""),FALSE),"")</f>
        <v/>
      </c>
      <c r="BA9" s="45" t="str">
        <f>IF(IF(IF(BA$3-VLOOKUP($A9,'détails investissements'!$A$71:$B$88,2,FALSE)&lt;=0,"",IF(VLOOKUP($A9,'détails investissements'!$A$26:$DE$43,BA$3-VLOOKUP($A9,'détails investissements'!$A$71:$B$88,2,FALSE)+1,FALSE)="","",VLOOKUP($A9,'détails investissements'!$A$26:$DE$43,BA$3-VLOOKUP($A9,'détails investissements'!$A$71:$B$88,2,FALSE)+1,FALSE)))&lt;&gt;"",HLOOKUP(IF(BA$3-VLOOKUP($A9,'détails investissements'!$A$71:$B$88,2,FALSE)&lt;=0,"",IF(VLOOKUP($A9,'détails investissements'!$A$26:$DE$43,BA$3-VLOOKUP($A9,'détails investissements'!$A$71:$B$88,2,FALSE)+1,FALSE)="","",VLOOKUP($A9,'détails investissements'!$A$26:$DE$43,BA$3-VLOOKUP($A9,'détails investissements'!$A$71:$B$88,2,FALSE)+1,FALSE))),'détails investissements'!$U$6:$AB$7,2,FALSE),"")&lt;&gt;"",VLOOKUP($A9,'détails investissements'!$A$7:$H$21,1+IF(IF(BA$3-VLOOKUP($A9,'détails investissements'!$A$71:$B$88,2,FALSE)&lt;=0,"",IF(VLOOKUP($A9,'détails investissements'!$A$26:$DE$43,BA$3-VLOOKUP($A9,'détails investissements'!$A$71:$B$88,2,FALSE)+1,FALSE)="","",VLOOKUP($A9,'détails investissements'!$A$26:$DE$43,BA$3-VLOOKUP($A9,'détails investissements'!$A$71:$B$88,2,FALSE)+1,FALSE)))&lt;&gt;"",HLOOKUP(IF(BA$3-VLOOKUP($A9,'détails investissements'!$A$71:$B$88,2,FALSE)&lt;=0,"",IF(VLOOKUP($A9,'détails investissements'!$A$26:$DE$43,BA$3-VLOOKUP($A9,'détails investissements'!$A$71:$B$88,2,FALSE)+1,FALSE)="","",VLOOKUP($A9,'détails investissements'!$A$26:$DE$43,BA$3-VLOOKUP($A9,'détails investissements'!$A$71:$B$88,2,FALSE)+1,FALSE))),'détails investissements'!$U$6:$AB$7,2,FALSE),""),FALSE),"")</f>
        <v/>
      </c>
      <c r="BB9" s="45" t="str">
        <f>IF(IF(IF(BB$3-VLOOKUP($A9,'détails investissements'!$A$71:$B$88,2,FALSE)&lt;=0,"",IF(VLOOKUP($A9,'détails investissements'!$A$26:$DE$43,BB$3-VLOOKUP($A9,'détails investissements'!$A$71:$B$88,2,FALSE)+1,FALSE)="","",VLOOKUP($A9,'détails investissements'!$A$26:$DE$43,BB$3-VLOOKUP($A9,'détails investissements'!$A$71:$B$88,2,FALSE)+1,FALSE)))&lt;&gt;"",HLOOKUP(IF(BB$3-VLOOKUP($A9,'détails investissements'!$A$71:$B$88,2,FALSE)&lt;=0,"",IF(VLOOKUP($A9,'détails investissements'!$A$26:$DE$43,BB$3-VLOOKUP($A9,'détails investissements'!$A$71:$B$88,2,FALSE)+1,FALSE)="","",VLOOKUP($A9,'détails investissements'!$A$26:$DE$43,BB$3-VLOOKUP($A9,'détails investissements'!$A$71:$B$88,2,FALSE)+1,FALSE))),'détails investissements'!$U$6:$AB$7,2,FALSE),"")&lt;&gt;"",VLOOKUP($A9,'détails investissements'!$A$7:$H$21,1+IF(IF(BB$3-VLOOKUP($A9,'détails investissements'!$A$71:$B$88,2,FALSE)&lt;=0,"",IF(VLOOKUP($A9,'détails investissements'!$A$26:$DE$43,BB$3-VLOOKUP($A9,'détails investissements'!$A$71:$B$88,2,FALSE)+1,FALSE)="","",VLOOKUP($A9,'détails investissements'!$A$26:$DE$43,BB$3-VLOOKUP($A9,'détails investissements'!$A$71:$B$88,2,FALSE)+1,FALSE)))&lt;&gt;"",HLOOKUP(IF(BB$3-VLOOKUP($A9,'détails investissements'!$A$71:$B$88,2,FALSE)&lt;=0,"",IF(VLOOKUP($A9,'détails investissements'!$A$26:$DE$43,BB$3-VLOOKUP($A9,'détails investissements'!$A$71:$B$88,2,FALSE)+1,FALSE)="","",VLOOKUP($A9,'détails investissements'!$A$26:$DE$43,BB$3-VLOOKUP($A9,'détails investissements'!$A$71:$B$88,2,FALSE)+1,FALSE))),'détails investissements'!$U$6:$AB$7,2,FALSE),""),FALSE),"")</f>
        <v/>
      </c>
      <c r="BC9" s="45" t="str">
        <f>IF(IF(IF(BC$3-VLOOKUP($A9,'détails investissements'!$A$71:$B$88,2,FALSE)&lt;=0,"",IF(VLOOKUP($A9,'détails investissements'!$A$26:$DE$43,BC$3-VLOOKUP($A9,'détails investissements'!$A$71:$B$88,2,FALSE)+1,FALSE)="","",VLOOKUP($A9,'détails investissements'!$A$26:$DE$43,BC$3-VLOOKUP($A9,'détails investissements'!$A$71:$B$88,2,FALSE)+1,FALSE)))&lt;&gt;"",HLOOKUP(IF(BC$3-VLOOKUP($A9,'détails investissements'!$A$71:$B$88,2,FALSE)&lt;=0,"",IF(VLOOKUP($A9,'détails investissements'!$A$26:$DE$43,BC$3-VLOOKUP($A9,'détails investissements'!$A$71:$B$88,2,FALSE)+1,FALSE)="","",VLOOKUP($A9,'détails investissements'!$A$26:$DE$43,BC$3-VLOOKUP($A9,'détails investissements'!$A$71:$B$88,2,FALSE)+1,FALSE))),'détails investissements'!$U$6:$AB$7,2,FALSE),"")&lt;&gt;"",VLOOKUP($A9,'détails investissements'!$A$7:$H$21,1+IF(IF(BC$3-VLOOKUP($A9,'détails investissements'!$A$71:$B$88,2,FALSE)&lt;=0,"",IF(VLOOKUP($A9,'détails investissements'!$A$26:$DE$43,BC$3-VLOOKUP($A9,'détails investissements'!$A$71:$B$88,2,FALSE)+1,FALSE)="","",VLOOKUP($A9,'détails investissements'!$A$26:$DE$43,BC$3-VLOOKUP($A9,'détails investissements'!$A$71:$B$88,2,FALSE)+1,FALSE)))&lt;&gt;"",HLOOKUP(IF(BC$3-VLOOKUP($A9,'détails investissements'!$A$71:$B$88,2,FALSE)&lt;=0,"",IF(VLOOKUP($A9,'détails investissements'!$A$26:$DE$43,BC$3-VLOOKUP($A9,'détails investissements'!$A$71:$B$88,2,FALSE)+1,FALSE)="","",VLOOKUP($A9,'détails investissements'!$A$26:$DE$43,BC$3-VLOOKUP($A9,'détails investissements'!$A$71:$B$88,2,FALSE)+1,FALSE))),'détails investissements'!$U$6:$AB$7,2,FALSE),""),FALSE),"")</f>
        <v/>
      </c>
      <c r="BD9" s="45" t="str">
        <f>IF(IF(IF(BD$3-VLOOKUP($A9,'détails investissements'!$A$71:$B$88,2,FALSE)&lt;=0,"",IF(VLOOKUP($A9,'détails investissements'!$A$26:$DE$43,BD$3-VLOOKUP($A9,'détails investissements'!$A$71:$B$88,2,FALSE)+1,FALSE)="","",VLOOKUP($A9,'détails investissements'!$A$26:$DE$43,BD$3-VLOOKUP($A9,'détails investissements'!$A$71:$B$88,2,FALSE)+1,FALSE)))&lt;&gt;"",HLOOKUP(IF(BD$3-VLOOKUP($A9,'détails investissements'!$A$71:$B$88,2,FALSE)&lt;=0,"",IF(VLOOKUP($A9,'détails investissements'!$A$26:$DE$43,BD$3-VLOOKUP($A9,'détails investissements'!$A$71:$B$88,2,FALSE)+1,FALSE)="","",VLOOKUP($A9,'détails investissements'!$A$26:$DE$43,BD$3-VLOOKUP($A9,'détails investissements'!$A$71:$B$88,2,FALSE)+1,FALSE))),'détails investissements'!$U$6:$AB$7,2,FALSE),"")&lt;&gt;"",VLOOKUP($A9,'détails investissements'!$A$7:$H$21,1+IF(IF(BD$3-VLOOKUP($A9,'détails investissements'!$A$71:$B$88,2,FALSE)&lt;=0,"",IF(VLOOKUP($A9,'détails investissements'!$A$26:$DE$43,BD$3-VLOOKUP($A9,'détails investissements'!$A$71:$B$88,2,FALSE)+1,FALSE)="","",VLOOKUP($A9,'détails investissements'!$A$26:$DE$43,BD$3-VLOOKUP($A9,'détails investissements'!$A$71:$B$88,2,FALSE)+1,FALSE)))&lt;&gt;"",HLOOKUP(IF(BD$3-VLOOKUP($A9,'détails investissements'!$A$71:$B$88,2,FALSE)&lt;=0,"",IF(VLOOKUP($A9,'détails investissements'!$A$26:$DE$43,BD$3-VLOOKUP($A9,'détails investissements'!$A$71:$B$88,2,FALSE)+1,FALSE)="","",VLOOKUP($A9,'détails investissements'!$A$26:$DE$43,BD$3-VLOOKUP($A9,'détails investissements'!$A$71:$B$88,2,FALSE)+1,FALSE))),'détails investissements'!$U$6:$AB$7,2,FALSE),""),FALSE),"")</f>
        <v/>
      </c>
      <c r="BE9" s="45">
        <f>IF(IF(IF(BE$3-VLOOKUP($A9,'détails investissements'!$A$71:$B$88,2,FALSE)&lt;=0,"",IF(VLOOKUP($A9,'détails investissements'!$A$26:$DE$43,BE$3-VLOOKUP($A9,'détails investissements'!$A$71:$B$88,2,FALSE)+1,FALSE)="","",VLOOKUP($A9,'détails investissements'!$A$26:$DE$43,BE$3-VLOOKUP($A9,'détails investissements'!$A$71:$B$88,2,FALSE)+1,FALSE)))&lt;&gt;"",HLOOKUP(IF(BE$3-VLOOKUP($A9,'détails investissements'!$A$71:$B$88,2,FALSE)&lt;=0,"",IF(VLOOKUP($A9,'détails investissements'!$A$26:$DE$43,BE$3-VLOOKUP($A9,'détails investissements'!$A$71:$B$88,2,FALSE)+1,FALSE)="","",VLOOKUP($A9,'détails investissements'!$A$26:$DE$43,BE$3-VLOOKUP($A9,'détails investissements'!$A$71:$B$88,2,FALSE)+1,FALSE))),'détails investissements'!$U$6:$AB$7,2,FALSE),"")&lt;&gt;"",VLOOKUP($A9,'détails investissements'!$A$7:$H$21,1+IF(IF(BE$3-VLOOKUP($A9,'détails investissements'!$A$71:$B$88,2,FALSE)&lt;=0,"",IF(VLOOKUP($A9,'détails investissements'!$A$26:$DE$43,BE$3-VLOOKUP($A9,'détails investissements'!$A$71:$B$88,2,FALSE)+1,FALSE)="","",VLOOKUP($A9,'détails investissements'!$A$26:$DE$43,BE$3-VLOOKUP($A9,'détails investissements'!$A$71:$B$88,2,FALSE)+1,FALSE)))&lt;&gt;"",HLOOKUP(IF(BE$3-VLOOKUP($A9,'détails investissements'!$A$71:$B$88,2,FALSE)&lt;=0,"",IF(VLOOKUP($A9,'détails investissements'!$A$26:$DE$43,BE$3-VLOOKUP($A9,'détails investissements'!$A$71:$B$88,2,FALSE)+1,FALSE)="","",VLOOKUP($A9,'détails investissements'!$A$26:$DE$43,BE$3-VLOOKUP($A9,'détails investissements'!$A$71:$B$88,2,FALSE)+1,FALSE))),'détails investissements'!$U$6:$AB$7,2,FALSE),""),FALSE),"")</f>
        <v>0.2</v>
      </c>
      <c r="BF9" s="45" t="str">
        <f>IF(IF(IF(BF$3-VLOOKUP($A9,'détails investissements'!$A$71:$B$88,2,FALSE)&lt;=0,"",IF(VLOOKUP($A9,'détails investissements'!$A$26:$DE$43,BF$3-VLOOKUP($A9,'détails investissements'!$A$71:$B$88,2,FALSE)+1,FALSE)="","",VLOOKUP($A9,'détails investissements'!$A$26:$DE$43,BF$3-VLOOKUP($A9,'détails investissements'!$A$71:$B$88,2,FALSE)+1,FALSE)))&lt;&gt;"",HLOOKUP(IF(BF$3-VLOOKUP($A9,'détails investissements'!$A$71:$B$88,2,FALSE)&lt;=0,"",IF(VLOOKUP($A9,'détails investissements'!$A$26:$DE$43,BF$3-VLOOKUP($A9,'détails investissements'!$A$71:$B$88,2,FALSE)+1,FALSE)="","",VLOOKUP($A9,'détails investissements'!$A$26:$DE$43,BF$3-VLOOKUP($A9,'détails investissements'!$A$71:$B$88,2,FALSE)+1,FALSE))),'détails investissements'!$U$6:$AB$7,2,FALSE),"")&lt;&gt;"",VLOOKUP($A9,'détails investissements'!$A$7:$H$21,1+IF(IF(BF$3-VLOOKUP($A9,'détails investissements'!$A$71:$B$88,2,FALSE)&lt;=0,"",IF(VLOOKUP($A9,'détails investissements'!$A$26:$DE$43,BF$3-VLOOKUP($A9,'détails investissements'!$A$71:$B$88,2,FALSE)+1,FALSE)="","",VLOOKUP($A9,'détails investissements'!$A$26:$DE$43,BF$3-VLOOKUP($A9,'détails investissements'!$A$71:$B$88,2,FALSE)+1,FALSE)))&lt;&gt;"",HLOOKUP(IF(BF$3-VLOOKUP($A9,'détails investissements'!$A$71:$B$88,2,FALSE)&lt;=0,"",IF(VLOOKUP($A9,'détails investissements'!$A$26:$DE$43,BF$3-VLOOKUP($A9,'détails investissements'!$A$71:$B$88,2,FALSE)+1,FALSE)="","",VLOOKUP($A9,'détails investissements'!$A$26:$DE$43,BF$3-VLOOKUP($A9,'détails investissements'!$A$71:$B$88,2,FALSE)+1,FALSE))),'détails investissements'!$U$6:$AB$7,2,FALSE),""),FALSE),"")</f>
        <v/>
      </c>
      <c r="BG9" s="45">
        <f>IF(IF(IF(BG$3-VLOOKUP($A9,'détails investissements'!$A$71:$B$88,2,FALSE)&lt;=0,"",IF(VLOOKUP($A9,'détails investissements'!$A$26:$DE$43,BG$3-VLOOKUP($A9,'détails investissements'!$A$71:$B$88,2,FALSE)+1,FALSE)="","",VLOOKUP($A9,'détails investissements'!$A$26:$DE$43,BG$3-VLOOKUP($A9,'détails investissements'!$A$71:$B$88,2,FALSE)+1,FALSE)))&lt;&gt;"",HLOOKUP(IF(BG$3-VLOOKUP($A9,'détails investissements'!$A$71:$B$88,2,FALSE)&lt;=0,"",IF(VLOOKUP($A9,'détails investissements'!$A$26:$DE$43,BG$3-VLOOKUP($A9,'détails investissements'!$A$71:$B$88,2,FALSE)+1,FALSE)="","",VLOOKUP($A9,'détails investissements'!$A$26:$DE$43,BG$3-VLOOKUP($A9,'détails investissements'!$A$71:$B$88,2,FALSE)+1,FALSE))),'détails investissements'!$U$6:$AB$7,2,FALSE),"")&lt;&gt;"",VLOOKUP($A9,'détails investissements'!$A$7:$H$21,1+IF(IF(BG$3-VLOOKUP($A9,'détails investissements'!$A$71:$B$88,2,FALSE)&lt;=0,"",IF(VLOOKUP($A9,'détails investissements'!$A$26:$DE$43,BG$3-VLOOKUP($A9,'détails investissements'!$A$71:$B$88,2,FALSE)+1,FALSE)="","",VLOOKUP($A9,'détails investissements'!$A$26:$DE$43,BG$3-VLOOKUP($A9,'détails investissements'!$A$71:$B$88,2,FALSE)+1,FALSE)))&lt;&gt;"",HLOOKUP(IF(BG$3-VLOOKUP($A9,'détails investissements'!$A$71:$B$88,2,FALSE)&lt;=0,"",IF(VLOOKUP($A9,'détails investissements'!$A$26:$DE$43,BG$3-VLOOKUP($A9,'détails investissements'!$A$71:$B$88,2,FALSE)+1,FALSE)="","",VLOOKUP($A9,'détails investissements'!$A$26:$DE$43,BG$3-VLOOKUP($A9,'détails investissements'!$A$71:$B$88,2,FALSE)+1,FALSE))),'détails investissements'!$U$6:$AB$7,2,FALSE),""),FALSE),"")</f>
        <v>0.2</v>
      </c>
      <c r="BH9" s="45" t="str">
        <f>IF(IF(IF(BH$3-VLOOKUP($A9,'détails investissements'!$A$71:$B$88,2,FALSE)&lt;=0,"",IF(VLOOKUP($A9,'détails investissements'!$A$26:$DE$43,BH$3-VLOOKUP($A9,'détails investissements'!$A$71:$B$88,2,FALSE)+1,FALSE)="","",VLOOKUP($A9,'détails investissements'!$A$26:$DE$43,BH$3-VLOOKUP($A9,'détails investissements'!$A$71:$B$88,2,FALSE)+1,FALSE)))&lt;&gt;"",HLOOKUP(IF(BH$3-VLOOKUP($A9,'détails investissements'!$A$71:$B$88,2,FALSE)&lt;=0,"",IF(VLOOKUP($A9,'détails investissements'!$A$26:$DE$43,BH$3-VLOOKUP($A9,'détails investissements'!$A$71:$B$88,2,FALSE)+1,FALSE)="","",VLOOKUP($A9,'détails investissements'!$A$26:$DE$43,BH$3-VLOOKUP($A9,'détails investissements'!$A$71:$B$88,2,FALSE)+1,FALSE))),'détails investissements'!$U$6:$AB$7,2,FALSE),"")&lt;&gt;"",VLOOKUP($A9,'détails investissements'!$A$7:$H$21,1+IF(IF(BH$3-VLOOKUP($A9,'détails investissements'!$A$71:$B$88,2,FALSE)&lt;=0,"",IF(VLOOKUP($A9,'détails investissements'!$A$26:$DE$43,BH$3-VLOOKUP($A9,'détails investissements'!$A$71:$B$88,2,FALSE)+1,FALSE)="","",VLOOKUP($A9,'détails investissements'!$A$26:$DE$43,BH$3-VLOOKUP($A9,'détails investissements'!$A$71:$B$88,2,FALSE)+1,FALSE)))&lt;&gt;"",HLOOKUP(IF(BH$3-VLOOKUP($A9,'détails investissements'!$A$71:$B$88,2,FALSE)&lt;=0,"",IF(VLOOKUP($A9,'détails investissements'!$A$26:$DE$43,BH$3-VLOOKUP($A9,'détails investissements'!$A$71:$B$88,2,FALSE)+1,FALSE)="","",VLOOKUP($A9,'détails investissements'!$A$26:$DE$43,BH$3-VLOOKUP($A9,'détails investissements'!$A$71:$B$88,2,FALSE)+1,FALSE))),'détails investissements'!$U$6:$AB$7,2,FALSE),""),FALSE),"")</f>
        <v/>
      </c>
      <c r="BI9" s="45" t="str">
        <f>IF(IF(IF(BI$3-VLOOKUP($A9,'détails investissements'!$A$71:$B$88,2,FALSE)&lt;=0,"",IF(VLOOKUP($A9,'détails investissements'!$A$26:$DE$43,BI$3-VLOOKUP($A9,'détails investissements'!$A$71:$B$88,2,FALSE)+1,FALSE)="","",VLOOKUP($A9,'détails investissements'!$A$26:$DE$43,BI$3-VLOOKUP($A9,'détails investissements'!$A$71:$B$88,2,FALSE)+1,FALSE)))&lt;&gt;"",HLOOKUP(IF(BI$3-VLOOKUP($A9,'détails investissements'!$A$71:$B$88,2,FALSE)&lt;=0,"",IF(VLOOKUP($A9,'détails investissements'!$A$26:$DE$43,BI$3-VLOOKUP($A9,'détails investissements'!$A$71:$B$88,2,FALSE)+1,FALSE)="","",VLOOKUP($A9,'détails investissements'!$A$26:$DE$43,BI$3-VLOOKUP($A9,'détails investissements'!$A$71:$B$88,2,FALSE)+1,FALSE))),'détails investissements'!$U$6:$AB$7,2,FALSE),"")&lt;&gt;"",VLOOKUP($A9,'détails investissements'!$A$7:$H$21,1+IF(IF(BI$3-VLOOKUP($A9,'détails investissements'!$A$71:$B$88,2,FALSE)&lt;=0,"",IF(VLOOKUP($A9,'détails investissements'!$A$26:$DE$43,BI$3-VLOOKUP($A9,'détails investissements'!$A$71:$B$88,2,FALSE)+1,FALSE)="","",VLOOKUP($A9,'détails investissements'!$A$26:$DE$43,BI$3-VLOOKUP($A9,'détails investissements'!$A$71:$B$88,2,FALSE)+1,FALSE)))&lt;&gt;"",HLOOKUP(IF(BI$3-VLOOKUP($A9,'détails investissements'!$A$71:$B$88,2,FALSE)&lt;=0,"",IF(VLOOKUP($A9,'détails investissements'!$A$26:$DE$43,BI$3-VLOOKUP($A9,'détails investissements'!$A$71:$B$88,2,FALSE)+1,FALSE)="","",VLOOKUP($A9,'détails investissements'!$A$26:$DE$43,BI$3-VLOOKUP($A9,'détails investissements'!$A$71:$B$88,2,FALSE)+1,FALSE))),'détails investissements'!$U$6:$AB$7,2,FALSE),""),FALSE),"")</f>
        <v/>
      </c>
      <c r="BJ9" s="45" t="str">
        <f>IF(IF(IF(BJ$3-VLOOKUP($A9,'détails investissements'!$A$71:$B$88,2,FALSE)&lt;=0,"",IF(VLOOKUP($A9,'détails investissements'!$A$26:$DE$43,BJ$3-VLOOKUP($A9,'détails investissements'!$A$71:$B$88,2,FALSE)+1,FALSE)="","",VLOOKUP($A9,'détails investissements'!$A$26:$DE$43,BJ$3-VLOOKUP($A9,'détails investissements'!$A$71:$B$88,2,FALSE)+1,FALSE)))&lt;&gt;"",HLOOKUP(IF(BJ$3-VLOOKUP($A9,'détails investissements'!$A$71:$B$88,2,FALSE)&lt;=0,"",IF(VLOOKUP($A9,'détails investissements'!$A$26:$DE$43,BJ$3-VLOOKUP($A9,'détails investissements'!$A$71:$B$88,2,FALSE)+1,FALSE)="","",VLOOKUP($A9,'détails investissements'!$A$26:$DE$43,BJ$3-VLOOKUP($A9,'détails investissements'!$A$71:$B$88,2,FALSE)+1,FALSE))),'détails investissements'!$U$6:$AB$7,2,FALSE),"")&lt;&gt;"",VLOOKUP($A9,'détails investissements'!$A$7:$H$21,1+IF(IF(BJ$3-VLOOKUP($A9,'détails investissements'!$A$71:$B$88,2,FALSE)&lt;=0,"",IF(VLOOKUP($A9,'détails investissements'!$A$26:$DE$43,BJ$3-VLOOKUP($A9,'détails investissements'!$A$71:$B$88,2,FALSE)+1,FALSE)="","",VLOOKUP($A9,'détails investissements'!$A$26:$DE$43,BJ$3-VLOOKUP($A9,'détails investissements'!$A$71:$B$88,2,FALSE)+1,FALSE)))&lt;&gt;"",HLOOKUP(IF(BJ$3-VLOOKUP($A9,'détails investissements'!$A$71:$B$88,2,FALSE)&lt;=0,"",IF(VLOOKUP($A9,'détails investissements'!$A$26:$DE$43,BJ$3-VLOOKUP($A9,'détails investissements'!$A$71:$B$88,2,FALSE)+1,FALSE)="","",VLOOKUP($A9,'détails investissements'!$A$26:$DE$43,BJ$3-VLOOKUP($A9,'détails investissements'!$A$71:$B$88,2,FALSE)+1,FALSE))),'détails investissements'!$U$6:$AB$7,2,FALSE),""),FALSE),"")</f>
        <v/>
      </c>
      <c r="BK9" s="45" t="str">
        <f>IF(IF(IF(BK$3-VLOOKUP($A9,'détails investissements'!$A$71:$B$88,2,FALSE)&lt;=0,"",IF(VLOOKUP($A9,'détails investissements'!$A$26:$DE$43,BK$3-VLOOKUP($A9,'détails investissements'!$A$71:$B$88,2,FALSE)+1,FALSE)="","",VLOOKUP($A9,'détails investissements'!$A$26:$DE$43,BK$3-VLOOKUP($A9,'détails investissements'!$A$71:$B$88,2,FALSE)+1,FALSE)))&lt;&gt;"",HLOOKUP(IF(BK$3-VLOOKUP($A9,'détails investissements'!$A$71:$B$88,2,FALSE)&lt;=0,"",IF(VLOOKUP($A9,'détails investissements'!$A$26:$DE$43,BK$3-VLOOKUP($A9,'détails investissements'!$A$71:$B$88,2,FALSE)+1,FALSE)="","",VLOOKUP($A9,'détails investissements'!$A$26:$DE$43,BK$3-VLOOKUP($A9,'détails investissements'!$A$71:$B$88,2,FALSE)+1,FALSE))),'détails investissements'!$U$6:$AB$7,2,FALSE),"")&lt;&gt;"",VLOOKUP($A9,'détails investissements'!$A$7:$H$21,1+IF(IF(BK$3-VLOOKUP($A9,'détails investissements'!$A$71:$B$88,2,FALSE)&lt;=0,"",IF(VLOOKUP($A9,'détails investissements'!$A$26:$DE$43,BK$3-VLOOKUP($A9,'détails investissements'!$A$71:$B$88,2,FALSE)+1,FALSE)="","",VLOOKUP($A9,'détails investissements'!$A$26:$DE$43,BK$3-VLOOKUP($A9,'détails investissements'!$A$71:$B$88,2,FALSE)+1,FALSE)))&lt;&gt;"",HLOOKUP(IF(BK$3-VLOOKUP($A9,'détails investissements'!$A$71:$B$88,2,FALSE)&lt;=0,"",IF(VLOOKUP($A9,'détails investissements'!$A$26:$DE$43,BK$3-VLOOKUP($A9,'détails investissements'!$A$71:$B$88,2,FALSE)+1,FALSE)="","",VLOOKUP($A9,'détails investissements'!$A$26:$DE$43,BK$3-VLOOKUP($A9,'détails investissements'!$A$71:$B$88,2,FALSE)+1,FALSE))),'détails investissements'!$U$6:$AB$7,2,FALSE),""),FALSE),"")</f>
        <v/>
      </c>
      <c r="BL9" s="45">
        <f>IF(IF(IF(BL$3-VLOOKUP($A9,'détails investissements'!$A$71:$B$88,2,FALSE)&lt;=0,"",IF(VLOOKUP($A9,'détails investissements'!$A$26:$DE$43,BL$3-VLOOKUP($A9,'détails investissements'!$A$71:$B$88,2,FALSE)+1,FALSE)="","",VLOOKUP($A9,'détails investissements'!$A$26:$DE$43,BL$3-VLOOKUP($A9,'détails investissements'!$A$71:$B$88,2,FALSE)+1,FALSE)))&lt;&gt;"",HLOOKUP(IF(BL$3-VLOOKUP($A9,'détails investissements'!$A$71:$B$88,2,FALSE)&lt;=0,"",IF(VLOOKUP($A9,'détails investissements'!$A$26:$DE$43,BL$3-VLOOKUP($A9,'détails investissements'!$A$71:$B$88,2,FALSE)+1,FALSE)="","",VLOOKUP($A9,'détails investissements'!$A$26:$DE$43,BL$3-VLOOKUP($A9,'détails investissements'!$A$71:$B$88,2,FALSE)+1,FALSE))),'détails investissements'!$U$6:$AB$7,2,FALSE),"")&lt;&gt;"",VLOOKUP($A9,'détails investissements'!$A$7:$H$21,1+IF(IF(BL$3-VLOOKUP($A9,'détails investissements'!$A$71:$B$88,2,FALSE)&lt;=0,"",IF(VLOOKUP($A9,'détails investissements'!$A$26:$DE$43,BL$3-VLOOKUP($A9,'détails investissements'!$A$71:$B$88,2,FALSE)+1,FALSE)="","",VLOOKUP($A9,'détails investissements'!$A$26:$DE$43,BL$3-VLOOKUP($A9,'détails investissements'!$A$71:$B$88,2,FALSE)+1,FALSE)))&lt;&gt;"",HLOOKUP(IF(BL$3-VLOOKUP($A9,'détails investissements'!$A$71:$B$88,2,FALSE)&lt;=0,"",IF(VLOOKUP($A9,'détails investissements'!$A$26:$DE$43,BL$3-VLOOKUP($A9,'détails investissements'!$A$71:$B$88,2,FALSE)+1,FALSE)="","",VLOOKUP($A9,'détails investissements'!$A$26:$DE$43,BL$3-VLOOKUP($A9,'détails investissements'!$A$71:$B$88,2,FALSE)+1,FALSE))),'détails investissements'!$U$6:$AB$7,2,FALSE),""),FALSE),"")</f>
        <v>0.2</v>
      </c>
      <c r="BM9" s="45" t="str">
        <f>IF(IF(IF(BM$3-VLOOKUP($A9,'détails investissements'!$A$71:$B$88,2,FALSE)&lt;=0,"",IF(VLOOKUP($A9,'détails investissements'!$A$26:$DE$43,BM$3-VLOOKUP($A9,'détails investissements'!$A$71:$B$88,2,FALSE)+1,FALSE)="","",VLOOKUP($A9,'détails investissements'!$A$26:$DE$43,BM$3-VLOOKUP($A9,'détails investissements'!$A$71:$B$88,2,FALSE)+1,FALSE)))&lt;&gt;"",HLOOKUP(IF(BM$3-VLOOKUP($A9,'détails investissements'!$A$71:$B$88,2,FALSE)&lt;=0,"",IF(VLOOKUP($A9,'détails investissements'!$A$26:$DE$43,BM$3-VLOOKUP($A9,'détails investissements'!$A$71:$B$88,2,FALSE)+1,FALSE)="","",VLOOKUP($A9,'détails investissements'!$A$26:$DE$43,BM$3-VLOOKUP($A9,'détails investissements'!$A$71:$B$88,2,FALSE)+1,FALSE))),'détails investissements'!$U$6:$AB$7,2,FALSE),"")&lt;&gt;"",VLOOKUP($A9,'détails investissements'!$A$7:$H$21,1+IF(IF(BM$3-VLOOKUP($A9,'détails investissements'!$A$71:$B$88,2,FALSE)&lt;=0,"",IF(VLOOKUP($A9,'détails investissements'!$A$26:$DE$43,BM$3-VLOOKUP($A9,'détails investissements'!$A$71:$B$88,2,FALSE)+1,FALSE)="","",VLOOKUP($A9,'détails investissements'!$A$26:$DE$43,BM$3-VLOOKUP($A9,'détails investissements'!$A$71:$B$88,2,FALSE)+1,FALSE)))&lt;&gt;"",HLOOKUP(IF(BM$3-VLOOKUP($A9,'détails investissements'!$A$71:$B$88,2,FALSE)&lt;=0,"",IF(VLOOKUP($A9,'détails investissements'!$A$26:$DE$43,BM$3-VLOOKUP($A9,'détails investissements'!$A$71:$B$88,2,FALSE)+1,FALSE)="","",VLOOKUP($A9,'détails investissements'!$A$26:$DE$43,BM$3-VLOOKUP($A9,'détails investissements'!$A$71:$B$88,2,FALSE)+1,FALSE))),'détails investissements'!$U$6:$AB$7,2,FALSE),""),FALSE),"")</f>
        <v/>
      </c>
      <c r="BN9" s="45" t="str">
        <f>IF(IF(IF(BN$3-VLOOKUP($A9,'détails investissements'!$A$71:$B$88,2,FALSE)&lt;=0,"",IF(VLOOKUP($A9,'détails investissements'!$A$26:$DE$43,BN$3-VLOOKUP($A9,'détails investissements'!$A$71:$B$88,2,FALSE)+1,FALSE)="","",VLOOKUP($A9,'détails investissements'!$A$26:$DE$43,BN$3-VLOOKUP($A9,'détails investissements'!$A$71:$B$88,2,FALSE)+1,FALSE)))&lt;&gt;"",HLOOKUP(IF(BN$3-VLOOKUP($A9,'détails investissements'!$A$71:$B$88,2,FALSE)&lt;=0,"",IF(VLOOKUP($A9,'détails investissements'!$A$26:$DE$43,BN$3-VLOOKUP($A9,'détails investissements'!$A$71:$B$88,2,FALSE)+1,FALSE)="","",VLOOKUP($A9,'détails investissements'!$A$26:$DE$43,BN$3-VLOOKUP($A9,'détails investissements'!$A$71:$B$88,2,FALSE)+1,FALSE))),'détails investissements'!$U$6:$AB$7,2,FALSE),"")&lt;&gt;"",VLOOKUP($A9,'détails investissements'!$A$7:$H$21,1+IF(IF(BN$3-VLOOKUP($A9,'détails investissements'!$A$71:$B$88,2,FALSE)&lt;=0,"",IF(VLOOKUP($A9,'détails investissements'!$A$26:$DE$43,BN$3-VLOOKUP($A9,'détails investissements'!$A$71:$B$88,2,FALSE)+1,FALSE)="","",VLOOKUP($A9,'détails investissements'!$A$26:$DE$43,BN$3-VLOOKUP($A9,'détails investissements'!$A$71:$B$88,2,FALSE)+1,FALSE)))&lt;&gt;"",HLOOKUP(IF(BN$3-VLOOKUP($A9,'détails investissements'!$A$71:$B$88,2,FALSE)&lt;=0,"",IF(VLOOKUP($A9,'détails investissements'!$A$26:$DE$43,BN$3-VLOOKUP($A9,'détails investissements'!$A$71:$B$88,2,FALSE)+1,FALSE)="","",VLOOKUP($A9,'détails investissements'!$A$26:$DE$43,BN$3-VLOOKUP($A9,'détails investissements'!$A$71:$B$88,2,FALSE)+1,FALSE))),'détails investissements'!$U$6:$AB$7,2,FALSE),""),FALSE),"")</f>
        <v/>
      </c>
      <c r="BO9" s="45">
        <f>IF(IF(IF(BO$3-VLOOKUP($A9,'détails investissements'!$A$71:$B$88,2,FALSE)&lt;=0,"",IF(VLOOKUP($A9,'détails investissements'!$A$26:$DE$43,BO$3-VLOOKUP($A9,'détails investissements'!$A$71:$B$88,2,FALSE)+1,FALSE)="","",VLOOKUP($A9,'détails investissements'!$A$26:$DE$43,BO$3-VLOOKUP($A9,'détails investissements'!$A$71:$B$88,2,FALSE)+1,FALSE)))&lt;&gt;"",HLOOKUP(IF(BO$3-VLOOKUP($A9,'détails investissements'!$A$71:$B$88,2,FALSE)&lt;=0,"",IF(VLOOKUP($A9,'détails investissements'!$A$26:$DE$43,BO$3-VLOOKUP($A9,'détails investissements'!$A$71:$B$88,2,FALSE)+1,FALSE)="","",VLOOKUP($A9,'détails investissements'!$A$26:$DE$43,BO$3-VLOOKUP($A9,'détails investissements'!$A$71:$B$88,2,FALSE)+1,FALSE))),'détails investissements'!$U$6:$AB$7,2,FALSE),"")&lt;&gt;"",VLOOKUP($A9,'détails investissements'!$A$7:$H$21,1+IF(IF(BO$3-VLOOKUP($A9,'détails investissements'!$A$71:$B$88,2,FALSE)&lt;=0,"",IF(VLOOKUP($A9,'détails investissements'!$A$26:$DE$43,BO$3-VLOOKUP($A9,'détails investissements'!$A$71:$B$88,2,FALSE)+1,FALSE)="","",VLOOKUP($A9,'détails investissements'!$A$26:$DE$43,BO$3-VLOOKUP($A9,'détails investissements'!$A$71:$B$88,2,FALSE)+1,FALSE)))&lt;&gt;"",HLOOKUP(IF(BO$3-VLOOKUP($A9,'détails investissements'!$A$71:$B$88,2,FALSE)&lt;=0,"",IF(VLOOKUP($A9,'détails investissements'!$A$26:$DE$43,BO$3-VLOOKUP($A9,'détails investissements'!$A$71:$B$88,2,FALSE)+1,FALSE)="","",VLOOKUP($A9,'détails investissements'!$A$26:$DE$43,BO$3-VLOOKUP($A9,'détails investissements'!$A$71:$B$88,2,FALSE)+1,FALSE))),'détails investissements'!$U$6:$AB$7,2,FALSE),""),FALSE),"")</f>
        <v>0.1</v>
      </c>
      <c r="BP9" s="45" t="str">
        <f>IF(IF(IF(BP$3-VLOOKUP($A9,'détails investissements'!$A$71:$B$88,2,FALSE)&lt;=0,"",IF(VLOOKUP($A9,'détails investissements'!$A$26:$DE$43,BP$3-VLOOKUP($A9,'détails investissements'!$A$71:$B$88,2,FALSE)+1,FALSE)="","",VLOOKUP($A9,'détails investissements'!$A$26:$DE$43,BP$3-VLOOKUP($A9,'détails investissements'!$A$71:$B$88,2,FALSE)+1,FALSE)))&lt;&gt;"",HLOOKUP(IF(BP$3-VLOOKUP($A9,'détails investissements'!$A$71:$B$88,2,FALSE)&lt;=0,"",IF(VLOOKUP($A9,'détails investissements'!$A$26:$DE$43,BP$3-VLOOKUP($A9,'détails investissements'!$A$71:$B$88,2,FALSE)+1,FALSE)="","",VLOOKUP($A9,'détails investissements'!$A$26:$DE$43,BP$3-VLOOKUP($A9,'détails investissements'!$A$71:$B$88,2,FALSE)+1,FALSE))),'détails investissements'!$U$6:$AB$7,2,FALSE),"")&lt;&gt;"",VLOOKUP($A9,'détails investissements'!$A$7:$H$21,1+IF(IF(BP$3-VLOOKUP($A9,'détails investissements'!$A$71:$B$88,2,FALSE)&lt;=0,"",IF(VLOOKUP($A9,'détails investissements'!$A$26:$DE$43,BP$3-VLOOKUP($A9,'détails investissements'!$A$71:$B$88,2,FALSE)+1,FALSE)="","",VLOOKUP($A9,'détails investissements'!$A$26:$DE$43,BP$3-VLOOKUP($A9,'détails investissements'!$A$71:$B$88,2,FALSE)+1,FALSE)))&lt;&gt;"",HLOOKUP(IF(BP$3-VLOOKUP($A9,'détails investissements'!$A$71:$B$88,2,FALSE)&lt;=0,"",IF(VLOOKUP($A9,'détails investissements'!$A$26:$DE$43,BP$3-VLOOKUP($A9,'détails investissements'!$A$71:$B$88,2,FALSE)+1,FALSE)="","",VLOOKUP($A9,'détails investissements'!$A$26:$DE$43,BP$3-VLOOKUP($A9,'détails investissements'!$A$71:$B$88,2,FALSE)+1,FALSE))),'détails investissements'!$U$6:$AB$7,2,FALSE),""),FALSE),"")</f>
        <v/>
      </c>
      <c r="BQ9" s="45" t="str">
        <f>IF(IF(IF(BQ$3-VLOOKUP($A9,'détails investissements'!$A$71:$B$88,2,FALSE)&lt;=0,"",IF(VLOOKUP($A9,'détails investissements'!$A$26:$DE$43,BQ$3-VLOOKUP($A9,'détails investissements'!$A$71:$B$88,2,FALSE)+1,FALSE)="","",VLOOKUP($A9,'détails investissements'!$A$26:$DE$43,BQ$3-VLOOKUP($A9,'détails investissements'!$A$71:$B$88,2,FALSE)+1,FALSE)))&lt;&gt;"",HLOOKUP(IF(BQ$3-VLOOKUP($A9,'détails investissements'!$A$71:$B$88,2,FALSE)&lt;=0,"",IF(VLOOKUP($A9,'détails investissements'!$A$26:$DE$43,BQ$3-VLOOKUP($A9,'détails investissements'!$A$71:$B$88,2,FALSE)+1,FALSE)="","",VLOOKUP($A9,'détails investissements'!$A$26:$DE$43,BQ$3-VLOOKUP($A9,'détails investissements'!$A$71:$B$88,2,FALSE)+1,FALSE))),'détails investissements'!$U$6:$AB$7,2,FALSE),"")&lt;&gt;"",VLOOKUP($A9,'détails investissements'!$A$7:$H$21,1+IF(IF(BQ$3-VLOOKUP($A9,'détails investissements'!$A$71:$B$88,2,FALSE)&lt;=0,"",IF(VLOOKUP($A9,'détails investissements'!$A$26:$DE$43,BQ$3-VLOOKUP($A9,'détails investissements'!$A$71:$B$88,2,FALSE)+1,FALSE)="","",VLOOKUP($A9,'détails investissements'!$A$26:$DE$43,BQ$3-VLOOKUP($A9,'détails investissements'!$A$71:$B$88,2,FALSE)+1,FALSE)))&lt;&gt;"",HLOOKUP(IF(BQ$3-VLOOKUP($A9,'détails investissements'!$A$71:$B$88,2,FALSE)&lt;=0,"",IF(VLOOKUP($A9,'détails investissements'!$A$26:$DE$43,BQ$3-VLOOKUP($A9,'détails investissements'!$A$71:$B$88,2,FALSE)+1,FALSE)="","",VLOOKUP($A9,'détails investissements'!$A$26:$DE$43,BQ$3-VLOOKUP($A9,'détails investissements'!$A$71:$B$88,2,FALSE)+1,FALSE))),'détails investissements'!$U$6:$AB$7,2,FALSE),""),FALSE),"")</f>
        <v/>
      </c>
      <c r="BR9" s="45" t="str">
        <f>IF(IF(IF(BR$3-VLOOKUP($A9,'détails investissements'!$A$71:$B$88,2,FALSE)&lt;=0,"",IF(VLOOKUP($A9,'détails investissements'!$A$26:$DE$43,BR$3-VLOOKUP($A9,'détails investissements'!$A$71:$B$88,2,FALSE)+1,FALSE)="","",VLOOKUP($A9,'détails investissements'!$A$26:$DE$43,BR$3-VLOOKUP($A9,'détails investissements'!$A$71:$B$88,2,FALSE)+1,FALSE)))&lt;&gt;"",HLOOKUP(IF(BR$3-VLOOKUP($A9,'détails investissements'!$A$71:$B$88,2,FALSE)&lt;=0,"",IF(VLOOKUP($A9,'détails investissements'!$A$26:$DE$43,BR$3-VLOOKUP($A9,'détails investissements'!$A$71:$B$88,2,FALSE)+1,FALSE)="","",VLOOKUP($A9,'détails investissements'!$A$26:$DE$43,BR$3-VLOOKUP($A9,'détails investissements'!$A$71:$B$88,2,FALSE)+1,FALSE))),'détails investissements'!$U$6:$AB$7,2,FALSE),"")&lt;&gt;"",VLOOKUP($A9,'détails investissements'!$A$7:$H$21,1+IF(IF(BR$3-VLOOKUP($A9,'détails investissements'!$A$71:$B$88,2,FALSE)&lt;=0,"",IF(VLOOKUP($A9,'détails investissements'!$A$26:$DE$43,BR$3-VLOOKUP($A9,'détails investissements'!$A$71:$B$88,2,FALSE)+1,FALSE)="","",VLOOKUP($A9,'détails investissements'!$A$26:$DE$43,BR$3-VLOOKUP($A9,'détails investissements'!$A$71:$B$88,2,FALSE)+1,FALSE)))&lt;&gt;"",HLOOKUP(IF(BR$3-VLOOKUP($A9,'détails investissements'!$A$71:$B$88,2,FALSE)&lt;=0,"",IF(VLOOKUP($A9,'détails investissements'!$A$26:$DE$43,BR$3-VLOOKUP($A9,'détails investissements'!$A$71:$B$88,2,FALSE)+1,FALSE)="","",VLOOKUP($A9,'détails investissements'!$A$26:$DE$43,BR$3-VLOOKUP($A9,'détails investissements'!$A$71:$B$88,2,FALSE)+1,FALSE))),'détails investissements'!$U$6:$AB$7,2,FALSE),""),FALSE),"")</f>
        <v/>
      </c>
      <c r="BS9" s="45" t="str">
        <f>IF(IF(IF(BS$3-VLOOKUP($A9,'détails investissements'!$A$71:$B$88,2,FALSE)&lt;=0,"",IF(VLOOKUP($A9,'détails investissements'!$A$26:$DE$43,BS$3-VLOOKUP($A9,'détails investissements'!$A$71:$B$88,2,FALSE)+1,FALSE)="","",VLOOKUP($A9,'détails investissements'!$A$26:$DE$43,BS$3-VLOOKUP($A9,'détails investissements'!$A$71:$B$88,2,FALSE)+1,FALSE)))&lt;&gt;"",HLOOKUP(IF(BS$3-VLOOKUP($A9,'détails investissements'!$A$71:$B$88,2,FALSE)&lt;=0,"",IF(VLOOKUP($A9,'détails investissements'!$A$26:$DE$43,BS$3-VLOOKUP($A9,'détails investissements'!$A$71:$B$88,2,FALSE)+1,FALSE)="","",VLOOKUP($A9,'détails investissements'!$A$26:$DE$43,BS$3-VLOOKUP($A9,'détails investissements'!$A$71:$B$88,2,FALSE)+1,FALSE))),'détails investissements'!$U$6:$AB$7,2,FALSE),"")&lt;&gt;"",VLOOKUP($A9,'détails investissements'!$A$7:$H$21,1+IF(IF(BS$3-VLOOKUP($A9,'détails investissements'!$A$71:$B$88,2,FALSE)&lt;=0,"",IF(VLOOKUP($A9,'détails investissements'!$A$26:$DE$43,BS$3-VLOOKUP($A9,'détails investissements'!$A$71:$B$88,2,FALSE)+1,FALSE)="","",VLOOKUP($A9,'détails investissements'!$A$26:$DE$43,BS$3-VLOOKUP($A9,'détails investissements'!$A$71:$B$88,2,FALSE)+1,FALSE)))&lt;&gt;"",HLOOKUP(IF(BS$3-VLOOKUP($A9,'détails investissements'!$A$71:$B$88,2,FALSE)&lt;=0,"",IF(VLOOKUP($A9,'détails investissements'!$A$26:$DE$43,BS$3-VLOOKUP($A9,'détails investissements'!$A$71:$B$88,2,FALSE)+1,FALSE)="","",VLOOKUP($A9,'détails investissements'!$A$26:$DE$43,BS$3-VLOOKUP($A9,'détails investissements'!$A$71:$B$88,2,FALSE)+1,FALSE))),'détails investissements'!$U$6:$AB$7,2,FALSE),""),FALSE),"")</f>
        <v/>
      </c>
      <c r="BT9" s="45" t="str">
        <f>IF(IF(IF(BT$3-VLOOKUP($A9,'détails investissements'!$A$71:$B$88,2,FALSE)&lt;=0,"",IF(VLOOKUP($A9,'détails investissements'!$A$26:$DE$43,BT$3-VLOOKUP($A9,'détails investissements'!$A$71:$B$88,2,FALSE)+1,FALSE)="","",VLOOKUP($A9,'détails investissements'!$A$26:$DE$43,BT$3-VLOOKUP($A9,'détails investissements'!$A$71:$B$88,2,FALSE)+1,FALSE)))&lt;&gt;"",HLOOKUP(IF(BT$3-VLOOKUP($A9,'détails investissements'!$A$71:$B$88,2,FALSE)&lt;=0,"",IF(VLOOKUP($A9,'détails investissements'!$A$26:$DE$43,BT$3-VLOOKUP($A9,'détails investissements'!$A$71:$B$88,2,FALSE)+1,FALSE)="","",VLOOKUP($A9,'détails investissements'!$A$26:$DE$43,BT$3-VLOOKUP($A9,'détails investissements'!$A$71:$B$88,2,FALSE)+1,FALSE))),'détails investissements'!$U$6:$AB$7,2,FALSE),"")&lt;&gt;"",VLOOKUP($A9,'détails investissements'!$A$7:$H$21,1+IF(IF(BT$3-VLOOKUP($A9,'détails investissements'!$A$71:$B$88,2,FALSE)&lt;=0,"",IF(VLOOKUP($A9,'détails investissements'!$A$26:$DE$43,BT$3-VLOOKUP($A9,'détails investissements'!$A$71:$B$88,2,FALSE)+1,FALSE)="","",VLOOKUP($A9,'détails investissements'!$A$26:$DE$43,BT$3-VLOOKUP($A9,'détails investissements'!$A$71:$B$88,2,FALSE)+1,FALSE)))&lt;&gt;"",HLOOKUP(IF(BT$3-VLOOKUP($A9,'détails investissements'!$A$71:$B$88,2,FALSE)&lt;=0,"",IF(VLOOKUP($A9,'détails investissements'!$A$26:$DE$43,BT$3-VLOOKUP($A9,'détails investissements'!$A$71:$B$88,2,FALSE)+1,FALSE)="","",VLOOKUP($A9,'détails investissements'!$A$26:$DE$43,BT$3-VLOOKUP($A9,'détails investissements'!$A$71:$B$88,2,FALSE)+1,FALSE))),'détails investissements'!$U$6:$AB$7,2,FALSE),""),FALSE),"")</f>
        <v/>
      </c>
      <c r="BU9" s="45" t="str">
        <f>IF(IF(IF(BU$3-VLOOKUP($A9,'détails investissements'!$A$71:$B$88,2,FALSE)&lt;=0,"",IF(VLOOKUP($A9,'détails investissements'!$A$26:$DE$43,BU$3-VLOOKUP($A9,'détails investissements'!$A$71:$B$88,2,FALSE)+1,FALSE)="","",VLOOKUP($A9,'détails investissements'!$A$26:$DE$43,BU$3-VLOOKUP($A9,'détails investissements'!$A$71:$B$88,2,FALSE)+1,FALSE)))&lt;&gt;"",HLOOKUP(IF(BU$3-VLOOKUP($A9,'détails investissements'!$A$71:$B$88,2,FALSE)&lt;=0,"",IF(VLOOKUP($A9,'détails investissements'!$A$26:$DE$43,BU$3-VLOOKUP($A9,'détails investissements'!$A$71:$B$88,2,FALSE)+1,FALSE)="","",VLOOKUP($A9,'détails investissements'!$A$26:$DE$43,BU$3-VLOOKUP($A9,'détails investissements'!$A$71:$B$88,2,FALSE)+1,FALSE))),'détails investissements'!$U$6:$AB$7,2,FALSE),"")&lt;&gt;"",VLOOKUP($A9,'détails investissements'!$A$7:$H$21,1+IF(IF(BU$3-VLOOKUP($A9,'détails investissements'!$A$71:$B$88,2,FALSE)&lt;=0,"",IF(VLOOKUP($A9,'détails investissements'!$A$26:$DE$43,BU$3-VLOOKUP($A9,'détails investissements'!$A$71:$B$88,2,FALSE)+1,FALSE)="","",VLOOKUP($A9,'détails investissements'!$A$26:$DE$43,BU$3-VLOOKUP($A9,'détails investissements'!$A$71:$B$88,2,FALSE)+1,FALSE)))&lt;&gt;"",HLOOKUP(IF(BU$3-VLOOKUP($A9,'détails investissements'!$A$71:$B$88,2,FALSE)&lt;=0,"",IF(VLOOKUP($A9,'détails investissements'!$A$26:$DE$43,BU$3-VLOOKUP($A9,'détails investissements'!$A$71:$B$88,2,FALSE)+1,FALSE)="","",VLOOKUP($A9,'détails investissements'!$A$26:$DE$43,BU$3-VLOOKUP($A9,'détails investissements'!$A$71:$B$88,2,FALSE)+1,FALSE))),'détails investissements'!$U$6:$AB$7,2,FALSE),""),FALSE),"")</f>
        <v/>
      </c>
      <c r="BV9" s="45" t="str">
        <f>IF(IF(IF(BV$3-VLOOKUP($A9,'détails investissements'!$A$71:$B$88,2,FALSE)&lt;=0,"",IF(VLOOKUP($A9,'détails investissements'!$A$26:$DE$43,BV$3-VLOOKUP($A9,'détails investissements'!$A$71:$B$88,2,FALSE)+1,FALSE)="","",VLOOKUP($A9,'détails investissements'!$A$26:$DE$43,BV$3-VLOOKUP($A9,'détails investissements'!$A$71:$B$88,2,FALSE)+1,FALSE)))&lt;&gt;"",HLOOKUP(IF(BV$3-VLOOKUP($A9,'détails investissements'!$A$71:$B$88,2,FALSE)&lt;=0,"",IF(VLOOKUP($A9,'détails investissements'!$A$26:$DE$43,BV$3-VLOOKUP($A9,'détails investissements'!$A$71:$B$88,2,FALSE)+1,FALSE)="","",VLOOKUP($A9,'détails investissements'!$A$26:$DE$43,BV$3-VLOOKUP($A9,'détails investissements'!$A$71:$B$88,2,FALSE)+1,FALSE))),'détails investissements'!$U$6:$AB$7,2,FALSE),"")&lt;&gt;"",VLOOKUP($A9,'détails investissements'!$A$7:$H$21,1+IF(IF(BV$3-VLOOKUP($A9,'détails investissements'!$A$71:$B$88,2,FALSE)&lt;=0,"",IF(VLOOKUP($A9,'détails investissements'!$A$26:$DE$43,BV$3-VLOOKUP($A9,'détails investissements'!$A$71:$B$88,2,FALSE)+1,FALSE)="","",VLOOKUP($A9,'détails investissements'!$A$26:$DE$43,BV$3-VLOOKUP($A9,'détails investissements'!$A$71:$B$88,2,FALSE)+1,FALSE)))&lt;&gt;"",HLOOKUP(IF(BV$3-VLOOKUP($A9,'détails investissements'!$A$71:$B$88,2,FALSE)&lt;=0,"",IF(VLOOKUP($A9,'détails investissements'!$A$26:$DE$43,BV$3-VLOOKUP($A9,'détails investissements'!$A$71:$B$88,2,FALSE)+1,FALSE)="","",VLOOKUP($A9,'détails investissements'!$A$26:$DE$43,BV$3-VLOOKUP($A9,'détails investissements'!$A$71:$B$88,2,FALSE)+1,FALSE))),'détails investissements'!$U$6:$AB$7,2,FALSE),""),FALSE),"")</f>
        <v/>
      </c>
      <c r="BW9" s="45" t="str">
        <f>IF(IF(IF(BW$3-VLOOKUP($A9,'détails investissements'!$A$71:$B$88,2,FALSE)&lt;=0,"",IF(VLOOKUP($A9,'détails investissements'!$A$26:$DE$43,BW$3-VLOOKUP($A9,'détails investissements'!$A$71:$B$88,2,FALSE)+1,FALSE)="","",VLOOKUP($A9,'détails investissements'!$A$26:$DE$43,BW$3-VLOOKUP($A9,'détails investissements'!$A$71:$B$88,2,FALSE)+1,FALSE)))&lt;&gt;"",HLOOKUP(IF(BW$3-VLOOKUP($A9,'détails investissements'!$A$71:$B$88,2,FALSE)&lt;=0,"",IF(VLOOKUP($A9,'détails investissements'!$A$26:$DE$43,BW$3-VLOOKUP($A9,'détails investissements'!$A$71:$B$88,2,FALSE)+1,FALSE)="","",VLOOKUP($A9,'détails investissements'!$A$26:$DE$43,BW$3-VLOOKUP($A9,'détails investissements'!$A$71:$B$88,2,FALSE)+1,FALSE))),'détails investissements'!$U$6:$AB$7,2,FALSE),"")&lt;&gt;"",VLOOKUP($A9,'détails investissements'!$A$7:$H$21,1+IF(IF(BW$3-VLOOKUP($A9,'détails investissements'!$A$71:$B$88,2,FALSE)&lt;=0,"",IF(VLOOKUP($A9,'détails investissements'!$A$26:$DE$43,BW$3-VLOOKUP($A9,'détails investissements'!$A$71:$B$88,2,FALSE)+1,FALSE)="","",VLOOKUP($A9,'détails investissements'!$A$26:$DE$43,BW$3-VLOOKUP($A9,'détails investissements'!$A$71:$B$88,2,FALSE)+1,FALSE)))&lt;&gt;"",HLOOKUP(IF(BW$3-VLOOKUP($A9,'détails investissements'!$A$71:$B$88,2,FALSE)&lt;=0,"",IF(VLOOKUP($A9,'détails investissements'!$A$26:$DE$43,BW$3-VLOOKUP($A9,'détails investissements'!$A$71:$B$88,2,FALSE)+1,FALSE)="","",VLOOKUP($A9,'détails investissements'!$A$26:$DE$43,BW$3-VLOOKUP($A9,'détails investissements'!$A$71:$B$88,2,FALSE)+1,FALSE))),'détails investissements'!$U$6:$AB$7,2,FALSE),""),FALSE),"")</f>
        <v/>
      </c>
      <c r="BX9" s="45" t="str">
        <f>IF(IF(IF(BX$3-VLOOKUP($A9,'détails investissements'!$A$71:$B$88,2,FALSE)&lt;=0,"",IF(VLOOKUP($A9,'détails investissements'!$A$26:$DE$43,BX$3-VLOOKUP($A9,'détails investissements'!$A$71:$B$88,2,FALSE)+1,FALSE)="","",VLOOKUP($A9,'détails investissements'!$A$26:$DE$43,BX$3-VLOOKUP($A9,'détails investissements'!$A$71:$B$88,2,FALSE)+1,FALSE)))&lt;&gt;"",HLOOKUP(IF(BX$3-VLOOKUP($A9,'détails investissements'!$A$71:$B$88,2,FALSE)&lt;=0,"",IF(VLOOKUP($A9,'détails investissements'!$A$26:$DE$43,BX$3-VLOOKUP($A9,'détails investissements'!$A$71:$B$88,2,FALSE)+1,FALSE)="","",VLOOKUP($A9,'détails investissements'!$A$26:$DE$43,BX$3-VLOOKUP($A9,'détails investissements'!$A$71:$B$88,2,FALSE)+1,FALSE))),'détails investissements'!$U$6:$AB$7,2,FALSE),"")&lt;&gt;"",VLOOKUP($A9,'détails investissements'!$A$7:$H$21,1+IF(IF(BX$3-VLOOKUP($A9,'détails investissements'!$A$71:$B$88,2,FALSE)&lt;=0,"",IF(VLOOKUP($A9,'détails investissements'!$A$26:$DE$43,BX$3-VLOOKUP($A9,'détails investissements'!$A$71:$B$88,2,FALSE)+1,FALSE)="","",VLOOKUP($A9,'détails investissements'!$A$26:$DE$43,BX$3-VLOOKUP($A9,'détails investissements'!$A$71:$B$88,2,FALSE)+1,FALSE)))&lt;&gt;"",HLOOKUP(IF(BX$3-VLOOKUP($A9,'détails investissements'!$A$71:$B$88,2,FALSE)&lt;=0,"",IF(VLOOKUP($A9,'détails investissements'!$A$26:$DE$43,BX$3-VLOOKUP($A9,'détails investissements'!$A$71:$B$88,2,FALSE)+1,FALSE)="","",VLOOKUP($A9,'détails investissements'!$A$26:$DE$43,BX$3-VLOOKUP($A9,'détails investissements'!$A$71:$B$88,2,FALSE)+1,FALSE))),'détails investissements'!$U$6:$AB$7,2,FALSE),""),FALSE),"")</f>
        <v/>
      </c>
      <c r="BY9" s="45" t="str">
        <f>IF(IF(IF(BY$3-VLOOKUP($A9,'détails investissements'!$A$71:$B$88,2,FALSE)&lt;=0,"",IF(VLOOKUP($A9,'détails investissements'!$A$26:$DE$43,BY$3-VLOOKUP($A9,'détails investissements'!$A$71:$B$88,2,FALSE)+1,FALSE)="","",VLOOKUP($A9,'détails investissements'!$A$26:$DE$43,BY$3-VLOOKUP($A9,'détails investissements'!$A$71:$B$88,2,FALSE)+1,FALSE)))&lt;&gt;"",HLOOKUP(IF(BY$3-VLOOKUP($A9,'détails investissements'!$A$71:$B$88,2,FALSE)&lt;=0,"",IF(VLOOKUP($A9,'détails investissements'!$A$26:$DE$43,BY$3-VLOOKUP($A9,'détails investissements'!$A$71:$B$88,2,FALSE)+1,FALSE)="","",VLOOKUP($A9,'détails investissements'!$A$26:$DE$43,BY$3-VLOOKUP($A9,'détails investissements'!$A$71:$B$88,2,FALSE)+1,FALSE))),'détails investissements'!$U$6:$AB$7,2,FALSE),"")&lt;&gt;"",VLOOKUP($A9,'détails investissements'!$A$7:$H$21,1+IF(IF(BY$3-VLOOKUP($A9,'détails investissements'!$A$71:$B$88,2,FALSE)&lt;=0,"",IF(VLOOKUP($A9,'détails investissements'!$A$26:$DE$43,BY$3-VLOOKUP($A9,'détails investissements'!$A$71:$B$88,2,FALSE)+1,FALSE)="","",VLOOKUP($A9,'détails investissements'!$A$26:$DE$43,BY$3-VLOOKUP($A9,'détails investissements'!$A$71:$B$88,2,FALSE)+1,FALSE)))&lt;&gt;"",HLOOKUP(IF(BY$3-VLOOKUP($A9,'détails investissements'!$A$71:$B$88,2,FALSE)&lt;=0,"",IF(VLOOKUP($A9,'détails investissements'!$A$26:$DE$43,BY$3-VLOOKUP($A9,'détails investissements'!$A$71:$B$88,2,FALSE)+1,FALSE)="","",VLOOKUP($A9,'détails investissements'!$A$26:$DE$43,BY$3-VLOOKUP($A9,'détails investissements'!$A$71:$B$88,2,FALSE)+1,FALSE))),'détails investissements'!$U$6:$AB$7,2,FALSE),""),FALSE),"")</f>
        <v/>
      </c>
      <c r="BZ9" s="45" t="str">
        <f>IF(IF(IF(BZ$3-VLOOKUP($A9,'détails investissements'!$A$71:$B$88,2,FALSE)&lt;=0,"",IF(VLOOKUP($A9,'détails investissements'!$A$26:$DE$43,BZ$3-VLOOKUP($A9,'détails investissements'!$A$71:$B$88,2,FALSE)+1,FALSE)="","",VLOOKUP($A9,'détails investissements'!$A$26:$DE$43,BZ$3-VLOOKUP($A9,'détails investissements'!$A$71:$B$88,2,FALSE)+1,FALSE)))&lt;&gt;"",HLOOKUP(IF(BZ$3-VLOOKUP($A9,'détails investissements'!$A$71:$B$88,2,FALSE)&lt;=0,"",IF(VLOOKUP($A9,'détails investissements'!$A$26:$DE$43,BZ$3-VLOOKUP($A9,'détails investissements'!$A$71:$B$88,2,FALSE)+1,FALSE)="","",VLOOKUP($A9,'détails investissements'!$A$26:$DE$43,BZ$3-VLOOKUP($A9,'détails investissements'!$A$71:$B$88,2,FALSE)+1,FALSE))),'détails investissements'!$U$6:$AB$7,2,FALSE),"")&lt;&gt;"",VLOOKUP($A9,'détails investissements'!$A$7:$H$21,1+IF(IF(BZ$3-VLOOKUP($A9,'détails investissements'!$A$71:$B$88,2,FALSE)&lt;=0,"",IF(VLOOKUP($A9,'détails investissements'!$A$26:$DE$43,BZ$3-VLOOKUP($A9,'détails investissements'!$A$71:$B$88,2,FALSE)+1,FALSE)="","",VLOOKUP($A9,'détails investissements'!$A$26:$DE$43,BZ$3-VLOOKUP($A9,'détails investissements'!$A$71:$B$88,2,FALSE)+1,FALSE)))&lt;&gt;"",HLOOKUP(IF(BZ$3-VLOOKUP($A9,'détails investissements'!$A$71:$B$88,2,FALSE)&lt;=0,"",IF(VLOOKUP($A9,'détails investissements'!$A$26:$DE$43,BZ$3-VLOOKUP($A9,'détails investissements'!$A$71:$B$88,2,FALSE)+1,FALSE)="","",VLOOKUP($A9,'détails investissements'!$A$26:$DE$43,BZ$3-VLOOKUP($A9,'détails investissements'!$A$71:$B$88,2,FALSE)+1,FALSE))),'détails investissements'!$U$6:$AB$7,2,FALSE),""),FALSE),"")</f>
        <v/>
      </c>
      <c r="CA9" s="45">
        <f>IF(IF(IF(CA$3-VLOOKUP($A9,'détails investissements'!$A$71:$B$88,2,FALSE)&lt;=0,"",IF(VLOOKUP($A9,'détails investissements'!$A$26:$DE$43,CA$3-VLOOKUP($A9,'détails investissements'!$A$71:$B$88,2,FALSE)+1,FALSE)="","",VLOOKUP($A9,'détails investissements'!$A$26:$DE$43,CA$3-VLOOKUP($A9,'détails investissements'!$A$71:$B$88,2,FALSE)+1,FALSE)))&lt;&gt;"",HLOOKUP(IF(CA$3-VLOOKUP($A9,'détails investissements'!$A$71:$B$88,2,FALSE)&lt;=0,"",IF(VLOOKUP($A9,'détails investissements'!$A$26:$DE$43,CA$3-VLOOKUP($A9,'détails investissements'!$A$71:$B$88,2,FALSE)+1,FALSE)="","",VLOOKUP($A9,'détails investissements'!$A$26:$DE$43,CA$3-VLOOKUP($A9,'détails investissements'!$A$71:$B$88,2,FALSE)+1,FALSE))),'détails investissements'!$U$6:$AB$7,2,FALSE),"")&lt;&gt;"",VLOOKUP($A9,'détails investissements'!$A$7:$H$21,1+IF(IF(CA$3-VLOOKUP($A9,'détails investissements'!$A$71:$B$88,2,FALSE)&lt;=0,"",IF(VLOOKUP($A9,'détails investissements'!$A$26:$DE$43,CA$3-VLOOKUP($A9,'détails investissements'!$A$71:$B$88,2,FALSE)+1,FALSE)="","",VLOOKUP($A9,'détails investissements'!$A$26:$DE$43,CA$3-VLOOKUP($A9,'détails investissements'!$A$71:$B$88,2,FALSE)+1,FALSE)))&lt;&gt;"",HLOOKUP(IF(CA$3-VLOOKUP($A9,'détails investissements'!$A$71:$B$88,2,FALSE)&lt;=0,"",IF(VLOOKUP($A9,'détails investissements'!$A$26:$DE$43,CA$3-VLOOKUP($A9,'détails investissements'!$A$71:$B$88,2,FALSE)+1,FALSE)="","",VLOOKUP($A9,'détails investissements'!$A$26:$DE$43,CA$3-VLOOKUP($A9,'détails investissements'!$A$71:$B$88,2,FALSE)+1,FALSE))),'détails investissements'!$U$6:$AB$7,2,FALSE),""),FALSE),"")</f>
        <v>0.05</v>
      </c>
      <c r="CB9" s="45" t="str">
        <f>IF(IF(IF(CB$3-VLOOKUP($A9,'détails investissements'!$A$71:$B$88,2,FALSE)&lt;=0,"",IF(VLOOKUP($A9,'détails investissements'!$A$26:$DE$43,CB$3-VLOOKUP($A9,'détails investissements'!$A$71:$B$88,2,FALSE)+1,FALSE)="","",VLOOKUP($A9,'détails investissements'!$A$26:$DE$43,CB$3-VLOOKUP($A9,'détails investissements'!$A$71:$B$88,2,FALSE)+1,FALSE)))&lt;&gt;"",HLOOKUP(IF(CB$3-VLOOKUP($A9,'détails investissements'!$A$71:$B$88,2,FALSE)&lt;=0,"",IF(VLOOKUP($A9,'détails investissements'!$A$26:$DE$43,CB$3-VLOOKUP($A9,'détails investissements'!$A$71:$B$88,2,FALSE)+1,FALSE)="","",VLOOKUP($A9,'détails investissements'!$A$26:$DE$43,CB$3-VLOOKUP($A9,'détails investissements'!$A$71:$B$88,2,FALSE)+1,FALSE))),'détails investissements'!$U$6:$AB$7,2,FALSE),"")&lt;&gt;"",VLOOKUP($A9,'détails investissements'!$A$7:$H$21,1+IF(IF(CB$3-VLOOKUP($A9,'détails investissements'!$A$71:$B$88,2,FALSE)&lt;=0,"",IF(VLOOKUP($A9,'détails investissements'!$A$26:$DE$43,CB$3-VLOOKUP($A9,'détails investissements'!$A$71:$B$88,2,FALSE)+1,FALSE)="","",VLOOKUP($A9,'détails investissements'!$A$26:$DE$43,CB$3-VLOOKUP($A9,'détails investissements'!$A$71:$B$88,2,FALSE)+1,FALSE)))&lt;&gt;"",HLOOKUP(IF(CB$3-VLOOKUP($A9,'détails investissements'!$A$71:$B$88,2,FALSE)&lt;=0,"",IF(VLOOKUP($A9,'détails investissements'!$A$26:$DE$43,CB$3-VLOOKUP($A9,'détails investissements'!$A$71:$B$88,2,FALSE)+1,FALSE)="","",VLOOKUP($A9,'détails investissements'!$A$26:$DE$43,CB$3-VLOOKUP($A9,'détails investissements'!$A$71:$B$88,2,FALSE)+1,FALSE))),'détails investissements'!$U$6:$AB$7,2,FALSE),""),FALSE),"")</f>
        <v/>
      </c>
      <c r="CC9" s="45" t="str">
        <f>IF(IF(IF(CC$3-VLOOKUP($A9,'détails investissements'!$A$71:$B$88,2,FALSE)&lt;=0,"",IF(VLOOKUP($A9,'détails investissements'!$A$26:$DE$43,CC$3-VLOOKUP($A9,'détails investissements'!$A$71:$B$88,2,FALSE)+1,FALSE)="","",VLOOKUP($A9,'détails investissements'!$A$26:$DE$43,CC$3-VLOOKUP($A9,'détails investissements'!$A$71:$B$88,2,FALSE)+1,FALSE)))&lt;&gt;"",HLOOKUP(IF(CC$3-VLOOKUP($A9,'détails investissements'!$A$71:$B$88,2,FALSE)&lt;=0,"",IF(VLOOKUP($A9,'détails investissements'!$A$26:$DE$43,CC$3-VLOOKUP($A9,'détails investissements'!$A$71:$B$88,2,FALSE)+1,FALSE)="","",VLOOKUP($A9,'détails investissements'!$A$26:$DE$43,CC$3-VLOOKUP($A9,'détails investissements'!$A$71:$B$88,2,FALSE)+1,FALSE))),'détails investissements'!$U$6:$AB$7,2,FALSE),"")&lt;&gt;"",VLOOKUP($A9,'détails investissements'!$A$7:$H$21,1+IF(IF(CC$3-VLOOKUP($A9,'détails investissements'!$A$71:$B$88,2,FALSE)&lt;=0,"",IF(VLOOKUP($A9,'détails investissements'!$A$26:$DE$43,CC$3-VLOOKUP($A9,'détails investissements'!$A$71:$B$88,2,FALSE)+1,FALSE)="","",VLOOKUP($A9,'détails investissements'!$A$26:$DE$43,CC$3-VLOOKUP($A9,'détails investissements'!$A$71:$B$88,2,FALSE)+1,FALSE)))&lt;&gt;"",HLOOKUP(IF(CC$3-VLOOKUP($A9,'détails investissements'!$A$71:$B$88,2,FALSE)&lt;=0,"",IF(VLOOKUP($A9,'détails investissements'!$A$26:$DE$43,CC$3-VLOOKUP($A9,'détails investissements'!$A$71:$B$88,2,FALSE)+1,FALSE)="","",VLOOKUP($A9,'détails investissements'!$A$26:$DE$43,CC$3-VLOOKUP($A9,'détails investissements'!$A$71:$B$88,2,FALSE)+1,FALSE))),'détails investissements'!$U$6:$AB$7,2,FALSE),""),FALSE),"")</f>
        <v/>
      </c>
      <c r="CD9" s="45" t="str">
        <f>IF(IF(IF(CD$3-VLOOKUP($A9,'détails investissements'!$A$71:$B$88,2,FALSE)&lt;=0,"",IF(VLOOKUP($A9,'détails investissements'!$A$26:$DE$43,CD$3-VLOOKUP($A9,'détails investissements'!$A$71:$B$88,2,FALSE)+1,FALSE)="","",VLOOKUP($A9,'détails investissements'!$A$26:$DE$43,CD$3-VLOOKUP($A9,'détails investissements'!$A$71:$B$88,2,FALSE)+1,FALSE)))&lt;&gt;"",HLOOKUP(IF(CD$3-VLOOKUP($A9,'détails investissements'!$A$71:$B$88,2,FALSE)&lt;=0,"",IF(VLOOKUP($A9,'détails investissements'!$A$26:$DE$43,CD$3-VLOOKUP($A9,'détails investissements'!$A$71:$B$88,2,FALSE)+1,FALSE)="","",VLOOKUP($A9,'détails investissements'!$A$26:$DE$43,CD$3-VLOOKUP($A9,'détails investissements'!$A$71:$B$88,2,FALSE)+1,FALSE))),'détails investissements'!$U$6:$AB$7,2,FALSE),"")&lt;&gt;"",VLOOKUP($A9,'détails investissements'!$A$7:$H$21,1+IF(IF(CD$3-VLOOKUP($A9,'détails investissements'!$A$71:$B$88,2,FALSE)&lt;=0,"",IF(VLOOKUP($A9,'détails investissements'!$A$26:$DE$43,CD$3-VLOOKUP($A9,'détails investissements'!$A$71:$B$88,2,FALSE)+1,FALSE)="","",VLOOKUP($A9,'détails investissements'!$A$26:$DE$43,CD$3-VLOOKUP($A9,'détails investissements'!$A$71:$B$88,2,FALSE)+1,FALSE)))&lt;&gt;"",HLOOKUP(IF(CD$3-VLOOKUP($A9,'détails investissements'!$A$71:$B$88,2,FALSE)&lt;=0,"",IF(VLOOKUP($A9,'détails investissements'!$A$26:$DE$43,CD$3-VLOOKUP($A9,'détails investissements'!$A$71:$B$88,2,FALSE)+1,FALSE)="","",VLOOKUP($A9,'détails investissements'!$A$26:$DE$43,CD$3-VLOOKUP($A9,'détails investissements'!$A$71:$B$88,2,FALSE)+1,FALSE))),'détails investissements'!$U$6:$AB$7,2,FALSE),""),FALSE),"")</f>
        <v/>
      </c>
      <c r="CE9" s="45" t="str">
        <f>IF(IF(IF(CE$3-VLOOKUP($A9,'détails investissements'!$A$71:$B$88,2,FALSE)&lt;=0,"",IF(VLOOKUP($A9,'détails investissements'!$A$26:$DE$43,CE$3-VLOOKUP($A9,'détails investissements'!$A$71:$B$88,2,FALSE)+1,FALSE)="","",VLOOKUP($A9,'détails investissements'!$A$26:$DE$43,CE$3-VLOOKUP($A9,'détails investissements'!$A$71:$B$88,2,FALSE)+1,FALSE)))&lt;&gt;"",HLOOKUP(IF(CE$3-VLOOKUP($A9,'détails investissements'!$A$71:$B$88,2,FALSE)&lt;=0,"",IF(VLOOKUP($A9,'détails investissements'!$A$26:$DE$43,CE$3-VLOOKUP($A9,'détails investissements'!$A$71:$B$88,2,FALSE)+1,FALSE)="","",VLOOKUP($A9,'détails investissements'!$A$26:$DE$43,CE$3-VLOOKUP($A9,'détails investissements'!$A$71:$B$88,2,FALSE)+1,FALSE))),'détails investissements'!$U$6:$AB$7,2,FALSE),"")&lt;&gt;"",VLOOKUP($A9,'détails investissements'!$A$7:$H$21,1+IF(IF(CE$3-VLOOKUP($A9,'détails investissements'!$A$71:$B$88,2,FALSE)&lt;=0,"",IF(VLOOKUP($A9,'détails investissements'!$A$26:$DE$43,CE$3-VLOOKUP($A9,'détails investissements'!$A$71:$B$88,2,FALSE)+1,FALSE)="","",VLOOKUP($A9,'détails investissements'!$A$26:$DE$43,CE$3-VLOOKUP($A9,'détails investissements'!$A$71:$B$88,2,FALSE)+1,FALSE)))&lt;&gt;"",HLOOKUP(IF(CE$3-VLOOKUP($A9,'détails investissements'!$A$71:$B$88,2,FALSE)&lt;=0,"",IF(VLOOKUP($A9,'détails investissements'!$A$26:$DE$43,CE$3-VLOOKUP($A9,'détails investissements'!$A$71:$B$88,2,FALSE)+1,FALSE)="","",VLOOKUP($A9,'détails investissements'!$A$26:$DE$43,CE$3-VLOOKUP($A9,'détails investissements'!$A$71:$B$88,2,FALSE)+1,FALSE))),'détails investissements'!$U$6:$AB$7,2,FALSE),""),FALSE),"")</f>
        <v/>
      </c>
      <c r="CF9" s="45" t="str">
        <f>IF(IF(IF(CF$3-VLOOKUP($A9,'détails investissements'!$A$71:$B$88,2,FALSE)&lt;=0,"",IF(VLOOKUP($A9,'détails investissements'!$A$26:$DE$43,CF$3-VLOOKUP($A9,'détails investissements'!$A$71:$B$88,2,FALSE)+1,FALSE)="","",VLOOKUP($A9,'détails investissements'!$A$26:$DE$43,CF$3-VLOOKUP($A9,'détails investissements'!$A$71:$B$88,2,FALSE)+1,FALSE)))&lt;&gt;"",HLOOKUP(IF(CF$3-VLOOKUP($A9,'détails investissements'!$A$71:$B$88,2,FALSE)&lt;=0,"",IF(VLOOKUP($A9,'détails investissements'!$A$26:$DE$43,CF$3-VLOOKUP($A9,'détails investissements'!$A$71:$B$88,2,FALSE)+1,FALSE)="","",VLOOKUP($A9,'détails investissements'!$A$26:$DE$43,CF$3-VLOOKUP($A9,'détails investissements'!$A$71:$B$88,2,FALSE)+1,FALSE))),'détails investissements'!$U$6:$AB$7,2,FALSE),"")&lt;&gt;"",VLOOKUP($A9,'détails investissements'!$A$7:$H$21,1+IF(IF(CF$3-VLOOKUP($A9,'détails investissements'!$A$71:$B$88,2,FALSE)&lt;=0,"",IF(VLOOKUP($A9,'détails investissements'!$A$26:$DE$43,CF$3-VLOOKUP($A9,'détails investissements'!$A$71:$B$88,2,FALSE)+1,FALSE)="","",VLOOKUP($A9,'détails investissements'!$A$26:$DE$43,CF$3-VLOOKUP($A9,'détails investissements'!$A$71:$B$88,2,FALSE)+1,FALSE)))&lt;&gt;"",HLOOKUP(IF(CF$3-VLOOKUP($A9,'détails investissements'!$A$71:$B$88,2,FALSE)&lt;=0,"",IF(VLOOKUP($A9,'détails investissements'!$A$26:$DE$43,CF$3-VLOOKUP($A9,'détails investissements'!$A$71:$B$88,2,FALSE)+1,FALSE)="","",VLOOKUP($A9,'détails investissements'!$A$26:$DE$43,CF$3-VLOOKUP($A9,'détails investissements'!$A$71:$B$88,2,FALSE)+1,FALSE))),'détails investissements'!$U$6:$AB$7,2,FALSE),""),FALSE),"")</f>
        <v/>
      </c>
      <c r="CG9" s="45" t="str">
        <f>IF(IF(IF(CG$3-VLOOKUP($A9,'détails investissements'!$A$71:$B$88,2,FALSE)&lt;=0,"",IF(VLOOKUP($A9,'détails investissements'!$A$26:$DE$43,CG$3-VLOOKUP($A9,'détails investissements'!$A$71:$B$88,2,FALSE)+1,FALSE)="","",VLOOKUP($A9,'détails investissements'!$A$26:$DE$43,CG$3-VLOOKUP($A9,'détails investissements'!$A$71:$B$88,2,FALSE)+1,FALSE)))&lt;&gt;"",HLOOKUP(IF(CG$3-VLOOKUP($A9,'détails investissements'!$A$71:$B$88,2,FALSE)&lt;=0,"",IF(VLOOKUP($A9,'détails investissements'!$A$26:$DE$43,CG$3-VLOOKUP($A9,'détails investissements'!$A$71:$B$88,2,FALSE)+1,FALSE)="","",VLOOKUP($A9,'détails investissements'!$A$26:$DE$43,CG$3-VLOOKUP($A9,'détails investissements'!$A$71:$B$88,2,FALSE)+1,FALSE))),'détails investissements'!$U$6:$AB$7,2,FALSE),"")&lt;&gt;"",VLOOKUP($A9,'détails investissements'!$A$7:$H$21,1+IF(IF(CG$3-VLOOKUP($A9,'détails investissements'!$A$71:$B$88,2,FALSE)&lt;=0,"",IF(VLOOKUP($A9,'détails investissements'!$A$26:$DE$43,CG$3-VLOOKUP($A9,'détails investissements'!$A$71:$B$88,2,FALSE)+1,FALSE)="","",VLOOKUP($A9,'détails investissements'!$A$26:$DE$43,CG$3-VLOOKUP($A9,'détails investissements'!$A$71:$B$88,2,FALSE)+1,FALSE)))&lt;&gt;"",HLOOKUP(IF(CG$3-VLOOKUP($A9,'détails investissements'!$A$71:$B$88,2,FALSE)&lt;=0,"",IF(VLOOKUP($A9,'détails investissements'!$A$26:$DE$43,CG$3-VLOOKUP($A9,'détails investissements'!$A$71:$B$88,2,FALSE)+1,FALSE)="","",VLOOKUP($A9,'détails investissements'!$A$26:$DE$43,CG$3-VLOOKUP($A9,'détails investissements'!$A$71:$B$88,2,FALSE)+1,FALSE))),'détails investissements'!$U$6:$AB$7,2,FALSE),""),FALSE),"")</f>
        <v/>
      </c>
      <c r="CH9" s="45" t="str">
        <f>IF(IF(IF(CH$3-VLOOKUP($A9,'détails investissements'!$A$71:$B$88,2,FALSE)&lt;=0,"",IF(VLOOKUP($A9,'détails investissements'!$A$26:$DE$43,CH$3-VLOOKUP($A9,'détails investissements'!$A$71:$B$88,2,FALSE)+1,FALSE)="","",VLOOKUP($A9,'détails investissements'!$A$26:$DE$43,CH$3-VLOOKUP($A9,'détails investissements'!$A$71:$B$88,2,FALSE)+1,FALSE)))&lt;&gt;"",HLOOKUP(IF(CH$3-VLOOKUP($A9,'détails investissements'!$A$71:$B$88,2,FALSE)&lt;=0,"",IF(VLOOKUP($A9,'détails investissements'!$A$26:$DE$43,CH$3-VLOOKUP($A9,'détails investissements'!$A$71:$B$88,2,FALSE)+1,FALSE)="","",VLOOKUP($A9,'détails investissements'!$A$26:$DE$43,CH$3-VLOOKUP($A9,'détails investissements'!$A$71:$B$88,2,FALSE)+1,FALSE))),'détails investissements'!$U$6:$AB$7,2,FALSE),"")&lt;&gt;"",VLOOKUP($A9,'détails investissements'!$A$7:$H$21,1+IF(IF(CH$3-VLOOKUP($A9,'détails investissements'!$A$71:$B$88,2,FALSE)&lt;=0,"",IF(VLOOKUP($A9,'détails investissements'!$A$26:$DE$43,CH$3-VLOOKUP($A9,'détails investissements'!$A$71:$B$88,2,FALSE)+1,FALSE)="","",VLOOKUP($A9,'détails investissements'!$A$26:$DE$43,CH$3-VLOOKUP($A9,'détails investissements'!$A$71:$B$88,2,FALSE)+1,FALSE)))&lt;&gt;"",HLOOKUP(IF(CH$3-VLOOKUP($A9,'détails investissements'!$A$71:$B$88,2,FALSE)&lt;=0,"",IF(VLOOKUP($A9,'détails investissements'!$A$26:$DE$43,CH$3-VLOOKUP($A9,'détails investissements'!$A$71:$B$88,2,FALSE)+1,FALSE)="","",VLOOKUP($A9,'détails investissements'!$A$26:$DE$43,CH$3-VLOOKUP($A9,'détails investissements'!$A$71:$B$88,2,FALSE)+1,FALSE))),'détails investissements'!$U$6:$AB$7,2,FALSE),""),FALSE),"")</f>
        <v/>
      </c>
      <c r="CI9" s="45" t="str">
        <f>IF(IF(IF(CI$3-VLOOKUP($A9,'détails investissements'!$A$71:$B$88,2,FALSE)&lt;=0,"",IF(VLOOKUP($A9,'détails investissements'!$A$26:$DE$43,CI$3-VLOOKUP($A9,'détails investissements'!$A$71:$B$88,2,FALSE)+1,FALSE)="","",VLOOKUP($A9,'détails investissements'!$A$26:$DE$43,CI$3-VLOOKUP($A9,'détails investissements'!$A$71:$B$88,2,FALSE)+1,FALSE)))&lt;&gt;"",HLOOKUP(IF(CI$3-VLOOKUP($A9,'détails investissements'!$A$71:$B$88,2,FALSE)&lt;=0,"",IF(VLOOKUP($A9,'détails investissements'!$A$26:$DE$43,CI$3-VLOOKUP($A9,'détails investissements'!$A$71:$B$88,2,FALSE)+1,FALSE)="","",VLOOKUP($A9,'détails investissements'!$A$26:$DE$43,CI$3-VLOOKUP($A9,'détails investissements'!$A$71:$B$88,2,FALSE)+1,FALSE))),'détails investissements'!$U$6:$AB$7,2,FALSE),"")&lt;&gt;"",VLOOKUP($A9,'détails investissements'!$A$7:$H$21,1+IF(IF(CI$3-VLOOKUP($A9,'détails investissements'!$A$71:$B$88,2,FALSE)&lt;=0,"",IF(VLOOKUP($A9,'détails investissements'!$A$26:$DE$43,CI$3-VLOOKUP($A9,'détails investissements'!$A$71:$B$88,2,FALSE)+1,FALSE)="","",VLOOKUP($A9,'détails investissements'!$A$26:$DE$43,CI$3-VLOOKUP($A9,'détails investissements'!$A$71:$B$88,2,FALSE)+1,FALSE)))&lt;&gt;"",HLOOKUP(IF(CI$3-VLOOKUP($A9,'détails investissements'!$A$71:$B$88,2,FALSE)&lt;=0,"",IF(VLOOKUP($A9,'détails investissements'!$A$26:$DE$43,CI$3-VLOOKUP($A9,'détails investissements'!$A$71:$B$88,2,FALSE)+1,FALSE)="","",VLOOKUP($A9,'détails investissements'!$A$26:$DE$43,CI$3-VLOOKUP($A9,'détails investissements'!$A$71:$B$88,2,FALSE)+1,FALSE))),'détails investissements'!$U$6:$AB$7,2,FALSE),""),FALSE),"")</f>
        <v/>
      </c>
      <c r="CJ9" s="45" t="str">
        <f>IF(IF(IF(CJ$3-VLOOKUP($A9,'détails investissements'!$A$71:$B$88,2,FALSE)&lt;=0,"",IF(VLOOKUP($A9,'détails investissements'!$A$26:$DE$43,CJ$3-VLOOKUP($A9,'détails investissements'!$A$71:$B$88,2,FALSE)+1,FALSE)="","",VLOOKUP($A9,'détails investissements'!$A$26:$DE$43,CJ$3-VLOOKUP($A9,'détails investissements'!$A$71:$B$88,2,FALSE)+1,FALSE)))&lt;&gt;"",HLOOKUP(IF(CJ$3-VLOOKUP($A9,'détails investissements'!$A$71:$B$88,2,FALSE)&lt;=0,"",IF(VLOOKUP($A9,'détails investissements'!$A$26:$DE$43,CJ$3-VLOOKUP($A9,'détails investissements'!$A$71:$B$88,2,FALSE)+1,FALSE)="","",VLOOKUP($A9,'détails investissements'!$A$26:$DE$43,CJ$3-VLOOKUP($A9,'détails investissements'!$A$71:$B$88,2,FALSE)+1,FALSE))),'détails investissements'!$U$6:$AB$7,2,FALSE),"")&lt;&gt;"",VLOOKUP($A9,'détails investissements'!$A$7:$H$21,1+IF(IF(CJ$3-VLOOKUP($A9,'détails investissements'!$A$71:$B$88,2,FALSE)&lt;=0,"",IF(VLOOKUP($A9,'détails investissements'!$A$26:$DE$43,CJ$3-VLOOKUP($A9,'détails investissements'!$A$71:$B$88,2,FALSE)+1,FALSE)="","",VLOOKUP($A9,'détails investissements'!$A$26:$DE$43,CJ$3-VLOOKUP($A9,'détails investissements'!$A$71:$B$88,2,FALSE)+1,FALSE)))&lt;&gt;"",HLOOKUP(IF(CJ$3-VLOOKUP($A9,'détails investissements'!$A$71:$B$88,2,FALSE)&lt;=0,"",IF(VLOOKUP($A9,'détails investissements'!$A$26:$DE$43,CJ$3-VLOOKUP($A9,'détails investissements'!$A$71:$B$88,2,FALSE)+1,FALSE)="","",VLOOKUP($A9,'détails investissements'!$A$26:$DE$43,CJ$3-VLOOKUP($A9,'détails investissements'!$A$71:$B$88,2,FALSE)+1,FALSE))),'détails investissements'!$U$6:$AB$7,2,FALSE),""),FALSE),"")</f>
        <v/>
      </c>
      <c r="CK9" s="45" t="str">
        <f>IF(IF(IF(CK$3-VLOOKUP($A9,'détails investissements'!$A$71:$B$88,2,FALSE)&lt;=0,"",IF(VLOOKUP($A9,'détails investissements'!$A$26:$DE$43,CK$3-VLOOKUP($A9,'détails investissements'!$A$71:$B$88,2,FALSE)+1,FALSE)="","",VLOOKUP($A9,'détails investissements'!$A$26:$DE$43,CK$3-VLOOKUP($A9,'détails investissements'!$A$71:$B$88,2,FALSE)+1,FALSE)))&lt;&gt;"",HLOOKUP(IF(CK$3-VLOOKUP($A9,'détails investissements'!$A$71:$B$88,2,FALSE)&lt;=0,"",IF(VLOOKUP($A9,'détails investissements'!$A$26:$DE$43,CK$3-VLOOKUP($A9,'détails investissements'!$A$71:$B$88,2,FALSE)+1,FALSE)="","",VLOOKUP($A9,'détails investissements'!$A$26:$DE$43,CK$3-VLOOKUP($A9,'détails investissements'!$A$71:$B$88,2,FALSE)+1,FALSE))),'détails investissements'!$U$6:$AB$7,2,FALSE),"")&lt;&gt;"",VLOOKUP($A9,'détails investissements'!$A$7:$H$21,1+IF(IF(CK$3-VLOOKUP($A9,'détails investissements'!$A$71:$B$88,2,FALSE)&lt;=0,"",IF(VLOOKUP($A9,'détails investissements'!$A$26:$DE$43,CK$3-VLOOKUP($A9,'détails investissements'!$A$71:$B$88,2,FALSE)+1,FALSE)="","",VLOOKUP($A9,'détails investissements'!$A$26:$DE$43,CK$3-VLOOKUP($A9,'détails investissements'!$A$71:$B$88,2,FALSE)+1,FALSE)))&lt;&gt;"",HLOOKUP(IF(CK$3-VLOOKUP($A9,'détails investissements'!$A$71:$B$88,2,FALSE)&lt;=0,"",IF(VLOOKUP($A9,'détails investissements'!$A$26:$DE$43,CK$3-VLOOKUP($A9,'détails investissements'!$A$71:$B$88,2,FALSE)+1,FALSE)="","",VLOOKUP($A9,'détails investissements'!$A$26:$DE$43,CK$3-VLOOKUP($A9,'détails investissements'!$A$71:$B$88,2,FALSE)+1,FALSE))),'détails investissements'!$U$6:$AB$7,2,FALSE),""),FALSE),"")</f>
        <v/>
      </c>
      <c r="CL9" s="45" t="str">
        <f>IF(IF(IF(CL$3-VLOOKUP($A9,'détails investissements'!$A$71:$B$88,2,FALSE)&lt;=0,"",IF(VLOOKUP($A9,'détails investissements'!$A$26:$DE$43,CL$3-VLOOKUP($A9,'détails investissements'!$A$71:$B$88,2,FALSE)+1,FALSE)="","",VLOOKUP($A9,'détails investissements'!$A$26:$DE$43,CL$3-VLOOKUP($A9,'détails investissements'!$A$71:$B$88,2,FALSE)+1,FALSE)))&lt;&gt;"",HLOOKUP(IF(CL$3-VLOOKUP($A9,'détails investissements'!$A$71:$B$88,2,FALSE)&lt;=0,"",IF(VLOOKUP($A9,'détails investissements'!$A$26:$DE$43,CL$3-VLOOKUP($A9,'détails investissements'!$A$71:$B$88,2,FALSE)+1,FALSE)="","",VLOOKUP($A9,'détails investissements'!$A$26:$DE$43,CL$3-VLOOKUP($A9,'détails investissements'!$A$71:$B$88,2,FALSE)+1,FALSE))),'détails investissements'!$U$6:$AB$7,2,FALSE),"")&lt;&gt;"",VLOOKUP($A9,'détails investissements'!$A$7:$H$21,1+IF(IF(CL$3-VLOOKUP($A9,'détails investissements'!$A$71:$B$88,2,FALSE)&lt;=0,"",IF(VLOOKUP($A9,'détails investissements'!$A$26:$DE$43,CL$3-VLOOKUP($A9,'détails investissements'!$A$71:$B$88,2,FALSE)+1,FALSE)="","",VLOOKUP($A9,'détails investissements'!$A$26:$DE$43,CL$3-VLOOKUP($A9,'détails investissements'!$A$71:$B$88,2,FALSE)+1,FALSE)))&lt;&gt;"",HLOOKUP(IF(CL$3-VLOOKUP($A9,'détails investissements'!$A$71:$B$88,2,FALSE)&lt;=0,"",IF(VLOOKUP($A9,'détails investissements'!$A$26:$DE$43,CL$3-VLOOKUP($A9,'détails investissements'!$A$71:$B$88,2,FALSE)+1,FALSE)="","",VLOOKUP($A9,'détails investissements'!$A$26:$DE$43,CL$3-VLOOKUP($A9,'détails investissements'!$A$71:$B$88,2,FALSE)+1,FALSE))),'détails investissements'!$U$6:$AB$7,2,FALSE),""),FALSE),"")</f>
        <v/>
      </c>
      <c r="CM9" s="45" t="str">
        <f>IF(IF(IF(CM$3-VLOOKUP($A9,'détails investissements'!$A$71:$B$88,2,FALSE)&lt;=0,"",IF(VLOOKUP($A9,'détails investissements'!$A$26:$DE$43,CM$3-VLOOKUP($A9,'détails investissements'!$A$71:$B$88,2,FALSE)+1,FALSE)="","",VLOOKUP($A9,'détails investissements'!$A$26:$DE$43,CM$3-VLOOKUP($A9,'détails investissements'!$A$71:$B$88,2,FALSE)+1,FALSE)))&lt;&gt;"",HLOOKUP(IF(CM$3-VLOOKUP($A9,'détails investissements'!$A$71:$B$88,2,FALSE)&lt;=0,"",IF(VLOOKUP($A9,'détails investissements'!$A$26:$DE$43,CM$3-VLOOKUP($A9,'détails investissements'!$A$71:$B$88,2,FALSE)+1,FALSE)="","",VLOOKUP($A9,'détails investissements'!$A$26:$DE$43,CM$3-VLOOKUP($A9,'détails investissements'!$A$71:$B$88,2,FALSE)+1,FALSE))),'détails investissements'!$U$6:$AB$7,2,FALSE),"")&lt;&gt;"",VLOOKUP($A9,'détails investissements'!$A$7:$H$21,1+IF(IF(CM$3-VLOOKUP($A9,'détails investissements'!$A$71:$B$88,2,FALSE)&lt;=0,"",IF(VLOOKUP($A9,'détails investissements'!$A$26:$DE$43,CM$3-VLOOKUP($A9,'détails investissements'!$A$71:$B$88,2,FALSE)+1,FALSE)="","",VLOOKUP($A9,'détails investissements'!$A$26:$DE$43,CM$3-VLOOKUP($A9,'détails investissements'!$A$71:$B$88,2,FALSE)+1,FALSE)))&lt;&gt;"",HLOOKUP(IF(CM$3-VLOOKUP($A9,'détails investissements'!$A$71:$B$88,2,FALSE)&lt;=0,"",IF(VLOOKUP($A9,'détails investissements'!$A$26:$DE$43,CM$3-VLOOKUP($A9,'détails investissements'!$A$71:$B$88,2,FALSE)+1,FALSE)="","",VLOOKUP($A9,'détails investissements'!$A$26:$DE$43,CM$3-VLOOKUP($A9,'détails investissements'!$A$71:$B$88,2,FALSE)+1,FALSE))),'détails investissements'!$U$6:$AB$7,2,FALSE),""),FALSE),"")</f>
        <v/>
      </c>
      <c r="CN9" s="45" t="str">
        <f>IF(IF(IF(CN$3-VLOOKUP($A9,'détails investissements'!$A$71:$B$88,2,FALSE)&lt;=0,"",IF(VLOOKUP($A9,'détails investissements'!$A$26:$DE$43,CN$3-VLOOKUP($A9,'détails investissements'!$A$71:$B$88,2,FALSE)+1,FALSE)="","",VLOOKUP($A9,'détails investissements'!$A$26:$DE$43,CN$3-VLOOKUP($A9,'détails investissements'!$A$71:$B$88,2,FALSE)+1,FALSE)))&lt;&gt;"",HLOOKUP(IF(CN$3-VLOOKUP($A9,'détails investissements'!$A$71:$B$88,2,FALSE)&lt;=0,"",IF(VLOOKUP($A9,'détails investissements'!$A$26:$DE$43,CN$3-VLOOKUP($A9,'détails investissements'!$A$71:$B$88,2,FALSE)+1,FALSE)="","",VLOOKUP($A9,'détails investissements'!$A$26:$DE$43,CN$3-VLOOKUP($A9,'détails investissements'!$A$71:$B$88,2,FALSE)+1,FALSE))),'détails investissements'!$U$6:$AB$7,2,FALSE),"")&lt;&gt;"",VLOOKUP($A9,'détails investissements'!$A$7:$H$21,1+IF(IF(CN$3-VLOOKUP($A9,'détails investissements'!$A$71:$B$88,2,FALSE)&lt;=0,"",IF(VLOOKUP($A9,'détails investissements'!$A$26:$DE$43,CN$3-VLOOKUP($A9,'détails investissements'!$A$71:$B$88,2,FALSE)+1,FALSE)="","",VLOOKUP($A9,'détails investissements'!$A$26:$DE$43,CN$3-VLOOKUP($A9,'détails investissements'!$A$71:$B$88,2,FALSE)+1,FALSE)))&lt;&gt;"",HLOOKUP(IF(CN$3-VLOOKUP($A9,'détails investissements'!$A$71:$B$88,2,FALSE)&lt;=0,"",IF(VLOOKUP($A9,'détails investissements'!$A$26:$DE$43,CN$3-VLOOKUP($A9,'détails investissements'!$A$71:$B$88,2,FALSE)+1,FALSE)="","",VLOOKUP($A9,'détails investissements'!$A$26:$DE$43,CN$3-VLOOKUP($A9,'détails investissements'!$A$71:$B$88,2,FALSE)+1,FALSE))),'détails investissements'!$U$6:$AB$7,2,FALSE),""),FALSE),"")</f>
        <v/>
      </c>
      <c r="CO9" s="45" t="str">
        <f>IF(IF(IF(CO$3-VLOOKUP($A9,'détails investissements'!$A$71:$B$88,2,FALSE)&lt;=0,"",IF(VLOOKUP($A9,'détails investissements'!$A$26:$DE$43,CO$3-VLOOKUP($A9,'détails investissements'!$A$71:$B$88,2,FALSE)+1,FALSE)="","",VLOOKUP($A9,'détails investissements'!$A$26:$DE$43,CO$3-VLOOKUP($A9,'détails investissements'!$A$71:$B$88,2,FALSE)+1,FALSE)))&lt;&gt;"",HLOOKUP(IF(CO$3-VLOOKUP($A9,'détails investissements'!$A$71:$B$88,2,FALSE)&lt;=0,"",IF(VLOOKUP($A9,'détails investissements'!$A$26:$DE$43,CO$3-VLOOKUP($A9,'détails investissements'!$A$71:$B$88,2,FALSE)+1,FALSE)="","",VLOOKUP($A9,'détails investissements'!$A$26:$DE$43,CO$3-VLOOKUP($A9,'détails investissements'!$A$71:$B$88,2,FALSE)+1,FALSE))),'détails investissements'!$U$6:$AB$7,2,FALSE),"")&lt;&gt;"",VLOOKUP($A9,'détails investissements'!$A$7:$H$21,1+IF(IF(CO$3-VLOOKUP($A9,'détails investissements'!$A$71:$B$88,2,FALSE)&lt;=0,"",IF(VLOOKUP($A9,'détails investissements'!$A$26:$DE$43,CO$3-VLOOKUP($A9,'détails investissements'!$A$71:$B$88,2,FALSE)+1,FALSE)="","",VLOOKUP($A9,'détails investissements'!$A$26:$DE$43,CO$3-VLOOKUP($A9,'détails investissements'!$A$71:$B$88,2,FALSE)+1,FALSE)))&lt;&gt;"",HLOOKUP(IF(CO$3-VLOOKUP($A9,'détails investissements'!$A$71:$B$88,2,FALSE)&lt;=0,"",IF(VLOOKUP($A9,'détails investissements'!$A$26:$DE$43,CO$3-VLOOKUP($A9,'détails investissements'!$A$71:$B$88,2,FALSE)+1,FALSE)="","",VLOOKUP($A9,'détails investissements'!$A$26:$DE$43,CO$3-VLOOKUP($A9,'détails investissements'!$A$71:$B$88,2,FALSE)+1,FALSE))),'détails investissements'!$U$6:$AB$7,2,FALSE),""),FALSE),"")</f>
        <v/>
      </c>
      <c r="CP9" s="45" t="str">
        <f>IF(IF(IF(CP$3-VLOOKUP($A9,'détails investissements'!$A$71:$B$88,2,FALSE)&lt;=0,"",IF(VLOOKUP($A9,'détails investissements'!$A$26:$DE$43,CP$3-VLOOKUP($A9,'détails investissements'!$A$71:$B$88,2,FALSE)+1,FALSE)="","",VLOOKUP($A9,'détails investissements'!$A$26:$DE$43,CP$3-VLOOKUP($A9,'détails investissements'!$A$71:$B$88,2,FALSE)+1,FALSE)))&lt;&gt;"",HLOOKUP(IF(CP$3-VLOOKUP($A9,'détails investissements'!$A$71:$B$88,2,FALSE)&lt;=0,"",IF(VLOOKUP($A9,'détails investissements'!$A$26:$DE$43,CP$3-VLOOKUP($A9,'détails investissements'!$A$71:$B$88,2,FALSE)+1,FALSE)="","",VLOOKUP($A9,'détails investissements'!$A$26:$DE$43,CP$3-VLOOKUP($A9,'détails investissements'!$A$71:$B$88,2,FALSE)+1,FALSE))),'détails investissements'!$U$6:$AB$7,2,FALSE),"")&lt;&gt;"",VLOOKUP($A9,'détails investissements'!$A$7:$H$21,1+IF(IF(CP$3-VLOOKUP($A9,'détails investissements'!$A$71:$B$88,2,FALSE)&lt;=0,"",IF(VLOOKUP($A9,'détails investissements'!$A$26:$DE$43,CP$3-VLOOKUP($A9,'détails investissements'!$A$71:$B$88,2,FALSE)+1,FALSE)="","",VLOOKUP($A9,'détails investissements'!$A$26:$DE$43,CP$3-VLOOKUP($A9,'détails investissements'!$A$71:$B$88,2,FALSE)+1,FALSE)))&lt;&gt;"",HLOOKUP(IF(CP$3-VLOOKUP($A9,'détails investissements'!$A$71:$B$88,2,FALSE)&lt;=0,"",IF(VLOOKUP($A9,'détails investissements'!$A$26:$DE$43,CP$3-VLOOKUP($A9,'détails investissements'!$A$71:$B$88,2,FALSE)+1,FALSE)="","",VLOOKUP($A9,'détails investissements'!$A$26:$DE$43,CP$3-VLOOKUP($A9,'détails investissements'!$A$71:$B$88,2,FALSE)+1,FALSE))),'détails investissements'!$U$6:$AB$7,2,FALSE),""),FALSE),"")</f>
        <v/>
      </c>
      <c r="CQ9" s="45" t="str">
        <f>IF(IF(IF(CQ$3-VLOOKUP($A9,'détails investissements'!$A$71:$B$88,2,FALSE)&lt;=0,"",IF(VLOOKUP($A9,'détails investissements'!$A$26:$DE$43,CQ$3-VLOOKUP($A9,'détails investissements'!$A$71:$B$88,2,FALSE)+1,FALSE)="","",VLOOKUP($A9,'détails investissements'!$A$26:$DE$43,CQ$3-VLOOKUP($A9,'détails investissements'!$A$71:$B$88,2,FALSE)+1,FALSE)))&lt;&gt;"",HLOOKUP(IF(CQ$3-VLOOKUP($A9,'détails investissements'!$A$71:$B$88,2,FALSE)&lt;=0,"",IF(VLOOKUP($A9,'détails investissements'!$A$26:$DE$43,CQ$3-VLOOKUP($A9,'détails investissements'!$A$71:$B$88,2,FALSE)+1,FALSE)="","",VLOOKUP($A9,'détails investissements'!$A$26:$DE$43,CQ$3-VLOOKUP($A9,'détails investissements'!$A$71:$B$88,2,FALSE)+1,FALSE))),'détails investissements'!$U$6:$AB$7,2,FALSE),"")&lt;&gt;"",VLOOKUP($A9,'détails investissements'!$A$7:$H$21,1+IF(IF(CQ$3-VLOOKUP($A9,'détails investissements'!$A$71:$B$88,2,FALSE)&lt;=0,"",IF(VLOOKUP($A9,'détails investissements'!$A$26:$DE$43,CQ$3-VLOOKUP($A9,'détails investissements'!$A$71:$B$88,2,FALSE)+1,FALSE)="","",VLOOKUP($A9,'détails investissements'!$A$26:$DE$43,CQ$3-VLOOKUP($A9,'détails investissements'!$A$71:$B$88,2,FALSE)+1,FALSE)))&lt;&gt;"",HLOOKUP(IF(CQ$3-VLOOKUP($A9,'détails investissements'!$A$71:$B$88,2,FALSE)&lt;=0,"",IF(VLOOKUP($A9,'détails investissements'!$A$26:$DE$43,CQ$3-VLOOKUP($A9,'détails investissements'!$A$71:$B$88,2,FALSE)+1,FALSE)="","",VLOOKUP($A9,'détails investissements'!$A$26:$DE$43,CQ$3-VLOOKUP($A9,'détails investissements'!$A$71:$B$88,2,FALSE)+1,FALSE))),'détails investissements'!$U$6:$AB$7,2,FALSE),""),FALSE),"")</f>
        <v/>
      </c>
      <c r="CR9" s="45" t="str">
        <f>IF(IF(IF(CR$3-VLOOKUP($A9,'détails investissements'!$A$71:$B$88,2,FALSE)&lt;=0,"",IF(VLOOKUP($A9,'détails investissements'!$A$26:$DE$43,CR$3-VLOOKUP($A9,'détails investissements'!$A$71:$B$88,2,FALSE)+1,FALSE)="","",VLOOKUP($A9,'détails investissements'!$A$26:$DE$43,CR$3-VLOOKUP($A9,'détails investissements'!$A$71:$B$88,2,FALSE)+1,FALSE)))&lt;&gt;"",HLOOKUP(IF(CR$3-VLOOKUP($A9,'détails investissements'!$A$71:$B$88,2,FALSE)&lt;=0,"",IF(VLOOKUP($A9,'détails investissements'!$A$26:$DE$43,CR$3-VLOOKUP($A9,'détails investissements'!$A$71:$B$88,2,FALSE)+1,FALSE)="","",VLOOKUP($A9,'détails investissements'!$A$26:$DE$43,CR$3-VLOOKUP($A9,'détails investissements'!$A$71:$B$88,2,FALSE)+1,FALSE))),'détails investissements'!$U$6:$AB$7,2,FALSE),"")&lt;&gt;"",VLOOKUP($A9,'détails investissements'!$A$7:$H$21,1+IF(IF(CR$3-VLOOKUP($A9,'détails investissements'!$A$71:$B$88,2,FALSE)&lt;=0,"",IF(VLOOKUP($A9,'détails investissements'!$A$26:$DE$43,CR$3-VLOOKUP($A9,'détails investissements'!$A$71:$B$88,2,FALSE)+1,FALSE)="","",VLOOKUP($A9,'détails investissements'!$A$26:$DE$43,CR$3-VLOOKUP($A9,'détails investissements'!$A$71:$B$88,2,FALSE)+1,FALSE)))&lt;&gt;"",HLOOKUP(IF(CR$3-VLOOKUP($A9,'détails investissements'!$A$71:$B$88,2,FALSE)&lt;=0,"",IF(VLOOKUP($A9,'détails investissements'!$A$26:$DE$43,CR$3-VLOOKUP($A9,'détails investissements'!$A$71:$B$88,2,FALSE)+1,FALSE)="","",VLOOKUP($A9,'détails investissements'!$A$26:$DE$43,CR$3-VLOOKUP($A9,'détails investissements'!$A$71:$B$88,2,FALSE)+1,FALSE))),'détails investissements'!$U$6:$AB$7,2,FALSE),""),FALSE),"")</f>
        <v/>
      </c>
      <c r="CS9" s="45" t="str">
        <f>IF(IF(IF(CS$3-VLOOKUP($A9,'détails investissements'!$A$71:$B$88,2,FALSE)&lt;=0,"",IF(VLOOKUP($A9,'détails investissements'!$A$26:$DE$43,CS$3-VLOOKUP($A9,'détails investissements'!$A$71:$B$88,2,FALSE)+1,FALSE)="","",VLOOKUP($A9,'détails investissements'!$A$26:$DE$43,CS$3-VLOOKUP($A9,'détails investissements'!$A$71:$B$88,2,FALSE)+1,FALSE)))&lt;&gt;"",HLOOKUP(IF(CS$3-VLOOKUP($A9,'détails investissements'!$A$71:$B$88,2,FALSE)&lt;=0,"",IF(VLOOKUP($A9,'détails investissements'!$A$26:$DE$43,CS$3-VLOOKUP($A9,'détails investissements'!$A$71:$B$88,2,FALSE)+1,FALSE)="","",VLOOKUP($A9,'détails investissements'!$A$26:$DE$43,CS$3-VLOOKUP($A9,'détails investissements'!$A$71:$B$88,2,FALSE)+1,FALSE))),'détails investissements'!$U$6:$AB$7,2,FALSE),"")&lt;&gt;"",VLOOKUP($A9,'détails investissements'!$A$7:$H$21,1+IF(IF(CS$3-VLOOKUP($A9,'détails investissements'!$A$71:$B$88,2,FALSE)&lt;=0,"",IF(VLOOKUP($A9,'détails investissements'!$A$26:$DE$43,CS$3-VLOOKUP($A9,'détails investissements'!$A$71:$B$88,2,FALSE)+1,FALSE)="","",VLOOKUP($A9,'détails investissements'!$A$26:$DE$43,CS$3-VLOOKUP($A9,'détails investissements'!$A$71:$B$88,2,FALSE)+1,FALSE)))&lt;&gt;"",HLOOKUP(IF(CS$3-VLOOKUP($A9,'détails investissements'!$A$71:$B$88,2,FALSE)&lt;=0,"",IF(VLOOKUP($A9,'détails investissements'!$A$26:$DE$43,CS$3-VLOOKUP($A9,'détails investissements'!$A$71:$B$88,2,FALSE)+1,FALSE)="","",VLOOKUP($A9,'détails investissements'!$A$26:$DE$43,CS$3-VLOOKUP($A9,'détails investissements'!$A$71:$B$88,2,FALSE)+1,FALSE))),'détails investissements'!$U$6:$AB$7,2,FALSE),""),FALSE),"")</f>
        <v/>
      </c>
      <c r="CT9" s="45" t="str">
        <f>IF(IF(IF(CT$3-VLOOKUP($A9,'détails investissements'!$A$71:$B$88,2,FALSE)&lt;=0,"",IF(VLOOKUP($A9,'détails investissements'!$A$26:$DE$43,CT$3-VLOOKUP($A9,'détails investissements'!$A$71:$B$88,2,FALSE)+1,FALSE)="","",VLOOKUP($A9,'détails investissements'!$A$26:$DE$43,CT$3-VLOOKUP($A9,'détails investissements'!$A$71:$B$88,2,FALSE)+1,FALSE)))&lt;&gt;"",HLOOKUP(IF(CT$3-VLOOKUP($A9,'détails investissements'!$A$71:$B$88,2,FALSE)&lt;=0,"",IF(VLOOKUP($A9,'détails investissements'!$A$26:$DE$43,CT$3-VLOOKUP($A9,'détails investissements'!$A$71:$B$88,2,FALSE)+1,FALSE)="","",VLOOKUP($A9,'détails investissements'!$A$26:$DE$43,CT$3-VLOOKUP($A9,'détails investissements'!$A$71:$B$88,2,FALSE)+1,FALSE))),'détails investissements'!$U$6:$AB$7,2,FALSE),"")&lt;&gt;"",VLOOKUP($A9,'détails investissements'!$A$7:$H$21,1+IF(IF(CT$3-VLOOKUP($A9,'détails investissements'!$A$71:$B$88,2,FALSE)&lt;=0,"",IF(VLOOKUP($A9,'détails investissements'!$A$26:$DE$43,CT$3-VLOOKUP($A9,'détails investissements'!$A$71:$B$88,2,FALSE)+1,FALSE)="","",VLOOKUP($A9,'détails investissements'!$A$26:$DE$43,CT$3-VLOOKUP($A9,'détails investissements'!$A$71:$B$88,2,FALSE)+1,FALSE)))&lt;&gt;"",HLOOKUP(IF(CT$3-VLOOKUP($A9,'détails investissements'!$A$71:$B$88,2,FALSE)&lt;=0,"",IF(VLOOKUP($A9,'détails investissements'!$A$26:$DE$43,CT$3-VLOOKUP($A9,'détails investissements'!$A$71:$B$88,2,FALSE)+1,FALSE)="","",VLOOKUP($A9,'détails investissements'!$A$26:$DE$43,CT$3-VLOOKUP($A9,'détails investissements'!$A$71:$B$88,2,FALSE)+1,FALSE))),'détails investissements'!$U$6:$AB$7,2,FALSE),""),FALSE),"")</f>
        <v/>
      </c>
      <c r="CU9" s="45" t="str">
        <f>IF(IF(IF(CU$3-VLOOKUP($A9,'détails investissements'!$A$71:$B$88,2,FALSE)&lt;=0,"",IF(VLOOKUP($A9,'détails investissements'!$A$26:$DE$43,CU$3-VLOOKUP($A9,'détails investissements'!$A$71:$B$88,2,FALSE)+1,FALSE)="","",VLOOKUP($A9,'détails investissements'!$A$26:$DE$43,CU$3-VLOOKUP($A9,'détails investissements'!$A$71:$B$88,2,FALSE)+1,FALSE)))&lt;&gt;"",HLOOKUP(IF(CU$3-VLOOKUP($A9,'détails investissements'!$A$71:$B$88,2,FALSE)&lt;=0,"",IF(VLOOKUP($A9,'détails investissements'!$A$26:$DE$43,CU$3-VLOOKUP($A9,'détails investissements'!$A$71:$B$88,2,FALSE)+1,FALSE)="","",VLOOKUP($A9,'détails investissements'!$A$26:$DE$43,CU$3-VLOOKUP($A9,'détails investissements'!$A$71:$B$88,2,FALSE)+1,FALSE))),'détails investissements'!$U$6:$AB$7,2,FALSE),"")&lt;&gt;"",VLOOKUP($A9,'détails investissements'!$A$7:$H$21,1+IF(IF(CU$3-VLOOKUP($A9,'détails investissements'!$A$71:$B$88,2,FALSE)&lt;=0,"",IF(VLOOKUP($A9,'détails investissements'!$A$26:$DE$43,CU$3-VLOOKUP($A9,'détails investissements'!$A$71:$B$88,2,FALSE)+1,FALSE)="","",VLOOKUP($A9,'détails investissements'!$A$26:$DE$43,CU$3-VLOOKUP($A9,'détails investissements'!$A$71:$B$88,2,FALSE)+1,FALSE)))&lt;&gt;"",HLOOKUP(IF(CU$3-VLOOKUP($A9,'détails investissements'!$A$71:$B$88,2,FALSE)&lt;=0,"",IF(VLOOKUP($A9,'détails investissements'!$A$26:$DE$43,CU$3-VLOOKUP($A9,'détails investissements'!$A$71:$B$88,2,FALSE)+1,FALSE)="","",VLOOKUP($A9,'détails investissements'!$A$26:$DE$43,CU$3-VLOOKUP($A9,'détails investissements'!$A$71:$B$88,2,FALSE)+1,FALSE))),'détails investissements'!$U$6:$AB$7,2,FALSE),""),FALSE),"")</f>
        <v/>
      </c>
      <c r="CV9" s="45" t="str">
        <f>IF(IF(IF(CV$3-VLOOKUP($A9,'détails investissements'!$A$71:$B$88,2,FALSE)&lt;=0,"",IF(VLOOKUP($A9,'détails investissements'!$A$26:$DE$43,CV$3-VLOOKUP($A9,'détails investissements'!$A$71:$B$88,2,FALSE)+1,FALSE)="","",VLOOKUP($A9,'détails investissements'!$A$26:$DE$43,CV$3-VLOOKUP($A9,'détails investissements'!$A$71:$B$88,2,FALSE)+1,FALSE)))&lt;&gt;"",HLOOKUP(IF(CV$3-VLOOKUP($A9,'détails investissements'!$A$71:$B$88,2,FALSE)&lt;=0,"",IF(VLOOKUP($A9,'détails investissements'!$A$26:$DE$43,CV$3-VLOOKUP($A9,'détails investissements'!$A$71:$B$88,2,FALSE)+1,FALSE)="","",VLOOKUP($A9,'détails investissements'!$A$26:$DE$43,CV$3-VLOOKUP($A9,'détails investissements'!$A$71:$B$88,2,FALSE)+1,FALSE))),'détails investissements'!$U$6:$AB$7,2,FALSE),"")&lt;&gt;"",VLOOKUP($A9,'détails investissements'!$A$7:$H$21,1+IF(IF(CV$3-VLOOKUP($A9,'détails investissements'!$A$71:$B$88,2,FALSE)&lt;=0,"",IF(VLOOKUP($A9,'détails investissements'!$A$26:$DE$43,CV$3-VLOOKUP($A9,'détails investissements'!$A$71:$B$88,2,FALSE)+1,FALSE)="","",VLOOKUP($A9,'détails investissements'!$A$26:$DE$43,CV$3-VLOOKUP($A9,'détails investissements'!$A$71:$B$88,2,FALSE)+1,FALSE)))&lt;&gt;"",HLOOKUP(IF(CV$3-VLOOKUP($A9,'détails investissements'!$A$71:$B$88,2,FALSE)&lt;=0,"",IF(VLOOKUP($A9,'détails investissements'!$A$26:$DE$43,CV$3-VLOOKUP($A9,'détails investissements'!$A$71:$B$88,2,FALSE)+1,FALSE)="","",VLOOKUP($A9,'détails investissements'!$A$26:$DE$43,CV$3-VLOOKUP($A9,'détails investissements'!$A$71:$B$88,2,FALSE)+1,FALSE))),'détails investissements'!$U$6:$AB$7,2,FALSE),""),FALSE),"")</f>
        <v/>
      </c>
      <c r="CW9" s="45" t="str">
        <f>IF(IF(IF(CW$3-VLOOKUP($A9,'détails investissements'!$A$71:$B$88,2,FALSE)&lt;=0,"",IF(VLOOKUP($A9,'détails investissements'!$A$26:$DE$43,CW$3-VLOOKUP($A9,'détails investissements'!$A$71:$B$88,2,FALSE)+1,FALSE)="","",VLOOKUP($A9,'détails investissements'!$A$26:$DE$43,CW$3-VLOOKUP($A9,'détails investissements'!$A$71:$B$88,2,FALSE)+1,FALSE)))&lt;&gt;"",HLOOKUP(IF(CW$3-VLOOKUP($A9,'détails investissements'!$A$71:$B$88,2,FALSE)&lt;=0,"",IF(VLOOKUP($A9,'détails investissements'!$A$26:$DE$43,CW$3-VLOOKUP($A9,'détails investissements'!$A$71:$B$88,2,FALSE)+1,FALSE)="","",VLOOKUP($A9,'détails investissements'!$A$26:$DE$43,CW$3-VLOOKUP($A9,'détails investissements'!$A$71:$B$88,2,FALSE)+1,FALSE))),'détails investissements'!$U$6:$AB$7,2,FALSE),"")&lt;&gt;"",VLOOKUP($A9,'détails investissements'!$A$7:$H$21,1+IF(IF(CW$3-VLOOKUP($A9,'détails investissements'!$A$71:$B$88,2,FALSE)&lt;=0,"",IF(VLOOKUP($A9,'détails investissements'!$A$26:$DE$43,CW$3-VLOOKUP($A9,'détails investissements'!$A$71:$B$88,2,FALSE)+1,FALSE)="","",VLOOKUP($A9,'détails investissements'!$A$26:$DE$43,CW$3-VLOOKUP($A9,'détails investissements'!$A$71:$B$88,2,FALSE)+1,FALSE)))&lt;&gt;"",HLOOKUP(IF(CW$3-VLOOKUP($A9,'détails investissements'!$A$71:$B$88,2,FALSE)&lt;=0,"",IF(VLOOKUP($A9,'détails investissements'!$A$26:$DE$43,CW$3-VLOOKUP($A9,'détails investissements'!$A$71:$B$88,2,FALSE)+1,FALSE)="","",VLOOKUP($A9,'détails investissements'!$A$26:$DE$43,CW$3-VLOOKUP($A9,'détails investissements'!$A$71:$B$88,2,FALSE)+1,FALSE))),'détails investissements'!$U$6:$AB$7,2,FALSE),""),FALSE),"")</f>
        <v/>
      </c>
      <c r="CX9" s="45" t="str">
        <f>IF(IF(IF(CX$3-VLOOKUP($A9,'détails investissements'!$A$71:$B$88,2,FALSE)&lt;=0,"",IF(VLOOKUP($A9,'détails investissements'!$A$26:$DE$43,CX$3-VLOOKUP($A9,'détails investissements'!$A$71:$B$88,2,FALSE)+1,FALSE)="","",VLOOKUP($A9,'détails investissements'!$A$26:$DE$43,CX$3-VLOOKUP($A9,'détails investissements'!$A$71:$B$88,2,FALSE)+1,FALSE)))&lt;&gt;"",HLOOKUP(IF(CX$3-VLOOKUP($A9,'détails investissements'!$A$71:$B$88,2,FALSE)&lt;=0,"",IF(VLOOKUP($A9,'détails investissements'!$A$26:$DE$43,CX$3-VLOOKUP($A9,'détails investissements'!$A$71:$B$88,2,FALSE)+1,FALSE)="","",VLOOKUP($A9,'détails investissements'!$A$26:$DE$43,CX$3-VLOOKUP($A9,'détails investissements'!$A$71:$B$88,2,FALSE)+1,FALSE))),'détails investissements'!$U$6:$AB$7,2,FALSE),"")&lt;&gt;"",VLOOKUP($A9,'détails investissements'!$A$7:$H$21,1+IF(IF(CX$3-VLOOKUP($A9,'détails investissements'!$A$71:$B$88,2,FALSE)&lt;=0,"",IF(VLOOKUP($A9,'détails investissements'!$A$26:$DE$43,CX$3-VLOOKUP($A9,'détails investissements'!$A$71:$B$88,2,FALSE)+1,FALSE)="","",VLOOKUP($A9,'détails investissements'!$A$26:$DE$43,CX$3-VLOOKUP($A9,'détails investissements'!$A$71:$B$88,2,FALSE)+1,FALSE)))&lt;&gt;"",HLOOKUP(IF(CX$3-VLOOKUP($A9,'détails investissements'!$A$71:$B$88,2,FALSE)&lt;=0,"",IF(VLOOKUP($A9,'détails investissements'!$A$26:$DE$43,CX$3-VLOOKUP($A9,'détails investissements'!$A$71:$B$88,2,FALSE)+1,FALSE)="","",VLOOKUP($A9,'détails investissements'!$A$26:$DE$43,CX$3-VLOOKUP($A9,'détails investissements'!$A$71:$B$88,2,FALSE)+1,FALSE))),'détails investissements'!$U$6:$AB$7,2,FALSE),""),FALSE),"")</f>
        <v/>
      </c>
      <c r="CY9" s="45" t="str">
        <f>IF(IF(IF(CY$3-VLOOKUP($A9,'détails investissements'!$A$71:$B$88,2,FALSE)&lt;=0,"",IF(VLOOKUP($A9,'détails investissements'!$A$26:$DE$43,CY$3-VLOOKUP($A9,'détails investissements'!$A$71:$B$88,2,FALSE)+1,FALSE)="","",VLOOKUP($A9,'détails investissements'!$A$26:$DE$43,CY$3-VLOOKUP($A9,'détails investissements'!$A$71:$B$88,2,FALSE)+1,FALSE)))&lt;&gt;"",HLOOKUP(IF(CY$3-VLOOKUP($A9,'détails investissements'!$A$71:$B$88,2,FALSE)&lt;=0,"",IF(VLOOKUP($A9,'détails investissements'!$A$26:$DE$43,CY$3-VLOOKUP($A9,'détails investissements'!$A$71:$B$88,2,FALSE)+1,FALSE)="","",VLOOKUP($A9,'détails investissements'!$A$26:$DE$43,CY$3-VLOOKUP($A9,'détails investissements'!$A$71:$B$88,2,FALSE)+1,FALSE))),'détails investissements'!$U$6:$AB$7,2,FALSE),"")&lt;&gt;"",VLOOKUP($A9,'détails investissements'!$A$7:$H$21,1+IF(IF(CY$3-VLOOKUP($A9,'détails investissements'!$A$71:$B$88,2,FALSE)&lt;=0,"",IF(VLOOKUP($A9,'détails investissements'!$A$26:$DE$43,CY$3-VLOOKUP($A9,'détails investissements'!$A$71:$B$88,2,FALSE)+1,FALSE)="","",VLOOKUP($A9,'détails investissements'!$A$26:$DE$43,CY$3-VLOOKUP($A9,'détails investissements'!$A$71:$B$88,2,FALSE)+1,FALSE)))&lt;&gt;"",HLOOKUP(IF(CY$3-VLOOKUP($A9,'détails investissements'!$A$71:$B$88,2,FALSE)&lt;=0,"",IF(VLOOKUP($A9,'détails investissements'!$A$26:$DE$43,CY$3-VLOOKUP($A9,'détails investissements'!$A$71:$B$88,2,FALSE)+1,FALSE)="","",VLOOKUP($A9,'détails investissements'!$A$26:$DE$43,CY$3-VLOOKUP($A9,'détails investissements'!$A$71:$B$88,2,FALSE)+1,FALSE))),'détails investissements'!$U$6:$AB$7,2,FALSE),""),FALSE),"")</f>
        <v/>
      </c>
      <c r="CZ9" s="45" t="str">
        <f>IF(IF(IF(CZ$3-VLOOKUP($A9,'détails investissements'!$A$71:$B$88,2,FALSE)&lt;=0,"",IF(VLOOKUP($A9,'détails investissements'!$A$26:$DE$43,CZ$3-VLOOKUP($A9,'détails investissements'!$A$71:$B$88,2,FALSE)+1,FALSE)="","",VLOOKUP($A9,'détails investissements'!$A$26:$DE$43,CZ$3-VLOOKUP($A9,'détails investissements'!$A$71:$B$88,2,FALSE)+1,FALSE)))&lt;&gt;"",HLOOKUP(IF(CZ$3-VLOOKUP($A9,'détails investissements'!$A$71:$B$88,2,FALSE)&lt;=0,"",IF(VLOOKUP($A9,'détails investissements'!$A$26:$DE$43,CZ$3-VLOOKUP($A9,'détails investissements'!$A$71:$B$88,2,FALSE)+1,FALSE)="","",VLOOKUP($A9,'détails investissements'!$A$26:$DE$43,CZ$3-VLOOKUP($A9,'détails investissements'!$A$71:$B$88,2,FALSE)+1,FALSE))),'détails investissements'!$U$6:$AB$7,2,FALSE),"")&lt;&gt;"",VLOOKUP($A9,'détails investissements'!$A$7:$H$21,1+IF(IF(CZ$3-VLOOKUP($A9,'détails investissements'!$A$71:$B$88,2,FALSE)&lt;=0,"",IF(VLOOKUP($A9,'détails investissements'!$A$26:$DE$43,CZ$3-VLOOKUP($A9,'détails investissements'!$A$71:$B$88,2,FALSE)+1,FALSE)="","",VLOOKUP($A9,'détails investissements'!$A$26:$DE$43,CZ$3-VLOOKUP($A9,'détails investissements'!$A$71:$B$88,2,FALSE)+1,FALSE)))&lt;&gt;"",HLOOKUP(IF(CZ$3-VLOOKUP($A9,'détails investissements'!$A$71:$B$88,2,FALSE)&lt;=0,"",IF(VLOOKUP($A9,'détails investissements'!$A$26:$DE$43,CZ$3-VLOOKUP($A9,'détails investissements'!$A$71:$B$88,2,FALSE)+1,FALSE)="","",VLOOKUP($A9,'détails investissements'!$A$26:$DE$43,CZ$3-VLOOKUP($A9,'détails investissements'!$A$71:$B$88,2,FALSE)+1,FALSE))),'détails investissements'!$U$6:$AB$7,2,FALSE),""),FALSE),"")</f>
        <v/>
      </c>
      <c r="DA9" s="45" t="str">
        <f>IF(IF(IF(DA$3-VLOOKUP($A9,'détails investissements'!$A$71:$B$88,2,FALSE)&lt;=0,"",IF(VLOOKUP($A9,'détails investissements'!$A$26:$DE$43,DA$3-VLOOKUP($A9,'détails investissements'!$A$71:$B$88,2,FALSE)+1,FALSE)="","",VLOOKUP($A9,'détails investissements'!$A$26:$DE$43,DA$3-VLOOKUP($A9,'détails investissements'!$A$71:$B$88,2,FALSE)+1,FALSE)))&lt;&gt;"",HLOOKUP(IF(DA$3-VLOOKUP($A9,'détails investissements'!$A$71:$B$88,2,FALSE)&lt;=0,"",IF(VLOOKUP($A9,'détails investissements'!$A$26:$DE$43,DA$3-VLOOKUP($A9,'détails investissements'!$A$71:$B$88,2,FALSE)+1,FALSE)="","",VLOOKUP($A9,'détails investissements'!$A$26:$DE$43,DA$3-VLOOKUP($A9,'détails investissements'!$A$71:$B$88,2,FALSE)+1,FALSE))),'détails investissements'!$U$6:$AB$7,2,FALSE),"")&lt;&gt;"",VLOOKUP($A9,'détails investissements'!$A$7:$H$21,1+IF(IF(DA$3-VLOOKUP($A9,'détails investissements'!$A$71:$B$88,2,FALSE)&lt;=0,"",IF(VLOOKUP($A9,'détails investissements'!$A$26:$DE$43,DA$3-VLOOKUP($A9,'détails investissements'!$A$71:$B$88,2,FALSE)+1,FALSE)="","",VLOOKUP($A9,'détails investissements'!$A$26:$DE$43,DA$3-VLOOKUP($A9,'détails investissements'!$A$71:$B$88,2,FALSE)+1,FALSE)))&lt;&gt;"",HLOOKUP(IF(DA$3-VLOOKUP($A9,'détails investissements'!$A$71:$B$88,2,FALSE)&lt;=0,"",IF(VLOOKUP($A9,'détails investissements'!$A$26:$DE$43,DA$3-VLOOKUP($A9,'détails investissements'!$A$71:$B$88,2,FALSE)+1,FALSE)="","",VLOOKUP($A9,'détails investissements'!$A$26:$DE$43,DA$3-VLOOKUP($A9,'détails investissements'!$A$71:$B$88,2,FALSE)+1,FALSE))),'détails investissements'!$U$6:$AB$7,2,FALSE),""),FALSE),"")</f>
        <v/>
      </c>
      <c r="DB9" s="45" t="str">
        <f>IF(IF(IF(DB$3-VLOOKUP($A9,'détails investissements'!$A$71:$B$88,2,FALSE)&lt;=0,"",IF(VLOOKUP($A9,'détails investissements'!$A$26:$DE$43,DB$3-VLOOKUP($A9,'détails investissements'!$A$71:$B$88,2,FALSE)+1,FALSE)="","",VLOOKUP($A9,'détails investissements'!$A$26:$DE$43,DB$3-VLOOKUP($A9,'détails investissements'!$A$71:$B$88,2,FALSE)+1,FALSE)))&lt;&gt;"",HLOOKUP(IF(DB$3-VLOOKUP($A9,'détails investissements'!$A$71:$B$88,2,FALSE)&lt;=0,"",IF(VLOOKUP($A9,'détails investissements'!$A$26:$DE$43,DB$3-VLOOKUP($A9,'détails investissements'!$A$71:$B$88,2,FALSE)+1,FALSE)="","",VLOOKUP($A9,'détails investissements'!$A$26:$DE$43,DB$3-VLOOKUP($A9,'détails investissements'!$A$71:$B$88,2,FALSE)+1,FALSE))),'détails investissements'!$U$6:$AB$7,2,FALSE),"")&lt;&gt;"",VLOOKUP($A9,'détails investissements'!$A$7:$H$21,1+IF(IF(DB$3-VLOOKUP($A9,'détails investissements'!$A$71:$B$88,2,FALSE)&lt;=0,"",IF(VLOOKUP($A9,'détails investissements'!$A$26:$DE$43,DB$3-VLOOKUP($A9,'détails investissements'!$A$71:$B$88,2,FALSE)+1,FALSE)="","",VLOOKUP($A9,'détails investissements'!$A$26:$DE$43,DB$3-VLOOKUP($A9,'détails investissements'!$A$71:$B$88,2,FALSE)+1,FALSE)))&lt;&gt;"",HLOOKUP(IF(DB$3-VLOOKUP($A9,'détails investissements'!$A$71:$B$88,2,FALSE)&lt;=0,"",IF(VLOOKUP($A9,'détails investissements'!$A$26:$DE$43,DB$3-VLOOKUP($A9,'détails investissements'!$A$71:$B$88,2,FALSE)+1,FALSE)="","",VLOOKUP($A9,'détails investissements'!$A$26:$DE$43,DB$3-VLOOKUP($A9,'détails investissements'!$A$71:$B$88,2,FALSE)+1,FALSE))),'détails investissements'!$U$6:$AB$7,2,FALSE),""),FALSE),"")</f>
        <v/>
      </c>
      <c r="DC9" s="45" t="str">
        <f>IF(IF(IF(DC$3-VLOOKUP($A9,'détails investissements'!$A$71:$B$88,2,FALSE)&lt;=0,"",IF(VLOOKUP($A9,'détails investissements'!$A$26:$DE$43,DC$3-VLOOKUP($A9,'détails investissements'!$A$71:$B$88,2,FALSE)+1,FALSE)="","",VLOOKUP($A9,'détails investissements'!$A$26:$DE$43,DC$3-VLOOKUP($A9,'détails investissements'!$A$71:$B$88,2,FALSE)+1,FALSE)))&lt;&gt;"",HLOOKUP(IF(DC$3-VLOOKUP($A9,'détails investissements'!$A$71:$B$88,2,FALSE)&lt;=0,"",IF(VLOOKUP($A9,'détails investissements'!$A$26:$DE$43,DC$3-VLOOKUP($A9,'détails investissements'!$A$71:$B$88,2,FALSE)+1,FALSE)="","",VLOOKUP($A9,'détails investissements'!$A$26:$DE$43,DC$3-VLOOKUP($A9,'détails investissements'!$A$71:$B$88,2,FALSE)+1,FALSE))),'détails investissements'!$U$6:$AB$7,2,FALSE),"")&lt;&gt;"",VLOOKUP($A9,'détails investissements'!$A$7:$H$21,1+IF(IF(DC$3-VLOOKUP($A9,'détails investissements'!$A$71:$B$88,2,FALSE)&lt;=0,"",IF(VLOOKUP($A9,'détails investissements'!$A$26:$DE$43,DC$3-VLOOKUP($A9,'détails investissements'!$A$71:$B$88,2,FALSE)+1,FALSE)="","",VLOOKUP($A9,'détails investissements'!$A$26:$DE$43,DC$3-VLOOKUP($A9,'détails investissements'!$A$71:$B$88,2,FALSE)+1,FALSE)))&lt;&gt;"",HLOOKUP(IF(DC$3-VLOOKUP($A9,'détails investissements'!$A$71:$B$88,2,FALSE)&lt;=0,"",IF(VLOOKUP($A9,'détails investissements'!$A$26:$DE$43,DC$3-VLOOKUP($A9,'détails investissements'!$A$71:$B$88,2,FALSE)+1,FALSE)="","",VLOOKUP($A9,'détails investissements'!$A$26:$DE$43,DC$3-VLOOKUP($A9,'détails investissements'!$A$71:$B$88,2,FALSE)+1,FALSE))),'détails investissements'!$U$6:$AB$7,2,FALSE),""),FALSE),"")</f>
        <v/>
      </c>
      <c r="DD9" s="45" t="str">
        <f>IF(IF(IF(DD$3-VLOOKUP($A9,'détails investissements'!$A$71:$B$88,2,FALSE)&lt;=0,"",IF(VLOOKUP($A9,'détails investissements'!$A$26:$DE$43,DD$3-VLOOKUP($A9,'détails investissements'!$A$71:$B$88,2,FALSE)+1,FALSE)="","",VLOOKUP($A9,'détails investissements'!$A$26:$DE$43,DD$3-VLOOKUP($A9,'détails investissements'!$A$71:$B$88,2,FALSE)+1,FALSE)))&lt;&gt;"",HLOOKUP(IF(DD$3-VLOOKUP($A9,'détails investissements'!$A$71:$B$88,2,FALSE)&lt;=0,"",IF(VLOOKUP($A9,'détails investissements'!$A$26:$DE$43,DD$3-VLOOKUP($A9,'détails investissements'!$A$71:$B$88,2,FALSE)+1,FALSE)="","",VLOOKUP($A9,'détails investissements'!$A$26:$DE$43,DD$3-VLOOKUP($A9,'détails investissements'!$A$71:$B$88,2,FALSE)+1,FALSE))),'détails investissements'!$U$6:$AB$7,2,FALSE),"")&lt;&gt;"",VLOOKUP($A9,'détails investissements'!$A$7:$H$21,1+IF(IF(DD$3-VLOOKUP($A9,'détails investissements'!$A$71:$B$88,2,FALSE)&lt;=0,"",IF(VLOOKUP($A9,'détails investissements'!$A$26:$DE$43,DD$3-VLOOKUP($A9,'détails investissements'!$A$71:$B$88,2,FALSE)+1,FALSE)="","",VLOOKUP($A9,'détails investissements'!$A$26:$DE$43,DD$3-VLOOKUP($A9,'détails investissements'!$A$71:$B$88,2,FALSE)+1,FALSE)))&lt;&gt;"",HLOOKUP(IF(DD$3-VLOOKUP($A9,'détails investissements'!$A$71:$B$88,2,FALSE)&lt;=0,"",IF(VLOOKUP($A9,'détails investissements'!$A$26:$DE$43,DD$3-VLOOKUP($A9,'détails investissements'!$A$71:$B$88,2,FALSE)+1,FALSE)="","",VLOOKUP($A9,'détails investissements'!$A$26:$DE$43,DD$3-VLOOKUP($A9,'détails investissements'!$A$71:$B$88,2,FALSE)+1,FALSE))),'détails investissements'!$U$6:$AB$7,2,FALSE),""),FALSE),"")</f>
        <v/>
      </c>
      <c r="DE9" s="45" t="str">
        <f>IF(IF(IF(DE$3-VLOOKUP($A9,'détails investissements'!$A$71:$B$88,2,FALSE)&lt;=0,"",IF(VLOOKUP($A9,'détails investissements'!$A$26:$DE$43,DE$3-VLOOKUP($A9,'détails investissements'!$A$71:$B$88,2,FALSE)+1,FALSE)="","",VLOOKUP($A9,'détails investissements'!$A$26:$DE$43,DE$3-VLOOKUP($A9,'détails investissements'!$A$71:$B$88,2,FALSE)+1,FALSE)))&lt;&gt;"",HLOOKUP(IF(DE$3-VLOOKUP($A9,'détails investissements'!$A$71:$B$88,2,FALSE)&lt;=0,"",IF(VLOOKUP($A9,'détails investissements'!$A$26:$DE$43,DE$3-VLOOKUP($A9,'détails investissements'!$A$71:$B$88,2,FALSE)+1,FALSE)="","",VLOOKUP($A9,'détails investissements'!$A$26:$DE$43,DE$3-VLOOKUP($A9,'détails investissements'!$A$71:$B$88,2,FALSE)+1,FALSE))),'détails investissements'!$U$6:$AB$7,2,FALSE),"")&lt;&gt;"",VLOOKUP($A9,'détails investissements'!$A$7:$H$21,1+IF(IF(DE$3-VLOOKUP($A9,'détails investissements'!$A$71:$B$88,2,FALSE)&lt;=0,"",IF(VLOOKUP($A9,'détails investissements'!$A$26:$DE$43,DE$3-VLOOKUP($A9,'détails investissements'!$A$71:$B$88,2,FALSE)+1,FALSE)="","",VLOOKUP($A9,'détails investissements'!$A$26:$DE$43,DE$3-VLOOKUP($A9,'détails investissements'!$A$71:$B$88,2,FALSE)+1,FALSE)))&lt;&gt;"",HLOOKUP(IF(DE$3-VLOOKUP($A9,'détails investissements'!$A$71:$B$88,2,FALSE)&lt;=0,"",IF(VLOOKUP($A9,'détails investissements'!$A$26:$DE$43,DE$3-VLOOKUP($A9,'détails investissements'!$A$71:$B$88,2,FALSE)+1,FALSE)="","",VLOOKUP($A9,'détails investissements'!$A$26:$DE$43,DE$3-VLOOKUP($A9,'détails investissements'!$A$71:$B$88,2,FALSE)+1,FALSE))),'détails investissements'!$U$6:$AB$7,2,FALSE),""),FALSE),"")</f>
        <v/>
      </c>
      <c r="DF9" s="45" t="str">
        <f>IF(IF(IF(DF$3-VLOOKUP($A9,'détails investissements'!$A$71:$B$88,2,FALSE)&lt;=0,"",IF(VLOOKUP($A9,'détails investissements'!$A$26:$DE$43,DF$3-VLOOKUP($A9,'détails investissements'!$A$71:$B$88,2,FALSE)+1,FALSE)="","",VLOOKUP($A9,'détails investissements'!$A$26:$DE$43,DF$3-VLOOKUP($A9,'détails investissements'!$A$71:$B$88,2,FALSE)+1,FALSE)))&lt;&gt;"",HLOOKUP(IF(DF$3-VLOOKUP($A9,'détails investissements'!$A$71:$B$88,2,FALSE)&lt;=0,"",IF(VLOOKUP($A9,'détails investissements'!$A$26:$DE$43,DF$3-VLOOKUP($A9,'détails investissements'!$A$71:$B$88,2,FALSE)+1,FALSE)="","",VLOOKUP($A9,'détails investissements'!$A$26:$DE$43,DF$3-VLOOKUP($A9,'détails investissements'!$A$71:$B$88,2,FALSE)+1,FALSE))),'détails investissements'!$U$6:$AB$7,2,FALSE),"")&lt;&gt;"",VLOOKUP($A9,'détails investissements'!$A$7:$H$21,1+IF(IF(DF$3-VLOOKUP($A9,'détails investissements'!$A$71:$B$88,2,FALSE)&lt;=0,"",IF(VLOOKUP($A9,'détails investissements'!$A$26:$DE$43,DF$3-VLOOKUP($A9,'détails investissements'!$A$71:$B$88,2,FALSE)+1,FALSE)="","",VLOOKUP($A9,'détails investissements'!$A$26:$DE$43,DF$3-VLOOKUP($A9,'détails investissements'!$A$71:$B$88,2,FALSE)+1,FALSE)))&lt;&gt;"",HLOOKUP(IF(DF$3-VLOOKUP($A9,'détails investissements'!$A$71:$B$88,2,FALSE)&lt;=0,"",IF(VLOOKUP($A9,'détails investissements'!$A$26:$DE$43,DF$3-VLOOKUP($A9,'détails investissements'!$A$71:$B$88,2,FALSE)+1,FALSE)="","",VLOOKUP($A9,'détails investissements'!$A$26:$DE$43,DF$3-VLOOKUP($A9,'détails investissements'!$A$71:$B$88,2,FALSE)+1,FALSE))),'détails investissements'!$U$6:$AB$7,2,FALSE),""),FALSE),"")</f>
        <v/>
      </c>
      <c r="DG9">
        <f t="shared" si="0"/>
        <v>1</v>
      </c>
    </row>
    <row r="10" spans="1:111" x14ac:dyDescent="0.2">
      <c r="A10" s="15" t="str">
        <f>'[4]Données investissements'!A30</f>
        <v>Annexe VAR : nettoyage haute pression</v>
      </c>
      <c r="B10" s="23">
        <f>'détails investissements'!B98</f>
        <v>0.28999999999999998</v>
      </c>
      <c r="C10" s="45" t="str">
        <f>IF(IF(IF(C$3-VLOOKUP($A10,'détails investissements'!$A$71:$B$88,2,FALSE)&lt;=0,"",IF(VLOOKUP($A10,'détails investissements'!$A$26:$DE$43,C$3-VLOOKUP($A10,'détails investissements'!$A$71:$B$88,2,FALSE)+1,FALSE)="","",VLOOKUP($A10,'détails investissements'!$A$26:$DE$43,C$3-VLOOKUP($A10,'détails investissements'!$A$71:$B$88,2,FALSE)+1,FALSE)))&lt;&gt;"",HLOOKUP(IF(C$3-VLOOKUP($A10,'détails investissements'!$A$71:$B$88,2,FALSE)&lt;=0,"",IF(VLOOKUP($A10,'détails investissements'!$A$26:$DE$43,C$3-VLOOKUP($A10,'détails investissements'!$A$71:$B$88,2,FALSE)+1,FALSE)="","",VLOOKUP($A10,'détails investissements'!$A$26:$DE$43,C$3-VLOOKUP($A10,'détails investissements'!$A$71:$B$88,2,FALSE)+1,FALSE))),'détails investissements'!$U$6:$AB$7,2,FALSE),"")&lt;&gt;"",VLOOKUP($A10,'détails investissements'!$A$7:$H$21,1+IF(IF(C$3-VLOOKUP($A10,'détails investissements'!$A$71:$B$88,2,FALSE)&lt;=0,"",IF(VLOOKUP($A10,'détails investissements'!$A$26:$DE$43,C$3-VLOOKUP($A10,'détails investissements'!$A$71:$B$88,2,FALSE)+1,FALSE)="","",VLOOKUP($A10,'détails investissements'!$A$26:$DE$43,C$3-VLOOKUP($A10,'détails investissements'!$A$71:$B$88,2,FALSE)+1,FALSE)))&lt;&gt;"",HLOOKUP(IF(C$3-VLOOKUP($A10,'détails investissements'!$A$71:$B$88,2,FALSE)&lt;=0,"",IF(VLOOKUP($A10,'détails investissements'!$A$26:$DE$43,C$3-VLOOKUP($A10,'détails investissements'!$A$71:$B$88,2,FALSE)+1,FALSE)="","",VLOOKUP($A10,'détails investissements'!$A$26:$DE$43,C$3-VLOOKUP($A10,'détails investissements'!$A$71:$B$88,2,FALSE)+1,FALSE))),'détails investissements'!$U$6:$AB$7,2,FALSE),""),FALSE),"")</f>
        <v/>
      </c>
      <c r="D10" s="45" t="str">
        <f>IF(IF(IF(D$3-VLOOKUP($A10,'détails investissements'!$A$71:$B$88,2,FALSE)&lt;=0,"",IF(VLOOKUP($A10,'détails investissements'!$A$26:$DE$43,D$3-VLOOKUP($A10,'détails investissements'!$A$71:$B$88,2,FALSE)+1,FALSE)="","",VLOOKUP($A10,'détails investissements'!$A$26:$DE$43,D$3-VLOOKUP($A10,'détails investissements'!$A$71:$B$88,2,FALSE)+1,FALSE)))&lt;&gt;"",HLOOKUP(IF(D$3-VLOOKUP($A10,'détails investissements'!$A$71:$B$88,2,FALSE)&lt;=0,"",IF(VLOOKUP($A10,'détails investissements'!$A$26:$DE$43,D$3-VLOOKUP($A10,'détails investissements'!$A$71:$B$88,2,FALSE)+1,FALSE)="","",VLOOKUP($A10,'détails investissements'!$A$26:$DE$43,D$3-VLOOKUP($A10,'détails investissements'!$A$71:$B$88,2,FALSE)+1,FALSE))),'détails investissements'!$U$6:$AB$7,2,FALSE),"")&lt;&gt;"",VLOOKUP($A10,'détails investissements'!$A$7:$H$21,1+IF(IF(D$3-VLOOKUP($A10,'détails investissements'!$A$71:$B$88,2,FALSE)&lt;=0,"",IF(VLOOKUP($A10,'détails investissements'!$A$26:$DE$43,D$3-VLOOKUP($A10,'détails investissements'!$A$71:$B$88,2,FALSE)+1,FALSE)="","",VLOOKUP($A10,'détails investissements'!$A$26:$DE$43,D$3-VLOOKUP($A10,'détails investissements'!$A$71:$B$88,2,FALSE)+1,FALSE)))&lt;&gt;"",HLOOKUP(IF(D$3-VLOOKUP($A10,'détails investissements'!$A$71:$B$88,2,FALSE)&lt;=0,"",IF(VLOOKUP($A10,'détails investissements'!$A$26:$DE$43,D$3-VLOOKUP($A10,'détails investissements'!$A$71:$B$88,2,FALSE)+1,FALSE)="","",VLOOKUP($A10,'détails investissements'!$A$26:$DE$43,D$3-VLOOKUP($A10,'détails investissements'!$A$71:$B$88,2,FALSE)+1,FALSE))),'détails investissements'!$U$6:$AB$7,2,FALSE),""),FALSE),"")</f>
        <v/>
      </c>
      <c r="E10" s="45" t="str">
        <f>IF(IF(IF(E$3-VLOOKUP($A10,'détails investissements'!$A$71:$B$88,2,FALSE)&lt;=0,"",IF(VLOOKUP($A10,'détails investissements'!$A$26:$DE$43,E$3-VLOOKUP($A10,'détails investissements'!$A$71:$B$88,2,FALSE)+1,FALSE)="","",VLOOKUP($A10,'détails investissements'!$A$26:$DE$43,E$3-VLOOKUP($A10,'détails investissements'!$A$71:$B$88,2,FALSE)+1,FALSE)))&lt;&gt;"",HLOOKUP(IF(E$3-VLOOKUP($A10,'détails investissements'!$A$71:$B$88,2,FALSE)&lt;=0,"",IF(VLOOKUP($A10,'détails investissements'!$A$26:$DE$43,E$3-VLOOKUP($A10,'détails investissements'!$A$71:$B$88,2,FALSE)+1,FALSE)="","",VLOOKUP($A10,'détails investissements'!$A$26:$DE$43,E$3-VLOOKUP($A10,'détails investissements'!$A$71:$B$88,2,FALSE)+1,FALSE))),'détails investissements'!$U$6:$AB$7,2,FALSE),"")&lt;&gt;"",VLOOKUP($A10,'détails investissements'!$A$7:$H$21,1+IF(IF(E$3-VLOOKUP($A10,'détails investissements'!$A$71:$B$88,2,FALSE)&lt;=0,"",IF(VLOOKUP($A10,'détails investissements'!$A$26:$DE$43,E$3-VLOOKUP($A10,'détails investissements'!$A$71:$B$88,2,FALSE)+1,FALSE)="","",VLOOKUP($A10,'détails investissements'!$A$26:$DE$43,E$3-VLOOKUP($A10,'détails investissements'!$A$71:$B$88,2,FALSE)+1,FALSE)))&lt;&gt;"",HLOOKUP(IF(E$3-VLOOKUP($A10,'détails investissements'!$A$71:$B$88,2,FALSE)&lt;=0,"",IF(VLOOKUP($A10,'détails investissements'!$A$26:$DE$43,E$3-VLOOKUP($A10,'détails investissements'!$A$71:$B$88,2,FALSE)+1,FALSE)="","",VLOOKUP($A10,'détails investissements'!$A$26:$DE$43,E$3-VLOOKUP($A10,'détails investissements'!$A$71:$B$88,2,FALSE)+1,FALSE))),'détails investissements'!$U$6:$AB$7,2,FALSE),""),FALSE),"")</f>
        <v/>
      </c>
      <c r="F10" s="45" t="str">
        <f>IF(IF(IF(F$3-VLOOKUP($A10,'détails investissements'!$A$71:$B$88,2,FALSE)&lt;=0,"",IF(VLOOKUP($A10,'détails investissements'!$A$26:$DE$43,F$3-VLOOKUP($A10,'détails investissements'!$A$71:$B$88,2,FALSE)+1,FALSE)="","",VLOOKUP($A10,'détails investissements'!$A$26:$DE$43,F$3-VLOOKUP($A10,'détails investissements'!$A$71:$B$88,2,FALSE)+1,FALSE)))&lt;&gt;"",HLOOKUP(IF(F$3-VLOOKUP($A10,'détails investissements'!$A$71:$B$88,2,FALSE)&lt;=0,"",IF(VLOOKUP($A10,'détails investissements'!$A$26:$DE$43,F$3-VLOOKUP($A10,'détails investissements'!$A$71:$B$88,2,FALSE)+1,FALSE)="","",VLOOKUP($A10,'détails investissements'!$A$26:$DE$43,F$3-VLOOKUP($A10,'détails investissements'!$A$71:$B$88,2,FALSE)+1,FALSE))),'détails investissements'!$U$6:$AB$7,2,FALSE),"")&lt;&gt;"",VLOOKUP($A10,'détails investissements'!$A$7:$H$21,1+IF(IF(F$3-VLOOKUP($A10,'détails investissements'!$A$71:$B$88,2,FALSE)&lt;=0,"",IF(VLOOKUP($A10,'détails investissements'!$A$26:$DE$43,F$3-VLOOKUP($A10,'détails investissements'!$A$71:$B$88,2,FALSE)+1,FALSE)="","",VLOOKUP($A10,'détails investissements'!$A$26:$DE$43,F$3-VLOOKUP($A10,'détails investissements'!$A$71:$B$88,2,FALSE)+1,FALSE)))&lt;&gt;"",HLOOKUP(IF(F$3-VLOOKUP($A10,'détails investissements'!$A$71:$B$88,2,FALSE)&lt;=0,"",IF(VLOOKUP($A10,'détails investissements'!$A$26:$DE$43,F$3-VLOOKUP($A10,'détails investissements'!$A$71:$B$88,2,FALSE)+1,FALSE)="","",VLOOKUP($A10,'détails investissements'!$A$26:$DE$43,F$3-VLOOKUP($A10,'détails investissements'!$A$71:$B$88,2,FALSE)+1,FALSE))),'détails investissements'!$U$6:$AB$7,2,FALSE),""),FALSE),"")</f>
        <v/>
      </c>
      <c r="G10" s="45" t="str">
        <f>IF(IF(IF(G$3-VLOOKUP($A10,'détails investissements'!$A$71:$B$88,2,FALSE)&lt;=0,"",IF(VLOOKUP($A10,'détails investissements'!$A$26:$DE$43,G$3-VLOOKUP($A10,'détails investissements'!$A$71:$B$88,2,FALSE)+1,FALSE)="","",VLOOKUP($A10,'détails investissements'!$A$26:$DE$43,G$3-VLOOKUP($A10,'détails investissements'!$A$71:$B$88,2,FALSE)+1,FALSE)))&lt;&gt;"",HLOOKUP(IF(G$3-VLOOKUP($A10,'détails investissements'!$A$71:$B$88,2,FALSE)&lt;=0,"",IF(VLOOKUP($A10,'détails investissements'!$A$26:$DE$43,G$3-VLOOKUP($A10,'détails investissements'!$A$71:$B$88,2,FALSE)+1,FALSE)="","",VLOOKUP($A10,'détails investissements'!$A$26:$DE$43,G$3-VLOOKUP($A10,'détails investissements'!$A$71:$B$88,2,FALSE)+1,FALSE))),'détails investissements'!$U$6:$AB$7,2,FALSE),"")&lt;&gt;"",VLOOKUP($A10,'détails investissements'!$A$7:$H$21,1+IF(IF(G$3-VLOOKUP($A10,'détails investissements'!$A$71:$B$88,2,FALSE)&lt;=0,"",IF(VLOOKUP($A10,'détails investissements'!$A$26:$DE$43,G$3-VLOOKUP($A10,'détails investissements'!$A$71:$B$88,2,FALSE)+1,FALSE)="","",VLOOKUP($A10,'détails investissements'!$A$26:$DE$43,G$3-VLOOKUP($A10,'détails investissements'!$A$71:$B$88,2,FALSE)+1,FALSE)))&lt;&gt;"",HLOOKUP(IF(G$3-VLOOKUP($A10,'détails investissements'!$A$71:$B$88,2,FALSE)&lt;=0,"",IF(VLOOKUP($A10,'détails investissements'!$A$26:$DE$43,G$3-VLOOKUP($A10,'détails investissements'!$A$71:$B$88,2,FALSE)+1,FALSE)="","",VLOOKUP($A10,'détails investissements'!$A$26:$DE$43,G$3-VLOOKUP($A10,'détails investissements'!$A$71:$B$88,2,FALSE)+1,FALSE))),'détails investissements'!$U$6:$AB$7,2,FALSE),""),FALSE),"")</f>
        <v/>
      </c>
      <c r="H10" s="45" t="str">
        <f>IF(IF(IF(H$3-VLOOKUP($A10,'détails investissements'!$A$71:$B$88,2,FALSE)&lt;=0,"",IF(VLOOKUP($A10,'détails investissements'!$A$26:$DE$43,H$3-VLOOKUP($A10,'détails investissements'!$A$71:$B$88,2,FALSE)+1,FALSE)="","",VLOOKUP($A10,'détails investissements'!$A$26:$DE$43,H$3-VLOOKUP($A10,'détails investissements'!$A$71:$B$88,2,FALSE)+1,FALSE)))&lt;&gt;"",HLOOKUP(IF(H$3-VLOOKUP($A10,'détails investissements'!$A$71:$B$88,2,FALSE)&lt;=0,"",IF(VLOOKUP($A10,'détails investissements'!$A$26:$DE$43,H$3-VLOOKUP($A10,'détails investissements'!$A$71:$B$88,2,FALSE)+1,FALSE)="","",VLOOKUP($A10,'détails investissements'!$A$26:$DE$43,H$3-VLOOKUP($A10,'détails investissements'!$A$71:$B$88,2,FALSE)+1,FALSE))),'détails investissements'!$U$6:$AB$7,2,FALSE),"")&lt;&gt;"",VLOOKUP($A10,'détails investissements'!$A$7:$H$21,1+IF(IF(H$3-VLOOKUP($A10,'détails investissements'!$A$71:$B$88,2,FALSE)&lt;=0,"",IF(VLOOKUP($A10,'détails investissements'!$A$26:$DE$43,H$3-VLOOKUP($A10,'détails investissements'!$A$71:$B$88,2,FALSE)+1,FALSE)="","",VLOOKUP($A10,'détails investissements'!$A$26:$DE$43,H$3-VLOOKUP($A10,'détails investissements'!$A$71:$B$88,2,FALSE)+1,FALSE)))&lt;&gt;"",HLOOKUP(IF(H$3-VLOOKUP($A10,'détails investissements'!$A$71:$B$88,2,FALSE)&lt;=0,"",IF(VLOOKUP($A10,'détails investissements'!$A$26:$DE$43,H$3-VLOOKUP($A10,'détails investissements'!$A$71:$B$88,2,FALSE)+1,FALSE)="","",VLOOKUP($A10,'détails investissements'!$A$26:$DE$43,H$3-VLOOKUP($A10,'détails investissements'!$A$71:$B$88,2,FALSE)+1,FALSE))),'détails investissements'!$U$6:$AB$7,2,FALSE),""),FALSE),"")</f>
        <v/>
      </c>
      <c r="I10" s="45" t="str">
        <f>IF(IF(IF(I$3-VLOOKUP($A10,'détails investissements'!$A$71:$B$88,2,FALSE)&lt;=0,"",IF(VLOOKUP($A10,'détails investissements'!$A$26:$DE$43,I$3-VLOOKUP($A10,'détails investissements'!$A$71:$B$88,2,FALSE)+1,FALSE)="","",VLOOKUP($A10,'détails investissements'!$A$26:$DE$43,I$3-VLOOKUP($A10,'détails investissements'!$A$71:$B$88,2,FALSE)+1,FALSE)))&lt;&gt;"",HLOOKUP(IF(I$3-VLOOKUP($A10,'détails investissements'!$A$71:$B$88,2,FALSE)&lt;=0,"",IF(VLOOKUP($A10,'détails investissements'!$A$26:$DE$43,I$3-VLOOKUP($A10,'détails investissements'!$A$71:$B$88,2,FALSE)+1,FALSE)="","",VLOOKUP($A10,'détails investissements'!$A$26:$DE$43,I$3-VLOOKUP($A10,'détails investissements'!$A$71:$B$88,2,FALSE)+1,FALSE))),'détails investissements'!$U$6:$AB$7,2,FALSE),"")&lt;&gt;"",VLOOKUP($A10,'détails investissements'!$A$7:$H$21,1+IF(IF(I$3-VLOOKUP($A10,'détails investissements'!$A$71:$B$88,2,FALSE)&lt;=0,"",IF(VLOOKUP($A10,'détails investissements'!$A$26:$DE$43,I$3-VLOOKUP($A10,'détails investissements'!$A$71:$B$88,2,FALSE)+1,FALSE)="","",VLOOKUP($A10,'détails investissements'!$A$26:$DE$43,I$3-VLOOKUP($A10,'détails investissements'!$A$71:$B$88,2,FALSE)+1,FALSE)))&lt;&gt;"",HLOOKUP(IF(I$3-VLOOKUP($A10,'détails investissements'!$A$71:$B$88,2,FALSE)&lt;=0,"",IF(VLOOKUP($A10,'détails investissements'!$A$26:$DE$43,I$3-VLOOKUP($A10,'détails investissements'!$A$71:$B$88,2,FALSE)+1,FALSE)="","",VLOOKUP($A10,'détails investissements'!$A$26:$DE$43,I$3-VLOOKUP($A10,'détails investissements'!$A$71:$B$88,2,FALSE)+1,FALSE))),'détails investissements'!$U$6:$AB$7,2,FALSE),""),FALSE),"")</f>
        <v/>
      </c>
      <c r="J10" s="45" t="str">
        <f>IF(IF(IF(J$3-VLOOKUP($A10,'détails investissements'!$A$71:$B$88,2,FALSE)&lt;=0,"",IF(VLOOKUP($A10,'détails investissements'!$A$26:$DE$43,J$3-VLOOKUP($A10,'détails investissements'!$A$71:$B$88,2,FALSE)+1,FALSE)="","",VLOOKUP($A10,'détails investissements'!$A$26:$DE$43,J$3-VLOOKUP($A10,'détails investissements'!$A$71:$B$88,2,FALSE)+1,FALSE)))&lt;&gt;"",HLOOKUP(IF(J$3-VLOOKUP($A10,'détails investissements'!$A$71:$B$88,2,FALSE)&lt;=0,"",IF(VLOOKUP($A10,'détails investissements'!$A$26:$DE$43,J$3-VLOOKUP($A10,'détails investissements'!$A$71:$B$88,2,FALSE)+1,FALSE)="","",VLOOKUP($A10,'détails investissements'!$A$26:$DE$43,J$3-VLOOKUP($A10,'détails investissements'!$A$71:$B$88,2,FALSE)+1,FALSE))),'détails investissements'!$U$6:$AB$7,2,FALSE),"")&lt;&gt;"",VLOOKUP($A10,'détails investissements'!$A$7:$H$21,1+IF(IF(J$3-VLOOKUP($A10,'détails investissements'!$A$71:$B$88,2,FALSE)&lt;=0,"",IF(VLOOKUP($A10,'détails investissements'!$A$26:$DE$43,J$3-VLOOKUP($A10,'détails investissements'!$A$71:$B$88,2,FALSE)+1,FALSE)="","",VLOOKUP($A10,'détails investissements'!$A$26:$DE$43,J$3-VLOOKUP($A10,'détails investissements'!$A$71:$B$88,2,FALSE)+1,FALSE)))&lt;&gt;"",HLOOKUP(IF(J$3-VLOOKUP($A10,'détails investissements'!$A$71:$B$88,2,FALSE)&lt;=0,"",IF(VLOOKUP($A10,'détails investissements'!$A$26:$DE$43,J$3-VLOOKUP($A10,'détails investissements'!$A$71:$B$88,2,FALSE)+1,FALSE)="","",VLOOKUP($A10,'détails investissements'!$A$26:$DE$43,J$3-VLOOKUP($A10,'détails investissements'!$A$71:$B$88,2,FALSE)+1,FALSE))),'détails investissements'!$U$6:$AB$7,2,FALSE),""),FALSE),"")</f>
        <v/>
      </c>
      <c r="K10" s="45" t="str">
        <f>IF(IF(IF(K$3-VLOOKUP($A10,'détails investissements'!$A$71:$B$88,2,FALSE)&lt;=0,"",IF(VLOOKUP($A10,'détails investissements'!$A$26:$DE$43,K$3-VLOOKUP($A10,'détails investissements'!$A$71:$B$88,2,FALSE)+1,FALSE)="","",VLOOKUP($A10,'détails investissements'!$A$26:$DE$43,K$3-VLOOKUP($A10,'détails investissements'!$A$71:$B$88,2,FALSE)+1,FALSE)))&lt;&gt;"",HLOOKUP(IF(K$3-VLOOKUP($A10,'détails investissements'!$A$71:$B$88,2,FALSE)&lt;=0,"",IF(VLOOKUP($A10,'détails investissements'!$A$26:$DE$43,K$3-VLOOKUP($A10,'détails investissements'!$A$71:$B$88,2,FALSE)+1,FALSE)="","",VLOOKUP($A10,'détails investissements'!$A$26:$DE$43,K$3-VLOOKUP($A10,'détails investissements'!$A$71:$B$88,2,FALSE)+1,FALSE))),'détails investissements'!$U$6:$AB$7,2,FALSE),"")&lt;&gt;"",VLOOKUP($A10,'détails investissements'!$A$7:$H$21,1+IF(IF(K$3-VLOOKUP($A10,'détails investissements'!$A$71:$B$88,2,FALSE)&lt;=0,"",IF(VLOOKUP($A10,'détails investissements'!$A$26:$DE$43,K$3-VLOOKUP($A10,'détails investissements'!$A$71:$B$88,2,FALSE)+1,FALSE)="","",VLOOKUP($A10,'détails investissements'!$A$26:$DE$43,K$3-VLOOKUP($A10,'détails investissements'!$A$71:$B$88,2,FALSE)+1,FALSE)))&lt;&gt;"",HLOOKUP(IF(K$3-VLOOKUP($A10,'détails investissements'!$A$71:$B$88,2,FALSE)&lt;=0,"",IF(VLOOKUP($A10,'détails investissements'!$A$26:$DE$43,K$3-VLOOKUP($A10,'détails investissements'!$A$71:$B$88,2,FALSE)+1,FALSE)="","",VLOOKUP($A10,'détails investissements'!$A$26:$DE$43,K$3-VLOOKUP($A10,'détails investissements'!$A$71:$B$88,2,FALSE)+1,FALSE))),'détails investissements'!$U$6:$AB$7,2,FALSE),""),FALSE),"")</f>
        <v/>
      </c>
      <c r="L10" s="45" t="str">
        <f>IF(IF(IF(L$3-VLOOKUP($A10,'détails investissements'!$A$71:$B$88,2,FALSE)&lt;=0,"",IF(VLOOKUP($A10,'détails investissements'!$A$26:$DE$43,L$3-VLOOKUP($A10,'détails investissements'!$A$71:$B$88,2,FALSE)+1,FALSE)="","",VLOOKUP($A10,'détails investissements'!$A$26:$DE$43,L$3-VLOOKUP($A10,'détails investissements'!$A$71:$B$88,2,FALSE)+1,FALSE)))&lt;&gt;"",HLOOKUP(IF(L$3-VLOOKUP($A10,'détails investissements'!$A$71:$B$88,2,FALSE)&lt;=0,"",IF(VLOOKUP($A10,'détails investissements'!$A$26:$DE$43,L$3-VLOOKUP($A10,'détails investissements'!$A$71:$B$88,2,FALSE)+1,FALSE)="","",VLOOKUP($A10,'détails investissements'!$A$26:$DE$43,L$3-VLOOKUP($A10,'détails investissements'!$A$71:$B$88,2,FALSE)+1,FALSE))),'détails investissements'!$U$6:$AB$7,2,FALSE),"")&lt;&gt;"",VLOOKUP($A10,'détails investissements'!$A$7:$H$21,1+IF(IF(L$3-VLOOKUP($A10,'détails investissements'!$A$71:$B$88,2,FALSE)&lt;=0,"",IF(VLOOKUP($A10,'détails investissements'!$A$26:$DE$43,L$3-VLOOKUP($A10,'détails investissements'!$A$71:$B$88,2,FALSE)+1,FALSE)="","",VLOOKUP($A10,'détails investissements'!$A$26:$DE$43,L$3-VLOOKUP($A10,'détails investissements'!$A$71:$B$88,2,FALSE)+1,FALSE)))&lt;&gt;"",HLOOKUP(IF(L$3-VLOOKUP($A10,'détails investissements'!$A$71:$B$88,2,FALSE)&lt;=0,"",IF(VLOOKUP($A10,'détails investissements'!$A$26:$DE$43,L$3-VLOOKUP($A10,'détails investissements'!$A$71:$B$88,2,FALSE)+1,FALSE)="","",VLOOKUP($A10,'détails investissements'!$A$26:$DE$43,L$3-VLOOKUP($A10,'détails investissements'!$A$71:$B$88,2,FALSE)+1,FALSE))),'détails investissements'!$U$6:$AB$7,2,FALSE),""),FALSE),"")</f>
        <v/>
      </c>
      <c r="M10" s="45" t="str">
        <f>IF(IF(IF(M$3-VLOOKUP($A10,'détails investissements'!$A$71:$B$88,2,FALSE)&lt;=0,"",IF(VLOOKUP($A10,'détails investissements'!$A$26:$DE$43,M$3-VLOOKUP($A10,'détails investissements'!$A$71:$B$88,2,FALSE)+1,FALSE)="","",VLOOKUP($A10,'détails investissements'!$A$26:$DE$43,M$3-VLOOKUP($A10,'détails investissements'!$A$71:$B$88,2,FALSE)+1,FALSE)))&lt;&gt;"",HLOOKUP(IF(M$3-VLOOKUP($A10,'détails investissements'!$A$71:$B$88,2,FALSE)&lt;=0,"",IF(VLOOKUP($A10,'détails investissements'!$A$26:$DE$43,M$3-VLOOKUP($A10,'détails investissements'!$A$71:$B$88,2,FALSE)+1,FALSE)="","",VLOOKUP($A10,'détails investissements'!$A$26:$DE$43,M$3-VLOOKUP($A10,'détails investissements'!$A$71:$B$88,2,FALSE)+1,FALSE))),'détails investissements'!$U$6:$AB$7,2,FALSE),"")&lt;&gt;"",VLOOKUP($A10,'détails investissements'!$A$7:$H$21,1+IF(IF(M$3-VLOOKUP($A10,'détails investissements'!$A$71:$B$88,2,FALSE)&lt;=0,"",IF(VLOOKUP($A10,'détails investissements'!$A$26:$DE$43,M$3-VLOOKUP($A10,'détails investissements'!$A$71:$B$88,2,FALSE)+1,FALSE)="","",VLOOKUP($A10,'détails investissements'!$A$26:$DE$43,M$3-VLOOKUP($A10,'détails investissements'!$A$71:$B$88,2,FALSE)+1,FALSE)))&lt;&gt;"",HLOOKUP(IF(M$3-VLOOKUP($A10,'détails investissements'!$A$71:$B$88,2,FALSE)&lt;=0,"",IF(VLOOKUP($A10,'détails investissements'!$A$26:$DE$43,M$3-VLOOKUP($A10,'détails investissements'!$A$71:$B$88,2,FALSE)+1,FALSE)="","",VLOOKUP($A10,'détails investissements'!$A$26:$DE$43,M$3-VLOOKUP($A10,'détails investissements'!$A$71:$B$88,2,FALSE)+1,FALSE))),'détails investissements'!$U$6:$AB$7,2,FALSE),""),FALSE),"")</f>
        <v/>
      </c>
      <c r="N10" s="45" t="str">
        <f>IF(IF(IF(N$3-VLOOKUP($A10,'détails investissements'!$A$71:$B$88,2,FALSE)&lt;=0,"",IF(VLOOKUP($A10,'détails investissements'!$A$26:$DE$43,N$3-VLOOKUP($A10,'détails investissements'!$A$71:$B$88,2,FALSE)+1,FALSE)="","",VLOOKUP($A10,'détails investissements'!$A$26:$DE$43,N$3-VLOOKUP($A10,'détails investissements'!$A$71:$B$88,2,FALSE)+1,FALSE)))&lt;&gt;"",HLOOKUP(IF(N$3-VLOOKUP($A10,'détails investissements'!$A$71:$B$88,2,FALSE)&lt;=0,"",IF(VLOOKUP($A10,'détails investissements'!$A$26:$DE$43,N$3-VLOOKUP($A10,'détails investissements'!$A$71:$B$88,2,FALSE)+1,FALSE)="","",VLOOKUP($A10,'détails investissements'!$A$26:$DE$43,N$3-VLOOKUP($A10,'détails investissements'!$A$71:$B$88,2,FALSE)+1,FALSE))),'détails investissements'!$U$6:$AB$7,2,FALSE),"")&lt;&gt;"",VLOOKUP($A10,'détails investissements'!$A$7:$H$21,1+IF(IF(N$3-VLOOKUP($A10,'détails investissements'!$A$71:$B$88,2,FALSE)&lt;=0,"",IF(VLOOKUP($A10,'détails investissements'!$A$26:$DE$43,N$3-VLOOKUP($A10,'détails investissements'!$A$71:$B$88,2,FALSE)+1,FALSE)="","",VLOOKUP($A10,'détails investissements'!$A$26:$DE$43,N$3-VLOOKUP($A10,'détails investissements'!$A$71:$B$88,2,FALSE)+1,FALSE)))&lt;&gt;"",HLOOKUP(IF(N$3-VLOOKUP($A10,'détails investissements'!$A$71:$B$88,2,FALSE)&lt;=0,"",IF(VLOOKUP($A10,'détails investissements'!$A$26:$DE$43,N$3-VLOOKUP($A10,'détails investissements'!$A$71:$B$88,2,FALSE)+1,FALSE)="","",VLOOKUP($A10,'détails investissements'!$A$26:$DE$43,N$3-VLOOKUP($A10,'détails investissements'!$A$71:$B$88,2,FALSE)+1,FALSE))),'détails investissements'!$U$6:$AB$7,2,FALSE),""),FALSE),"")</f>
        <v/>
      </c>
      <c r="O10" s="45" t="str">
        <f>IF(IF(IF(O$3-VLOOKUP($A10,'détails investissements'!$A$71:$B$88,2,FALSE)&lt;=0,"",IF(VLOOKUP($A10,'détails investissements'!$A$26:$DE$43,O$3-VLOOKUP($A10,'détails investissements'!$A$71:$B$88,2,FALSE)+1,FALSE)="","",VLOOKUP($A10,'détails investissements'!$A$26:$DE$43,O$3-VLOOKUP($A10,'détails investissements'!$A$71:$B$88,2,FALSE)+1,FALSE)))&lt;&gt;"",HLOOKUP(IF(O$3-VLOOKUP($A10,'détails investissements'!$A$71:$B$88,2,FALSE)&lt;=0,"",IF(VLOOKUP($A10,'détails investissements'!$A$26:$DE$43,O$3-VLOOKUP($A10,'détails investissements'!$A$71:$B$88,2,FALSE)+1,FALSE)="","",VLOOKUP($A10,'détails investissements'!$A$26:$DE$43,O$3-VLOOKUP($A10,'détails investissements'!$A$71:$B$88,2,FALSE)+1,FALSE))),'détails investissements'!$U$6:$AB$7,2,FALSE),"")&lt;&gt;"",VLOOKUP($A10,'détails investissements'!$A$7:$H$21,1+IF(IF(O$3-VLOOKUP($A10,'détails investissements'!$A$71:$B$88,2,FALSE)&lt;=0,"",IF(VLOOKUP($A10,'détails investissements'!$A$26:$DE$43,O$3-VLOOKUP($A10,'détails investissements'!$A$71:$B$88,2,FALSE)+1,FALSE)="","",VLOOKUP($A10,'détails investissements'!$A$26:$DE$43,O$3-VLOOKUP($A10,'détails investissements'!$A$71:$B$88,2,FALSE)+1,FALSE)))&lt;&gt;"",HLOOKUP(IF(O$3-VLOOKUP($A10,'détails investissements'!$A$71:$B$88,2,FALSE)&lt;=0,"",IF(VLOOKUP($A10,'détails investissements'!$A$26:$DE$43,O$3-VLOOKUP($A10,'détails investissements'!$A$71:$B$88,2,FALSE)+1,FALSE)="","",VLOOKUP($A10,'détails investissements'!$A$26:$DE$43,O$3-VLOOKUP($A10,'détails investissements'!$A$71:$B$88,2,FALSE)+1,FALSE))),'détails investissements'!$U$6:$AB$7,2,FALSE),""),FALSE),"")</f>
        <v/>
      </c>
      <c r="P10" s="45" t="str">
        <f>IF(IF(IF(P$3-VLOOKUP($A10,'détails investissements'!$A$71:$B$88,2,FALSE)&lt;=0,"",IF(VLOOKUP($A10,'détails investissements'!$A$26:$DE$43,P$3-VLOOKUP($A10,'détails investissements'!$A$71:$B$88,2,FALSE)+1,FALSE)="","",VLOOKUP($A10,'détails investissements'!$A$26:$DE$43,P$3-VLOOKUP($A10,'détails investissements'!$A$71:$B$88,2,FALSE)+1,FALSE)))&lt;&gt;"",HLOOKUP(IF(P$3-VLOOKUP($A10,'détails investissements'!$A$71:$B$88,2,FALSE)&lt;=0,"",IF(VLOOKUP($A10,'détails investissements'!$A$26:$DE$43,P$3-VLOOKUP($A10,'détails investissements'!$A$71:$B$88,2,FALSE)+1,FALSE)="","",VLOOKUP($A10,'détails investissements'!$A$26:$DE$43,P$3-VLOOKUP($A10,'détails investissements'!$A$71:$B$88,2,FALSE)+1,FALSE))),'détails investissements'!$U$6:$AB$7,2,FALSE),"")&lt;&gt;"",VLOOKUP($A10,'détails investissements'!$A$7:$H$21,1+IF(IF(P$3-VLOOKUP($A10,'détails investissements'!$A$71:$B$88,2,FALSE)&lt;=0,"",IF(VLOOKUP($A10,'détails investissements'!$A$26:$DE$43,P$3-VLOOKUP($A10,'détails investissements'!$A$71:$B$88,2,FALSE)+1,FALSE)="","",VLOOKUP($A10,'détails investissements'!$A$26:$DE$43,P$3-VLOOKUP($A10,'détails investissements'!$A$71:$B$88,2,FALSE)+1,FALSE)))&lt;&gt;"",HLOOKUP(IF(P$3-VLOOKUP($A10,'détails investissements'!$A$71:$B$88,2,FALSE)&lt;=0,"",IF(VLOOKUP($A10,'détails investissements'!$A$26:$DE$43,P$3-VLOOKUP($A10,'détails investissements'!$A$71:$B$88,2,FALSE)+1,FALSE)="","",VLOOKUP($A10,'détails investissements'!$A$26:$DE$43,P$3-VLOOKUP($A10,'détails investissements'!$A$71:$B$88,2,FALSE)+1,FALSE))),'détails investissements'!$U$6:$AB$7,2,FALSE),""),FALSE),"")</f>
        <v/>
      </c>
      <c r="Q10" s="45" t="str">
        <f>IF(IF(IF(Q$3-VLOOKUP($A10,'détails investissements'!$A$71:$B$88,2,FALSE)&lt;=0,"",IF(VLOOKUP($A10,'détails investissements'!$A$26:$DE$43,Q$3-VLOOKUP($A10,'détails investissements'!$A$71:$B$88,2,FALSE)+1,FALSE)="","",VLOOKUP($A10,'détails investissements'!$A$26:$DE$43,Q$3-VLOOKUP($A10,'détails investissements'!$A$71:$B$88,2,FALSE)+1,FALSE)))&lt;&gt;"",HLOOKUP(IF(Q$3-VLOOKUP($A10,'détails investissements'!$A$71:$B$88,2,FALSE)&lt;=0,"",IF(VLOOKUP($A10,'détails investissements'!$A$26:$DE$43,Q$3-VLOOKUP($A10,'détails investissements'!$A$71:$B$88,2,FALSE)+1,FALSE)="","",VLOOKUP($A10,'détails investissements'!$A$26:$DE$43,Q$3-VLOOKUP($A10,'détails investissements'!$A$71:$B$88,2,FALSE)+1,FALSE))),'détails investissements'!$U$6:$AB$7,2,FALSE),"")&lt;&gt;"",VLOOKUP($A10,'détails investissements'!$A$7:$H$21,1+IF(IF(Q$3-VLOOKUP($A10,'détails investissements'!$A$71:$B$88,2,FALSE)&lt;=0,"",IF(VLOOKUP($A10,'détails investissements'!$A$26:$DE$43,Q$3-VLOOKUP($A10,'détails investissements'!$A$71:$B$88,2,FALSE)+1,FALSE)="","",VLOOKUP($A10,'détails investissements'!$A$26:$DE$43,Q$3-VLOOKUP($A10,'détails investissements'!$A$71:$B$88,2,FALSE)+1,FALSE)))&lt;&gt;"",HLOOKUP(IF(Q$3-VLOOKUP($A10,'détails investissements'!$A$71:$B$88,2,FALSE)&lt;=0,"",IF(VLOOKUP($A10,'détails investissements'!$A$26:$DE$43,Q$3-VLOOKUP($A10,'détails investissements'!$A$71:$B$88,2,FALSE)+1,FALSE)="","",VLOOKUP($A10,'détails investissements'!$A$26:$DE$43,Q$3-VLOOKUP($A10,'détails investissements'!$A$71:$B$88,2,FALSE)+1,FALSE))),'détails investissements'!$U$6:$AB$7,2,FALSE),""),FALSE),"")</f>
        <v/>
      </c>
      <c r="R10" s="45">
        <f>IF(IF(IF(R$3-VLOOKUP($A10,'détails investissements'!$A$71:$B$88,2,FALSE)&lt;=0,"",IF(VLOOKUP($A10,'détails investissements'!$A$26:$DE$43,R$3-VLOOKUP($A10,'détails investissements'!$A$71:$B$88,2,FALSE)+1,FALSE)="","",VLOOKUP($A10,'détails investissements'!$A$26:$DE$43,R$3-VLOOKUP($A10,'détails investissements'!$A$71:$B$88,2,FALSE)+1,FALSE)))&lt;&gt;"",HLOOKUP(IF(R$3-VLOOKUP($A10,'détails investissements'!$A$71:$B$88,2,FALSE)&lt;=0,"",IF(VLOOKUP($A10,'détails investissements'!$A$26:$DE$43,R$3-VLOOKUP($A10,'détails investissements'!$A$71:$B$88,2,FALSE)+1,FALSE)="","",VLOOKUP($A10,'détails investissements'!$A$26:$DE$43,R$3-VLOOKUP($A10,'détails investissements'!$A$71:$B$88,2,FALSE)+1,FALSE))),'détails investissements'!$U$6:$AB$7,2,FALSE),"")&lt;&gt;"",VLOOKUP($A10,'détails investissements'!$A$7:$H$21,1+IF(IF(R$3-VLOOKUP($A10,'détails investissements'!$A$71:$B$88,2,FALSE)&lt;=0,"",IF(VLOOKUP($A10,'détails investissements'!$A$26:$DE$43,R$3-VLOOKUP($A10,'détails investissements'!$A$71:$B$88,2,FALSE)+1,FALSE)="","",VLOOKUP($A10,'détails investissements'!$A$26:$DE$43,R$3-VLOOKUP($A10,'détails investissements'!$A$71:$B$88,2,FALSE)+1,FALSE)))&lt;&gt;"",HLOOKUP(IF(R$3-VLOOKUP($A10,'détails investissements'!$A$71:$B$88,2,FALSE)&lt;=0,"",IF(VLOOKUP($A10,'détails investissements'!$A$26:$DE$43,R$3-VLOOKUP($A10,'détails investissements'!$A$71:$B$88,2,FALSE)+1,FALSE)="","",VLOOKUP($A10,'détails investissements'!$A$26:$DE$43,R$3-VLOOKUP($A10,'détails investissements'!$A$71:$B$88,2,FALSE)+1,FALSE))),'détails investissements'!$U$6:$AB$7,2,FALSE),""),FALSE),"")</f>
        <v>0.15</v>
      </c>
      <c r="S10" s="45">
        <f>IF(IF(IF(S$3-VLOOKUP($A10,'détails investissements'!$A$71:$B$88,2,FALSE)&lt;=0,"",IF(VLOOKUP($A10,'détails investissements'!$A$26:$DE$43,S$3-VLOOKUP($A10,'détails investissements'!$A$71:$B$88,2,FALSE)+1,FALSE)="","",VLOOKUP($A10,'détails investissements'!$A$26:$DE$43,S$3-VLOOKUP($A10,'détails investissements'!$A$71:$B$88,2,FALSE)+1,FALSE)))&lt;&gt;"",HLOOKUP(IF(S$3-VLOOKUP($A10,'détails investissements'!$A$71:$B$88,2,FALSE)&lt;=0,"",IF(VLOOKUP($A10,'détails investissements'!$A$26:$DE$43,S$3-VLOOKUP($A10,'détails investissements'!$A$71:$B$88,2,FALSE)+1,FALSE)="","",VLOOKUP($A10,'détails investissements'!$A$26:$DE$43,S$3-VLOOKUP($A10,'détails investissements'!$A$71:$B$88,2,FALSE)+1,FALSE))),'détails investissements'!$U$6:$AB$7,2,FALSE),"")&lt;&gt;"",VLOOKUP($A10,'détails investissements'!$A$7:$H$21,1+IF(IF(S$3-VLOOKUP($A10,'détails investissements'!$A$71:$B$88,2,FALSE)&lt;=0,"",IF(VLOOKUP($A10,'détails investissements'!$A$26:$DE$43,S$3-VLOOKUP($A10,'détails investissements'!$A$71:$B$88,2,FALSE)+1,FALSE)="","",VLOOKUP($A10,'détails investissements'!$A$26:$DE$43,S$3-VLOOKUP($A10,'détails investissements'!$A$71:$B$88,2,FALSE)+1,FALSE)))&lt;&gt;"",HLOOKUP(IF(S$3-VLOOKUP($A10,'détails investissements'!$A$71:$B$88,2,FALSE)&lt;=0,"",IF(VLOOKUP($A10,'détails investissements'!$A$26:$DE$43,S$3-VLOOKUP($A10,'détails investissements'!$A$71:$B$88,2,FALSE)+1,FALSE)="","",VLOOKUP($A10,'détails investissements'!$A$26:$DE$43,S$3-VLOOKUP($A10,'détails investissements'!$A$71:$B$88,2,FALSE)+1,FALSE))),'détails investissements'!$U$6:$AB$7,2,FALSE),""),FALSE),"")</f>
        <v>0.05</v>
      </c>
      <c r="T10" s="45" t="str">
        <f>IF(IF(IF(T$3-VLOOKUP($A10,'détails investissements'!$A$71:$B$88,2,FALSE)&lt;=0,"",IF(VLOOKUP($A10,'détails investissements'!$A$26:$DE$43,T$3-VLOOKUP($A10,'détails investissements'!$A$71:$B$88,2,FALSE)+1,FALSE)="","",VLOOKUP($A10,'détails investissements'!$A$26:$DE$43,T$3-VLOOKUP($A10,'détails investissements'!$A$71:$B$88,2,FALSE)+1,FALSE)))&lt;&gt;"",HLOOKUP(IF(T$3-VLOOKUP($A10,'détails investissements'!$A$71:$B$88,2,FALSE)&lt;=0,"",IF(VLOOKUP($A10,'détails investissements'!$A$26:$DE$43,T$3-VLOOKUP($A10,'détails investissements'!$A$71:$B$88,2,FALSE)+1,FALSE)="","",VLOOKUP($A10,'détails investissements'!$A$26:$DE$43,T$3-VLOOKUP($A10,'détails investissements'!$A$71:$B$88,2,FALSE)+1,FALSE))),'détails investissements'!$U$6:$AB$7,2,FALSE),"")&lt;&gt;"",VLOOKUP($A10,'détails investissements'!$A$7:$H$21,1+IF(IF(T$3-VLOOKUP($A10,'détails investissements'!$A$71:$B$88,2,FALSE)&lt;=0,"",IF(VLOOKUP($A10,'détails investissements'!$A$26:$DE$43,T$3-VLOOKUP($A10,'détails investissements'!$A$71:$B$88,2,FALSE)+1,FALSE)="","",VLOOKUP($A10,'détails investissements'!$A$26:$DE$43,T$3-VLOOKUP($A10,'détails investissements'!$A$71:$B$88,2,FALSE)+1,FALSE)))&lt;&gt;"",HLOOKUP(IF(T$3-VLOOKUP($A10,'détails investissements'!$A$71:$B$88,2,FALSE)&lt;=0,"",IF(VLOOKUP($A10,'détails investissements'!$A$26:$DE$43,T$3-VLOOKUP($A10,'détails investissements'!$A$71:$B$88,2,FALSE)+1,FALSE)="","",VLOOKUP($A10,'détails investissements'!$A$26:$DE$43,T$3-VLOOKUP($A10,'détails investissements'!$A$71:$B$88,2,FALSE)+1,FALSE))),'détails investissements'!$U$6:$AB$7,2,FALSE),""),FALSE),"")</f>
        <v/>
      </c>
      <c r="U10" s="45" t="str">
        <f>IF(IF(IF(U$3-VLOOKUP($A10,'détails investissements'!$A$71:$B$88,2,FALSE)&lt;=0,"",IF(VLOOKUP($A10,'détails investissements'!$A$26:$DE$43,U$3-VLOOKUP($A10,'détails investissements'!$A$71:$B$88,2,FALSE)+1,FALSE)="","",VLOOKUP($A10,'détails investissements'!$A$26:$DE$43,U$3-VLOOKUP($A10,'détails investissements'!$A$71:$B$88,2,FALSE)+1,FALSE)))&lt;&gt;"",HLOOKUP(IF(U$3-VLOOKUP($A10,'détails investissements'!$A$71:$B$88,2,FALSE)&lt;=0,"",IF(VLOOKUP($A10,'détails investissements'!$A$26:$DE$43,U$3-VLOOKUP($A10,'détails investissements'!$A$71:$B$88,2,FALSE)+1,FALSE)="","",VLOOKUP($A10,'détails investissements'!$A$26:$DE$43,U$3-VLOOKUP($A10,'détails investissements'!$A$71:$B$88,2,FALSE)+1,FALSE))),'détails investissements'!$U$6:$AB$7,2,FALSE),"")&lt;&gt;"",VLOOKUP($A10,'détails investissements'!$A$7:$H$21,1+IF(IF(U$3-VLOOKUP($A10,'détails investissements'!$A$71:$B$88,2,FALSE)&lt;=0,"",IF(VLOOKUP($A10,'détails investissements'!$A$26:$DE$43,U$3-VLOOKUP($A10,'détails investissements'!$A$71:$B$88,2,FALSE)+1,FALSE)="","",VLOOKUP($A10,'détails investissements'!$A$26:$DE$43,U$3-VLOOKUP($A10,'détails investissements'!$A$71:$B$88,2,FALSE)+1,FALSE)))&lt;&gt;"",HLOOKUP(IF(U$3-VLOOKUP($A10,'détails investissements'!$A$71:$B$88,2,FALSE)&lt;=0,"",IF(VLOOKUP($A10,'détails investissements'!$A$26:$DE$43,U$3-VLOOKUP($A10,'détails investissements'!$A$71:$B$88,2,FALSE)+1,FALSE)="","",VLOOKUP($A10,'détails investissements'!$A$26:$DE$43,U$3-VLOOKUP($A10,'détails investissements'!$A$71:$B$88,2,FALSE)+1,FALSE))),'détails investissements'!$U$6:$AB$7,2,FALSE),""),FALSE),"")</f>
        <v/>
      </c>
      <c r="V10" s="45" t="str">
        <f>IF(IF(IF(V$3-VLOOKUP($A10,'détails investissements'!$A$71:$B$88,2,FALSE)&lt;=0,"",IF(VLOOKUP($A10,'détails investissements'!$A$26:$DE$43,V$3-VLOOKUP($A10,'détails investissements'!$A$71:$B$88,2,FALSE)+1,FALSE)="","",VLOOKUP($A10,'détails investissements'!$A$26:$DE$43,V$3-VLOOKUP($A10,'détails investissements'!$A$71:$B$88,2,FALSE)+1,FALSE)))&lt;&gt;"",HLOOKUP(IF(V$3-VLOOKUP($A10,'détails investissements'!$A$71:$B$88,2,FALSE)&lt;=0,"",IF(VLOOKUP($A10,'détails investissements'!$A$26:$DE$43,V$3-VLOOKUP($A10,'détails investissements'!$A$71:$B$88,2,FALSE)+1,FALSE)="","",VLOOKUP($A10,'détails investissements'!$A$26:$DE$43,V$3-VLOOKUP($A10,'détails investissements'!$A$71:$B$88,2,FALSE)+1,FALSE))),'détails investissements'!$U$6:$AB$7,2,FALSE),"")&lt;&gt;"",VLOOKUP($A10,'détails investissements'!$A$7:$H$21,1+IF(IF(V$3-VLOOKUP($A10,'détails investissements'!$A$71:$B$88,2,FALSE)&lt;=0,"",IF(VLOOKUP($A10,'détails investissements'!$A$26:$DE$43,V$3-VLOOKUP($A10,'détails investissements'!$A$71:$B$88,2,FALSE)+1,FALSE)="","",VLOOKUP($A10,'détails investissements'!$A$26:$DE$43,V$3-VLOOKUP($A10,'détails investissements'!$A$71:$B$88,2,FALSE)+1,FALSE)))&lt;&gt;"",HLOOKUP(IF(V$3-VLOOKUP($A10,'détails investissements'!$A$71:$B$88,2,FALSE)&lt;=0,"",IF(VLOOKUP($A10,'détails investissements'!$A$26:$DE$43,V$3-VLOOKUP($A10,'détails investissements'!$A$71:$B$88,2,FALSE)+1,FALSE)="","",VLOOKUP($A10,'détails investissements'!$A$26:$DE$43,V$3-VLOOKUP($A10,'détails investissements'!$A$71:$B$88,2,FALSE)+1,FALSE))),'détails investissements'!$U$6:$AB$7,2,FALSE),""),FALSE),"")</f>
        <v/>
      </c>
      <c r="W10" s="45" t="str">
        <f>IF(IF(IF(W$3-VLOOKUP($A10,'détails investissements'!$A$71:$B$88,2,FALSE)&lt;=0,"",IF(VLOOKUP($A10,'détails investissements'!$A$26:$DE$43,W$3-VLOOKUP($A10,'détails investissements'!$A$71:$B$88,2,FALSE)+1,FALSE)="","",VLOOKUP($A10,'détails investissements'!$A$26:$DE$43,W$3-VLOOKUP($A10,'détails investissements'!$A$71:$B$88,2,FALSE)+1,FALSE)))&lt;&gt;"",HLOOKUP(IF(W$3-VLOOKUP($A10,'détails investissements'!$A$71:$B$88,2,FALSE)&lt;=0,"",IF(VLOOKUP($A10,'détails investissements'!$A$26:$DE$43,W$3-VLOOKUP($A10,'détails investissements'!$A$71:$B$88,2,FALSE)+1,FALSE)="","",VLOOKUP($A10,'détails investissements'!$A$26:$DE$43,W$3-VLOOKUP($A10,'détails investissements'!$A$71:$B$88,2,FALSE)+1,FALSE))),'détails investissements'!$U$6:$AB$7,2,FALSE),"")&lt;&gt;"",VLOOKUP($A10,'détails investissements'!$A$7:$H$21,1+IF(IF(W$3-VLOOKUP($A10,'détails investissements'!$A$71:$B$88,2,FALSE)&lt;=0,"",IF(VLOOKUP($A10,'détails investissements'!$A$26:$DE$43,W$3-VLOOKUP($A10,'détails investissements'!$A$71:$B$88,2,FALSE)+1,FALSE)="","",VLOOKUP($A10,'détails investissements'!$A$26:$DE$43,W$3-VLOOKUP($A10,'détails investissements'!$A$71:$B$88,2,FALSE)+1,FALSE)))&lt;&gt;"",HLOOKUP(IF(W$3-VLOOKUP($A10,'détails investissements'!$A$71:$B$88,2,FALSE)&lt;=0,"",IF(VLOOKUP($A10,'détails investissements'!$A$26:$DE$43,W$3-VLOOKUP($A10,'détails investissements'!$A$71:$B$88,2,FALSE)+1,FALSE)="","",VLOOKUP($A10,'détails investissements'!$A$26:$DE$43,W$3-VLOOKUP($A10,'détails investissements'!$A$71:$B$88,2,FALSE)+1,FALSE))),'détails investissements'!$U$6:$AB$7,2,FALSE),""),FALSE),"")</f>
        <v/>
      </c>
      <c r="X10" s="45" t="str">
        <f>IF(IF(IF(X$3-VLOOKUP($A10,'détails investissements'!$A$71:$B$88,2,FALSE)&lt;=0,"",IF(VLOOKUP($A10,'détails investissements'!$A$26:$DE$43,X$3-VLOOKUP($A10,'détails investissements'!$A$71:$B$88,2,FALSE)+1,FALSE)="","",VLOOKUP($A10,'détails investissements'!$A$26:$DE$43,X$3-VLOOKUP($A10,'détails investissements'!$A$71:$B$88,2,FALSE)+1,FALSE)))&lt;&gt;"",HLOOKUP(IF(X$3-VLOOKUP($A10,'détails investissements'!$A$71:$B$88,2,FALSE)&lt;=0,"",IF(VLOOKUP($A10,'détails investissements'!$A$26:$DE$43,X$3-VLOOKUP($A10,'détails investissements'!$A$71:$B$88,2,FALSE)+1,FALSE)="","",VLOOKUP($A10,'détails investissements'!$A$26:$DE$43,X$3-VLOOKUP($A10,'détails investissements'!$A$71:$B$88,2,FALSE)+1,FALSE))),'détails investissements'!$U$6:$AB$7,2,FALSE),"")&lt;&gt;"",VLOOKUP($A10,'détails investissements'!$A$7:$H$21,1+IF(IF(X$3-VLOOKUP($A10,'détails investissements'!$A$71:$B$88,2,FALSE)&lt;=0,"",IF(VLOOKUP($A10,'détails investissements'!$A$26:$DE$43,X$3-VLOOKUP($A10,'détails investissements'!$A$71:$B$88,2,FALSE)+1,FALSE)="","",VLOOKUP($A10,'détails investissements'!$A$26:$DE$43,X$3-VLOOKUP($A10,'détails investissements'!$A$71:$B$88,2,FALSE)+1,FALSE)))&lt;&gt;"",HLOOKUP(IF(X$3-VLOOKUP($A10,'détails investissements'!$A$71:$B$88,2,FALSE)&lt;=0,"",IF(VLOOKUP($A10,'détails investissements'!$A$26:$DE$43,X$3-VLOOKUP($A10,'détails investissements'!$A$71:$B$88,2,FALSE)+1,FALSE)="","",VLOOKUP($A10,'détails investissements'!$A$26:$DE$43,X$3-VLOOKUP($A10,'détails investissements'!$A$71:$B$88,2,FALSE)+1,FALSE))),'détails investissements'!$U$6:$AB$7,2,FALSE),""),FALSE),"")</f>
        <v/>
      </c>
      <c r="Y10" s="45" t="str">
        <f>IF(IF(IF(Y$3-VLOOKUP($A10,'détails investissements'!$A$71:$B$88,2,FALSE)&lt;=0,"",IF(VLOOKUP($A10,'détails investissements'!$A$26:$DE$43,Y$3-VLOOKUP($A10,'détails investissements'!$A$71:$B$88,2,FALSE)+1,FALSE)="","",VLOOKUP($A10,'détails investissements'!$A$26:$DE$43,Y$3-VLOOKUP($A10,'détails investissements'!$A$71:$B$88,2,FALSE)+1,FALSE)))&lt;&gt;"",HLOOKUP(IF(Y$3-VLOOKUP($A10,'détails investissements'!$A$71:$B$88,2,FALSE)&lt;=0,"",IF(VLOOKUP($A10,'détails investissements'!$A$26:$DE$43,Y$3-VLOOKUP($A10,'détails investissements'!$A$71:$B$88,2,FALSE)+1,FALSE)="","",VLOOKUP($A10,'détails investissements'!$A$26:$DE$43,Y$3-VLOOKUP($A10,'détails investissements'!$A$71:$B$88,2,FALSE)+1,FALSE))),'détails investissements'!$U$6:$AB$7,2,FALSE),"")&lt;&gt;"",VLOOKUP($A10,'détails investissements'!$A$7:$H$21,1+IF(IF(Y$3-VLOOKUP($A10,'détails investissements'!$A$71:$B$88,2,FALSE)&lt;=0,"",IF(VLOOKUP($A10,'détails investissements'!$A$26:$DE$43,Y$3-VLOOKUP($A10,'détails investissements'!$A$71:$B$88,2,FALSE)+1,FALSE)="","",VLOOKUP($A10,'détails investissements'!$A$26:$DE$43,Y$3-VLOOKUP($A10,'détails investissements'!$A$71:$B$88,2,FALSE)+1,FALSE)))&lt;&gt;"",HLOOKUP(IF(Y$3-VLOOKUP($A10,'détails investissements'!$A$71:$B$88,2,FALSE)&lt;=0,"",IF(VLOOKUP($A10,'détails investissements'!$A$26:$DE$43,Y$3-VLOOKUP($A10,'détails investissements'!$A$71:$B$88,2,FALSE)+1,FALSE)="","",VLOOKUP($A10,'détails investissements'!$A$26:$DE$43,Y$3-VLOOKUP($A10,'détails investissements'!$A$71:$B$88,2,FALSE)+1,FALSE))),'détails investissements'!$U$6:$AB$7,2,FALSE),""),FALSE),"")</f>
        <v/>
      </c>
      <c r="Z10" s="45">
        <f>IF(IF(IF(Z$3-VLOOKUP($A10,'détails investissements'!$A$71:$B$88,2,FALSE)&lt;=0,"",IF(VLOOKUP($A10,'détails investissements'!$A$26:$DE$43,Z$3-VLOOKUP($A10,'détails investissements'!$A$71:$B$88,2,FALSE)+1,FALSE)="","",VLOOKUP($A10,'détails investissements'!$A$26:$DE$43,Z$3-VLOOKUP($A10,'détails investissements'!$A$71:$B$88,2,FALSE)+1,FALSE)))&lt;&gt;"",HLOOKUP(IF(Z$3-VLOOKUP($A10,'détails investissements'!$A$71:$B$88,2,FALSE)&lt;=0,"",IF(VLOOKUP($A10,'détails investissements'!$A$26:$DE$43,Z$3-VLOOKUP($A10,'détails investissements'!$A$71:$B$88,2,FALSE)+1,FALSE)="","",VLOOKUP($A10,'détails investissements'!$A$26:$DE$43,Z$3-VLOOKUP($A10,'détails investissements'!$A$71:$B$88,2,FALSE)+1,FALSE))),'détails investissements'!$U$6:$AB$7,2,FALSE),"")&lt;&gt;"",VLOOKUP($A10,'détails investissements'!$A$7:$H$21,1+IF(IF(Z$3-VLOOKUP($A10,'détails investissements'!$A$71:$B$88,2,FALSE)&lt;=0,"",IF(VLOOKUP($A10,'détails investissements'!$A$26:$DE$43,Z$3-VLOOKUP($A10,'détails investissements'!$A$71:$B$88,2,FALSE)+1,FALSE)="","",VLOOKUP($A10,'détails investissements'!$A$26:$DE$43,Z$3-VLOOKUP($A10,'détails investissements'!$A$71:$B$88,2,FALSE)+1,FALSE)))&lt;&gt;"",HLOOKUP(IF(Z$3-VLOOKUP($A10,'détails investissements'!$A$71:$B$88,2,FALSE)&lt;=0,"",IF(VLOOKUP($A10,'détails investissements'!$A$26:$DE$43,Z$3-VLOOKUP($A10,'détails investissements'!$A$71:$B$88,2,FALSE)+1,FALSE)="","",VLOOKUP($A10,'détails investissements'!$A$26:$DE$43,Z$3-VLOOKUP($A10,'détails investissements'!$A$71:$B$88,2,FALSE)+1,FALSE))),'détails investissements'!$U$6:$AB$7,2,FALSE),""),FALSE),"")</f>
        <v>0.15</v>
      </c>
      <c r="AA10" s="45">
        <f>IF(IF(IF(AA$3-VLOOKUP($A10,'détails investissements'!$A$71:$B$88,2,FALSE)&lt;=0,"",IF(VLOOKUP($A10,'détails investissements'!$A$26:$DE$43,AA$3-VLOOKUP($A10,'détails investissements'!$A$71:$B$88,2,FALSE)+1,FALSE)="","",VLOOKUP($A10,'détails investissements'!$A$26:$DE$43,AA$3-VLOOKUP($A10,'détails investissements'!$A$71:$B$88,2,FALSE)+1,FALSE)))&lt;&gt;"",HLOOKUP(IF(AA$3-VLOOKUP($A10,'détails investissements'!$A$71:$B$88,2,FALSE)&lt;=0,"",IF(VLOOKUP($A10,'détails investissements'!$A$26:$DE$43,AA$3-VLOOKUP($A10,'détails investissements'!$A$71:$B$88,2,FALSE)+1,FALSE)="","",VLOOKUP($A10,'détails investissements'!$A$26:$DE$43,AA$3-VLOOKUP($A10,'détails investissements'!$A$71:$B$88,2,FALSE)+1,FALSE))),'détails investissements'!$U$6:$AB$7,2,FALSE),"")&lt;&gt;"",VLOOKUP($A10,'détails investissements'!$A$7:$H$21,1+IF(IF(AA$3-VLOOKUP($A10,'détails investissements'!$A$71:$B$88,2,FALSE)&lt;=0,"",IF(VLOOKUP($A10,'détails investissements'!$A$26:$DE$43,AA$3-VLOOKUP($A10,'détails investissements'!$A$71:$B$88,2,FALSE)+1,FALSE)="","",VLOOKUP($A10,'détails investissements'!$A$26:$DE$43,AA$3-VLOOKUP($A10,'détails investissements'!$A$71:$B$88,2,FALSE)+1,FALSE)))&lt;&gt;"",HLOOKUP(IF(AA$3-VLOOKUP($A10,'détails investissements'!$A$71:$B$88,2,FALSE)&lt;=0,"",IF(VLOOKUP($A10,'détails investissements'!$A$26:$DE$43,AA$3-VLOOKUP($A10,'détails investissements'!$A$71:$B$88,2,FALSE)+1,FALSE)="","",VLOOKUP($A10,'détails investissements'!$A$26:$DE$43,AA$3-VLOOKUP($A10,'détails investissements'!$A$71:$B$88,2,FALSE)+1,FALSE))),'détails investissements'!$U$6:$AB$7,2,FALSE),""),FALSE),"")</f>
        <v>0.2</v>
      </c>
      <c r="AB10" s="45">
        <f>IF(IF(IF(AB$3-VLOOKUP($A10,'détails investissements'!$A$71:$B$88,2,FALSE)&lt;=0,"",IF(VLOOKUP($A10,'détails investissements'!$A$26:$DE$43,AB$3-VLOOKUP($A10,'détails investissements'!$A$71:$B$88,2,FALSE)+1,FALSE)="","",VLOOKUP($A10,'détails investissements'!$A$26:$DE$43,AB$3-VLOOKUP($A10,'détails investissements'!$A$71:$B$88,2,FALSE)+1,FALSE)))&lt;&gt;"",HLOOKUP(IF(AB$3-VLOOKUP($A10,'détails investissements'!$A$71:$B$88,2,FALSE)&lt;=0,"",IF(VLOOKUP($A10,'détails investissements'!$A$26:$DE$43,AB$3-VLOOKUP($A10,'détails investissements'!$A$71:$B$88,2,FALSE)+1,FALSE)="","",VLOOKUP($A10,'détails investissements'!$A$26:$DE$43,AB$3-VLOOKUP($A10,'détails investissements'!$A$71:$B$88,2,FALSE)+1,FALSE))),'détails investissements'!$U$6:$AB$7,2,FALSE),"")&lt;&gt;"",VLOOKUP($A10,'détails investissements'!$A$7:$H$21,1+IF(IF(AB$3-VLOOKUP($A10,'détails investissements'!$A$71:$B$88,2,FALSE)&lt;=0,"",IF(VLOOKUP($A10,'détails investissements'!$A$26:$DE$43,AB$3-VLOOKUP($A10,'détails investissements'!$A$71:$B$88,2,FALSE)+1,FALSE)="","",VLOOKUP($A10,'détails investissements'!$A$26:$DE$43,AB$3-VLOOKUP($A10,'détails investissements'!$A$71:$B$88,2,FALSE)+1,FALSE)))&lt;&gt;"",HLOOKUP(IF(AB$3-VLOOKUP($A10,'détails investissements'!$A$71:$B$88,2,FALSE)&lt;=0,"",IF(VLOOKUP($A10,'détails investissements'!$A$26:$DE$43,AB$3-VLOOKUP($A10,'détails investissements'!$A$71:$B$88,2,FALSE)+1,FALSE)="","",VLOOKUP($A10,'détails investissements'!$A$26:$DE$43,AB$3-VLOOKUP($A10,'détails investissements'!$A$71:$B$88,2,FALSE)+1,FALSE))),'détails investissements'!$U$6:$AB$7,2,FALSE),""),FALSE),"")</f>
        <v>0.25</v>
      </c>
      <c r="AC10" s="45" t="str">
        <f>IF(IF(IF(AC$3-VLOOKUP($A10,'détails investissements'!$A$71:$B$88,2,FALSE)&lt;=0,"",IF(VLOOKUP($A10,'détails investissements'!$A$26:$DE$43,AC$3-VLOOKUP($A10,'détails investissements'!$A$71:$B$88,2,FALSE)+1,FALSE)="","",VLOOKUP($A10,'détails investissements'!$A$26:$DE$43,AC$3-VLOOKUP($A10,'détails investissements'!$A$71:$B$88,2,FALSE)+1,FALSE)))&lt;&gt;"",HLOOKUP(IF(AC$3-VLOOKUP($A10,'détails investissements'!$A$71:$B$88,2,FALSE)&lt;=0,"",IF(VLOOKUP($A10,'détails investissements'!$A$26:$DE$43,AC$3-VLOOKUP($A10,'détails investissements'!$A$71:$B$88,2,FALSE)+1,FALSE)="","",VLOOKUP($A10,'détails investissements'!$A$26:$DE$43,AC$3-VLOOKUP($A10,'détails investissements'!$A$71:$B$88,2,FALSE)+1,FALSE))),'détails investissements'!$U$6:$AB$7,2,FALSE),"")&lt;&gt;"",VLOOKUP($A10,'détails investissements'!$A$7:$H$21,1+IF(IF(AC$3-VLOOKUP($A10,'détails investissements'!$A$71:$B$88,2,FALSE)&lt;=0,"",IF(VLOOKUP($A10,'détails investissements'!$A$26:$DE$43,AC$3-VLOOKUP($A10,'détails investissements'!$A$71:$B$88,2,FALSE)+1,FALSE)="","",VLOOKUP($A10,'détails investissements'!$A$26:$DE$43,AC$3-VLOOKUP($A10,'détails investissements'!$A$71:$B$88,2,FALSE)+1,FALSE)))&lt;&gt;"",HLOOKUP(IF(AC$3-VLOOKUP($A10,'détails investissements'!$A$71:$B$88,2,FALSE)&lt;=0,"",IF(VLOOKUP($A10,'détails investissements'!$A$26:$DE$43,AC$3-VLOOKUP($A10,'détails investissements'!$A$71:$B$88,2,FALSE)+1,FALSE)="","",VLOOKUP($A10,'détails investissements'!$A$26:$DE$43,AC$3-VLOOKUP($A10,'détails investissements'!$A$71:$B$88,2,FALSE)+1,FALSE))),'détails investissements'!$U$6:$AB$7,2,FALSE),""),FALSE),"")</f>
        <v/>
      </c>
      <c r="AD10" s="45">
        <f>IF(IF(IF(AD$3-VLOOKUP($A10,'détails investissements'!$A$71:$B$88,2,FALSE)&lt;=0,"",IF(VLOOKUP($A10,'détails investissements'!$A$26:$DE$43,AD$3-VLOOKUP($A10,'détails investissements'!$A$71:$B$88,2,FALSE)+1,FALSE)="","",VLOOKUP($A10,'détails investissements'!$A$26:$DE$43,AD$3-VLOOKUP($A10,'détails investissements'!$A$71:$B$88,2,FALSE)+1,FALSE)))&lt;&gt;"",HLOOKUP(IF(AD$3-VLOOKUP($A10,'détails investissements'!$A$71:$B$88,2,FALSE)&lt;=0,"",IF(VLOOKUP($A10,'détails investissements'!$A$26:$DE$43,AD$3-VLOOKUP($A10,'détails investissements'!$A$71:$B$88,2,FALSE)+1,FALSE)="","",VLOOKUP($A10,'détails investissements'!$A$26:$DE$43,AD$3-VLOOKUP($A10,'détails investissements'!$A$71:$B$88,2,FALSE)+1,FALSE))),'détails investissements'!$U$6:$AB$7,2,FALSE),"")&lt;&gt;"",VLOOKUP($A10,'détails investissements'!$A$7:$H$21,1+IF(IF(AD$3-VLOOKUP($A10,'détails investissements'!$A$71:$B$88,2,FALSE)&lt;=0,"",IF(VLOOKUP($A10,'détails investissements'!$A$26:$DE$43,AD$3-VLOOKUP($A10,'détails investissements'!$A$71:$B$88,2,FALSE)+1,FALSE)="","",VLOOKUP($A10,'détails investissements'!$A$26:$DE$43,AD$3-VLOOKUP($A10,'détails investissements'!$A$71:$B$88,2,FALSE)+1,FALSE)))&lt;&gt;"",HLOOKUP(IF(AD$3-VLOOKUP($A10,'détails investissements'!$A$71:$B$88,2,FALSE)&lt;=0,"",IF(VLOOKUP($A10,'détails investissements'!$A$26:$DE$43,AD$3-VLOOKUP($A10,'détails investissements'!$A$71:$B$88,2,FALSE)+1,FALSE)="","",VLOOKUP($A10,'détails investissements'!$A$26:$DE$43,AD$3-VLOOKUP($A10,'détails investissements'!$A$71:$B$88,2,FALSE)+1,FALSE))),'détails investissements'!$U$6:$AB$7,2,FALSE),""),FALSE),"")</f>
        <v>0.15</v>
      </c>
      <c r="AE10" s="45" t="str">
        <f>IF(IF(IF(AE$3-VLOOKUP($A10,'détails investissements'!$A$71:$B$88,2,FALSE)&lt;=0,"",IF(VLOOKUP($A10,'détails investissements'!$A$26:$DE$43,AE$3-VLOOKUP($A10,'détails investissements'!$A$71:$B$88,2,FALSE)+1,FALSE)="","",VLOOKUP($A10,'détails investissements'!$A$26:$DE$43,AE$3-VLOOKUP($A10,'détails investissements'!$A$71:$B$88,2,FALSE)+1,FALSE)))&lt;&gt;"",HLOOKUP(IF(AE$3-VLOOKUP($A10,'détails investissements'!$A$71:$B$88,2,FALSE)&lt;=0,"",IF(VLOOKUP($A10,'détails investissements'!$A$26:$DE$43,AE$3-VLOOKUP($A10,'détails investissements'!$A$71:$B$88,2,FALSE)+1,FALSE)="","",VLOOKUP($A10,'détails investissements'!$A$26:$DE$43,AE$3-VLOOKUP($A10,'détails investissements'!$A$71:$B$88,2,FALSE)+1,FALSE))),'détails investissements'!$U$6:$AB$7,2,FALSE),"")&lt;&gt;"",VLOOKUP($A10,'détails investissements'!$A$7:$H$21,1+IF(IF(AE$3-VLOOKUP($A10,'détails investissements'!$A$71:$B$88,2,FALSE)&lt;=0,"",IF(VLOOKUP($A10,'détails investissements'!$A$26:$DE$43,AE$3-VLOOKUP($A10,'détails investissements'!$A$71:$B$88,2,FALSE)+1,FALSE)="","",VLOOKUP($A10,'détails investissements'!$A$26:$DE$43,AE$3-VLOOKUP($A10,'détails investissements'!$A$71:$B$88,2,FALSE)+1,FALSE)))&lt;&gt;"",HLOOKUP(IF(AE$3-VLOOKUP($A10,'détails investissements'!$A$71:$B$88,2,FALSE)&lt;=0,"",IF(VLOOKUP($A10,'détails investissements'!$A$26:$DE$43,AE$3-VLOOKUP($A10,'détails investissements'!$A$71:$B$88,2,FALSE)+1,FALSE)="","",VLOOKUP($A10,'détails investissements'!$A$26:$DE$43,AE$3-VLOOKUP($A10,'détails investissements'!$A$71:$B$88,2,FALSE)+1,FALSE))),'détails investissements'!$U$6:$AB$7,2,FALSE),""),FALSE),"")</f>
        <v/>
      </c>
      <c r="AF10" s="45" t="str">
        <f>IF(IF(IF(AF$3-VLOOKUP($A10,'détails investissements'!$A$71:$B$88,2,FALSE)&lt;=0,"",IF(VLOOKUP($A10,'détails investissements'!$A$26:$DE$43,AF$3-VLOOKUP($A10,'détails investissements'!$A$71:$B$88,2,FALSE)+1,FALSE)="","",VLOOKUP($A10,'détails investissements'!$A$26:$DE$43,AF$3-VLOOKUP($A10,'détails investissements'!$A$71:$B$88,2,FALSE)+1,FALSE)))&lt;&gt;"",HLOOKUP(IF(AF$3-VLOOKUP($A10,'détails investissements'!$A$71:$B$88,2,FALSE)&lt;=0,"",IF(VLOOKUP($A10,'détails investissements'!$A$26:$DE$43,AF$3-VLOOKUP($A10,'détails investissements'!$A$71:$B$88,2,FALSE)+1,FALSE)="","",VLOOKUP($A10,'détails investissements'!$A$26:$DE$43,AF$3-VLOOKUP($A10,'détails investissements'!$A$71:$B$88,2,FALSE)+1,FALSE))),'détails investissements'!$U$6:$AB$7,2,FALSE),"")&lt;&gt;"",VLOOKUP($A10,'détails investissements'!$A$7:$H$21,1+IF(IF(AF$3-VLOOKUP($A10,'détails investissements'!$A$71:$B$88,2,FALSE)&lt;=0,"",IF(VLOOKUP($A10,'détails investissements'!$A$26:$DE$43,AF$3-VLOOKUP($A10,'détails investissements'!$A$71:$B$88,2,FALSE)+1,FALSE)="","",VLOOKUP($A10,'détails investissements'!$A$26:$DE$43,AF$3-VLOOKUP($A10,'détails investissements'!$A$71:$B$88,2,FALSE)+1,FALSE)))&lt;&gt;"",HLOOKUP(IF(AF$3-VLOOKUP($A10,'détails investissements'!$A$71:$B$88,2,FALSE)&lt;=0,"",IF(VLOOKUP($A10,'détails investissements'!$A$26:$DE$43,AF$3-VLOOKUP($A10,'détails investissements'!$A$71:$B$88,2,FALSE)+1,FALSE)="","",VLOOKUP($A10,'détails investissements'!$A$26:$DE$43,AF$3-VLOOKUP($A10,'détails investissements'!$A$71:$B$88,2,FALSE)+1,FALSE))),'détails investissements'!$U$6:$AB$7,2,FALSE),""),FALSE),"")</f>
        <v/>
      </c>
      <c r="AG10" s="45" t="str">
        <f>IF(IF(IF(AG$3-VLOOKUP($A10,'détails investissements'!$A$71:$B$88,2,FALSE)&lt;=0,"",IF(VLOOKUP($A10,'détails investissements'!$A$26:$DE$43,AG$3-VLOOKUP($A10,'détails investissements'!$A$71:$B$88,2,FALSE)+1,FALSE)="","",VLOOKUP($A10,'détails investissements'!$A$26:$DE$43,AG$3-VLOOKUP($A10,'détails investissements'!$A$71:$B$88,2,FALSE)+1,FALSE)))&lt;&gt;"",HLOOKUP(IF(AG$3-VLOOKUP($A10,'détails investissements'!$A$71:$B$88,2,FALSE)&lt;=0,"",IF(VLOOKUP($A10,'détails investissements'!$A$26:$DE$43,AG$3-VLOOKUP($A10,'détails investissements'!$A$71:$B$88,2,FALSE)+1,FALSE)="","",VLOOKUP($A10,'détails investissements'!$A$26:$DE$43,AG$3-VLOOKUP($A10,'détails investissements'!$A$71:$B$88,2,FALSE)+1,FALSE))),'détails investissements'!$U$6:$AB$7,2,FALSE),"")&lt;&gt;"",VLOOKUP($A10,'détails investissements'!$A$7:$H$21,1+IF(IF(AG$3-VLOOKUP($A10,'détails investissements'!$A$71:$B$88,2,FALSE)&lt;=0,"",IF(VLOOKUP($A10,'détails investissements'!$A$26:$DE$43,AG$3-VLOOKUP($A10,'détails investissements'!$A$71:$B$88,2,FALSE)+1,FALSE)="","",VLOOKUP($A10,'détails investissements'!$A$26:$DE$43,AG$3-VLOOKUP($A10,'détails investissements'!$A$71:$B$88,2,FALSE)+1,FALSE)))&lt;&gt;"",HLOOKUP(IF(AG$3-VLOOKUP($A10,'détails investissements'!$A$71:$B$88,2,FALSE)&lt;=0,"",IF(VLOOKUP($A10,'détails investissements'!$A$26:$DE$43,AG$3-VLOOKUP($A10,'détails investissements'!$A$71:$B$88,2,FALSE)+1,FALSE)="","",VLOOKUP($A10,'détails investissements'!$A$26:$DE$43,AG$3-VLOOKUP($A10,'détails investissements'!$A$71:$B$88,2,FALSE)+1,FALSE))),'détails investissements'!$U$6:$AB$7,2,FALSE),""),FALSE),"")</f>
        <v/>
      </c>
      <c r="AH10" s="45" t="str">
        <f>IF(IF(IF(AH$3-VLOOKUP($A10,'détails investissements'!$A$71:$B$88,2,FALSE)&lt;=0,"",IF(VLOOKUP($A10,'détails investissements'!$A$26:$DE$43,AH$3-VLOOKUP($A10,'détails investissements'!$A$71:$B$88,2,FALSE)+1,FALSE)="","",VLOOKUP($A10,'détails investissements'!$A$26:$DE$43,AH$3-VLOOKUP($A10,'détails investissements'!$A$71:$B$88,2,FALSE)+1,FALSE)))&lt;&gt;"",HLOOKUP(IF(AH$3-VLOOKUP($A10,'détails investissements'!$A$71:$B$88,2,FALSE)&lt;=0,"",IF(VLOOKUP($A10,'détails investissements'!$A$26:$DE$43,AH$3-VLOOKUP($A10,'détails investissements'!$A$71:$B$88,2,FALSE)+1,FALSE)="","",VLOOKUP($A10,'détails investissements'!$A$26:$DE$43,AH$3-VLOOKUP($A10,'détails investissements'!$A$71:$B$88,2,FALSE)+1,FALSE))),'détails investissements'!$U$6:$AB$7,2,FALSE),"")&lt;&gt;"",VLOOKUP($A10,'détails investissements'!$A$7:$H$21,1+IF(IF(AH$3-VLOOKUP($A10,'détails investissements'!$A$71:$B$88,2,FALSE)&lt;=0,"",IF(VLOOKUP($A10,'détails investissements'!$A$26:$DE$43,AH$3-VLOOKUP($A10,'détails investissements'!$A$71:$B$88,2,FALSE)+1,FALSE)="","",VLOOKUP($A10,'détails investissements'!$A$26:$DE$43,AH$3-VLOOKUP($A10,'détails investissements'!$A$71:$B$88,2,FALSE)+1,FALSE)))&lt;&gt;"",HLOOKUP(IF(AH$3-VLOOKUP($A10,'détails investissements'!$A$71:$B$88,2,FALSE)&lt;=0,"",IF(VLOOKUP($A10,'détails investissements'!$A$26:$DE$43,AH$3-VLOOKUP($A10,'détails investissements'!$A$71:$B$88,2,FALSE)+1,FALSE)="","",VLOOKUP($A10,'détails investissements'!$A$26:$DE$43,AH$3-VLOOKUP($A10,'détails investissements'!$A$71:$B$88,2,FALSE)+1,FALSE))),'détails investissements'!$U$6:$AB$7,2,FALSE),""),FALSE),"")</f>
        <v/>
      </c>
      <c r="AI10" s="45" t="str">
        <f>IF(IF(IF(AI$3-VLOOKUP($A10,'détails investissements'!$A$71:$B$88,2,FALSE)&lt;=0,"",IF(VLOOKUP($A10,'détails investissements'!$A$26:$DE$43,AI$3-VLOOKUP($A10,'détails investissements'!$A$71:$B$88,2,FALSE)+1,FALSE)="","",VLOOKUP($A10,'détails investissements'!$A$26:$DE$43,AI$3-VLOOKUP($A10,'détails investissements'!$A$71:$B$88,2,FALSE)+1,FALSE)))&lt;&gt;"",HLOOKUP(IF(AI$3-VLOOKUP($A10,'détails investissements'!$A$71:$B$88,2,FALSE)&lt;=0,"",IF(VLOOKUP($A10,'détails investissements'!$A$26:$DE$43,AI$3-VLOOKUP($A10,'détails investissements'!$A$71:$B$88,2,FALSE)+1,FALSE)="","",VLOOKUP($A10,'détails investissements'!$A$26:$DE$43,AI$3-VLOOKUP($A10,'détails investissements'!$A$71:$B$88,2,FALSE)+1,FALSE))),'détails investissements'!$U$6:$AB$7,2,FALSE),"")&lt;&gt;"",VLOOKUP($A10,'détails investissements'!$A$7:$H$21,1+IF(IF(AI$3-VLOOKUP($A10,'détails investissements'!$A$71:$B$88,2,FALSE)&lt;=0,"",IF(VLOOKUP($A10,'détails investissements'!$A$26:$DE$43,AI$3-VLOOKUP($A10,'détails investissements'!$A$71:$B$88,2,FALSE)+1,FALSE)="","",VLOOKUP($A10,'détails investissements'!$A$26:$DE$43,AI$3-VLOOKUP($A10,'détails investissements'!$A$71:$B$88,2,FALSE)+1,FALSE)))&lt;&gt;"",HLOOKUP(IF(AI$3-VLOOKUP($A10,'détails investissements'!$A$71:$B$88,2,FALSE)&lt;=0,"",IF(VLOOKUP($A10,'détails investissements'!$A$26:$DE$43,AI$3-VLOOKUP($A10,'détails investissements'!$A$71:$B$88,2,FALSE)+1,FALSE)="","",VLOOKUP($A10,'détails investissements'!$A$26:$DE$43,AI$3-VLOOKUP($A10,'détails investissements'!$A$71:$B$88,2,FALSE)+1,FALSE))),'détails investissements'!$U$6:$AB$7,2,FALSE),""),FALSE),"")</f>
        <v/>
      </c>
      <c r="AJ10" s="45" t="str">
        <f>IF(IF(IF(AJ$3-VLOOKUP($A10,'détails investissements'!$A$71:$B$88,2,FALSE)&lt;=0,"",IF(VLOOKUP($A10,'détails investissements'!$A$26:$DE$43,AJ$3-VLOOKUP($A10,'détails investissements'!$A$71:$B$88,2,FALSE)+1,FALSE)="","",VLOOKUP($A10,'détails investissements'!$A$26:$DE$43,AJ$3-VLOOKUP($A10,'détails investissements'!$A$71:$B$88,2,FALSE)+1,FALSE)))&lt;&gt;"",HLOOKUP(IF(AJ$3-VLOOKUP($A10,'détails investissements'!$A$71:$B$88,2,FALSE)&lt;=0,"",IF(VLOOKUP($A10,'détails investissements'!$A$26:$DE$43,AJ$3-VLOOKUP($A10,'détails investissements'!$A$71:$B$88,2,FALSE)+1,FALSE)="","",VLOOKUP($A10,'détails investissements'!$A$26:$DE$43,AJ$3-VLOOKUP($A10,'détails investissements'!$A$71:$B$88,2,FALSE)+1,FALSE))),'détails investissements'!$U$6:$AB$7,2,FALSE),"")&lt;&gt;"",VLOOKUP($A10,'détails investissements'!$A$7:$H$21,1+IF(IF(AJ$3-VLOOKUP($A10,'détails investissements'!$A$71:$B$88,2,FALSE)&lt;=0,"",IF(VLOOKUP($A10,'détails investissements'!$A$26:$DE$43,AJ$3-VLOOKUP($A10,'détails investissements'!$A$71:$B$88,2,FALSE)+1,FALSE)="","",VLOOKUP($A10,'détails investissements'!$A$26:$DE$43,AJ$3-VLOOKUP($A10,'détails investissements'!$A$71:$B$88,2,FALSE)+1,FALSE)))&lt;&gt;"",HLOOKUP(IF(AJ$3-VLOOKUP($A10,'détails investissements'!$A$71:$B$88,2,FALSE)&lt;=0,"",IF(VLOOKUP($A10,'détails investissements'!$A$26:$DE$43,AJ$3-VLOOKUP($A10,'détails investissements'!$A$71:$B$88,2,FALSE)+1,FALSE)="","",VLOOKUP($A10,'détails investissements'!$A$26:$DE$43,AJ$3-VLOOKUP($A10,'détails investissements'!$A$71:$B$88,2,FALSE)+1,FALSE))),'détails investissements'!$U$6:$AB$7,2,FALSE),""),FALSE),"")</f>
        <v/>
      </c>
      <c r="AK10" s="45" t="str">
        <f>IF(IF(IF(AK$3-VLOOKUP($A10,'détails investissements'!$A$71:$B$88,2,FALSE)&lt;=0,"",IF(VLOOKUP($A10,'détails investissements'!$A$26:$DE$43,AK$3-VLOOKUP($A10,'détails investissements'!$A$71:$B$88,2,FALSE)+1,FALSE)="","",VLOOKUP($A10,'détails investissements'!$A$26:$DE$43,AK$3-VLOOKUP($A10,'détails investissements'!$A$71:$B$88,2,FALSE)+1,FALSE)))&lt;&gt;"",HLOOKUP(IF(AK$3-VLOOKUP($A10,'détails investissements'!$A$71:$B$88,2,FALSE)&lt;=0,"",IF(VLOOKUP($A10,'détails investissements'!$A$26:$DE$43,AK$3-VLOOKUP($A10,'détails investissements'!$A$71:$B$88,2,FALSE)+1,FALSE)="","",VLOOKUP($A10,'détails investissements'!$A$26:$DE$43,AK$3-VLOOKUP($A10,'détails investissements'!$A$71:$B$88,2,FALSE)+1,FALSE))),'détails investissements'!$U$6:$AB$7,2,FALSE),"")&lt;&gt;"",VLOOKUP($A10,'détails investissements'!$A$7:$H$21,1+IF(IF(AK$3-VLOOKUP($A10,'détails investissements'!$A$71:$B$88,2,FALSE)&lt;=0,"",IF(VLOOKUP($A10,'détails investissements'!$A$26:$DE$43,AK$3-VLOOKUP($A10,'détails investissements'!$A$71:$B$88,2,FALSE)+1,FALSE)="","",VLOOKUP($A10,'détails investissements'!$A$26:$DE$43,AK$3-VLOOKUP($A10,'détails investissements'!$A$71:$B$88,2,FALSE)+1,FALSE)))&lt;&gt;"",HLOOKUP(IF(AK$3-VLOOKUP($A10,'détails investissements'!$A$71:$B$88,2,FALSE)&lt;=0,"",IF(VLOOKUP($A10,'détails investissements'!$A$26:$DE$43,AK$3-VLOOKUP($A10,'détails investissements'!$A$71:$B$88,2,FALSE)+1,FALSE)="","",VLOOKUP($A10,'détails investissements'!$A$26:$DE$43,AK$3-VLOOKUP($A10,'détails investissements'!$A$71:$B$88,2,FALSE)+1,FALSE))),'détails investissements'!$U$6:$AB$7,2,FALSE),""),FALSE),"")</f>
        <v/>
      </c>
      <c r="AL10" s="45" t="str">
        <f>IF(IF(IF(AL$3-VLOOKUP($A10,'détails investissements'!$A$71:$B$88,2,FALSE)&lt;=0,"",IF(VLOOKUP($A10,'détails investissements'!$A$26:$DE$43,AL$3-VLOOKUP($A10,'détails investissements'!$A$71:$B$88,2,FALSE)+1,FALSE)="","",VLOOKUP($A10,'détails investissements'!$A$26:$DE$43,AL$3-VLOOKUP($A10,'détails investissements'!$A$71:$B$88,2,FALSE)+1,FALSE)))&lt;&gt;"",HLOOKUP(IF(AL$3-VLOOKUP($A10,'détails investissements'!$A$71:$B$88,2,FALSE)&lt;=0,"",IF(VLOOKUP($A10,'détails investissements'!$A$26:$DE$43,AL$3-VLOOKUP($A10,'détails investissements'!$A$71:$B$88,2,FALSE)+1,FALSE)="","",VLOOKUP($A10,'détails investissements'!$A$26:$DE$43,AL$3-VLOOKUP($A10,'détails investissements'!$A$71:$B$88,2,FALSE)+1,FALSE))),'détails investissements'!$U$6:$AB$7,2,FALSE),"")&lt;&gt;"",VLOOKUP($A10,'détails investissements'!$A$7:$H$21,1+IF(IF(AL$3-VLOOKUP($A10,'détails investissements'!$A$71:$B$88,2,FALSE)&lt;=0,"",IF(VLOOKUP($A10,'détails investissements'!$A$26:$DE$43,AL$3-VLOOKUP($A10,'détails investissements'!$A$71:$B$88,2,FALSE)+1,FALSE)="","",VLOOKUP($A10,'détails investissements'!$A$26:$DE$43,AL$3-VLOOKUP($A10,'détails investissements'!$A$71:$B$88,2,FALSE)+1,FALSE)))&lt;&gt;"",HLOOKUP(IF(AL$3-VLOOKUP($A10,'détails investissements'!$A$71:$B$88,2,FALSE)&lt;=0,"",IF(VLOOKUP($A10,'détails investissements'!$A$26:$DE$43,AL$3-VLOOKUP($A10,'détails investissements'!$A$71:$B$88,2,FALSE)+1,FALSE)="","",VLOOKUP($A10,'détails investissements'!$A$26:$DE$43,AL$3-VLOOKUP($A10,'détails investissements'!$A$71:$B$88,2,FALSE)+1,FALSE))),'détails investissements'!$U$6:$AB$7,2,FALSE),""),FALSE),"")</f>
        <v/>
      </c>
      <c r="AM10" s="45" t="str">
        <f>IF(IF(IF(AM$3-VLOOKUP($A10,'détails investissements'!$A$71:$B$88,2,FALSE)&lt;=0,"",IF(VLOOKUP($A10,'détails investissements'!$A$26:$DE$43,AM$3-VLOOKUP($A10,'détails investissements'!$A$71:$B$88,2,FALSE)+1,FALSE)="","",VLOOKUP($A10,'détails investissements'!$A$26:$DE$43,AM$3-VLOOKUP($A10,'détails investissements'!$A$71:$B$88,2,FALSE)+1,FALSE)))&lt;&gt;"",HLOOKUP(IF(AM$3-VLOOKUP($A10,'détails investissements'!$A$71:$B$88,2,FALSE)&lt;=0,"",IF(VLOOKUP($A10,'détails investissements'!$A$26:$DE$43,AM$3-VLOOKUP($A10,'détails investissements'!$A$71:$B$88,2,FALSE)+1,FALSE)="","",VLOOKUP($A10,'détails investissements'!$A$26:$DE$43,AM$3-VLOOKUP($A10,'détails investissements'!$A$71:$B$88,2,FALSE)+1,FALSE))),'détails investissements'!$U$6:$AB$7,2,FALSE),"")&lt;&gt;"",VLOOKUP($A10,'détails investissements'!$A$7:$H$21,1+IF(IF(AM$3-VLOOKUP($A10,'détails investissements'!$A$71:$B$88,2,FALSE)&lt;=0,"",IF(VLOOKUP($A10,'détails investissements'!$A$26:$DE$43,AM$3-VLOOKUP($A10,'détails investissements'!$A$71:$B$88,2,FALSE)+1,FALSE)="","",VLOOKUP($A10,'détails investissements'!$A$26:$DE$43,AM$3-VLOOKUP($A10,'détails investissements'!$A$71:$B$88,2,FALSE)+1,FALSE)))&lt;&gt;"",HLOOKUP(IF(AM$3-VLOOKUP($A10,'détails investissements'!$A$71:$B$88,2,FALSE)&lt;=0,"",IF(VLOOKUP($A10,'détails investissements'!$A$26:$DE$43,AM$3-VLOOKUP($A10,'détails investissements'!$A$71:$B$88,2,FALSE)+1,FALSE)="","",VLOOKUP($A10,'détails investissements'!$A$26:$DE$43,AM$3-VLOOKUP($A10,'détails investissements'!$A$71:$B$88,2,FALSE)+1,FALSE))),'détails investissements'!$U$6:$AB$7,2,FALSE),""),FALSE),"")</f>
        <v/>
      </c>
      <c r="AN10" s="45" t="str">
        <f>IF(IF(IF(AN$3-VLOOKUP($A10,'détails investissements'!$A$71:$B$88,2,FALSE)&lt;=0,"",IF(VLOOKUP($A10,'détails investissements'!$A$26:$DE$43,AN$3-VLOOKUP($A10,'détails investissements'!$A$71:$B$88,2,FALSE)+1,FALSE)="","",VLOOKUP($A10,'détails investissements'!$A$26:$DE$43,AN$3-VLOOKUP($A10,'détails investissements'!$A$71:$B$88,2,FALSE)+1,FALSE)))&lt;&gt;"",HLOOKUP(IF(AN$3-VLOOKUP($A10,'détails investissements'!$A$71:$B$88,2,FALSE)&lt;=0,"",IF(VLOOKUP($A10,'détails investissements'!$A$26:$DE$43,AN$3-VLOOKUP($A10,'détails investissements'!$A$71:$B$88,2,FALSE)+1,FALSE)="","",VLOOKUP($A10,'détails investissements'!$A$26:$DE$43,AN$3-VLOOKUP($A10,'détails investissements'!$A$71:$B$88,2,FALSE)+1,FALSE))),'détails investissements'!$U$6:$AB$7,2,FALSE),"")&lt;&gt;"",VLOOKUP($A10,'détails investissements'!$A$7:$H$21,1+IF(IF(AN$3-VLOOKUP($A10,'détails investissements'!$A$71:$B$88,2,FALSE)&lt;=0,"",IF(VLOOKUP($A10,'détails investissements'!$A$26:$DE$43,AN$3-VLOOKUP($A10,'détails investissements'!$A$71:$B$88,2,FALSE)+1,FALSE)="","",VLOOKUP($A10,'détails investissements'!$A$26:$DE$43,AN$3-VLOOKUP($A10,'détails investissements'!$A$71:$B$88,2,FALSE)+1,FALSE)))&lt;&gt;"",HLOOKUP(IF(AN$3-VLOOKUP($A10,'détails investissements'!$A$71:$B$88,2,FALSE)&lt;=0,"",IF(VLOOKUP($A10,'détails investissements'!$A$26:$DE$43,AN$3-VLOOKUP($A10,'détails investissements'!$A$71:$B$88,2,FALSE)+1,FALSE)="","",VLOOKUP($A10,'détails investissements'!$A$26:$DE$43,AN$3-VLOOKUP($A10,'détails investissements'!$A$71:$B$88,2,FALSE)+1,FALSE))),'détails investissements'!$U$6:$AB$7,2,FALSE),""),FALSE),"")</f>
        <v/>
      </c>
      <c r="AO10" s="45" t="str">
        <f>IF(IF(IF(AO$3-VLOOKUP($A10,'détails investissements'!$A$71:$B$88,2,FALSE)&lt;=0,"",IF(VLOOKUP($A10,'détails investissements'!$A$26:$DE$43,AO$3-VLOOKUP($A10,'détails investissements'!$A$71:$B$88,2,FALSE)+1,FALSE)="","",VLOOKUP($A10,'détails investissements'!$A$26:$DE$43,AO$3-VLOOKUP($A10,'détails investissements'!$A$71:$B$88,2,FALSE)+1,FALSE)))&lt;&gt;"",HLOOKUP(IF(AO$3-VLOOKUP($A10,'détails investissements'!$A$71:$B$88,2,FALSE)&lt;=0,"",IF(VLOOKUP($A10,'détails investissements'!$A$26:$DE$43,AO$3-VLOOKUP($A10,'détails investissements'!$A$71:$B$88,2,FALSE)+1,FALSE)="","",VLOOKUP($A10,'détails investissements'!$A$26:$DE$43,AO$3-VLOOKUP($A10,'détails investissements'!$A$71:$B$88,2,FALSE)+1,FALSE))),'détails investissements'!$U$6:$AB$7,2,FALSE),"")&lt;&gt;"",VLOOKUP($A10,'détails investissements'!$A$7:$H$21,1+IF(IF(AO$3-VLOOKUP($A10,'détails investissements'!$A$71:$B$88,2,FALSE)&lt;=0,"",IF(VLOOKUP($A10,'détails investissements'!$A$26:$DE$43,AO$3-VLOOKUP($A10,'détails investissements'!$A$71:$B$88,2,FALSE)+1,FALSE)="","",VLOOKUP($A10,'détails investissements'!$A$26:$DE$43,AO$3-VLOOKUP($A10,'détails investissements'!$A$71:$B$88,2,FALSE)+1,FALSE)))&lt;&gt;"",HLOOKUP(IF(AO$3-VLOOKUP($A10,'détails investissements'!$A$71:$B$88,2,FALSE)&lt;=0,"",IF(VLOOKUP($A10,'détails investissements'!$A$26:$DE$43,AO$3-VLOOKUP($A10,'détails investissements'!$A$71:$B$88,2,FALSE)+1,FALSE)="","",VLOOKUP($A10,'détails investissements'!$A$26:$DE$43,AO$3-VLOOKUP($A10,'détails investissements'!$A$71:$B$88,2,FALSE)+1,FALSE))),'détails investissements'!$U$6:$AB$7,2,FALSE),""),FALSE),"")</f>
        <v/>
      </c>
      <c r="AP10" s="45">
        <f>IF(IF(IF(AP$3-VLOOKUP($A10,'détails investissements'!$A$71:$B$88,2,FALSE)&lt;=0,"",IF(VLOOKUP($A10,'détails investissements'!$A$26:$DE$43,AP$3-VLOOKUP($A10,'détails investissements'!$A$71:$B$88,2,FALSE)+1,FALSE)="","",VLOOKUP($A10,'détails investissements'!$A$26:$DE$43,AP$3-VLOOKUP($A10,'détails investissements'!$A$71:$B$88,2,FALSE)+1,FALSE)))&lt;&gt;"",HLOOKUP(IF(AP$3-VLOOKUP($A10,'détails investissements'!$A$71:$B$88,2,FALSE)&lt;=0,"",IF(VLOOKUP($A10,'détails investissements'!$A$26:$DE$43,AP$3-VLOOKUP($A10,'détails investissements'!$A$71:$B$88,2,FALSE)+1,FALSE)="","",VLOOKUP($A10,'détails investissements'!$A$26:$DE$43,AP$3-VLOOKUP($A10,'détails investissements'!$A$71:$B$88,2,FALSE)+1,FALSE))),'détails investissements'!$U$6:$AB$7,2,FALSE),"")&lt;&gt;"",VLOOKUP($A10,'détails investissements'!$A$7:$H$21,1+IF(IF(AP$3-VLOOKUP($A10,'détails investissements'!$A$71:$B$88,2,FALSE)&lt;=0,"",IF(VLOOKUP($A10,'détails investissements'!$A$26:$DE$43,AP$3-VLOOKUP($A10,'détails investissements'!$A$71:$B$88,2,FALSE)+1,FALSE)="","",VLOOKUP($A10,'détails investissements'!$A$26:$DE$43,AP$3-VLOOKUP($A10,'détails investissements'!$A$71:$B$88,2,FALSE)+1,FALSE)))&lt;&gt;"",HLOOKUP(IF(AP$3-VLOOKUP($A10,'détails investissements'!$A$71:$B$88,2,FALSE)&lt;=0,"",IF(VLOOKUP($A10,'détails investissements'!$A$26:$DE$43,AP$3-VLOOKUP($A10,'détails investissements'!$A$71:$B$88,2,FALSE)+1,FALSE)="","",VLOOKUP($A10,'détails investissements'!$A$26:$DE$43,AP$3-VLOOKUP($A10,'détails investissements'!$A$71:$B$88,2,FALSE)+1,FALSE))),'détails investissements'!$U$6:$AB$7,2,FALSE),""),FALSE),"")</f>
        <v>0.05</v>
      </c>
      <c r="AQ10" s="45" t="str">
        <f>IF(IF(IF(AQ$3-VLOOKUP($A10,'détails investissements'!$A$71:$B$88,2,FALSE)&lt;=0,"",IF(VLOOKUP($A10,'détails investissements'!$A$26:$DE$43,AQ$3-VLOOKUP($A10,'détails investissements'!$A$71:$B$88,2,FALSE)+1,FALSE)="","",VLOOKUP($A10,'détails investissements'!$A$26:$DE$43,AQ$3-VLOOKUP($A10,'détails investissements'!$A$71:$B$88,2,FALSE)+1,FALSE)))&lt;&gt;"",HLOOKUP(IF(AQ$3-VLOOKUP($A10,'détails investissements'!$A$71:$B$88,2,FALSE)&lt;=0,"",IF(VLOOKUP($A10,'détails investissements'!$A$26:$DE$43,AQ$3-VLOOKUP($A10,'détails investissements'!$A$71:$B$88,2,FALSE)+1,FALSE)="","",VLOOKUP($A10,'détails investissements'!$A$26:$DE$43,AQ$3-VLOOKUP($A10,'détails investissements'!$A$71:$B$88,2,FALSE)+1,FALSE))),'détails investissements'!$U$6:$AB$7,2,FALSE),"")&lt;&gt;"",VLOOKUP($A10,'détails investissements'!$A$7:$H$21,1+IF(IF(AQ$3-VLOOKUP($A10,'détails investissements'!$A$71:$B$88,2,FALSE)&lt;=0,"",IF(VLOOKUP($A10,'détails investissements'!$A$26:$DE$43,AQ$3-VLOOKUP($A10,'détails investissements'!$A$71:$B$88,2,FALSE)+1,FALSE)="","",VLOOKUP($A10,'détails investissements'!$A$26:$DE$43,AQ$3-VLOOKUP($A10,'détails investissements'!$A$71:$B$88,2,FALSE)+1,FALSE)))&lt;&gt;"",HLOOKUP(IF(AQ$3-VLOOKUP($A10,'détails investissements'!$A$71:$B$88,2,FALSE)&lt;=0,"",IF(VLOOKUP($A10,'détails investissements'!$A$26:$DE$43,AQ$3-VLOOKUP($A10,'détails investissements'!$A$71:$B$88,2,FALSE)+1,FALSE)="","",VLOOKUP($A10,'détails investissements'!$A$26:$DE$43,AQ$3-VLOOKUP($A10,'détails investissements'!$A$71:$B$88,2,FALSE)+1,FALSE))),'détails investissements'!$U$6:$AB$7,2,FALSE),""),FALSE),"")</f>
        <v/>
      </c>
      <c r="AR10" s="45" t="str">
        <f>IF(IF(IF(AR$3-VLOOKUP($A10,'détails investissements'!$A$71:$B$88,2,FALSE)&lt;=0,"",IF(VLOOKUP($A10,'détails investissements'!$A$26:$DE$43,AR$3-VLOOKUP($A10,'détails investissements'!$A$71:$B$88,2,FALSE)+1,FALSE)="","",VLOOKUP($A10,'détails investissements'!$A$26:$DE$43,AR$3-VLOOKUP($A10,'détails investissements'!$A$71:$B$88,2,FALSE)+1,FALSE)))&lt;&gt;"",HLOOKUP(IF(AR$3-VLOOKUP($A10,'détails investissements'!$A$71:$B$88,2,FALSE)&lt;=0,"",IF(VLOOKUP($A10,'détails investissements'!$A$26:$DE$43,AR$3-VLOOKUP($A10,'détails investissements'!$A$71:$B$88,2,FALSE)+1,FALSE)="","",VLOOKUP($A10,'détails investissements'!$A$26:$DE$43,AR$3-VLOOKUP($A10,'détails investissements'!$A$71:$B$88,2,FALSE)+1,FALSE))),'détails investissements'!$U$6:$AB$7,2,FALSE),"")&lt;&gt;"",VLOOKUP($A10,'détails investissements'!$A$7:$H$21,1+IF(IF(AR$3-VLOOKUP($A10,'détails investissements'!$A$71:$B$88,2,FALSE)&lt;=0,"",IF(VLOOKUP($A10,'détails investissements'!$A$26:$DE$43,AR$3-VLOOKUP($A10,'détails investissements'!$A$71:$B$88,2,FALSE)+1,FALSE)="","",VLOOKUP($A10,'détails investissements'!$A$26:$DE$43,AR$3-VLOOKUP($A10,'détails investissements'!$A$71:$B$88,2,FALSE)+1,FALSE)))&lt;&gt;"",HLOOKUP(IF(AR$3-VLOOKUP($A10,'détails investissements'!$A$71:$B$88,2,FALSE)&lt;=0,"",IF(VLOOKUP($A10,'détails investissements'!$A$26:$DE$43,AR$3-VLOOKUP($A10,'détails investissements'!$A$71:$B$88,2,FALSE)+1,FALSE)="","",VLOOKUP($A10,'détails investissements'!$A$26:$DE$43,AR$3-VLOOKUP($A10,'détails investissements'!$A$71:$B$88,2,FALSE)+1,FALSE))),'détails investissements'!$U$6:$AB$7,2,FALSE),""),FALSE),"")</f>
        <v/>
      </c>
      <c r="AS10" s="45" t="str">
        <f>IF(IF(IF(AS$3-VLOOKUP($A10,'détails investissements'!$A$71:$B$88,2,FALSE)&lt;=0,"",IF(VLOOKUP($A10,'détails investissements'!$A$26:$DE$43,AS$3-VLOOKUP($A10,'détails investissements'!$A$71:$B$88,2,FALSE)+1,FALSE)="","",VLOOKUP($A10,'détails investissements'!$A$26:$DE$43,AS$3-VLOOKUP($A10,'détails investissements'!$A$71:$B$88,2,FALSE)+1,FALSE)))&lt;&gt;"",HLOOKUP(IF(AS$3-VLOOKUP($A10,'détails investissements'!$A$71:$B$88,2,FALSE)&lt;=0,"",IF(VLOOKUP($A10,'détails investissements'!$A$26:$DE$43,AS$3-VLOOKUP($A10,'détails investissements'!$A$71:$B$88,2,FALSE)+1,FALSE)="","",VLOOKUP($A10,'détails investissements'!$A$26:$DE$43,AS$3-VLOOKUP($A10,'détails investissements'!$A$71:$B$88,2,FALSE)+1,FALSE))),'détails investissements'!$U$6:$AB$7,2,FALSE),"")&lt;&gt;"",VLOOKUP($A10,'détails investissements'!$A$7:$H$21,1+IF(IF(AS$3-VLOOKUP($A10,'détails investissements'!$A$71:$B$88,2,FALSE)&lt;=0,"",IF(VLOOKUP($A10,'détails investissements'!$A$26:$DE$43,AS$3-VLOOKUP($A10,'détails investissements'!$A$71:$B$88,2,FALSE)+1,FALSE)="","",VLOOKUP($A10,'détails investissements'!$A$26:$DE$43,AS$3-VLOOKUP($A10,'détails investissements'!$A$71:$B$88,2,FALSE)+1,FALSE)))&lt;&gt;"",HLOOKUP(IF(AS$3-VLOOKUP($A10,'détails investissements'!$A$71:$B$88,2,FALSE)&lt;=0,"",IF(VLOOKUP($A10,'détails investissements'!$A$26:$DE$43,AS$3-VLOOKUP($A10,'détails investissements'!$A$71:$B$88,2,FALSE)+1,FALSE)="","",VLOOKUP($A10,'détails investissements'!$A$26:$DE$43,AS$3-VLOOKUP($A10,'détails investissements'!$A$71:$B$88,2,FALSE)+1,FALSE))),'détails investissements'!$U$6:$AB$7,2,FALSE),""),FALSE),"")</f>
        <v/>
      </c>
      <c r="AT10" s="45" t="str">
        <f>IF(IF(IF(AT$3-VLOOKUP($A10,'détails investissements'!$A$71:$B$88,2,FALSE)&lt;=0,"",IF(VLOOKUP($A10,'détails investissements'!$A$26:$DE$43,AT$3-VLOOKUP($A10,'détails investissements'!$A$71:$B$88,2,FALSE)+1,FALSE)="","",VLOOKUP($A10,'détails investissements'!$A$26:$DE$43,AT$3-VLOOKUP($A10,'détails investissements'!$A$71:$B$88,2,FALSE)+1,FALSE)))&lt;&gt;"",HLOOKUP(IF(AT$3-VLOOKUP($A10,'détails investissements'!$A$71:$B$88,2,FALSE)&lt;=0,"",IF(VLOOKUP($A10,'détails investissements'!$A$26:$DE$43,AT$3-VLOOKUP($A10,'détails investissements'!$A$71:$B$88,2,FALSE)+1,FALSE)="","",VLOOKUP($A10,'détails investissements'!$A$26:$DE$43,AT$3-VLOOKUP($A10,'détails investissements'!$A$71:$B$88,2,FALSE)+1,FALSE))),'détails investissements'!$U$6:$AB$7,2,FALSE),"")&lt;&gt;"",VLOOKUP($A10,'détails investissements'!$A$7:$H$21,1+IF(IF(AT$3-VLOOKUP($A10,'détails investissements'!$A$71:$B$88,2,FALSE)&lt;=0,"",IF(VLOOKUP($A10,'détails investissements'!$A$26:$DE$43,AT$3-VLOOKUP($A10,'détails investissements'!$A$71:$B$88,2,FALSE)+1,FALSE)="","",VLOOKUP($A10,'détails investissements'!$A$26:$DE$43,AT$3-VLOOKUP($A10,'détails investissements'!$A$71:$B$88,2,FALSE)+1,FALSE)))&lt;&gt;"",HLOOKUP(IF(AT$3-VLOOKUP($A10,'détails investissements'!$A$71:$B$88,2,FALSE)&lt;=0,"",IF(VLOOKUP($A10,'détails investissements'!$A$26:$DE$43,AT$3-VLOOKUP($A10,'détails investissements'!$A$71:$B$88,2,FALSE)+1,FALSE)="","",VLOOKUP($A10,'détails investissements'!$A$26:$DE$43,AT$3-VLOOKUP($A10,'détails investissements'!$A$71:$B$88,2,FALSE)+1,FALSE))),'détails investissements'!$U$6:$AB$7,2,FALSE),""),FALSE),"")</f>
        <v/>
      </c>
      <c r="AU10" s="45" t="str">
        <f>IF(IF(IF(AU$3-VLOOKUP($A10,'détails investissements'!$A$71:$B$88,2,FALSE)&lt;=0,"",IF(VLOOKUP($A10,'détails investissements'!$A$26:$DE$43,AU$3-VLOOKUP($A10,'détails investissements'!$A$71:$B$88,2,FALSE)+1,FALSE)="","",VLOOKUP($A10,'détails investissements'!$A$26:$DE$43,AU$3-VLOOKUP($A10,'détails investissements'!$A$71:$B$88,2,FALSE)+1,FALSE)))&lt;&gt;"",HLOOKUP(IF(AU$3-VLOOKUP($A10,'détails investissements'!$A$71:$B$88,2,FALSE)&lt;=0,"",IF(VLOOKUP($A10,'détails investissements'!$A$26:$DE$43,AU$3-VLOOKUP($A10,'détails investissements'!$A$71:$B$88,2,FALSE)+1,FALSE)="","",VLOOKUP($A10,'détails investissements'!$A$26:$DE$43,AU$3-VLOOKUP($A10,'détails investissements'!$A$71:$B$88,2,FALSE)+1,FALSE))),'détails investissements'!$U$6:$AB$7,2,FALSE),"")&lt;&gt;"",VLOOKUP($A10,'détails investissements'!$A$7:$H$21,1+IF(IF(AU$3-VLOOKUP($A10,'détails investissements'!$A$71:$B$88,2,FALSE)&lt;=0,"",IF(VLOOKUP($A10,'détails investissements'!$A$26:$DE$43,AU$3-VLOOKUP($A10,'détails investissements'!$A$71:$B$88,2,FALSE)+1,FALSE)="","",VLOOKUP($A10,'détails investissements'!$A$26:$DE$43,AU$3-VLOOKUP($A10,'détails investissements'!$A$71:$B$88,2,FALSE)+1,FALSE)))&lt;&gt;"",HLOOKUP(IF(AU$3-VLOOKUP($A10,'détails investissements'!$A$71:$B$88,2,FALSE)&lt;=0,"",IF(VLOOKUP($A10,'détails investissements'!$A$26:$DE$43,AU$3-VLOOKUP($A10,'détails investissements'!$A$71:$B$88,2,FALSE)+1,FALSE)="","",VLOOKUP($A10,'détails investissements'!$A$26:$DE$43,AU$3-VLOOKUP($A10,'détails investissements'!$A$71:$B$88,2,FALSE)+1,FALSE))),'détails investissements'!$U$6:$AB$7,2,FALSE),""),FALSE),"")</f>
        <v/>
      </c>
      <c r="AV10" s="45" t="str">
        <f>IF(IF(IF(AV$3-VLOOKUP($A10,'détails investissements'!$A$71:$B$88,2,FALSE)&lt;=0,"",IF(VLOOKUP($A10,'détails investissements'!$A$26:$DE$43,AV$3-VLOOKUP($A10,'détails investissements'!$A$71:$B$88,2,FALSE)+1,FALSE)="","",VLOOKUP($A10,'détails investissements'!$A$26:$DE$43,AV$3-VLOOKUP($A10,'détails investissements'!$A$71:$B$88,2,FALSE)+1,FALSE)))&lt;&gt;"",HLOOKUP(IF(AV$3-VLOOKUP($A10,'détails investissements'!$A$71:$B$88,2,FALSE)&lt;=0,"",IF(VLOOKUP($A10,'détails investissements'!$A$26:$DE$43,AV$3-VLOOKUP($A10,'détails investissements'!$A$71:$B$88,2,FALSE)+1,FALSE)="","",VLOOKUP($A10,'détails investissements'!$A$26:$DE$43,AV$3-VLOOKUP($A10,'détails investissements'!$A$71:$B$88,2,FALSE)+1,FALSE))),'détails investissements'!$U$6:$AB$7,2,FALSE),"")&lt;&gt;"",VLOOKUP($A10,'détails investissements'!$A$7:$H$21,1+IF(IF(AV$3-VLOOKUP($A10,'détails investissements'!$A$71:$B$88,2,FALSE)&lt;=0,"",IF(VLOOKUP($A10,'détails investissements'!$A$26:$DE$43,AV$3-VLOOKUP($A10,'détails investissements'!$A$71:$B$88,2,FALSE)+1,FALSE)="","",VLOOKUP($A10,'détails investissements'!$A$26:$DE$43,AV$3-VLOOKUP($A10,'détails investissements'!$A$71:$B$88,2,FALSE)+1,FALSE)))&lt;&gt;"",HLOOKUP(IF(AV$3-VLOOKUP($A10,'détails investissements'!$A$71:$B$88,2,FALSE)&lt;=0,"",IF(VLOOKUP($A10,'détails investissements'!$A$26:$DE$43,AV$3-VLOOKUP($A10,'détails investissements'!$A$71:$B$88,2,FALSE)+1,FALSE)="","",VLOOKUP($A10,'détails investissements'!$A$26:$DE$43,AV$3-VLOOKUP($A10,'détails investissements'!$A$71:$B$88,2,FALSE)+1,FALSE))),'détails investissements'!$U$6:$AB$7,2,FALSE),""),FALSE),"")</f>
        <v/>
      </c>
      <c r="AW10" s="45" t="str">
        <f>IF(IF(IF(AW$3-VLOOKUP($A10,'détails investissements'!$A$71:$B$88,2,FALSE)&lt;=0,"",IF(VLOOKUP($A10,'détails investissements'!$A$26:$DE$43,AW$3-VLOOKUP($A10,'détails investissements'!$A$71:$B$88,2,FALSE)+1,FALSE)="","",VLOOKUP($A10,'détails investissements'!$A$26:$DE$43,AW$3-VLOOKUP($A10,'détails investissements'!$A$71:$B$88,2,FALSE)+1,FALSE)))&lt;&gt;"",HLOOKUP(IF(AW$3-VLOOKUP($A10,'détails investissements'!$A$71:$B$88,2,FALSE)&lt;=0,"",IF(VLOOKUP($A10,'détails investissements'!$A$26:$DE$43,AW$3-VLOOKUP($A10,'détails investissements'!$A$71:$B$88,2,FALSE)+1,FALSE)="","",VLOOKUP($A10,'détails investissements'!$A$26:$DE$43,AW$3-VLOOKUP($A10,'détails investissements'!$A$71:$B$88,2,FALSE)+1,FALSE))),'détails investissements'!$U$6:$AB$7,2,FALSE),"")&lt;&gt;"",VLOOKUP($A10,'détails investissements'!$A$7:$H$21,1+IF(IF(AW$3-VLOOKUP($A10,'détails investissements'!$A$71:$B$88,2,FALSE)&lt;=0,"",IF(VLOOKUP($A10,'détails investissements'!$A$26:$DE$43,AW$3-VLOOKUP($A10,'détails investissements'!$A$71:$B$88,2,FALSE)+1,FALSE)="","",VLOOKUP($A10,'détails investissements'!$A$26:$DE$43,AW$3-VLOOKUP($A10,'détails investissements'!$A$71:$B$88,2,FALSE)+1,FALSE)))&lt;&gt;"",HLOOKUP(IF(AW$3-VLOOKUP($A10,'détails investissements'!$A$71:$B$88,2,FALSE)&lt;=0,"",IF(VLOOKUP($A10,'détails investissements'!$A$26:$DE$43,AW$3-VLOOKUP($A10,'détails investissements'!$A$71:$B$88,2,FALSE)+1,FALSE)="","",VLOOKUP($A10,'détails investissements'!$A$26:$DE$43,AW$3-VLOOKUP($A10,'détails investissements'!$A$71:$B$88,2,FALSE)+1,FALSE))),'détails investissements'!$U$6:$AB$7,2,FALSE),""),FALSE),"")</f>
        <v/>
      </c>
      <c r="AX10" s="45" t="str">
        <f>IF(IF(IF(AX$3-VLOOKUP($A10,'détails investissements'!$A$71:$B$88,2,FALSE)&lt;=0,"",IF(VLOOKUP($A10,'détails investissements'!$A$26:$DE$43,AX$3-VLOOKUP($A10,'détails investissements'!$A$71:$B$88,2,FALSE)+1,FALSE)="","",VLOOKUP($A10,'détails investissements'!$A$26:$DE$43,AX$3-VLOOKUP($A10,'détails investissements'!$A$71:$B$88,2,FALSE)+1,FALSE)))&lt;&gt;"",HLOOKUP(IF(AX$3-VLOOKUP($A10,'détails investissements'!$A$71:$B$88,2,FALSE)&lt;=0,"",IF(VLOOKUP($A10,'détails investissements'!$A$26:$DE$43,AX$3-VLOOKUP($A10,'détails investissements'!$A$71:$B$88,2,FALSE)+1,FALSE)="","",VLOOKUP($A10,'détails investissements'!$A$26:$DE$43,AX$3-VLOOKUP($A10,'détails investissements'!$A$71:$B$88,2,FALSE)+1,FALSE))),'détails investissements'!$U$6:$AB$7,2,FALSE),"")&lt;&gt;"",VLOOKUP($A10,'détails investissements'!$A$7:$H$21,1+IF(IF(AX$3-VLOOKUP($A10,'détails investissements'!$A$71:$B$88,2,FALSE)&lt;=0,"",IF(VLOOKUP($A10,'détails investissements'!$A$26:$DE$43,AX$3-VLOOKUP($A10,'détails investissements'!$A$71:$B$88,2,FALSE)+1,FALSE)="","",VLOOKUP($A10,'détails investissements'!$A$26:$DE$43,AX$3-VLOOKUP($A10,'détails investissements'!$A$71:$B$88,2,FALSE)+1,FALSE)))&lt;&gt;"",HLOOKUP(IF(AX$3-VLOOKUP($A10,'détails investissements'!$A$71:$B$88,2,FALSE)&lt;=0,"",IF(VLOOKUP($A10,'détails investissements'!$A$26:$DE$43,AX$3-VLOOKUP($A10,'détails investissements'!$A$71:$B$88,2,FALSE)+1,FALSE)="","",VLOOKUP($A10,'détails investissements'!$A$26:$DE$43,AX$3-VLOOKUP($A10,'détails investissements'!$A$71:$B$88,2,FALSE)+1,FALSE))),'détails investissements'!$U$6:$AB$7,2,FALSE),""),FALSE),"")</f>
        <v/>
      </c>
      <c r="AY10" s="45" t="str">
        <f>IF(IF(IF(AY$3-VLOOKUP($A10,'détails investissements'!$A$71:$B$88,2,FALSE)&lt;=0,"",IF(VLOOKUP($A10,'détails investissements'!$A$26:$DE$43,AY$3-VLOOKUP($A10,'détails investissements'!$A$71:$B$88,2,FALSE)+1,FALSE)="","",VLOOKUP($A10,'détails investissements'!$A$26:$DE$43,AY$3-VLOOKUP($A10,'détails investissements'!$A$71:$B$88,2,FALSE)+1,FALSE)))&lt;&gt;"",HLOOKUP(IF(AY$3-VLOOKUP($A10,'détails investissements'!$A$71:$B$88,2,FALSE)&lt;=0,"",IF(VLOOKUP($A10,'détails investissements'!$A$26:$DE$43,AY$3-VLOOKUP($A10,'détails investissements'!$A$71:$B$88,2,FALSE)+1,FALSE)="","",VLOOKUP($A10,'détails investissements'!$A$26:$DE$43,AY$3-VLOOKUP($A10,'détails investissements'!$A$71:$B$88,2,FALSE)+1,FALSE))),'détails investissements'!$U$6:$AB$7,2,FALSE),"")&lt;&gt;"",VLOOKUP($A10,'détails investissements'!$A$7:$H$21,1+IF(IF(AY$3-VLOOKUP($A10,'détails investissements'!$A$71:$B$88,2,FALSE)&lt;=0,"",IF(VLOOKUP($A10,'détails investissements'!$A$26:$DE$43,AY$3-VLOOKUP($A10,'détails investissements'!$A$71:$B$88,2,FALSE)+1,FALSE)="","",VLOOKUP($A10,'détails investissements'!$A$26:$DE$43,AY$3-VLOOKUP($A10,'détails investissements'!$A$71:$B$88,2,FALSE)+1,FALSE)))&lt;&gt;"",HLOOKUP(IF(AY$3-VLOOKUP($A10,'détails investissements'!$A$71:$B$88,2,FALSE)&lt;=0,"",IF(VLOOKUP($A10,'détails investissements'!$A$26:$DE$43,AY$3-VLOOKUP($A10,'détails investissements'!$A$71:$B$88,2,FALSE)+1,FALSE)="","",VLOOKUP($A10,'détails investissements'!$A$26:$DE$43,AY$3-VLOOKUP($A10,'détails investissements'!$A$71:$B$88,2,FALSE)+1,FALSE))),'détails investissements'!$U$6:$AB$7,2,FALSE),""),FALSE),"")</f>
        <v/>
      </c>
      <c r="AZ10" s="45" t="str">
        <f>IF(IF(IF(AZ$3-VLOOKUP($A10,'détails investissements'!$A$71:$B$88,2,FALSE)&lt;=0,"",IF(VLOOKUP($A10,'détails investissements'!$A$26:$DE$43,AZ$3-VLOOKUP($A10,'détails investissements'!$A$71:$B$88,2,FALSE)+1,FALSE)="","",VLOOKUP($A10,'détails investissements'!$A$26:$DE$43,AZ$3-VLOOKUP($A10,'détails investissements'!$A$71:$B$88,2,FALSE)+1,FALSE)))&lt;&gt;"",HLOOKUP(IF(AZ$3-VLOOKUP($A10,'détails investissements'!$A$71:$B$88,2,FALSE)&lt;=0,"",IF(VLOOKUP($A10,'détails investissements'!$A$26:$DE$43,AZ$3-VLOOKUP($A10,'détails investissements'!$A$71:$B$88,2,FALSE)+1,FALSE)="","",VLOOKUP($A10,'détails investissements'!$A$26:$DE$43,AZ$3-VLOOKUP($A10,'détails investissements'!$A$71:$B$88,2,FALSE)+1,FALSE))),'détails investissements'!$U$6:$AB$7,2,FALSE),"")&lt;&gt;"",VLOOKUP($A10,'détails investissements'!$A$7:$H$21,1+IF(IF(AZ$3-VLOOKUP($A10,'détails investissements'!$A$71:$B$88,2,FALSE)&lt;=0,"",IF(VLOOKUP($A10,'détails investissements'!$A$26:$DE$43,AZ$3-VLOOKUP($A10,'détails investissements'!$A$71:$B$88,2,FALSE)+1,FALSE)="","",VLOOKUP($A10,'détails investissements'!$A$26:$DE$43,AZ$3-VLOOKUP($A10,'détails investissements'!$A$71:$B$88,2,FALSE)+1,FALSE)))&lt;&gt;"",HLOOKUP(IF(AZ$3-VLOOKUP($A10,'détails investissements'!$A$71:$B$88,2,FALSE)&lt;=0,"",IF(VLOOKUP($A10,'détails investissements'!$A$26:$DE$43,AZ$3-VLOOKUP($A10,'détails investissements'!$A$71:$B$88,2,FALSE)+1,FALSE)="","",VLOOKUP($A10,'détails investissements'!$A$26:$DE$43,AZ$3-VLOOKUP($A10,'détails investissements'!$A$71:$B$88,2,FALSE)+1,FALSE))),'détails investissements'!$U$6:$AB$7,2,FALSE),""),FALSE),"")</f>
        <v/>
      </c>
      <c r="BA10" s="45" t="str">
        <f>IF(IF(IF(BA$3-VLOOKUP($A10,'détails investissements'!$A$71:$B$88,2,FALSE)&lt;=0,"",IF(VLOOKUP($A10,'détails investissements'!$A$26:$DE$43,BA$3-VLOOKUP($A10,'détails investissements'!$A$71:$B$88,2,FALSE)+1,FALSE)="","",VLOOKUP($A10,'détails investissements'!$A$26:$DE$43,BA$3-VLOOKUP($A10,'détails investissements'!$A$71:$B$88,2,FALSE)+1,FALSE)))&lt;&gt;"",HLOOKUP(IF(BA$3-VLOOKUP($A10,'détails investissements'!$A$71:$B$88,2,FALSE)&lt;=0,"",IF(VLOOKUP($A10,'détails investissements'!$A$26:$DE$43,BA$3-VLOOKUP($A10,'détails investissements'!$A$71:$B$88,2,FALSE)+1,FALSE)="","",VLOOKUP($A10,'détails investissements'!$A$26:$DE$43,BA$3-VLOOKUP($A10,'détails investissements'!$A$71:$B$88,2,FALSE)+1,FALSE))),'détails investissements'!$U$6:$AB$7,2,FALSE),"")&lt;&gt;"",VLOOKUP($A10,'détails investissements'!$A$7:$H$21,1+IF(IF(BA$3-VLOOKUP($A10,'détails investissements'!$A$71:$B$88,2,FALSE)&lt;=0,"",IF(VLOOKUP($A10,'détails investissements'!$A$26:$DE$43,BA$3-VLOOKUP($A10,'détails investissements'!$A$71:$B$88,2,FALSE)+1,FALSE)="","",VLOOKUP($A10,'détails investissements'!$A$26:$DE$43,BA$3-VLOOKUP($A10,'détails investissements'!$A$71:$B$88,2,FALSE)+1,FALSE)))&lt;&gt;"",HLOOKUP(IF(BA$3-VLOOKUP($A10,'détails investissements'!$A$71:$B$88,2,FALSE)&lt;=0,"",IF(VLOOKUP($A10,'détails investissements'!$A$26:$DE$43,BA$3-VLOOKUP($A10,'détails investissements'!$A$71:$B$88,2,FALSE)+1,FALSE)="","",VLOOKUP($A10,'détails investissements'!$A$26:$DE$43,BA$3-VLOOKUP($A10,'détails investissements'!$A$71:$B$88,2,FALSE)+1,FALSE))),'détails investissements'!$U$6:$AB$7,2,FALSE),""),FALSE),"")</f>
        <v/>
      </c>
      <c r="BB10" s="45" t="str">
        <f>IF(IF(IF(BB$3-VLOOKUP($A10,'détails investissements'!$A$71:$B$88,2,FALSE)&lt;=0,"",IF(VLOOKUP($A10,'détails investissements'!$A$26:$DE$43,BB$3-VLOOKUP($A10,'détails investissements'!$A$71:$B$88,2,FALSE)+1,FALSE)="","",VLOOKUP($A10,'détails investissements'!$A$26:$DE$43,BB$3-VLOOKUP($A10,'détails investissements'!$A$71:$B$88,2,FALSE)+1,FALSE)))&lt;&gt;"",HLOOKUP(IF(BB$3-VLOOKUP($A10,'détails investissements'!$A$71:$B$88,2,FALSE)&lt;=0,"",IF(VLOOKUP($A10,'détails investissements'!$A$26:$DE$43,BB$3-VLOOKUP($A10,'détails investissements'!$A$71:$B$88,2,FALSE)+1,FALSE)="","",VLOOKUP($A10,'détails investissements'!$A$26:$DE$43,BB$3-VLOOKUP($A10,'détails investissements'!$A$71:$B$88,2,FALSE)+1,FALSE))),'détails investissements'!$U$6:$AB$7,2,FALSE),"")&lt;&gt;"",VLOOKUP($A10,'détails investissements'!$A$7:$H$21,1+IF(IF(BB$3-VLOOKUP($A10,'détails investissements'!$A$71:$B$88,2,FALSE)&lt;=0,"",IF(VLOOKUP($A10,'détails investissements'!$A$26:$DE$43,BB$3-VLOOKUP($A10,'détails investissements'!$A$71:$B$88,2,FALSE)+1,FALSE)="","",VLOOKUP($A10,'détails investissements'!$A$26:$DE$43,BB$3-VLOOKUP($A10,'détails investissements'!$A$71:$B$88,2,FALSE)+1,FALSE)))&lt;&gt;"",HLOOKUP(IF(BB$3-VLOOKUP($A10,'détails investissements'!$A$71:$B$88,2,FALSE)&lt;=0,"",IF(VLOOKUP($A10,'détails investissements'!$A$26:$DE$43,BB$3-VLOOKUP($A10,'détails investissements'!$A$71:$B$88,2,FALSE)+1,FALSE)="","",VLOOKUP($A10,'détails investissements'!$A$26:$DE$43,BB$3-VLOOKUP($A10,'détails investissements'!$A$71:$B$88,2,FALSE)+1,FALSE))),'détails investissements'!$U$6:$AB$7,2,FALSE),""),FALSE),"")</f>
        <v/>
      </c>
      <c r="BC10" s="45" t="str">
        <f>IF(IF(IF(BC$3-VLOOKUP($A10,'détails investissements'!$A$71:$B$88,2,FALSE)&lt;=0,"",IF(VLOOKUP($A10,'détails investissements'!$A$26:$DE$43,BC$3-VLOOKUP($A10,'détails investissements'!$A$71:$B$88,2,FALSE)+1,FALSE)="","",VLOOKUP($A10,'détails investissements'!$A$26:$DE$43,BC$3-VLOOKUP($A10,'détails investissements'!$A$71:$B$88,2,FALSE)+1,FALSE)))&lt;&gt;"",HLOOKUP(IF(BC$3-VLOOKUP($A10,'détails investissements'!$A$71:$B$88,2,FALSE)&lt;=0,"",IF(VLOOKUP($A10,'détails investissements'!$A$26:$DE$43,BC$3-VLOOKUP($A10,'détails investissements'!$A$71:$B$88,2,FALSE)+1,FALSE)="","",VLOOKUP($A10,'détails investissements'!$A$26:$DE$43,BC$3-VLOOKUP($A10,'détails investissements'!$A$71:$B$88,2,FALSE)+1,FALSE))),'détails investissements'!$U$6:$AB$7,2,FALSE),"")&lt;&gt;"",VLOOKUP($A10,'détails investissements'!$A$7:$H$21,1+IF(IF(BC$3-VLOOKUP($A10,'détails investissements'!$A$71:$B$88,2,FALSE)&lt;=0,"",IF(VLOOKUP($A10,'détails investissements'!$A$26:$DE$43,BC$3-VLOOKUP($A10,'détails investissements'!$A$71:$B$88,2,FALSE)+1,FALSE)="","",VLOOKUP($A10,'détails investissements'!$A$26:$DE$43,BC$3-VLOOKUP($A10,'détails investissements'!$A$71:$B$88,2,FALSE)+1,FALSE)))&lt;&gt;"",HLOOKUP(IF(BC$3-VLOOKUP($A10,'détails investissements'!$A$71:$B$88,2,FALSE)&lt;=0,"",IF(VLOOKUP($A10,'détails investissements'!$A$26:$DE$43,BC$3-VLOOKUP($A10,'détails investissements'!$A$71:$B$88,2,FALSE)+1,FALSE)="","",VLOOKUP($A10,'détails investissements'!$A$26:$DE$43,BC$3-VLOOKUP($A10,'détails investissements'!$A$71:$B$88,2,FALSE)+1,FALSE))),'détails investissements'!$U$6:$AB$7,2,FALSE),""),FALSE),"")</f>
        <v/>
      </c>
      <c r="BD10" s="45" t="str">
        <f>IF(IF(IF(BD$3-VLOOKUP($A10,'détails investissements'!$A$71:$B$88,2,FALSE)&lt;=0,"",IF(VLOOKUP($A10,'détails investissements'!$A$26:$DE$43,BD$3-VLOOKUP($A10,'détails investissements'!$A$71:$B$88,2,FALSE)+1,FALSE)="","",VLOOKUP($A10,'détails investissements'!$A$26:$DE$43,BD$3-VLOOKUP($A10,'détails investissements'!$A$71:$B$88,2,FALSE)+1,FALSE)))&lt;&gt;"",HLOOKUP(IF(BD$3-VLOOKUP($A10,'détails investissements'!$A$71:$B$88,2,FALSE)&lt;=0,"",IF(VLOOKUP($A10,'détails investissements'!$A$26:$DE$43,BD$3-VLOOKUP($A10,'détails investissements'!$A$71:$B$88,2,FALSE)+1,FALSE)="","",VLOOKUP($A10,'détails investissements'!$A$26:$DE$43,BD$3-VLOOKUP($A10,'détails investissements'!$A$71:$B$88,2,FALSE)+1,FALSE))),'détails investissements'!$U$6:$AB$7,2,FALSE),"")&lt;&gt;"",VLOOKUP($A10,'détails investissements'!$A$7:$H$21,1+IF(IF(BD$3-VLOOKUP($A10,'détails investissements'!$A$71:$B$88,2,FALSE)&lt;=0,"",IF(VLOOKUP($A10,'détails investissements'!$A$26:$DE$43,BD$3-VLOOKUP($A10,'détails investissements'!$A$71:$B$88,2,FALSE)+1,FALSE)="","",VLOOKUP($A10,'détails investissements'!$A$26:$DE$43,BD$3-VLOOKUP($A10,'détails investissements'!$A$71:$B$88,2,FALSE)+1,FALSE)))&lt;&gt;"",HLOOKUP(IF(BD$3-VLOOKUP($A10,'détails investissements'!$A$71:$B$88,2,FALSE)&lt;=0,"",IF(VLOOKUP($A10,'détails investissements'!$A$26:$DE$43,BD$3-VLOOKUP($A10,'détails investissements'!$A$71:$B$88,2,FALSE)+1,FALSE)="","",VLOOKUP($A10,'détails investissements'!$A$26:$DE$43,BD$3-VLOOKUP($A10,'détails investissements'!$A$71:$B$88,2,FALSE)+1,FALSE))),'détails investissements'!$U$6:$AB$7,2,FALSE),""),FALSE),"")</f>
        <v/>
      </c>
      <c r="BE10" s="45" t="str">
        <f>IF(IF(IF(BE$3-VLOOKUP($A10,'détails investissements'!$A$71:$B$88,2,FALSE)&lt;=0,"",IF(VLOOKUP($A10,'détails investissements'!$A$26:$DE$43,BE$3-VLOOKUP($A10,'détails investissements'!$A$71:$B$88,2,FALSE)+1,FALSE)="","",VLOOKUP($A10,'détails investissements'!$A$26:$DE$43,BE$3-VLOOKUP($A10,'détails investissements'!$A$71:$B$88,2,FALSE)+1,FALSE)))&lt;&gt;"",HLOOKUP(IF(BE$3-VLOOKUP($A10,'détails investissements'!$A$71:$B$88,2,FALSE)&lt;=0,"",IF(VLOOKUP($A10,'détails investissements'!$A$26:$DE$43,BE$3-VLOOKUP($A10,'détails investissements'!$A$71:$B$88,2,FALSE)+1,FALSE)="","",VLOOKUP($A10,'détails investissements'!$A$26:$DE$43,BE$3-VLOOKUP($A10,'détails investissements'!$A$71:$B$88,2,FALSE)+1,FALSE))),'détails investissements'!$U$6:$AB$7,2,FALSE),"")&lt;&gt;"",VLOOKUP($A10,'détails investissements'!$A$7:$H$21,1+IF(IF(BE$3-VLOOKUP($A10,'détails investissements'!$A$71:$B$88,2,FALSE)&lt;=0,"",IF(VLOOKUP($A10,'détails investissements'!$A$26:$DE$43,BE$3-VLOOKUP($A10,'détails investissements'!$A$71:$B$88,2,FALSE)+1,FALSE)="","",VLOOKUP($A10,'détails investissements'!$A$26:$DE$43,BE$3-VLOOKUP($A10,'détails investissements'!$A$71:$B$88,2,FALSE)+1,FALSE)))&lt;&gt;"",HLOOKUP(IF(BE$3-VLOOKUP($A10,'détails investissements'!$A$71:$B$88,2,FALSE)&lt;=0,"",IF(VLOOKUP($A10,'détails investissements'!$A$26:$DE$43,BE$3-VLOOKUP($A10,'détails investissements'!$A$71:$B$88,2,FALSE)+1,FALSE)="","",VLOOKUP($A10,'détails investissements'!$A$26:$DE$43,BE$3-VLOOKUP($A10,'détails investissements'!$A$71:$B$88,2,FALSE)+1,FALSE))),'détails investissements'!$U$6:$AB$7,2,FALSE),""),FALSE),"")</f>
        <v/>
      </c>
      <c r="BF10" s="45" t="str">
        <f>IF(IF(IF(BF$3-VLOOKUP($A10,'détails investissements'!$A$71:$B$88,2,FALSE)&lt;=0,"",IF(VLOOKUP($A10,'détails investissements'!$A$26:$DE$43,BF$3-VLOOKUP($A10,'détails investissements'!$A$71:$B$88,2,FALSE)+1,FALSE)="","",VLOOKUP($A10,'détails investissements'!$A$26:$DE$43,BF$3-VLOOKUP($A10,'détails investissements'!$A$71:$B$88,2,FALSE)+1,FALSE)))&lt;&gt;"",HLOOKUP(IF(BF$3-VLOOKUP($A10,'détails investissements'!$A$71:$B$88,2,FALSE)&lt;=0,"",IF(VLOOKUP($A10,'détails investissements'!$A$26:$DE$43,BF$3-VLOOKUP($A10,'détails investissements'!$A$71:$B$88,2,FALSE)+1,FALSE)="","",VLOOKUP($A10,'détails investissements'!$A$26:$DE$43,BF$3-VLOOKUP($A10,'détails investissements'!$A$71:$B$88,2,FALSE)+1,FALSE))),'détails investissements'!$U$6:$AB$7,2,FALSE),"")&lt;&gt;"",VLOOKUP($A10,'détails investissements'!$A$7:$H$21,1+IF(IF(BF$3-VLOOKUP($A10,'détails investissements'!$A$71:$B$88,2,FALSE)&lt;=0,"",IF(VLOOKUP($A10,'détails investissements'!$A$26:$DE$43,BF$3-VLOOKUP($A10,'détails investissements'!$A$71:$B$88,2,FALSE)+1,FALSE)="","",VLOOKUP($A10,'détails investissements'!$A$26:$DE$43,BF$3-VLOOKUP($A10,'détails investissements'!$A$71:$B$88,2,FALSE)+1,FALSE)))&lt;&gt;"",HLOOKUP(IF(BF$3-VLOOKUP($A10,'détails investissements'!$A$71:$B$88,2,FALSE)&lt;=0,"",IF(VLOOKUP($A10,'détails investissements'!$A$26:$DE$43,BF$3-VLOOKUP($A10,'détails investissements'!$A$71:$B$88,2,FALSE)+1,FALSE)="","",VLOOKUP($A10,'détails investissements'!$A$26:$DE$43,BF$3-VLOOKUP($A10,'détails investissements'!$A$71:$B$88,2,FALSE)+1,FALSE))),'détails investissements'!$U$6:$AB$7,2,FALSE),""),FALSE),"")</f>
        <v/>
      </c>
      <c r="BG10" s="45" t="str">
        <f>IF(IF(IF(BG$3-VLOOKUP($A10,'détails investissements'!$A$71:$B$88,2,FALSE)&lt;=0,"",IF(VLOOKUP($A10,'détails investissements'!$A$26:$DE$43,BG$3-VLOOKUP($A10,'détails investissements'!$A$71:$B$88,2,FALSE)+1,FALSE)="","",VLOOKUP($A10,'détails investissements'!$A$26:$DE$43,BG$3-VLOOKUP($A10,'détails investissements'!$A$71:$B$88,2,FALSE)+1,FALSE)))&lt;&gt;"",HLOOKUP(IF(BG$3-VLOOKUP($A10,'détails investissements'!$A$71:$B$88,2,FALSE)&lt;=0,"",IF(VLOOKUP($A10,'détails investissements'!$A$26:$DE$43,BG$3-VLOOKUP($A10,'détails investissements'!$A$71:$B$88,2,FALSE)+1,FALSE)="","",VLOOKUP($A10,'détails investissements'!$A$26:$DE$43,BG$3-VLOOKUP($A10,'détails investissements'!$A$71:$B$88,2,FALSE)+1,FALSE))),'détails investissements'!$U$6:$AB$7,2,FALSE),"")&lt;&gt;"",VLOOKUP($A10,'détails investissements'!$A$7:$H$21,1+IF(IF(BG$3-VLOOKUP($A10,'détails investissements'!$A$71:$B$88,2,FALSE)&lt;=0,"",IF(VLOOKUP($A10,'détails investissements'!$A$26:$DE$43,BG$3-VLOOKUP($A10,'détails investissements'!$A$71:$B$88,2,FALSE)+1,FALSE)="","",VLOOKUP($A10,'détails investissements'!$A$26:$DE$43,BG$3-VLOOKUP($A10,'détails investissements'!$A$71:$B$88,2,FALSE)+1,FALSE)))&lt;&gt;"",HLOOKUP(IF(BG$3-VLOOKUP($A10,'détails investissements'!$A$71:$B$88,2,FALSE)&lt;=0,"",IF(VLOOKUP($A10,'détails investissements'!$A$26:$DE$43,BG$3-VLOOKUP($A10,'détails investissements'!$A$71:$B$88,2,FALSE)+1,FALSE)="","",VLOOKUP($A10,'détails investissements'!$A$26:$DE$43,BG$3-VLOOKUP($A10,'détails investissements'!$A$71:$B$88,2,FALSE)+1,FALSE))),'détails investissements'!$U$6:$AB$7,2,FALSE),""),FALSE),"")</f>
        <v/>
      </c>
      <c r="BH10" s="45" t="str">
        <f>IF(IF(IF(BH$3-VLOOKUP($A10,'détails investissements'!$A$71:$B$88,2,FALSE)&lt;=0,"",IF(VLOOKUP($A10,'détails investissements'!$A$26:$DE$43,BH$3-VLOOKUP($A10,'détails investissements'!$A$71:$B$88,2,FALSE)+1,FALSE)="","",VLOOKUP($A10,'détails investissements'!$A$26:$DE$43,BH$3-VLOOKUP($A10,'détails investissements'!$A$71:$B$88,2,FALSE)+1,FALSE)))&lt;&gt;"",HLOOKUP(IF(BH$3-VLOOKUP($A10,'détails investissements'!$A$71:$B$88,2,FALSE)&lt;=0,"",IF(VLOOKUP($A10,'détails investissements'!$A$26:$DE$43,BH$3-VLOOKUP($A10,'détails investissements'!$A$71:$B$88,2,FALSE)+1,FALSE)="","",VLOOKUP($A10,'détails investissements'!$A$26:$DE$43,BH$3-VLOOKUP($A10,'détails investissements'!$A$71:$B$88,2,FALSE)+1,FALSE))),'détails investissements'!$U$6:$AB$7,2,FALSE),"")&lt;&gt;"",VLOOKUP($A10,'détails investissements'!$A$7:$H$21,1+IF(IF(BH$3-VLOOKUP($A10,'détails investissements'!$A$71:$B$88,2,FALSE)&lt;=0,"",IF(VLOOKUP($A10,'détails investissements'!$A$26:$DE$43,BH$3-VLOOKUP($A10,'détails investissements'!$A$71:$B$88,2,FALSE)+1,FALSE)="","",VLOOKUP($A10,'détails investissements'!$A$26:$DE$43,BH$3-VLOOKUP($A10,'détails investissements'!$A$71:$B$88,2,FALSE)+1,FALSE)))&lt;&gt;"",HLOOKUP(IF(BH$3-VLOOKUP($A10,'détails investissements'!$A$71:$B$88,2,FALSE)&lt;=0,"",IF(VLOOKUP($A10,'détails investissements'!$A$26:$DE$43,BH$3-VLOOKUP($A10,'détails investissements'!$A$71:$B$88,2,FALSE)+1,FALSE)="","",VLOOKUP($A10,'détails investissements'!$A$26:$DE$43,BH$3-VLOOKUP($A10,'détails investissements'!$A$71:$B$88,2,FALSE)+1,FALSE))),'détails investissements'!$U$6:$AB$7,2,FALSE),""),FALSE),"")</f>
        <v/>
      </c>
      <c r="BI10" s="45" t="str">
        <f>IF(IF(IF(BI$3-VLOOKUP($A10,'détails investissements'!$A$71:$B$88,2,FALSE)&lt;=0,"",IF(VLOOKUP($A10,'détails investissements'!$A$26:$DE$43,BI$3-VLOOKUP($A10,'détails investissements'!$A$71:$B$88,2,FALSE)+1,FALSE)="","",VLOOKUP($A10,'détails investissements'!$A$26:$DE$43,BI$3-VLOOKUP($A10,'détails investissements'!$A$71:$B$88,2,FALSE)+1,FALSE)))&lt;&gt;"",HLOOKUP(IF(BI$3-VLOOKUP($A10,'détails investissements'!$A$71:$B$88,2,FALSE)&lt;=0,"",IF(VLOOKUP($A10,'détails investissements'!$A$26:$DE$43,BI$3-VLOOKUP($A10,'détails investissements'!$A$71:$B$88,2,FALSE)+1,FALSE)="","",VLOOKUP($A10,'détails investissements'!$A$26:$DE$43,BI$3-VLOOKUP($A10,'détails investissements'!$A$71:$B$88,2,FALSE)+1,FALSE))),'détails investissements'!$U$6:$AB$7,2,FALSE),"")&lt;&gt;"",VLOOKUP($A10,'détails investissements'!$A$7:$H$21,1+IF(IF(BI$3-VLOOKUP($A10,'détails investissements'!$A$71:$B$88,2,FALSE)&lt;=0,"",IF(VLOOKUP($A10,'détails investissements'!$A$26:$DE$43,BI$3-VLOOKUP($A10,'détails investissements'!$A$71:$B$88,2,FALSE)+1,FALSE)="","",VLOOKUP($A10,'détails investissements'!$A$26:$DE$43,BI$3-VLOOKUP($A10,'détails investissements'!$A$71:$B$88,2,FALSE)+1,FALSE)))&lt;&gt;"",HLOOKUP(IF(BI$3-VLOOKUP($A10,'détails investissements'!$A$71:$B$88,2,FALSE)&lt;=0,"",IF(VLOOKUP($A10,'détails investissements'!$A$26:$DE$43,BI$3-VLOOKUP($A10,'détails investissements'!$A$71:$B$88,2,FALSE)+1,FALSE)="","",VLOOKUP($A10,'détails investissements'!$A$26:$DE$43,BI$3-VLOOKUP($A10,'détails investissements'!$A$71:$B$88,2,FALSE)+1,FALSE))),'détails investissements'!$U$6:$AB$7,2,FALSE),""),FALSE),"")</f>
        <v/>
      </c>
      <c r="BJ10" s="45" t="str">
        <f>IF(IF(IF(BJ$3-VLOOKUP($A10,'détails investissements'!$A$71:$B$88,2,FALSE)&lt;=0,"",IF(VLOOKUP($A10,'détails investissements'!$A$26:$DE$43,BJ$3-VLOOKUP($A10,'détails investissements'!$A$71:$B$88,2,FALSE)+1,FALSE)="","",VLOOKUP($A10,'détails investissements'!$A$26:$DE$43,BJ$3-VLOOKUP($A10,'détails investissements'!$A$71:$B$88,2,FALSE)+1,FALSE)))&lt;&gt;"",HLOOKUP(IF(BJ$3-VLOOKUP($A10,'détails investissements'!$A$71:$B$88,2,FALSE)&lt;=0,"",IF(VLOOKUP($A10,'détails investissements'!$A$26:$DE$43,BJ$3-VLOOKUP($A10,'détails investissements'!$A$71:$B$88,2,FALSE)+1,FALSE)="","",VLOOKUP($A10,'détails investissements'!$A$26:$DE$43,BJ$3-VLOOKUP($A10,'détails investissements'!$A$71:$B$88,2,FALSE)+1,FALSE))),'détails investissements'!$U$6:$AB$7,2,FALSE),"")&lt;&gt;"",VLOOKUP($A10,'détails investissements'!$A$7:$H$21,1+IF(IF(BJ$3-VLOOKUP($A10,'détails investissements'!$A$71:$B$88,2,FALSE)&lt;=0,"",IF(VLOOKUP($A10,'détails investissements'!$A$26:$DE$43,BJ$3-VLOOKUP($A10,'détails investissements'!$A$71:$B$88,2,FALSE)+1,FALSE)="","",VLOOKUP($A10,'détails investissements'!$A$26:$DE$43,BJ$3-VLOOKUP($A10,'détails investissements'!$A$71:$B$88,2,FALSE)+1,FALSE)))&lt;&gt;"",HLOOKUP(IF(BJ$3-VLOOKUP($A10,'détails investissements'!$A$71:$B$88,2,FALSE)&lt;=0,"",IF(VLOOKUP($A10,'détails investissements'!$A$26:$DE$43,BJ$3-VLOOKUP($A10,'détails investissements'!$A$71:$B$88,2,FALSE)+1,FALSE)="","",VLOOKUP($A10,'détails investissements'!$A$26:$DE$43,BJ$3-VLOOKUP($A10,'détails investissements'!$A$71:$B$88,2,FALSE)+1,FALSE))),'détails investissements'!$U$6:$AB$7,2,FALSE),""),FALSE),"")</f>
        <v/>
      </c>
      <c r="BK10" s="45" t="str">
        <f>IF(IF(IF(BK$3-VLOOKUP($A10,'détails investissements'!$A$71:$B$88,2,FALSE)&lt;=0,"",IF(VLOOKUP($A10,'détails investissements'!$A$26:$DE$43,BK$3-VLOOKUP($A10,'détails investissements'!$A$71:$B$88,2,FALSE)+1,FALSE)="","",VLOOKUP($A10,'détails investissements'!$A$26:$DE$43,BK$3-VLOOKUP($A10,'détails investissements'!$A$71:$B$88,2,FALSE)+1,FALSE)))&lt;&gt;"",HLOOKUP(IF(BK$3-VLOOKUP($A10,'détails investissements'!$A$71:$B$88,2,FALSE)&lt;=0,"",IF(VLOOKUP($A10,'détails investissements'!$A$26:$DE$43,BK$3-VLOOKUP($A10,'détails investissements'!$A$71:$B$88,2,FALSE)+1,FALSE)="","",VLOOKUP($A10,'détails investissements'!$A$26:$DE$43,BK$3-VLOOKUP($A10,'détails investissements'!$A$71:$B$88,2,FALSE)+1,FALSE))),'détails investissements'!$U$6:$AB$7,2,FALSE),"")&lt;&gt;"",VLOOKUP($A10,'détails investissements'!$A$7:$H$21,1+IF(IF(BK$3-VLOOKUP($A10,'détails investissements'!$A$71:$B$88,2,FALSE)&lt;=0,"",IF(VLOOKUP($A10,'détails investissements'!$A$26:$DE$43,BK$3-VLOOKUP($A10,'détails investissements'!$A$71:$B$88,2,FALSE)+1,FALSE)="","",VLOOKUP($A10,'détails investissements'!$A$26:$DE$43,BK$3-VLOOKUP($A10,'détails investissements'!$A$71:$B$88,2,FALSE)+1,FALSE)))&lt;&gt;"",HLOOKUP(IF(BK$3-VLOOKUP($A10,'détails investissements'!$A$71:$B$88,2,FALSE)&lt;=0,"",IF(VLOOKUP($A10,'détails investissements'!$A$26:$DE$43,BK$3-VLOOKUP($A10,'détails investissements'!$A$71:$B$88,2,FALSE)+1,FALSE)="","",VLOOKUP($A10,'détails investissements'!$A$26:$DE$43,BK$3-VLOOKUP($A10,'détails investissements'!$A$71:$B$88,2,FALSE)+1,FALSE))),'détails investissements'!$U$6:$AB$7,2,FALSE),""),FALSE),"")</f>
        <v/>
      </c>
      <c r="BL10" s="45" t="str">
        <f>IF(IF(IF(BL$3-VLOOKUP($A10,'détails investissements'!$A$71:$B$88,2,FALSE)&lt;=0,"",IF(VLOOKUP($A10,'détails investissements'!$A$26:$DE$43,BL$3-VLOOKUP($A10,'détails investissements'!$A$71:$B$88,2,FALSE)+1,FALSE)="","",VLOOKUP($A10,'détails investissements'!$A$26:$DE$43,BL$3-VLOOKUP($A10,'détails investissements'!$A$71:$B$88,2,FALSE)+1,FALSE)))&lt;&gt;"",HLOOKUP(IF(BL$3-VLOOKUP($A10,'détails investissements'!$A$71:$B$88,2,FALSE)&lt;=0,"",IF(VLOOKUP($A10,'détails investissements'!$A$26:$DE$43,BL$3-VLOOKUP($A10,'détails investissements'!$A$71:$B$88,2,FALSE)+1,FALSE)="","",VLOOKUP($A10,'détails investissements'!$A$26:$DE$43,BL$3-VLOOKUP($A10,'détails investissements'!$A$71:$B$88,2,FALSE)+1,FALSE))),'détails investissements'!$U$6:$AB$7,2,FALSE),"")&lt;&gt;"",VLOOKUP($A10,'détails investissements'!$A$7:$H$21,1+IF(IF(BL$3-VLOOKUP($A10,'détails investissements'!$A$71:$B$88,2,FALSE)&lt;=0,"",IF(VLOOKUP($A10,'détails investissements'!$A$26:$DE$43,BL$3-VLOOKUP($A10,'détails investissements'!$A$71:$B$88,2,FALSE)+1,FALSE)="","",VLOOKUP($A10,'détails investissements'!$A$26:$DE$43,BL$3-VLOOKUP($A10,'détails investissements'!$A$71:$B$88,2,FALSE)+1,FALSE)))&lt;&gt;"",HLOOKUP(IF(BL$3-VLOOKUP($A10,'détails investissements'!$A$71:$B$88,2,FALSE)&lt;=0,"",IF(VLOOKUP($A10,'détails investissements'!$A$26:$DE$43,BL$3-VLOOKUP($A10,'détails investissements'!$A$71:$B$88,2,FALSE)+1,FALSE)="","",VLOOKUP($A10,'détails investissements'!$A$26:$DE$43,BL$3-VLOOKUP($A10,'détails investissements'!$A$71:$B$88,2,FALSE)+1,FALSE))),'détails investissements'!$U$6:$AB$7,2,FALSE),""),FALSE),"")</f>
        <v/>
      </c>
      <c r="BM10" s="45" t="str">
        <f>IF(IF(IF(BM$3-VLOOKUP($A10,'détails investissements'!$A$71:$B$88,2,FALSE)&lt;=0,"",IF(VLOOKUP($A10,'détails investissements'!$A$26:$DE$43,BM$3-VLOOKUP($A10,'détails investissements'!$A$71:$B$88,2,FALSE)+1,FALSE)="","",VLOOKUP($A10,'détails investissements'!$A$26:$DE$43,BM$3-VLOOKUP($A10,'détails investissements'!$A$71:$B$88,2,FALSE)+1,FALSE)))&lt;&gt;"",HLOOKUP(IF(BM$3-VLOOKUP($A10,'détails investissements'!$A$71:$B$88,2,FALSE)&lt;=0,"",IF(VLOOKUP($A10,'détails investissements'!$A$26:$DE$43,BM$3-VLOOKUP($A10,'détails investissements'!$A$71:$B$88,2,FALSE)+1,FALSE)="","",VLOOKUP($A10,'détails investissements'!$A$26:$DE$43,BM$3-VLOOKUP($A10,'détails investissements'!$A$71:$B$88,2,FALSE)+1,FALSE))),'détails investissements'!$U$6:$AB$7,2,FALSE),"")&lt;&gt;"",VLOOKUP($A10,'détails investissements'!$A$7:$H$21,1+IF(IF(BM$3-VLOOKUP($A10,'détails investissements'!$A$71:$B$88,2,FALSE)&lt;=0,"",IF(VLOOKUP($A10,'détails investissements'!$A$26:$DE$43,BM$3-VLOOKUP($A10,'détails investissements'!$A$71:$B$88,2,FALSE)+1,FALSE)="","",VLOOKUP($A10,'détails investissements'!$A$26:$DE$43,BM$3-VLOOKUP($A10,'détails investissements'!$A$71:$B$88,2,FALSE)+1,FALSE)))&lt;&gt;"",HLOOKUP(IF(BM$3-VLOOKUP($A10,'détails investissements'!$A$71:$B$88,2,FALSE)&lt;=0,"",IF(VLOOKUP($A10,'détails investissements'!$A$26:$DE$43,BM$3-VLOOKUP($A10,'détails investissements'!$A$71:$B$88,2,FALSE)+1,FALSE)="","",VLOOKUP($A10,'détails investissements'!$A$26:$DE$43,BM$3-VLOOKUP($A10,'détails investissements'!$A$71:$B$88,2,FALSE)+1,FALSE))),'détails investissements'!$U$6:$AB$7,2,FALSE),""),FALSE),"")</f>
        <v/>
      </c>
      <c r="BN10" s="45" t="str">
        <f>IF(IF(IF(BN$3-VLOOKUP($A10,'détails investissements'!$A$71:$B$88,2,FALSE)&lt;=0,"",IF(VLOOKUP($A10,'détails investissements'!$A$26:$DE$43,BN$3-VLOOKUP($A10,'détails investissements'!$A$71:$B$88,2,FALSE)+1,FALSE)="","",VLOOKUP($A10,'détails investissements'!$A$26:$DE$43,BN$3-VLOOKUP($A10,'détails investissements'!$A$71:$B$88,2,FALSE)+1,FALSE)))&lt;&gt;"",HLOOKUP(IF(BN$3-VLOOKUP($A10,'détails investissements'!$A$71:$B$88,2,FALSE)&lt;=0,"",IF(VLOOKUP($A10,'détails investissements'!$A$26:$DE$43,BN$3-VLOOKUP($A10,'détails investissements'!$A$71:$B$88,2,FALSE)+1,FALSE)="","",VLOOKUP($A10,'détails investissements'!$A$26:$DE$43,BN$3-VLOOKUP($A10,'détails investissements'!$A$71:$B$88,2,FALSE)+1,FALSE))),'détails investissements'!$U$6:$AB$7,2,FALSE),"")&lt;&gt;"",VLOOKUP($A10,'détails investissements'!$A$7:$H$21,1+IF(IF(BN$3-VLOOKUP($A10,'détails investissements'!$A$71:$B$88,2,FALSE)&lt;=0,"",IF(VLOOKUP($A10,'détails investissements'!$A$26:$DE$43,BN$3-VLOOKUP($A10,'détails investissements'!$A$71:$B$88,2,FALSE)+1,FALSE)="","",VLOOKUP($A10,'détails investissements'!$A$26:$DE$43,BN$3-VLOOKUP($A10,'détails investissements'!$A$71:$B$88,2,FALSE)+1,FALSE)))&lt;&gt;"",HLOOKUP(IF(BN$3-VLOOKUP($A10,'détails investissements'!$A$71:$B$88,2,FALSE)&lt;=0,"",IF(VLOOKUP($A10,'détails investissements'!$A$26:$DE$43,BN$3-VLOOKUP($A10,'détails investissements'!$A$71:$B$88,2,FALSE)+1,FALSE)="","",VLOOKUP($A10,'détails investissements'!$A$26:$DE$43,BN$3-VLOOKUP($A10,'détails investissements'!$A$71:$B$88,2,FALSE)+1,FALSE))),'détails investissements'!$U$6:$AB$7,2,FALSE),""),FALSE),"")</f>
        <v/>
      </c>
      <c r="BO10" s="45" t="str">
        <f>IF(IF(IF(BO$3-VLOOKUP($A10,'détails investissements'!$A$71:$B$88,2,FALSE)&lt;=0,"",IF(VLOOKUP($A10,'détails investissements'!$A$26:$DE$43,BO$3-VLOOKUP($A10,'détails investissements'!$A$71:$B$88,2,FALSE)+1,FALSE)="","",VLOOKUP($A10,'détails investissements'!$A$26:$DE$43,BO$3-VLOOKUP($A10,'détails investissements'!$A$71:$B$88,2,FALSE)+1,FALSE)))&lt;&gt;"",HLOOKUP(IF(BO$3-VLOOKUP($A10,'détails investissements'!$A$71:$B$88,2,FALSE)&lt;=0,"",IF(VLOOKUP($A10,'détails investissements'!$A$26:$DE$43,BO$3-VLOOKUP($A10,'détails investissements'!$A$71:$B$88,2,FALSE)+1,FALSE)="","",VLOOKUP($A10,'détails investissements'!$A$26:$DE$43,BO$3-VLOOKUP($A10,'détails investissements'!$A$71:$B$88,2,FALSE)+1,FALSE))),'détails investissements'!$U$6:$AB$7,2,FALSE),"")&lt;&gt;"",VLOOKUP($A10,'détails investissements'!$A$7:$H$21,1+IF(IF(BO$3-VLOOKUP($A10,'détails investissements'!$A$71:$B$88,2,FALSE)&lt;=0,"",IF(VLOOKUP($A10,'détails investissements'!$A$26:$DE$43,BO$3-VLOOKUP($A10,'détails investissements'!$A$71:$B$88,2,FALSE)+1,FALSE)="","",VLOOKUP($A10,'détails investissements'!$A$26:$DE$43,BO$3-VLOOKUP($A10,'détails investissements'!$A$71:$B$88,2,FALSE)+1,FALSE)))&lt;&gt;"",HLOOKUP(IF(BO$3-VLOOKUP($A10,'détails investissements'!$A$71:$B$88,2,FALSE)&lt;=0,"",IF(VLOOKUP($A10,'détails investissements'!$A$26:$DE$43,BO$3-VLOOKUP($A10,'détails investissements'!$A$71:$B$88,2,FALSE)+1,FALSE)="","",VLOOKUP($A10,'détails investissements'!$A$26:$DE$43,BO$3-VLOOKUP($A10,'détails investissements'!$A$71:$B$88,2,FALSE)+1,FALSE))),'détails investissements'!$U$6:$AB$7,2,FALSE),""),FALSE),"")</f>
        <v/>
      </c>
      <c r="BP10" s="45" t="str">
        <f>IF(IF(IF(BP$3-VLOOKUP($A10,'détails investissements'!$A$71:$B$88,2,FALSE)&lt;=0,"",IF(VLOOKUP($A10,'détails investissements'!$A$26:$DE$43,BP$3-VLOOKUP($A10,'détails investissements'!$A$71:$B$88,2,FALSE)+1,FALSE)="","",VLOOKUP($A10,'détails investissements'!$A$26:$DE$43,BP$3-VLOOKUP($A10,'détails investissements'!$A$71:$B$88,2,FALSE)+1,FALSE)))&lt;&gt;"",HLOOKUP(IF(BP$3-VLOOKUP($A10,'détails investissements'!$A$71:$B$88,2,FALSE)&lt;=0,"",IF(VLOOKUP($A10,'détails investissements'!$A$26:$DE$43,BP$3-VLOOKUP($A10,'détails investissements'!$A$71:$B$88,2,FALSE)+1,FALSE)="","",VLOOKUP($A10,'détails investissements'!$A$26:$DE$43,BP$3-VLOOKUP($A10,'détails investissements'!$A$71:$B$88,2,FALSE)+1,FALSE))),'détails investissements'!$U$6:$AB$7,2,FALSE),"")&lt;&gt;"",VLOOKUP($A10,'détails investissements'!$A$7:$H$21,1+IF(IF(BP$3-VLOOKUP($A10,'détails investissements'!$A$71:$B$88,2,FALSE)&lt;=0,"",IF(VLOOKUP($A10,'détails investissements'!$A$26:$DE$43,BP$3-VLOOKUP($A10,'détails investissements'!$A$71:$B$88,2,FALSE)+1,FALSE)="","",VLOOKUP($A10,'détails investissements'!$A$26:$DE$43,BP$3-VLOOKUP($A10,'détails investissements'!$A$71:$B$88,2,FALSE)+1,FALSE)))&lt;&gt;"",HLOOKUP(IF(BP$3-VLOOKUP($A10,'détails investissements'!$A$71:$B$88,2,FALSE)&lt;=0,"",IF(VLOOKUP($A10,'détails investissements'!$A$26:$DE$43,BP$3-VLOOKUP($A10,'détails investissements'!$A$71:$B$88,2,FALSE)+1,FALSE)="","",VLOOKUP($A10,'détails investissements'!$A$26:$DE$43,BP$3-VLOOKUP($A10,'détails investissements'!$A$71:$B$88,2,FALSE)+1,FALSE))),'détails investissements'!$U$6:$AB$7,2,FALSE),""),FALSE),"")</f>
        <v/>
      </c>
      <c r="BQ10" s="45" t="str">
        <f>IF(IF(IF(BQ$3-VLOOKUP($A10,'détails investissements'!$A$71:$B$88,2,FALSE)&lt;=0,"",IF(VLOOKUP($A10,'détails investissements'!$A$26:$DE$43,BQ$3-VLOOKUP($A10,'détails investissements'!$A$71:$B$88,2,FALSE)+1,FALSE)="","",VLOOKUP($A10,'détails investissements'!$A$26:$DE$43,BQ$3-VLOOKUP($A10,'détails investissements'!$A$71:$B$88,2,FALSE)+1,FALSE)))&lt;&gt;"",HLOOKUP(IF(BQ$3-VLOOKUP($A10,'détails investissements'!$A$71:$B$88,2,FALSE)&lt;=0,"",IF(VLOOKUP($A10,'détails investissements'!$A$26:$DE$43,BQ$3-VLOOKUP($A10,'détails investissements'!$A$71:$B$88,2,FALSE)+1,FALSE)="","",VLOOKUP($A10,'détails investissements'!$A$26:$DE$43,BQ$3-VLOOKUP($A10,'détails investissements'!$A$71:$B$88,2,FALSE)+1,FALSE))),'détails investissements'!$U$6:$AB$7,2,FALSE),"")&lt;&gt;"",VLOOKUP($A10,'détails investissements'!$A$7:$H$21,1+IF(IF(BQ$3-VLOOKUP($A10,'détails investissements'!$A$71:$B$88,2,FALSE)&lt;=0,"",IF(VLOOKUP($A10,'détails investissements'!$A$26:$DE$43,BQ$3-VLOOKUP($A10,'détails investissements'!$A$71:$B$88,2,FALSE)+1,FALSE)="","",VLOOKUP($A10,'détails investissements'!$A$26:$DE$43,BQ$3-VLOOKUP($A10,'détails investissements'!$A$71:$B$88,2,FALSE)+1,FALSE)))&lt;&gt;"",HLOOKUP(IF(BQ$3-VLOOKUP($A10,'détails investissements'!$A$71:$B$88,2,FALSE)&lt;=0,"",IF(VLOOKUP($A10,'détails investissements'!$A$26:$DE$43,BQ$3-VLOOKUP($A10,'détails investissements'!$A$71:$B$88,2,FALSE)+1,FALSE)="","",VLOOKUP($A10,'détails investissements'!$A$26:$DE$43,BQ$3-VLOOKUP($A10,'détails investissements'!$A$71:$B$88,2,FALSE)+1,FALSE))),'détails investissements'!$U$6:$AB$7,2,FALSE),""),FALSE),"")</f>
        <v/>
      </c>
      <c r="BR10" s="45" t="str">
        <f>IF(IF(IF(BR$3-VLOOKUP($A10,'détails investissements'!$A$71:$B$88,2,FALSE)&lt;=0,"",IF(VLOOKUP($A10,'détails investissements'!$A$26:$DE$43,BR$3-VLOOKUP($A10,'détails investissements'!$A$71:$B$88,2,FALSE)+1,FALSE)="","",VLOOKUP($A10,'détails investissements'!$A$26:$DE$43,BR$3-VLOOKUP($A10,'détails investissements'!$A$71:$B$88,2,FALSE)+1,FALSE)))&lt;&gt;"",HLOOKUP(IF(BR$3-VLOOKUP($A10,'détails investissements'!$A$71:$B$88,2,FALSE)&lt;=0,"",IF(VLOOKUP($A10,'détails investissements'!$A$26:$DE$43,BR$3-VLOOKUP($A10,'détails investissements'!$A$71:$B$88,2,FALSE)+1,FALSE)="","",VLOOKUP($A10,'détails investissements'!$A$26:$DE$43,BR$3-VLOOKUP($A10,'détails investissements'!$A$71:$B$88,2,FALSE)+1,FALSE))),'détails investissements'!$U$6:$AB$7,2,FALSE),"")&lt;&gt;"",VLOOKUP($A10,'détails investissements'!$A$7:$H$21,1+IF(IF(BR$3-VLOOKUP($A10,'détails investissements'!$A$71:$B$88,2,FALSE)&lt;=0,"",IF(VLOOKUP($A10,'détails investissements'!$A$26:$DE$43,BR$3-VLOOKUP($A10,'détails investissements'!$A$71:$B$88,2,FALSE)+1,FALSE)="","",VLOOKUP($A10,'détails investissements'!$A$26:$DE$43,BR$3-VLOOKUP($A10,'détails investissements'!$A$71:$B$88,2,FALSE)+1,FALSE)))&lt;&gt;"",HLOOKUP(IF(BR$3-VLOOKUP($A10,'détails investissements'!$A$71:$B$88,2,FALSE)&lt;=0,"",IF(VLOOKUP($A10,'détails investissements'!$A$26:$DE$43,BR$3-VLOOKUP($A10,'détails investissements'!$A$71:$B$88,2,FALSE)+1,FALSE)="","",VLOOKUP($A10,'détails investissements'!$A$26:$DE$43,BR$3-VLOOKUP($A10,'détails investissements'!$A$71:$B$88,2,FALSE)+1,FALSE))),'détails investissements'!$U$6:$AB$7,2,FALSE),""),FALSE),"")</f>
        <v/>
      </c>
      <c r="BS10" s="45" t="str">
        <f>IF(IF(IF(BS$3-VLOOKUP($A10,'détails investissements'!$A$71:$B$88,2,FALSE)&lt;=0,"",IF(VLOOKUP($A10,'détails investissements'!$A$26:$DE$43,BS$3-VLOOKUP($A10,'détails investissements'!$A$71:$B$88,2,FALSE)+1,FALSE)="","",VLOOKUP($A10,'détails investissements'!$A$26:$DE$43,BS$3-VLOOKUP($A10,'détails investissements'!$A$71:$B$88,2,FALSE)+1,FALSE)))&lt;&gt;"",HLOOKUP(IF(BS$3-VLOOKUP($A10,'détails investissements'!$A$71:$B$88,2,FALSE)&lt;=0,"",IF(VLOOKUP($A10,'détails investissements'!$A$26:$DE$43,BS$3-VLOOKUP($A10,'détails investissements'!$A$71:$B$88,2,FALSE)+1,FALSE)="","",VLOOKUP($A10,'détails investissements'!$A$26:$DE$43,BS$3-VLOOKUP($A10,'détails investissements'!$A$71:$B$88,2,FALSE)+1,FALSE))),'détails investissements'!$U$6:$AB$7,2,FALSE),"")&lt;&gt;"",VLOOKUP($A10,'détails investissements'!$A$7:$H$21,1+IF(IF(BS$3-VLOOKUP($A10,'détails investissements'!$A$71:$B$88,2,FALSE)&lt;=0,"",IF(VLOOKUP($A10,'détails investissements'!$A$26:$DE$43,BS$3-VLOOKUP($A10,'détails investissements'!$A$71:$B$88,2,FALSE)+1,FALSE)="","",VLOOKUP($A10,'détails investissements'!$A$26:$DE$43,BS$3-VLOOKUP($A10,'détails investissements'!$A$71:$B$88,2,FALSE)+1,FALSE)))&lt;&gt;"",HLOOKUP(IF(BS$3-VLOOKUP($A10,'détails investissements'!$A$71:$B$88,2,FALSE)&lt;=0,"",IF(VLOOKUP($A10,'détails investissements'!$A$26:$DE$43,BS$3-VLOOKUP($A10,'détails investissements'!$A$71:$B$88,2,FALSE)+1,FALSE)="","",VLOOKUP($A10,'détails investissements'!$A$26:$DE$43,BS$3-VLOOKUP($A10,'détails investissements'!$A$71:$B$88,2,FALSE)+1,FALSE))),'détails investissements'!$U$6:$AB$7,2,FALSE),""),FALSE),"")</f>
        <v/>
      </c>
      <c r="BT10" s="45" t="str">
        <f>IF(IF(IF(BT$3-VLOOKUP($A10,'détails investissements'!$A$71:$B$88,2,FALSE)&lt;=0,"",IF(VLOOKUP($A10,'détails investissements'!$A$26:$DE$43,BT$3-VLOOKUP($A10,'détails investissements'!$A$71:$B$88,2,FALSE)+1,FALSE)="","",VLOOKUP($A10,'détails investissements'!$A$26:$DE$43,BT$3-VLOOKUP($A10,'détails investissements'!$A$71:$B$88,2,FALSE)+1,FALSE)))&lt;&gt;"",HLOOKUP(IF(BT$3-VLOOKUP($A10,'détails investissements'!$A$71:$B$88,2,FALSE)&lt;=0,"",IF(VLOOKUP($A10,'détails investissements'!$A$26:$DE$43,BT$3-VLOOKUP($A10,'détails investissements'!$A$71:$B$88,2,FALSE)+1,FALSE)="","",VLOOKUP($A10,'détails investissements'!$A$26:$DE$43,BT$3-VLOOKUP($A10,'détails investissements'!$A$71:$B$88,2,FALSE)+1,FALSE))),'détails investissements'!$U$6:$AB$7,2,FALSE),"")&lt;&gt;"",VLOOKUP($A10,'détails investissements'!$A$7:$H$21,1+IF(IF(BT$3-VLOOKUP($A10,'détails investissements'!$A$71:$B$88,2,FALSE)&lt;=0,"",IF(VLOOKUP($A10,'détails investissements'!$A$26:$DE$43,BT$3-VLOOKUP($A10,'détails investissements'!$A$71:$B$88,2,FALSE)+1,FALSE)="","",VLOOKUP($A10,'détails investissements'!$A$26:$DE$43,BT$3-VLOOKUP($A10,'détails investissements'!$A$71:$B$88,2,FALSE)+1,FALSE)))&lt;&gt;"",HLOOKUP(IF(BT$3-VLOOKUP($A10,'détails investissements'!$A$71:$B$88,2,FALSE)&lt;=0,"",IF(VLOOKUP($A10,'détails investissements'!$A$26:$DE$43,BT$3-VLOOKUP($A10,'détails investissements'!$A$71:$B$88,2,FALSE)+1,FALSE)="","",VLOOKUP($A10,'détails investissements'!$A$26:$DE$43,BT$3-VLOOKUP($A10,'détails investissements'!$A$71:$B$88,2,FALSE)+1,FALSE))),'détails investissements'!$U$6:$AB$7,2,FALSE),""),FALSE),"")</f>
        <v/>
      </c>
      <c r="BU10" s="45" t="str">
        <f>IF(IF(IF(BU$3-VLOOKUP($A10,'détails investissements'!$A$71:$B$88,2,FALSE)&lt;=0,"",IF(VLOOKUP($A10,'détails investissements'!$A$26:$DE$43,BU$3-VLOOKUP($A10,'détails investissements'!$A$71:$B$88,2,FALSE)+1,FALSE)="","",VLOOKUP($A10,'détails investissements'!$A$26:$DE$43,BU$3-VLOOKUP($A10,'détails investissements'!$A$71:$B$88,2,FALSE)+1,FALSE)))&lt;&gt;"",HLOOKUP(IF(BU$3-VLOOKUP($A10,'détails investissements'!$A$71:$B$88,2,FALSE)&lt;=0,"",IF(VLOOKUP($A10,'détails investissements'!$A$26:$DE$43,BU$3-VLOOKUP($A10,'détails investissements'!$A$71:$B$88,2,FALSE)+1,FALSE)="","",VLOOKUP($A10,'détails investissements'!$A$26:$DE$43,BU$3-VLOOKUP($A10,'détails investissements'!$A$71:$B$88,2,FALSE)+1,FALSE))),'détails investissements'!$U$6:$AB$7,2,FALSE),"")&lt;&gt;"",VLOOKUP($A10,'détails investissements'!$A$7:$H$21,1+IF(IF(BU$3-VLOOKUP($A10,'détails investissements'!$A$71:$B$88,2,FALSE)&lt;=0,"",IF(VLOOKUP($A10,'détails investissements'!$A$26:$DE$43,BU$3-VLOOKUP($A10,'détails investissements'!$A$71:$B$88,2,FALSE)+1,FALSE)="","",VLOOKUP($A10,'détails investissements'!$A$26:$DE$43,BU$3-VLOOKUP($A10,'détails investissements'!$A$71:$B$88,2,FALSE)+1,FALSE)))&lt;&gt;"",HLOOKUP(IF(BU$3-VLOOKUP($A10,'détails investissements'!$A$71:$B$88,2,FALSE)&lt;=0,"",IF(VLOOKUP($A10,'détails investissements'!$A$26:$DE$43,BU$3-VLOOKUP($A10,'détails investissements'!$A$71:$B$88,2,FALSE)+1,FALSE)="","",VLOOKUP($A10,'détails investissements'!$A$26:$DE$43,BU$3-VLOOKUP($A10,'détails investissements'!$A$71:$B$88,2,FALSE)+1,FALSE))),'détails investissements'!$U$6:$AB$7,2,FALSE),""),FALSE),"")</f>
        <v/>
      </c>
      <c r="BV10" s="45" t="str">
        <f>IF(IF(IF(BV$3-VLOOKUP($A10,'détails investissements'!$A$71:$B$88,2,FALSE)&lt;=0,"",IF(VLOOKUP($A10,'détails investissements'!$A$26:$DE$43,BV$3-VLOOKUP($A10,'détails investissements'!$A$71:$B$88,2,FALSE)+1,FALSE)="","",VLOOKUP($A10,'détails investissements'!$A$26:$DE$43,BV$3-VLOOKUP($A10,'détails investissements'!$A$71:$B$88,2,FALSE)+1,FALSE)))&lt;&gt;"",HLOOKUP(IF(BV$3-VLOOKUP($A10,'détails investissements'!$A$71:$B$88,2,FALSE)&lt;=0,"",IF(VLOOKUP($A10,'détails investissements'!$A$26:$DE$43,BV$3-VLOOKUP($A10,'détails investissements'!$A$71:$B$88,2,FALSE)+1,FALSE)="","",VLOOKUP($A10,'détails investissements'!$A$26:$DE$43,BV$3-VLOOKUP($A10,'détails investissements'!$A$71:$B$88,2,FALSE)+1,FALSE))),'détails investissements'!$U$6:$AB$7,2,FALSE),"")&lt;&gt;"",VLOOKUP($A10,'détails investissements'!$A$7:$H$21,1+IF(IF(BV$3-VLOOKUP($A10,'détails investissements'!$A$71:$B$88,2,FALSE)&lt;=0,"",IF(VLOOKUP($A10,'détails investissements'!$A$26:$DE$43,BV$3-VLOOKUP($A10,'détails investissements'!$A$71:$B$88,2,FALSE)+1,FALSE)="","",VLOOKUP($A10,'détails investissements'!$A$26:$DE$43,BV$3-VLOOKUP($A10,'détails investissements'!$A$71:$B$88,2,FALSE)+1,FALSE)))&lt;&gt;"",HLOOKUP(IF(BV$3-VLOOKUP($A10,'détails investissements'!$A$71:$B$88,2,FALSE)&lt;=0,"",IF(VLOOKUP($A10,'détails investissements'!$A$26:$DE$43,BV$3-VLOOKUP($A10,'détails investissements'!$A$71:$B$88,2,FALSE)+1,FALSE)="","",VLOOKUP($A10,'détails investissements'!$A$26:$DE$43,BV$3-VLOOKUP($A10,'détails investissements'!$A$71:$B$88,2,FALSE)+1,FALSE))),'détails investissements'!$U$6:$AB$7,2,FALSE),""),FALSE),"")</f>
        <v/>
      </c>
      <c r="BW10" s="45" t="str">
        <f>IF(IF(IF(BW$3-VLOOKUP($A10,'détails investissements'!$A$71:$B$88,2,FALSE)&lt;=0,"",IF(VLOOKUP($A10,'détails investissements'!$A$26:$DE$43,BW$3-VLOOKUP($A10,'détails investissements'!$A$71:$B$88,2,FALSE)+1,FALSE)="","",VLOOKUP($A10,'détails investissements'!$A$26:$DE$43,BW$3-VLOOKUP($A10,'détails investissements'!$A$71:$B$88,2,FALSE)+1,FALSE)))&lt;&gt;"",HLOOKUP(IF(BW$3-VLOOKUP($A10,'détails investissements'!$A$71:$B$88,2,FALSE)&lt;=0,"",IF(VLOOKUP($A10,'détails investissements'!$A$26:$DE$43,BW$3-VLOOKUP($A10,'détails investissements'!$A$71:$B$88,2,FALSE)+1,FALSE)="","",VLOOKUP($A10,'détails investissements'!$A$26:$DE$43,BW$3-VLOOKUP($A10,'détails investissements'!$A$71:$B$88,2,FALSE)+1,FALSE))),'détails investissements'!$U$6:$AB$7,2,FALSE),"")&lt;&gt;"",VLOOKUP($A10,'détails investissements'!$A$7:$H$21,1+IF(IF(BW$3-VLOOKUP($A10,'détails investissements'!$A$71:$B$88,2,FALSE)&lt;=0,"",IF(VLOOKUP($A10,'détails investissements'!$A$26:$DE$43,BW$3-VLOOKUP($A10,'détails investissements'!$A$71:$B$88,2,FALSE)+1,FALSE)="","",VLOOKUP($A10,'détails investissements'!$A$26:$DE$43,BW$3-VLOOKUP($A10,'détails investissements'!$A$71:$B$88,2,FALSE)+1,FALSE)))&lt;&gt;"",HLOOKUP(IF(BW$3-VLOOKUP($A10,'détails investissements'!$A$71:$B$88,2,FALSE)&lt;=0,"",IF(VLOOKUP($A10,'détails investissements'!$A$26:$DE$43,BW$3-VLOOKUP($A10,'détails investissements'!$A$71:$B$88,2,FALSE)+1,FALSE)="","",VLOOKUP($A10,'détails investissements'!$A$26:$DE$43,BW$3-VLOOKUP($A10,'détails investissements'!$A$71:$B$88,2,FALSE)+1,FALSE))),'détails investissements'!$U$6:$AB$7,2,FALSE),""),FALSE),"")</f>
        <v/>
      </c>
      <c r="BX10" s="45" t="str">
        <f>IF(IF(IF(BX$3-VLOOKUP($A10,'détails investissements'!$A$71:$B$88,2,FALSE)&lt;=0,"",IF(VLOOKUP($A10,'détails investissements'!$A$26:$DE$43,BX$3-VLOOKUP($A10,'détails investissements'!$A$71:$B$88,2,FALSE)+1,FALSE)="","",VLOOKUP($A10,'détails investissements'!$A$26:$DE$43,BX$3-VLOOKUP($A10,'détails investissements'!$A$71:$B$88,2,FALSE)+1,FALSE)))&lt;&gt;"",HLOOKUP(IF(BX$3-VLOOKUP($A10,'détails investissements'!$A$71:$B$88,2,FALSE)&lt;=0,"",IF(VLOOKUP($A10,'détails investissements'!$A$26:$DE$43,BX$3-VLOOKUP($A10,'détails investissements'!$A$71:$B$88,2,FALSE)+1,FALSE)="","",VLOOKUP($A10,'détails investissements'!$A$26:$DE$43,BX$3-VLOOKUP($A10,'détails investissements'!$A$71:$B$88,2,FALSE)+1,FALSE))),'détails investissements'!$U$6:$AB$7,2,FALSE),"")&lt;&gt;"",VLOOKUP($A10,'détails investissements'!$A$7:$H$21,1+IF(IF(BX$3-VLOOKUP($A10,'détails investissements'!$A$71:$B$88,2,FALSE)&lt;=0,"",IF(VLOOKUP($A10,'détails investissements'!$A$26:$DE$43,BX$3-VLOOKUP($A10,'détails investissements'!$A$71:$B$88,2,FALSE)+1,FALSE)="","",VLOOKUP($A10,'détails investissements'!$A$26:$DE$43,BX$3-VLOOKUP($A10,'détails investissements'!$A$71:$B$88,2,FALSE)+1,FALSE)))&lt;&gt;"",HLOOKUP(IF(BX$3-VLOOKUP($A10,'détails investissements'!$A$71:$B$88,2,FALSE)&lt;=0,"",IF(VLOOKUP($A10,'détails investissements'!$A$26:$DE$43,BX$3-VLOOKUP($A10,'détails investissements'!$A$71:$B$88,2,FALSE)+1,FALSE)="","",VLOOKUP($A10,'détails investissements'!$A$26:$DE$43,BX$3-VLOOKUP($A10,'détails investissements'!$A$71:$B$88,2,FALSE)+1,FALSE))),'détails investissements'!$U$6:$AB$7,2,FALSE),""),FALSE),"")</f>
        <v/>
      </c>
      <c r="BY10" s="45" t="str">
        <f>IF(IF(IF(BY$3-VLOOKUP($A10,'détails investissements'!$A$71:$B$88,2,FALSE)&lt;=0,"",IF(VLOOKUP($A10,'détails investissements'!$A$26:$DE$43,BY$3-VLOOKUP($A10,'détails investissements'!$A$71:$B$88,2,FALSE)+1,FALSE)="","",VLOOKUP($A10,'détails investissements'!$A$26:$DE$43,BY$3-VLOOKUP($A10,'détails investissements'!$A$71:$B$88,2,FALSE)+1,FALSE)))&lt;&gt;"",HLOOKUP(IF(BY$3-VLOOKUP($A10,'détails investissements'!$A$71:$B$88,2,FALSE)&lt;=0,"",IF(VLOOKUP($A10,'détails investissements'!$A$26:$DE$43,BY$3-VLOOKUP($A10,'détails investissements'!$A$71:$B$88,2,FALSE)+1,FALSE)="","",VLOOKUP($A10,'détails investissements'!$A$26:$DE$43,BY$3-VLOOKUP($A10,'détails investissements'!$A$71:$B$88,2,FALSE)+1,FALSE))),'détails investissements'!$U$6:$AB$7,2,FALSE),"")&lt;&gt;"",VLOOKUP($A10,'détails investissements'!$A$7:$H$21,1+IF(IF(BY$3-VLOOKUP($A10,'détails investissements'!$A$71:$B$88,2,FALSE)&lt;=0,"",IF(VLOOKUP($A10,'détails investissements'!$A$26:$DE$43,BY$3-VLOOKUP($A10,'détails investissements'!$A$71:$B$88,2,FALSE)+1,FALSE)="","",VLOOKUP($A10,'détails investissements'!$A$26:$DE$43,BY$3-VLOOKUP($A10,'détails investissements'!$A$71:$B$88,2,FALSE)+1,FALSE)))&lt;&gt;"",HLOOKUP(IF(BY$3-VLOOKUP($A10,'détails investissements'!$A$71:$B$88,2,FALSE)&lt;=0,"",IF(VLOOKUP($A10,'détails investissements'!$A$26:$DE$43,BY$3-VLOOKUP($A10,'détails investissements'!$A$71:$B$88,2,FALSE)+1,FALSE)="","",VLOOKUP($A10,'détails investissements'!$A$26:$DE$43,BY$3-VLOOKUP($A10,'détails investissements'!$A$71:$B$88,2,FALSE)+1,FALSE))),'détails investissements'!$U$6:$AB$7,2,FALSE),""),FALSE),"")</f>
        <v/>
      </c>
      <c r="BZ10" s="45" t="str">
        <f>IF(IF(IF(BZ$3-VLOOKUP($A10,'détails investissements'!$A$71:$B$88,2,FALSE)&lt;=0,"",IF(VLOOKUP($A10,'détails investissements'!$A$26:$DE$43,BZ$3-VLOOKUP($A10,'détails investissements'!$A$71:$B$88,2,FALSE)+1,FALSE)="","",VLOOKUP($A10,'détails investissements'!$A$26:$DE$43,BZ$3-VLOOKUP($A10,'détails investissements'!$A$71:$B$88,2,FALSE)+1,FALSE)))&lt;&gt;"",HLOOKUP(IF(BZ$3-VLOOKUP($A10,'détails investissements'!$A$71:$B$88,2,FALSE)&lt;=0,"",IF(VLOOKUP($A10,'détails investissements'!$A$26:$DE$43,BZ$3-VLOOKUP($A10,'détails investissements'!$A$71:$B$88,2,FALSE)+1,FALSE)="","",VLOOKUP($A10,'détails investissements'!$A$26:$DE$43,BZ$3-VLOOKUP($A10,'détails investissements'!$A$71:$B$88,2,FALSE)+1,FALSE))),'détails investissements'!$U$6:$AB$7,2,FALSE),"")&lt;&gt;"",VLOOKUP($A10,'détails investissements'!$A$7:$H$21,1+IF(IF(BZ$3-VLOOKUP($A10,'détails investissements'!$A$71:$B$88,2,FALSE)&lt;=0,"",IF(VLOOKUP($A10,'détails investissements'!$A$26:$DE$43,BZ$3-VLOOKUP($A10,'détails investissements'!$A$71:$B$88,2,FALSE)+1,FALSE)="","",VLOOKUP($A10,'détails investissements'!$A$26:$DE$43,BZ$3-VLOOKUP($A10,'détails investissements'!$A$71:$B$88,2,FALSE)+1,FALSE)))&lt;&gt;"",HLOOKUP(IF(BZ$3-VLOOKUP($A10,'détails investissements'!$A$71:$B$88,2,FALSE)&lt;=0,"",IF(VLOOKUP($A10,'détails investissements'!$A$26:$DE$43,BZ$3-VLOOKUP($A10,'détails investissements'!$A$71:$B$88,2,FALSE)+1,FALSE)="","",VLOOKUP($A10,'détails investissements'!$A$26:$DE$43,BZ$3-VLOOKUP($A10,'détails investissements'!$A$71:$B$88,2,FALSE)+1,FALSE))),'détails investissements'!$U$6:$AB$7,2,FALSE),""),FALSE),"")</f>
        <v/>
      </c>
      <c r="CA10" s="45" t="str">
        <f>IF(IF(IF(CA$3-VLOOKUP($A10,'détails investissements'!$A$71:$B$88,2,FALSE)&lt;=0,"",IF(VLOOKUP($A10,'détails investissements'!$A$26:$DE$43,CA$3-VLOOKUP($A10,'détails investissements'!$A$71:$B$88,2,FALSE)+1,FALSE)="","",VLOOKUP($A10,'détails investissements'!$A$26:$DE$43,CA$3-VLOOKUP($A10,'détails investissements'!$A$71:$B$88,2,FALSE)+1,FALSE)))&lt;&gt;"",HLOOKUP(IF(CA$3-VLOOKUP($A10,'détails investissements'!$A$71:$B$88,2,FALSE)&lt;=0,"",IF(VLOOKUP($A10,'détails investissements'!$A$26:$DE$43,CA$3-VLOOKUP($A10,'détails investissements'!$A$71:$B$88,2,FALSE)+1,FALSE)="","",VLOOKUP($A10,'détails investissements'!$A$26:$DE$43,CA$3-VLOOKUP($A10,'détails investissements'!$A$71:$B$88,2,FALSE)+1,FALSE))),'détails investissements'!$U$6:$AB$7,2,FALSE),"")&lt;&gt;"",VLOOKUP($A10,'détails investissements'!$A$7:$H$21,1+IF(IF(CA$3-VLOOKUP($A10,'détails investissements'!$A$71:$B$88,2,FALSE)&lt;=0,"",IF(VLOOKUP($A10,'détails investissements'!$A$26:$DE$43,CA$3-VLOOKUP($A10,'détails investissements'!$A$71:$B$88,2,FALSE)+1,FALSE)="","",VLOOKUP($A10,'détails investissements'!$A$26:$DE$43,CA$3-VLOOKUP($A10,'détails investissements'!$A$71:$B$88,2,FALSE)+1,FALSE)))&lt;&gt;"",HLOOKUP(IF(CA$3-VLOOKUP($A10,'détails investissements'!$A$71:$B$88,2,FALSE)&lt;=0,"",IF(VLOOKUP($A10,'détails investissements'!$A$26:$DE$43,CA$3-VLOOKUP($A10,'détails investissements'!$A$71:$B$88,2,FALSE)+1,FALSE)="","",VLOOKUP($A10,'détails investissements'!$A$26:$DE$43,CA$3-VLOOKUP($A10,'détails investissements'!$A$71:$B$88,2,FALSE)+1,FALSE))),'détails investissements'!$U$6:$AB$7,2,FALSE),""),FALSE),"")</f>
        <v/>
      </c>
      <c r="CB10" s="45" t="str">
        <f>IF(IF(IF(CB$3-VLOOKUP($A10,'détails investissements'!$A$71:$B$88,2,FALSE)&lt;=0,"",IF(VLOOKUP($A10,'détails investissements'!$A$26:$DE$43,CB$3-VLOOKUP($A10,'détails investissements'!$A$71:$B$88,2,FALSE)+1,FALSE)="","",VLOOKUP($A10,'détails investissements'!$A$26:$DE$43,CB$3-VLOOKUP($A10,'détails investissements'!$A$71:$B$88,2,FALSE)+1,FALSE)))&lt;&gt;"",HLOOKUP(IF(CB$3-VLOOKUP($A10,'détails investissements'!$A$71:$B$88,2,FALSE)&lt;=0,"",IF(VLOOKUP($A10,'détails investissements'!$A$26:$DE$43,CB$3-VLOOKUP($A10,'détails investissements'!$A$71:$B$88,2,FALSE)+1,FALSE)="","",VLOOKUP($A10,'détails investissements'!$A$26:$DE$43,CB$3-VLOOKUP($A10,'détails investissements'!$A$71:$B$88,2,FALSE)+1,FALSE))),'détails investissements'!$U$6:$AB$7,2,FALSE),"")&lt;&gt;"",VLOOKUP($A10,'détails investissements'!$A$7:$H$21,1+IF(IF(CB$3-VLOOKUP($A10,'détails investissements'!$A$71:$B$88,2,FALSE)&lt;=0,"",IF(VLOOKUP($A10,'détails investissements'!$A$26:$DE$43,CB$3-VLOOKUP($A10,'détails investissements'!$A$71:$B$88,2,FALSE)+1,FALSE)="","",VLOOKUP($A10,'détails investissements'!$A$26:$DE$43,CB$3-VLOOKUP($A10,'détails investissements'!$A$71:$B$88,2,FALSE)+1,FALSE)))&lt;&gt;"",HLOOKUP(IF(CB$3-VLOOKUP($A10,'détails investissements'!$A$71:$B$88,2,FALSE)&lt;=0,"",IF(VLOOKUP($A10,'détails investissements'!$A$26:$DE$43,CB$3-VLOOKUP($A10,'détails investissements'!$A$71:$B$88,2,FALSE)+1,FALSE)="","",VLOOKUP($A10,'détails investissements'!$A$26:$DE$43,CB$3-VLOOKUP($A10,'détails investissements'!$A$71:$B$88,2,FALSE)+1,FALSE))),'détails investissements'!$U$6:$AB$7,2,FALSE),""),FALSE),"")</f>
        <v/>
      </c>
      <c r="CC10" s="45" t="str">
        <f>IF(IF(IF(CC$3-VLOOKUP($A10,'détails investissements'!$A$71:$B$88,2,FALSE)&lt;=0,"",IF(VLOOKUP($A10,'détails investissements'!$A$26:$DE$43,CC$3-VLOOKUP($A10,'détails investissements'!$A$71:$B$88,2,FALSE)+1,FALSE)="","",VLOOKUP($A10,'détails investissements'!$A$26:$DE$43,CC$3-VLOOKUP($A10,'détails investissements'!$A$71:$B$88,2,FALSE)+1,FALSE)))&lt;&gt;"",HLOOKUP(IF(CC$3-VLOOKUP($A10,'détails investissements'!$A$71:$B$88,2,FALSE)&lt;=0,"",IF(VLOOKUP($A10,'détails investissements'!$A$26:$DE$43,CC$3-VLOOKUP($A10,'détails investissements'!$A$71:$B$88,2,FALSE)+1,FALSE)="","",VLOOKUP($A10,'détails investissements'!$A$26:$DE$43,CC$3-VLOOKUP($A10,'détails investissements'!$A$71:$B$88,2,FALSE)+1,FALSE))),'détails investissements'!$U$6:$AB$7,2,FALSE),"")&lt;&gt;"",VLOOKUP($A10,'détails investissements'!$A$7:$H$21,1+IF(IF(CC$3-VLOOKUP($A10,'détails investissements'!$A$71:$B$88,2,FALSE)&lt;=0,"",IF(VLOOKUP($A10,'détails investissements'!$A$26:$DE$43,CC$3-VLOOKUP($A10,'détails investissements'!$A$71:$B$88,2,FALSE)+1,FALSE)="","",VLOOKUP($A10,'détails investissements'!$A$26:$DE$43,CC$3-VLOOKUP($A10,'détails investissements'!$A$71:$B$88,2,FALSE)+1,FALSE)))&lt;&gt;"",HLOOKUP(IF(CC$3-VLOOKUP($A10,'détails investissements'!$A$71:$B$88,2,FALSE)&lt;=0,"",IF(VLOOKUP($A10,'détails investissements'!$A$26:$DE$43,CC$3-VLOOKUP($A10,'détails investissements'!$A$71:$B$88,2,FALSE)+1,FALSE)="","",VLOOKUP($A10,'détails investissements'!$A$26:$DE$43,CC$3-VLOOKUP($A10,'détails investissements'!$A$71:$B$88,2,FALSE)+1,FALSE))),'détails investissements'!$U$6:$AB$7,2,FALSE),""),FALSE),"")</f>
        <v/>
      </c>
      <c r="CD10" s="45" t="str">
        <f>IF(IF(IF(CD$3-VLOOKUP($A10,'détails investissements'!$A$71:$B$88,2,FALSE)&lt;=0,"",IF(VLOOKUP($A10,'détails investissements'!$A$26:$DE$43,CD$3-VLOOKUP($A10,'détails investissements'!$A$71:$B$88,2,FALSE)+1,FALSE)="","",VLOOKUP($A10,'détails investissements'!$A$26:$DE$43,CD$3-VLOOKUP($A10,'détails investissements'!$A$71:$B$88,2,FALSE)+1,FALSE)))&lt;&gt;"",HLOOKUP(IF(CD$3-VLOOKUP($A10,'détails investissements'!$A$71:$B$88,2,FALSE)&lt;=0,"",IF(VLOOKUP($A10,'détails investissements'!$A$26:$DE$43,CD$3-VLOOKUP($A10,'détails investissements'!$A$71:$B$88,2,FALSE)+1,FALSE)="","",VLOOKUP($A10,'détails investissements'!$A$26:$DE$43,CD$3-VLOOKUP($A10,'détails investissements'!$A$71:$B$88,2,FALSE)+1,FALSE))),'détails investissements'!$U$6:$AB$7,2,FALSE),"")&lt;&gt;"",VLOOKUP($A10,'détails investissements'!$A$7:$H$21,1+IF(IF(CD$3-VLOOKUP($A10,'détails investissements'!$A$71:$B$88,2,FALSE)&lt;=0,"",IF(VLOOKUP($A10,'détails investissements'!$A$26:$DE$43,CD$3-VLOOKUP($A10,'détails investissements'!$A$71:$B$88,2,FALSE)+1,FALSE)="","",VLOOKUP($A10,'détails investissements'!$A$26:$DE$43,CD$3-VLOOKUP($A10,'détails investissements'!$A$71:$B$88,2,FALSE)+1,FALSE)))&lt;&gt;"",HLOOKUP(IF(CD$3-VLOOKUP($A10,'détails investissements'!$A$71:$B$88,2,FALSE)&lt;=0,"",IF(VLOOKUP($A10,'détails investissements'!$A$26:$DE$43,CD$3-VLOOKUP($A10,'détails investissements'!$A$71:$B$88,2,FALSE)+1,FALSE)="","",VLOOKUP($A10,'détails investissements'!$A$26:$DE$43,CD$3-VLOOKUP($A10,'détails investissements'!$A$71:$B$88,2,FALSE)+1,FALSE))),'détails investissements'!$U$6:$AB$7,2,FALSE),""),FALSE),"")</f>
        <v/>
      </c>
      <c r="CE10" s="45" t="str">
        <f>IF(IF(IF(CE$3-VLOOKUP($A10,'détails investissements'!$A$71:$B$88,2,FALSE)&lt;=0,"",IF(VLOOKUP($A10,'détails investissements'!$A$26:$DE$43,CE$3-VLOOKUP($A10,'détails investissements'!$A$71:$B$88,2,FALSE)+1,FALSE)="","",VLOOKUP($A10,'détails investissements'!$A$26:$DE$43,CE$3-VLOOKUP($A10,'détails investissements'!$A$71:$B$88,2,FALSE)+1,FALSE)))&lt;&gt;"",HLOOKUP(IF(CE$3-VLOOKUP($A10,'détails investissements'!$A$71:$B$88,2,FALSE)&lt;=0,"",IF(VLOOKUP($A10,'détails investissements'!$A$26:$DE$43,CE$3-VLOOKUP($A10,'détails investissements'!$A$71:$B$88,2,FALSE)+1,FALSE)="","",VLOOKUP($A10,'détails investissements'!$A$26:$DE$43,CE$3-VLOOKUP($A10,'détails investissements'!$A$71:$B$88,2,FALSE)+1,FALSE))),'détails investissements'!$U$6:$AB$7,2,FALSE),"")&lt;&gt;"",VLOOKUP($A10,'détails investissements'!$A$7:$H$21,1+IF(IF(CE$3-VLOOKUP($A10,'détails investissements'!$A$71:$B$88,2,FALSE)&lt;=0,"",IF(VLOOKUP($A10,'détails investissements'!$A$26:$DE$43,CE$3-VLOOKUP($A10,'détails investissements'!$A$71:$B$88,2,FALSE)+1,FALSE)="","",VLOOKUP($A10,'détails investissements'!$A$26:$DE$43,CE$3-VLOOKUP($A10,'détails investissements'!$A$71:$B$88,2,FALSE)+1,FALSE)))&lt;&gt;"",HLOOKUP(IF(CE$3-VLOOKUP($A10,'détails investissements'!$A$71:$B$88,2,FALSE)&lt;=0,"",IF(VLOOKUP($A10,'détails investissements'!$A$26:$DE$43,CE$3-VLOOKUP($A10,'détails investissements'!$A$71:$B$88,2,FALSE)+1,FALSE)="","",VLOOKUP($A10,'détails investissements'!$A$26:$DE$43,CE$3-VLOOKUP($A10,'détails investissements'!$A$71:$B$88,2,FALSE)+1,FALSE))),'détails investissements'!$U$6:$AB$7,2,FALSE),""),FALSE),"")</f>
        <v/>
      </c>
      <c r="CF10" s="45" t="str">
        <f>IF(IF(IF(CF$3-VLOOKUP($A10,'détails investissements'!$A$71:$B$88,2,FALSE)&lt;=0,"",IF(VLOOKUP($A10,'détails investissements'!$A$26:$DE$43,CF$3-VLOOKUP($A10,'détails investissements'!$A$71:$B$88,2,FALSE)+1,FALSE)="","",VLOOKUP($A10,'détails investissements'!$A$26:$DE$43,CF$3-VLOOKUP($A10,'détails investissements'!$A$71:$B$88,2,FALSE)+1,FALSE)))&lt;&gt;"",HLOOKUP(IF(CF$3-VLOOKUP($A10,'détails investissements'!$A$71:$B$88,2,FALSE)&lt;=0,"",IF(VLOOKUP($A10,'détails investissements'!$A$26:$DE$43,CF$3-VLOOKUP($A10,'détails investissements'!$A$71:$B$88,2,FALSE)+1,FALSE)="","",VLOOKUP($A10,'détails investissements'!$A$26:$DE$43,CF$3-VLOOKUP($A10,'détails investissements'!$A$71:$B$88,2,FALSE)+1,FALSE))),'détails investissements'!$U$6:$AB$7,2,FALSE),"")&lt;&gt;"",VLOOKUP($A10,'détails investissements'!$A$7:$H$21,1+IF(IF(CF$3-VLOOKUP($A10,'détails investissements'!$A$71:$B$88,2,FALSE)&lt;=0,"",IF(VLOOKUP($A10,'détails investissements'!$A$26:$DE$43,CF$3-VLOOKUP($A10,'détails investissements'!$A$71:$B$88,2,FALSE)+1,FALSE)="","",VLOOKUP($A10,'détails investissements'!$A$26:$DE$43,CF$3-VLOOKUP($A10,'détails investissements'!$A$71:$B$88,2,FALSE)+1,FALSE)))&lt;&gt;"",HLOOKUP(IF(CF$3-VLOOKUP($A10,'détails investissements'!$A$71:$B$88,2,FALSE)&lt;=0,"",IF(VLOOKUP($A10,'détails investissements'!$A$26:$DE$43,CF$3-VLOOKUP($A10,'détails investissements'!$A$71:$B$88,2,FALSE)+1,FALSE)="","",VLOOKUP($A10,'détails investissements'!$A$26:$DE$43,CF$3-VLOOKUP($A10,'détails investissements'!$A$71:$B$88,2,FALSE)+1,FALSE))),'détails investissements'!$U$6:$AB$7,2,FALSE),""),FALSE),"")</f>
        <v/>
      </c>
      <c r="CG10" s="45" t="str">
        <f>IF(IF(IF(CG$3-VLOOKUP($A10,'détails investissements'!$A$71:$B$88,2,FALSE)&lt;=0,"",IF(VLOOKUP($A10,'détails investissements'!$A$26:$DE$43,CG$3-VLOOKUP($A10,'détails investissements'!$A$71:$B$88,2,FALSE)+1,FALSE)="","",VLOOKUP($A10,'détails investissements'!$A$26:$DE$43,CG$3-VLOOKUP($A10,'détails investissements'!$A$71:$B$88,2,FALSE)+1,FALSE)))&lt;&gt;"",HLOOKUP(IF(CG$3-VLOOKUP($A10,'détails investissements'!$A$71:$B$88,2,FALSE)&lt;=0,"",IF(VLOOKUP($A10,'détails investissements'!$A$26:$DE$43,CG$3-VLOOKUP($A10,'détails investissements'!$A$71:$B$88,2,FALSE)+1,FALSE)="","",VLOOKUP($A10,'détails investissements'!$A$26:$DE$43,CG$3-VLOOKUP($A10,'détails investissements'!$A$71:$B$88,2,FALSE)+1,FALSE))),'détails investissements'!$U$6:$AB$7,2,FALSE),"")&lt;&gt;"",VLOOKUP($A10,'détails investissements'!$A$7:$H$21,1+IF(IF(CG$3-VLOOKUP($A10,'détails investissements'!$A$71:$B$88,2,FALSE)&lt;=0,"",IF(VLOOKUP($A10,'détails investissements'!$A$26:$DE$43,CG$3-VLOOKUP($A10,'détails investissements'!$A$71:$B$88,2,FALSE)+1,FALSE)="","",VLOOKUP($A10,'détails investissements'!$A$26:$DE$43,CG$3-VLOOKUP($A10,'détails investissements'!$A$71:$B$88,2,FALSE)+1,FALSE)))&lt;&gt;"",HLOOKUP(IF(CG$3-VLOOKUP($A10,'détails investissements'!$A$71:$B$88,2,FALSE)&lt;=0,"",IF(VLOOKUP($A10,'détails investissements'!$A$26:$DE$43,CG$3-VLOOKUP($A10,'détails investissements'!$A$71:$B$88,2,FALSE)+1,FALSE)="","",VLOOKUP($A10,'détails investissements'!$A$26:$DE$43,CG$3-VLOOKUP($A10,'détails investissements'!$A$71:$B$88,2,FALSE)+1,FALSE))),'détails investissements'!$U$6:$AB$7,2,FALSE),""),FALSE),"")</f>
        <v/>
      </c>
      <c r="CH10" s="45" t="str">
        <f>IF(IF(IF(CH$3-VLOOKUP($A10,'détails investissements'!$A$71:$B$88,2,FALSE)&lt;=0,"",IF(VLOOKUP($A10,'détails investissements'!$A$26:$DE$43,CH$3-VLOOKUP($A10,'détails investissements'!$A$71:$B$88,2,FALSE)+1,FALSE)="","",VLOOKUP($A10,'détails investissements'!$A$26:$DE$43,CH$3-VLOOKUP($A10,'détails investissements'!$A$71:$B$88,2,FALSE)+1,FALSE)))&lt;&gt;"",HLOOKUP(IF(CH$3-VLOOKUP($A10,'détails investissements'!$A$71:$B$88,2,FALSE)&lt;=0,"",IF(VLOOKUP($A10,'détails investissements'!$A$26:$DE$43,CH$3-VLOOKUP($A10,'détails investissements'!$A$71:$B$88,2,FALSE)+1,FALSE)="","",VLOOKUP($A10,'détails investissements'!$A$26:$DE$43,CH$3-VLOOKUP($A10,'détails investissements'!$A$71:$B$88,2,FALSE)+1,FALSE))),'détails investissements'!$U$6:$AB$7,2,FALSE),"")&lt;&gt;"",VLOOKUP($A10,'détails investissements'!$A$7:$H$21,1+IF(IF(CH$3-VLOOKUP($A10,'détails investissements'!$A$71:$B$88,2,FALSE)&lt;=0,"",IF(VLOOKUP($A10,'détails investissements'!$A$26:$DE$43,CH$3-VLOOKUP($A10,'détails investissements'!$A$71:$B$88,2,FALSE)+1,FALSE)="","",VLOOKUP($A10,'détails investissements'!$A$26:$DE$43,CH$3-VLOOKUP($A10,'détails investissements'!$A$71:$B$88,2,FALSE)+1,FALSE)))&lt;&gt;"",HLOOKUP(IF(CH$3-VLOOKUP($A10,'détails investissements'!$A$71:$B$88,2,FALSE)&lt;=0,"",IF(VLOOKUP($A10,'détails investissements'!$A$26:$DE$43,CH$3-VLOOKUP($A10,'détails investissements'!$A$71:$B$88,2,FALSE)+1,FALSE)="","",VLOOKUP($A10,'détails investissements'!$A$26:$DE$43,CH$3-VLOOKUP($A10,'détails investissements'!$A$71:$B$88,2,FALSE)+1,FALSE))),'détails investissements'!$U$6:$AB$7,2,FALSE),""),FALSE),"")</f>
        <v/>
      </c>
      <c r="CI10" s="45" t="str">
        <f>IF(IF(IF(CI$3-VLOOKUP($A10,'détails investissements'!$A$71:$B$88,2,FALSE)&lt;=0,"",IF(VLOOKUP($A10,'détails investissements'!$A$26:$DE$43,CI$3-VLOOKUP($A10,'détails investissements'!$A$71:$B$88,2,FALSE)+1,FALSE)="","",VLOOKUP($A10,'détails investissements'!$A$26:$DE$43,CI$3-VLOOKUP($A10,'détails investissements'!$A$71:$B$88,2,FALSE)+1,FALSE)))&lt;&gt;"",HLOOKUP(IF(CI$3-VLOOKUP($A10,'détails investissements'!$A$71:$B$88,2,FALSE)&lt;=0,"",IF(VLOOKUP($A10,'détails investissements'!$A$26:$DE$43,CI$3-VLOOKUP($A10,'détails investissements'!$A$71:$B$88,2,FALSE)+1,FALSE)="","",VLOOKUP($A10,'détails investissements'!$A$26:$DE$43,CI$3-VLOOKUP($A10,'détails investissements'!$A$71:$B$88,2,FALSE)+1,FALSE))),'détails investissements'!$U$6:$AB$7,2,FALSE),"")&lt;&gt;"",VLOOKUP($A10,'détails investissements'!$A$7:$H$21,1+IF(IF(CI$3-VLOOKUP($A10,'détails investissements'!$A$71:$B$88,2,FALSE)&lt;=0,"",IF(VLOOKUP($A10,'détails investissements'!$A$26:$DE$43,CI$3-VLOOKUP($A10,'détails investissements'!$A$71:$B$88,2,FALSE)+1,FALSE)="","",VLOOKUP($A10,'détails investissements'!$A$26:$DE$43,CI$3-VLOOKUP($A10,'détails investissements'!$A$71:$B$88,2,FALSE)+1,FALSE)))&lt;&gt;"",HLOOKUP(IF(CI$3-VLOOKUP($A10,'détails investissements'!$A$71:$B$88,2,FALSE)&lt;=0,"",IF(VLOOKUP($A10,'détails investissements'!$A$26:$DE$43,CI$3-VLOOKUP($A10,'détails investissements'!$A$71:$B$88,2,FALSE)+1,FALSE)="","",VLOOKUP($A10,'détails investissements'!$A$26:$DE$43,CI$3-VLOOKUP($A10,'détails investissements'!$A$71:$B$88,2,FALSE)+1,FALSE))),'détails investissements'!$U$6:$AB$7,2,FALSE),""),FALSE),"")</f>
        <v/>
      </c>
      <c r="CJ10" s="45" t="str">
        <f>IF(IF(IF(CJ$3-VLOOKUP($A10,'détails investissements'!$A$71:$B$88,2,FALSE)&lt;=0,"",IF(VLOOKUP($A10,'détails investissements'!$A$26:$DE$43,CJ$3-VLOOKUP($A10,'détails investissements'!$A$71:$B$88,2,FALSE)+1,FALSE)="","",VLOOKUP($A10,'détails investissements'!$A$26:$DE$43,CJ$3-VLOOKUP($A10,'détails investissements'!$A$71:$B$88,2,FALSE)+1,FALSE)))&lt;&gt;"",HLOOKUP(IF(CJ$3-VLOOKUP($A10,'détails investissements'!$A$71:$B$88,2,FALSE)&lt;=0,"",IF(VLOOKUP($A10,'détails investissements'!$A$26:$DE$43,CJ$3-VLOOKUP($A10,'détails investissements'!$A$71:$B$88,2,FALSE)+1,FALSE)="","",VLOOKUP($A10,'détails investissements'!$A$26:$DE$43,CJ$3-VLOOKUP($A10,'détails investissements'!$A$71:$B$88,2,FALSE)+1,FALSE))),'détails investissements'!$U$6:$AB$7,2,FALSE),"")&lt;&gt;"",VLOOKUP($A10,'détails investissements'!$A$7:$H$21,1+IF(IF(CJ$3-VLOOKUP($A10,'détails investissements'!$A$71:$B$88,2,FALSE)&lt;=0,"",IF(VLOOKUP($A10,'détails investissements'!$A$26:$DE$43,CJ$3-VLOOKUP($A10,'détails investissements'!$A$71:$B$88,2,FALSE)+1,FALSE)="","",VLOOKUP($A10,'détails investissements'!$A$26:$DE$43,CJ$3-VLOOKUP($A10,'détails investissements'!$A$71:$B$88,2,FALSE)+1,FALSE)))&lt;&gt;"",HLOOKUP(IF(CJ$3-VLOOKUP($A10,'détails investissements'!$A$71:$B$88,2,FALSE)&lt;=0,"",IF(VLOOKUP($A10,'détails investissements'!$A$26:$DE$43,CJ$3-VLOOKUP($A10,'détails investissements'!$A$71:$B$88,2,FALSE)+1,FALSE)="","",VLOOKUP($A10,'détails investissements'!$A$26:$DE$43,CJ$3-VLOOKUP($A10,'détails investissements'!$A$71:$B$88,2,FALSE)+1,FALSE))),'détails investissements'!$U$6:$AB$7,2,FALSE),""),FALSE),"")</f>
        <v/>
      </c>
      <c r="CK10" s="45" t="str">
        <f>IF(IF(IF(CK$3-VLOOKUP($A10,'détails investissements'!$A$71:$B$88,2,FALSE)&lt;=0,"",IF(VLOOKUP($A10,'détails investissements'!$A$26:$DE$43,CK$3-VLOOKUP($A10,'détails investissements'!$A$71:$B$88,2,FALSE)+1,FALSE)="","",VLOOKUP($A10,'détails investissements'!$A$26:$DE$43,CK$3-VLOOKUP($A10,'détails investissements'!$A$71:$B$88,2,FALSE)+1,FALSE)))&lt;&gt;"",HLOOKUP(IF(CK$3-VLOOKUP($A10,'détails investissements'!$A$71:$B$88,2,FALSE)&lt;=0,"",IF(VLOOKUP($A10,'détails investissements'!$A$26:$DE$43,CK$3-VLOOKUP($A10,'détails investissements'!$A$71:$B$88,2,FALSE)+1,FALSE)="","",VLOOKUP($A10,'détails investissements'!$A$26:$DE$43,CK$3-VLOOKUP($A10,'détails investissements'!$A$71:$B$88,2,FALSE)+1,FALSE))),'détails investissements'!$U$6:$AB$7,2,FALSE),"")&lt;&gt;"",VLOOKUP($A10,'détails investissements'!$A$7:$H$21,1+IF(IF(CK$3-VLOOKUP($A10,'détails investissements'!$A$71:$B$88,2,FALSE)&lt;=0,"",IF(VLOOKUP($A10,'détails investissements'!$A$26:$DE$43,CK$3-VLOOKUP($A10,'détails investissements'!$A$71:$B$88,2,FALSE)+1,FALSE)="","",VLOOKUP($A10,'détails investissements'!$A$26:$DE$43,CK$3-VLOOKUP($A10,'détails investissements'!$A$71:$B$88,2,FALSE)+1,FALSE)))&lt;&gt;"",HLOOKUP(IF(CK$3-VLOOKUP($A10,'détails investissements'!$A$71:$B$88,2,FALSE)&lt;=0,"",IF(VLOOKUP($A10,'détails investissements'!$A$26:$DE$43,CK$3-VLOOKUP($A10,'détails investissements'!$A$71:$B$88,2,FALSE)+1,FALSE)="","",VLOOKUP($A10,'détails investissements'!$A$26:$DE$43,CK$3-VLOOKUP($A10,'détails investissements'!$A$71:$B$88,2,FALSE)+1,FALSE))),'détails investissements'!$U$6:$AB$7,2,FALSE),""),FALSE),"")</f>
        <v/>
      </c>
      <c r="CL10" s="45" t="str">
        <f>IF(IF(IF(CL$3-VLOOKUP($A10,'détails investissements'!$A$71:$B$88,2,FALSE)&lt;=0,"",IF(VLOOKUP($A10,'détails investissements'!$A$26:$DE$43,CL$3-VLOOKUP($A10,'détails investissements'!$A$71:$B$88,2,FALSE)+1,FALSE)="","",VLOOKUP($A10,'détails investissements'!$A$26:$DE$43,CL$3-VLOOKUP($A10,'détails investissements'!$A$71:$B$88,2,FALSE)+1,FALSE)))&lt;&gt;"",HLOOKUP(IF(CL$3-VLOOKUP($A10,'détails investissements'!$A$71:$B$88,2,FALSE)&lt;=0,"",IF(VLOOKUP($A10,'détails investissements'!$A$26:$DE$43,CL$3-VLOOKUP($A10,'détails investissements'!$A$71:$B$88,2,FALSE)+1,FALSE)="","",VLOOKUP($A10,'détails investissements'!$A$26:$DE$43,CL$3-VLOOKUP($A10,'détails investissements'!$A$71:$B$88,2,FALSE)+1,FALSE))),'détails investissements'!$U$6:$AB$7,2,FALSE),"")&lt;&gt;"",VLOOKUP($A10,'détails investissements'!$A$7:$H$21,1+IF(IF(CL$3-VLOOKUP($A10,'détails investissements'!$A$71:$B$88,2,FALSE)&lt;=0,"",IF(VLOOKUP($A10,'détails investissements'!$A$26:$DE$43,CL$3-VLOOKUP($A10,'détails investissements'!$A$71:$B$88,2,FALSE)+1,FALSE)="","",VLOOKUP($A10,'détails investissements'!$A$26:$DE$43,CL$3-VLOOKUP($A10,'détails investissements'!$A$71:$B$88,2,FALSE)+1,FALSE)))&lt;&gt;"",HLOOKUP(IF(CL$3-VLOOKUP($A10,'détails investissements'!$A$71:$B$88,2,FALSE)&lt;=0,"",IF(VLOOKUP($A10,'détails investissements'!$A$26:$DE$43,CL$3-VLOOKUP($A10,'détails investissements'!$A$71:$B$88,2,FALSE)+1,FALSE)="","",VLOOKUP($A10,'détails investissements'!$A$26:$DE$43,CL$3-VLOOKUP($A10,'détails investissements'!$A$71:$B$88,2,FALSE)+1,FALSE))),'détails investissements'!$U$6:$AB$7,2,FALSE),""),FALSE),"")</f>
        <v/>
      </c>
      <c r="CM10" s="45" t="str">
        <f>IF(IF(IF(CM$3-VLOOKUP($A10,'détails investissements'!$A$71:$B$88,2,FALSE)&lt;=0,"",IF(VLOOKUP($A10,'détails investissements'!$A$26:$DE$43,CM$3-VLOOKUP($A10,'détails investissements'!$A$71:$B$88,2,FALSE)+1,FALSE)="","",VLOOKUP($A10,'détails investissements'!$A$26:$DE$43,CM$3-VLOOKUP($A10,'détails investissements'!$A$71:$B$88,2,FALSE)+1,FALSE)))&lt;&gt;"",HLOOKUP(IF(CM$3-VLOOKUP($A10,'détails investissements'!$A$71:$B$88,2,FALSE)&lt;=0,"",IF(VLOOKUP($A10,'détails investissements'!$A$26:$DE$43,CM$3-VLOOKUP($A10,'détails investissements'!$A$71:$B$88,2,FALSE)+1,FALSE)="","",VLOOKUP($A10,'détails investissements'!$A$26:$DE$43,CM$3-VLOOKUP($A10,'détails investissements'!$A$71:$B$88,2,FALSE)+1,FALSE))),'détails investissements'!$U$6:$AB$7,2,FALSE),"")&lt;&gt;"",VLOOKUP($A10,'détails investissements'!$A$7:$H$21,1+IF(IF(CM$3-VLOOKUP($A10,'détails investissements'!$A$71:$B$88,2,FALSE)&lt;=0,"",IF(VLOOKUP($A10,'détails investissements'!$A$26:$DE$43,CM$3-VLOOKUP($A10,'détails investissements'!$A$71:$B$88,2,FALSE)+1,FALSE)="","",VLOOKUP($A10,'détails investissements'!$A$26:$DE$43,CM$3-VLOOKUP($A10,'détails investissements'!$A$71:$B$88,2,FALSE)+1,FALSE)))&lt;&gt;"",HLOOKUP(IF(CM$3-VLOOKUP($A10,'détails investissements'!$A$71:$B$88,2,FALSE)&lt;=0,"",IF(VLOOKUP($A10,'détails investissements'!$A$26:$DE$43,CM$3-VLOOKUP($A10,'détails investissements'!$A$71:$B$88,2,FALSE)+1,FALSE)="","",VLOOKUP($A10,'détails investissements'!$A$26:$DE$43,CM$3-VLOOKUP($A10,'détails investissements'!$A$71:$B$88,2,FALSE)+1,FALSE))),'détails investissements'!$U$6:$AB$7,2,FALSE),""),FALSE),"")</f>
        <v/>
      </c>
      <c r="CN10" s="45" t="str">
        <f>IF(IF(IF(CN$3-VLOOKUP($A10,'détails investissements'!$A$71:$B$88,2,FALSE)&lt;=0,"",IF(VLOOKUP($A10,'détails investissements'!$A$26:$DE$43,CN$3-VLOOKUP($A10,'détails investissements'!$A$71:$B$88,2,FALSE)+1,FALSE)="","",VLOOKUP($A10,'détails investissements'!$A$26:$DE$43,CN$3-VLOOKUP($A10,'détails investissements'!$A$71:$B$88,2,FALSE)+1,FALSE)))&lt;&gt;"",HLOOKUP(IF(CN$3-VLOOKUP($A10,'détails investissements'!$A$71:$B$88,2,FALSE)&lt;=0,"",IF(VLOOKUP($A10,'détails investissements'!$A$26:$DE$43,CN$3-VLOOKUP($A10,'détails investissements'!$A$71:$B$88,2,FALSE)+1,FALSE)="","",VLOOKUP($A10,'détails investissements'!$A$26:$DE$43,CN$3-VLOOKUP($A10,'détails investissements'!$A$71:$B$88,2,FALSE)+1,FALSE))),'détails investissements'!$U$6:$AB$7,2,FALSE),"")&lt;&gt;"",VLOOKUP($A10,'détails investissements'!$A$7:$H$21,1+IF(IF(CN$3-VLOOKUP($A10,'détails investissements'!$A$71:$B$88,2,FALSE)&lt;=0,"",IF(VLOOKUP($A10,'détails investissements'!$A$26:$DE$43,CN$3-VLOOKUP($A10,'détails investissements'!$A$71:$B$88,2,FALSE)+1,FALSE)="","",VLOOKUP($A10,'détails investissements'!$A$26:$DE$43,CN$3-VLOOKUP($A10,'détails investissements'!$A$71:$B$88,2,FALSE)+1,FALSE)))&lt;&gt;"",HLOOKUP(IF(CN$3-VLOOKUP($A10,'détails investissements'!$A$71:$B$88,2,FALSE)&lt;=0,"",IF(VLOOKUP($A10,'détails investissements'!$A$26:$DE$43,CN$3-VLOOKUP($A10,'détails investissements'!$A$71:$B$88,2,FALSE)+1,FALSE)="","",VLOOKUP($A10,'détails investissements'!$A$26:$DE$43,CN$3-VLOOKUP($A10,'détails investissements'!$A$71:$B$88,2,FALSE)+1,FALSE))),'détails investissements'!$U$6:$AB$7,2,FALSE),""),FALSE),"")</f>
        <v/>
      </c>
      <c r="CO10" s="45" t="str">
        <f>IF(IF(IF(CO$3-VLOOKUP($A10,'détails investissements'!$A$71:$B$88,2,FALSE)&lt;=0,"",IF(VLOOKUP($A10,'détails investissements'!$A$26:$DE$43,CO$3-VLOOKUP($A10,'détails investissements'!$A$71:$B$88,2,FALSE)+1,FALSE)="","",VLOOKUP($A10,'détails investissements'!$A$26:$DE$43,CO$3-VLOOKUP($A10,'détails investissements'!$A$71:$B$88,2,FALSE)+1,FALSE)))&lt;&gt;"",HLOOKUP(IF(CO$3-VLOOKUP($A10,'détails investissements'!$A$71:$B$88,2,FALSE)&lt;=0,"",IF(VLOOKUP($A10,'détails investissements'!$A$26:$DE$43,CO$3-VLOOKUP($A10,'détails investissements'!$A$71:$B$88,2,FALSE)+1,FALSE)="","",VLOOKUP($A10,'détails investissements'!$A$26:$DE$43,CO$3-VLOOKUP($A10,'détails investissements'!$A$71:$B$88,2,FALSE)+1,FALSE))),'détails investissements'!$U$6:$AB$7,2,FALSE),"")&lt;&gt;"",VLOOKUP($A10,'détails investissements'!$A$7:$H$21,1+IF(IF(CO$3-VLOOKUP($A10,'détails investissements'!$A$71:$B$88,2,FALSE)&lt;=0,"",IF(VLOOKUP($A10,'détails investissements'!$A$26:$DE$43,CO$3-VLOOKUP($A10,'détails investissements'!$A$71:$B$88,2,FALSE)+1,FALSE)="","",VLOOKUP($A10,'détails investissements'!$A$26:$DE$43,CO$3-VLOOKUP($A10,'détails investissements'!$A$71:$B$88,2,FALSE)+1,FALSE)))&lt;&gt;"",HLOOKUP(IF(CO$3-VLOOKUP($A10,'détails investissements'!$A$71:$B$88,2,FALSE)&lt;=0,"",IF(VLOOKUP($A10,'détails investissements'!$A$26:$DE$43,CO$3-VLOOKUP($A10,'détails investissements'!$A$71:$B$88,2,FALSE)+1,FALSE)="","",VLOOKUP($A10,'détails investissements'!$A$26:$DE$43,CO$3-VLOOKUP($A10,'détails investissements'!$A$71:$B$88,2,FALSE)+1,FALSE))),'détails investissements'!$U$6:$AB$7,2,FALSE),""),FALSE),"")</f>
        <v/>
      </c>
      <c r="CP10" s="45" t="str">
        <f>IF(IF(IF(CP$3-VLOOKUP($A10,'détails investissements'!$A$71:$B$88,2,FALSE)&lt;=0,"",IF(VLOOKUP($A10,'détails investissements'!$A$26:$DE$43,CP$3-VLOOKUP($A10,'détails investissements'!$A$71:$B$88,2,FALSE)+1,FALSE)="","",VLOOKUP($A10,'détails investissements'!$A$26:$DE$43,CP$3-VLOOKUP($A10,'détails investissements'!$A$71:$B$88,2,FALSE)+1,FALSE)))&lt;&gt;"",HLOOKUP(IF(CP$3-VLOOKUP($A10,'détails investissements'!$A$71:$B$88,2,FALSE)&lt;=0,"",IF(VLOOKUP($A10,'détails investissements'!$A$26:$DE$43,CP$3-VLOOKUP($A10,'détails investissements'!$A$71:$B$88,2,FALSE)+1,FALSE)="","",VLOOKUP($A10,'détails investissements'!$A$26:$DE$43,CP$3-VLOOKUP($A10,'détails investissements'!$A$71:$B$88,2,FALSE)+1,FALSE))),'détails investissements'!$U$6:$AB$7,2,FALSE),"")&lt;&gt;"",VLOOKUP($A10,'détails investissements'!$A$7:$H$21,1+IF(IF(CP$3-VLOOKUP($A10,'détails investissements'!$A$71:$B$88,2,FALSE)&lt;=0,"",IF(VLOOKUP($A10,'détails investissements'!$A$26:$DE$43,CP$3-VLOOKUP($A10,'détails investissements'!$A$71:$B$88,2,FALSE)+1,FALSE)="","",VLOOKUP($A10,'détails investissements'!$A$26:$DE$43,CP$3-VLOOKUP($A10,'détails investissements'!$A$71:$B$88,2,FALSE)+1,FALSE)))&lt;&gt;"",HLOOKUP(IF(CP$3-VLOOKUP($A10,'détails investissements'!$A$71:$B$88,2,FALSE)&lt;=0,"",IF(VLOOKUP($A10,'détails investissements'!$A$26:$DE$43,CP$3-VLOOKUP($A10,'détails investissements'!$A$71:$B$88,2,FALSE)+1,FALSE)="","",VLOOKUP($A10,'détails investissements'!$A$26:$DE$43,CP$3-VLOOKUP($A10,'détails investissements'!$A$71:$B$88,2,FALSE)+1,FALSE))),'détails investissements'!$U$6:$AB$7,2,FALSE),""),FALSE),"")</f>
        <v/>
      </c>
      <c r="CQ10" s="45" t="str">
        <f>IF(IF(IF(CQ$3-VLOOKUP($A10,'détails investissements'!$A$71:$B$88,2,FALSE)&lt;=0,"",IF(VLOOKUP($A10,'détails investissements'!$A$26:$DE$43,CQ$3-VLOOKUP($A10,'détails investissements'!$A$71:$B$88,2,FALSE)+1,FALSE)="","",VLOOKUP($A10,'détails investissements'!$A$26:$DE$43,CQ$3-VLOOKUP($A10,'détails investissements'!$A$71:$B$88,2,FALSE)+1,FALSE)))&lt;&gt;"",HLOOKUP(IF(CQ$3-VLOOKUP($A10,'détails investissements'!$A$71:$B$88,2,FALSE)&lt;=0,"",IF(VLOOKUP($A10,'détails investissements'!$A$26:$DE$43,CQ$3-VLOOKUP($A10,'détails investissements'!$A$71:$B$88,2,FALSE)+1,FALSE)="","",VLOOKUP($A10,'détails investissements'!$A$26:$DE$43,CQ$3-VLOOKUP($A10,'détails investissements'!$A$71:$B$88,2,FALSE)+1,FALSE))),'détails investissements'!$U$6:$AB$7,2,FALSE),"")&lt;&gt;"",VLOOKUP($A10,'détails investissements'!$A$7:$H$21,1+IF(IF(CQ$3-VLOOKUP($A10,'détails investissements'!$A$71:$B$88,2,FALSE)&lt;=0,"",IF(VLOOKUP($A10,'détails investissements'!$A$26:$DE$43,CQ$3-VLOOKUP($A10,'détails investissements'!$A$71:$B$88,2,FALSE)+1,FALSE)="","",VLOOKUP($A10,'détails investissements'!$A$26:$DE$43,CQ$3-VLOOKUP($A10,'détails investissements'!$A$71:$B$88,2,FALSE)+1,FALSE)))&lt;&gt;"",HLOOKUP(IF(CQ$3-VLOOKUP($A10,'détails investissements'!$A$71:$B$88,2,FALSE)&lt;=0,"",IF(VLOOKUP($A10,'détails investissements'!$A$26:$DE$43,CQ$3-VLOOKUP($A10,'détails investissements'!$A$71:$B$88,2,FALSE)+1,FALSE)="","",VLOOKUP($A10,'détails investissements'!$A$26:$DE$43,CQ$3-VLOOKUP($A10,'détails investissements'!$A$71:$B$88,2,FALSE)+1,FALSE))),'détails investissements'!$U$6:$AB$7,2,FALSE),""),FALSE),"")</f>
        <v/>
      </c>
      <c r="CR10" s="45" t="str">
        <f>IF(IF(IF(CR$3-VLOOKUP($A10,'détails investissements'!$A$71:$B$88,2,FALSE)&lt;=0,"",IF(VLOOKUP($A10,'détails investissements'!$A$26:$DE$43,CR$3-VLOOKUP($A10,'détails investissements'!$A$71:$B$88,2,FALSE)+1,FALSE)="","",VLOOKUP($A10,'détails investissements'!$A$26:$DE$43,CR$3-VLOOKUP($A10,'détails investissements'!$A$71:$B$88,2,FALSE)+1,FALSE)))&lt;&gt;"",HLOOKUP(IF(CR$3-VLOOKUP($A10,'détails investissements'!$A$71:$B$88,2,FALSE)&lt;=0,"",IF(VLOOKUP($A10,'détails investissements'!$A$26:$DE$43,CR$3-VLOOKUP($A10,'détails investissements'!$A$71:$B$88,2,FALSE)+1,FALSE)="","",VLOOKUP($A10,'détails investissements'!$A$26:$DE$43,CR$3-VLOOKUP($A10,'détails investissements'!$A$71:$B$88,2,FALSE)+1,FALSE))),'détails investissements'!$U$6:$AB$7,2,FALSE),"")&lt;&gt;"",VLOOKUP($A10,'détails investissements'!$A$7:$H$21,1+IF(IF(CR$3-VLOOKUP($A10,'détails investissements'!$A$71:$B$88,2,FALSE)&lt;=0,"",IF(VLOOKUP($A10,'détails investissements'!$A$26:$DE$43,CR$3-VLOOKUP($A10,'détails investissements'!$A$71:$B$88,2,FALSE)+1,FALSE)="","",VLOOKUP($A10,'détails investissements'!$A$26:$DE$43,CR$3-VLOOKUP($A10,'détails investissements'!$A$71:$B$88,2,FALSE)+1,FALSE)))&lt;&gt;"",HLOOKUP(IF(CR$3-VLOOKUP($A10,'détails investissements'!$A$71:$B$88,2,FALSE)&lt;=0,"",IF(VLOOKUP($A10,'détails investissements'!$A$26:$DE$43,CR$3-VLOOKUP($A10,'détails investissements'!$A$71:$B$88,2,FALSE)+1,FALSE)="","",VLOOKUP($A10,'détails investissements'!$A$26:$DE$43,CR$3-VLOOKUP($A10,'détails investissements'!$A$71:$B$88,2,FALSE)+1,FALSE))),'détails investissements'!$U$6:$AB$7,2,FALSE),""),FALSE),"")</f>
        <v/>
      </c>
      <c r="CS10" s="45" t="str">
        <f>IF(IF(IF(CS$3-VLOOKUP($A10,'détails investissements'!$A$71:$B$88,2,FALSE)&lt;=0,"",IF(VLOOKUP($A10,'détails investissements'!$A$26:$DE$43,CS$3-VLOOKUP($A10,'détails investissements'!$A$71:$B$88,2,FALSE)+1,FALSE)="","",VLOOKUP($A10,'détails investissements'!$A$26:$DE$43,CS$3-VLOOKUP($A10,'détails investissements'!$A$71:$B$88,2,FALSE)+1,FALSE)))&lt;&gt;"",HLOOKUP(IF(CS$3-VLOOKUP($A10,'détails investissements'!$A$71:$B$88,2,FALSE)&lt;=0,"",IF(VLOOKUP($A10,'détails investissements'!$A$26:$DE$43,CS$3-VLOOKUP($A10,'détails investissements'!$A$71:$B$88,2,FALSE)+1,FALSE)="","",VLOOKUP($A10,'détails investissements'!$A$26:$DE$43,CS$3-VLOOKUP($A10,'détails investissements'!$A$71:$B$88,2,FALSE)+1,FALSE))),'détails investissements'!$U$6:$AB$7,2,FALSE),"")&lt;&gt;"",VLOOKUP($A10,'détails investissements'!$A$7:$H$21,1+IF(IF(CS$3-VLOOKUP($A10,'détails investissements'!$A$71:$B$88,2,FALSE)&lt;=0,"",IF(VLOOKUP($A10,'détails investissements'!$A$26:$DE$43,CS$3-VLOOKUP($A10,'détails investissements'!$A$71:$B$88,2,FALSE)+1,FALSE)="","",VLOOKUP($A10,'détails investissements'!$A$26:$DE$43,CS$3-VLOOKUP($A10,'détails investissements'!$A$71:$B$88,2,FALSE)+1,FALSE)))&lt;&gt;"",HLOOKUP(IF(CS$3-VLOOKUP($A10,'détails investissements'!$A$71:$B$88,2,FALSE)&lt;=0,"",IF(VLOOKUP($A10,'détails investissements'!$A$26:$DE$43,CS$3-VLOOKUP($A10,'détails investissements'!$A$71:$B$88,2,FALSE)+1,FALSE)="","",VLOOKUP($A10,'détails investissements'!$A$26:$DE$43,CS$3-VLOOKUP($A10,'détails investissements'!$A$71:$B$88,2,FALSE)+1,FALSE))),'détails investissements'!$U$6:$AB$7,2,FALSE),""),FALSE),"")</f>
        <v/>
      </c>
      <c r="CT10" s="45" t="str">
        <f>IF(IF(IF(CT$3-VLOOKUP($A10,'détails investissements'!$A$71:$B$88,2,FALSE)&lt;=0,"",IF(VLOOKUP($A10,'détails investissements'!$A$26:$DE$43,CT$3-VLOOKUP($A10,'détails investissements'!$A$71:$B$88,2,FALSE)+1,FALSE)="","",VLOOKUP($A10,'détails investissements'!$A$26:$DE$43,CT$3-VLOOKUP($A10,'détails investissements'!$A$71:$B$88,2,FALSE)+1,FALSE)))&lt;&gt;"",HLOOKUP(IF(CT$3-VLOOKUP($A10,'détails investissements'!$A$71:$B$88,2,FALSE)&lt;=0,"",IF(VLOOKUP($A10,'détails investissements'!$A$26:$DE$43,CT$3-VLOOKUP($A10,'détails investissements'!$A$71:$B$88,2,FALSE)+1,FALSE)="","",VLOOKUP($A10,'détails investissements'!$A$26:$DE$43,CT$3-VLOOKUP($A10,'détails investissements'!$A$71:$B$88,2,FALSE)+1,FALSE))),'détails investissements'!$U$6:$AB$7,2,FALSE),"")&lt;&gt;"",VLOOKUP($A10,'détails investissements'!$A$7:$H$21,1+IF(IF(CT$3-VLOOKUP($A10,'détails investissements'!$A$71:$B$88,2,FALSE)&lt;=0,"",IF(VLOOKUP($A10,'détails investissements'!$A$26:$DE$43,CT$3-VLOOKUP($A10,'détails investissements'!$A$71:$B$88,2,FALSE)+1,FALSE)="","",VLOOKUP($A10,'détails investissements'!$A$26:$DE$43,CT$3-VLOOKUP($A10,'détails investissements'!$A$71:$B$88,2,FALSE)+1,FALSE)))&lt;&gt;"",HLOOKUP(IF(CT$3-VLOOKUP($A10,'détails investissements'!$A$71:$B$88,2,FALSE)&lt;=0,"",IF(VLOOKUP($A10,'détails investissements'!$A$26:$DE$43,CT$3-VLOOKUP($A10,'détails investissements'!$A$71:$B$88,2,FALSE)+1,FALSE)="","",VLOOKUP($A10,'détails investissements'!$A$26:$DE$43,CT$3-VLOOKUP($A10,'détails investissements'!$A$71:$B$88,2,FALSE)+1,FALSE))),'détails investissements'!$U$6:$AB$7,2,FALSE),""),FALSE),"")</f>
        <v/>
      </c>
      <c r="CU10" s="45" t="str">
        <f>IF(IF(IF(CU$3-VLOOKUP($A10,'détails investissements'!$A$71:$B$88,2,FALSE)&lt;=0,"",IF(VLOOKUP($A10,'détails investissements'!$A$26:$DE$43,CU$3-VLOOKUP($A10,'détails investissements'!$A$71:$B$88,2,FALSE)+1,FALSE)="","",VLOOKUP($A10,'détails investissements'!$A$26:$DE$43,CU$3-VLOOKUP($A10,'détails investissements'!$A$71:$B$88,2,FALSE)+1,FALSE)))&lt;&gt;"",HLOOKUP(IF(CU$3-VLOOKUP($A10,'détails investissements'!$A$71:$B$88,2,FALSE)&lt;=0,"",IF(VLOOKUP($A10,'détails investissements'!$A$26:$DE$43,CU$3-VLOOKUP($A10,'détails investissements'!$A$71:$B$88,2,FALSE)+1,FALSE)="","",VLOOKUP($A10,'détails investissements'!$A$26:$DE$43,CU$3-VLOOKUP($A10,'détails investissements'!$A$71:$B$88,2,FALSE)+1,FALSE))),'détails investissements'!$U$6:$AB$7,2,FALSE),"")&lt;&gt;"",VLOOKUP($A10,'détails investissements'!$A$7:$H$21,1+IF(IF(CU$3-VLOOKUP($A10,'détails investissements'!$A$71:$B$88,2,FALSE)&lt;=0,"",IF(VLOOKUP($A10,'détails investissements'!$A$26:$DE$43,CU$3-VLOOKUP($A10,'détails investissements'!$A$71:$B$88,2,FALSE)+1,FALSE)="","",VLOOKUP($A10,'détails investissements'!$A$26:$DE$43,CU$3-VLOOKUP($A10,'détails investissements'!$A$71:$B$88,2,FALSE)+1,FALSE)))&lt;&gt;"",HLOOKUP(IF(CU$3-VLOOKUP($A10,'détails investissements'!$A$71:$B$88,2,FALSE)&lt;=0,"",IF(VLOOKUP($A10,'détails investissements'!$A$26:$DE$43,CU$3-VLOOKUP($A10,'détails investissements'!$A$71:$B$88,2,FALSE)+1,FALSE)="","",VLOOKUP($A10,'détails investissements'!$A$26:$DE$43,CU$3-VLOOKUP($A10,'détails investissements'!$A$71:$B$88,2,FALSE)+1,FALSE))),'détails investissements'!$U$6:$AB$7,2,FALSE),""),FALSE),"")</f>
        <v/>
      </c>
      <c r="CV10" s="45" t="str">
        <f>IF(IF(IF(CV$3-VLOOKUP($A10,'détails investissements'!$A$71:$B$88,2,FALSE)&lt;=0,"",IF(VLOOKUP($A10,'détails investissements'!$A$26:$DE$43,CV$3-VLOOKUP($A10,'détails investissements'!$A$71:$B$88,2,FALSE)+1,FALSE)="","",VLOOKUP($A10,'détails investissements'!$A$26:$DE$43,CV$3-VLOOKUP($A10,'détails investissements'!$A$71:$B$88,2,FALSE)+1,FALSE)))&lt;&gt;"",HLOOKUP(IF(CV$3-VLOOKUP($A10,'détails investissements'!$A$71:$B$88,2,FALSE)&lt;=0,"",IF(VLOOKUP($A10,'détails investissements'!$A$26:$DE$43,CV$3-VLOOKUP($A10,'détails investissements'!$A$71:$B$88,2,FALSE)+1,FALSE)="","",VLOOKUP($A10,'détails investissements'!$A$26:$DE$43,CV$3-VLOOKUP($A10,'détails investissements'!$A$71:$B$88,2,FALSE)+1,FALSE))),'détails investissements'!$U$6:$AB$7,2,FALSE),"")&lt;&gt;"",VLOOKUP($A10,'détails investissements'!$A$7:$H$21,1+IF(IF(CV$3-VLOOKUP($A10,'détails investissements'!$A$71:$B$88,2,FALSE)&lt;=0,"",IF(VLOOKUP($A10,'détails investissements'!$A$26:$DE$43,CV$3-VLOOKUP($A10,'détails investissements'!$A$71:$B$88,2,FALSE)+1,FALSE)="","",VLOOKUP($A10,'détails investissements'!$A$26:$DE$43,CV$3-VLOOKUP($A10,'détails investissements'!$A$71:$B$88,2,FALSE)+1,FALSE)))&lt;&gt;"",HLOOKUP(IF(CV$3-VLOOKUP($A10,'détails investissements'!$A$71:$B$88,2,FALSE)&lt;=0,"",IF(VLOOKUP($A10,'détails investissements'!$A$26:$DE$43,CV$3-VLOOKUP($A10,'détails investissements'!$A$71:$B$88,2,FALSE)+1,FALSE)="","",VLOOKUP($A10,'détails investissements'!$A$26:$DE$43,CV$3-VLOOKUP($A10,'détails investissements'!$A$71:$B$88,2,FALSE)+1,FALSE))),'détails investissements'!$U$6:$AB$7,2,FALSE),""),FALSE),"")</f>
        <v/>
      </c>
      <c r="CW10" s="45" t="str">
        <f>IF(IF(IF(CW$3-VLOOKUP($A10,'détails investissements'!$A$71:$B$88,2,FALSE)&lt;=0,"",IF(VLOOKUP($A10,'détails investissements'!$A$26:$DE$43,CW$3-VLOOKUP($A10,'détails investissements'!$A$71:$B$88,2,FALSE)+1,FALSE)="","",VLOOKUP($A10,'détails investissements'!$A$26:$DE$43,CW$3-VLOOKUP($A10,'détails investissements'!$A$71:$B$88,2,FALSE)+1,FALSE)))&lt;&gt;"",HLOOKUP(IF(CW$3-VLOOKUP($A10,'détails investissements'!$A$71:$B$88,2,FALSE)&lt;=0,"",IF(VLOOKUP($A10,'détails investissements'!$A$26:$DE$43,CW$3-VLOOKUP($A10,'détails investissements'!$A$71:$B$88,2,FALSE)+1,FALSE)="","",VLOOKUP($A10,'détails investissements'!$A$26:$DE$43,CW$3-VLOOKUP($A10,'détails investissements'!$A$71:$B$88,2,FALSE)+1,FALSE))),'détails investissements'!$U$6:$AB$7,2,FALSE),"")&lt;&gt;"",VLOOKUP($A10,'détails investissements'!$A$7:$H$21,1+IF(IF(CW$3-VLOOKUP($A10,'détails investissements'!$A$71:$B$88,2,FALSE)&lt;=0,"",IF(VLOOKUP($A10,'détails investissements'!$A$26:$DE$43,CW$3-VLOOKUP($A10,'détails investissements'!$A$71:$B$88,2,FALSE)+1,FALSE)="","",VLOOKUP($A10,'détails investissements'!$A$26:$DE$43,CW$3-VLOOKUP($A10,'détails investissements'!$A$71:$B$88,2,FALSE)+1,FALSE)))&lt;&gt;"",HLOOKUP(IF(CW$3-VLOOKUP($A10,'détails investissements'!$A$71:$B$88,2,FALSE)&lt;=0,"",IF(VLOOKUP($A10,'détails investissements'!$A$26:$DE$43,CW$3-VLOOKUP($A10,'détails investissements'!$A$71:$B$88,2,FALSE)+1,FALSE)="","",VLOOKUP($A10,'détails investissements'!$A$26:$DE$43,CW$3-VLOOKUP($A10,'détails investissements'!$A$71:$B$88,2,FALSE)+1,FALSE))),'détails investissements'!$U$6:$AB$7,2,FALSE),""),FALSE),"")</f>
        <v/>
      </c>
      <c r="CX10" s="45" t="str">
        <f>IF(IF(IF(CX$3-VLOOKUP($A10,'détails investissements'!$A$71:$B$88,2,FALSE)&lt;=0,"",IF(VLOOKUP($A10,'détails investissements'!$A$26:$DE$43,CX$3-VLOOKUP($A10,'détails investissements'!$A$71:$B$88,2,FALSE)+1,FALSE)="","",VLOOKUP($A10,'détails investissements'!$A$26:$DE$43,CX$3-VLOOKUP($A10,'détails investissements'!$A$71:$B$88,2,FALSE)+1,FALSE)))&lt;&gt;"",HLOOKUP(IF(CX$3-VLOOKUP($A10,'détails investissements'!$A$71:$B$88,2,FALSE)&lt;=0,"",IF(VLOOKUP($A10,'détails investissements'!$A$26:$DE$43,CX$3-VLOOKUP($A10,'détails investissements'!$A$71:$B$88,2,FALSE)+1,FALSE)="","",VLOOKUP($A10,'détails investissements'!$A$26:$DE$43,CX$3-VLOOKUP($A10,'détails investissements'!$A$71:$B$88,2,FALSE)+1,FALSE))),'détails investissements'!$U$6:$AB$7,2,FALSE),"")&lt;&gt;"",VLOOKUP($A10,'détails investissements'!$A$7:$H$21,1+IF(IF(CX$3-VLOOKUP($A10,'détails investissements'!$A$71:$B$88,2,FALSE)&lt;=0,"",IF(VLOOKUP($A10,'détails investissements'!$A$26:$DE$43,CX$3-VLOOKUP($A10,'détails investissements'!$A$71:$B$88,2,FALSE)+1,FALSE)="","",VLOOKUP($A10,'détails investissements'!$A$26:$DE$43,CX$3-VLOOKUP($A10,'détails investissements'!$A$71:$B$88,2,FALSE)+1,FALSE)))&lt;&gt;"",HLOOKUP(IF(CX$3-VLOOKUP($A10,'détails investissements'!$A$71:$B$88,2,FALSE)&lt;=0,"",IF(VLOOKUP($A10,'détails investissements'!$A$26:$DE$43,CX$3-VLOOKUP($A10,'détails investissements'!$A$71:$B$88,2,FALSE)+1,FALSE)="","",VLOOKUP($A10,'détails investissements'!$A$26:$DE$43,CX$3-VLOOKUP($A10,'détails investissements'!$A$71:$B$88,2,FALSE)+1,FALSE))),'détails investissements'!$U$6:$AB$7,2,FALSE),""),FALSE),"")</f>
        <v/>
      </c>
      <c r="CY10" s="45" t="str">
        <f>IF(IF(IF(CY$3-VLOOKUP($A10,'détails investissements'!$A$71:$B$88,2,FALSE)&lt;=0,"",IF(VLOOKUP($A10,'détails investissements'!$A$26:$DE$43,CY$3-VLOOKUP($A10,'détails investissements'!$A$71:$B$88,2,FALSE)+1,FALSE)="","",VLOOKUP($A10,'détails investissements'!$A$26:$DE$43,CY$3-VLOOKUP($A10,'détails investissements'!$A$71:$B$88,2,FALSE)+1,FALSE)))&lt;&gt;"",HLOOKUP(IF(CY$3-VLOOKUP($A10,'détails investissements'!$A$71:$B$88,2,FALSE)&lt;=0,"",IF(VLOOKUP($A10,'détails investissements'!$A$26:$DE$43,CY$3-VLOOKUP($A10,'détails investissements'!$A$71:$B$88,2,FALSE)+1,FALSE)="","",VLOOKUP($A10,'détails investissements'!$A$26:$DE$43,CY$3-VLOOKUP($A10,'détails investissements'!$A$71:$B$88,2,FALSE)+1,FALSE))),'détails investissements'!$U$6:$AB$7,2,FALSE),"")&lt;&gt;"",VLOOKUP($A10,'détails investissements'!$A$7:$H$21,1+IF(IF(CY$3-VLOOKUP($A10,'détails investissements'!$A$71:$B$88,2,FALSE)&lt;=0,"",IF(VLOOKUP($A10,'détails investissements'!$A$26:$DE$43,CY$3-VLOOKUP($A10,'détails investissements'!$A$71:$B$88,2,FALSE)+1,FALSE)="","",VLOOKUP($A10,'détails investissements'!$A$26:$DE$43,CY$3-VLOOKUP($A10,'détails investissements'!$A$71:$B$88,2,FALSE)+1,FALSE)))&lt;&gt;"",HLOOKUP(IF(CY$3-VLOOKUP($A10,'détails investissements'!$A$71:$B$88,2,FALSE)&lt;=0,"",IF(VLOOKUP($A10,'détails investissements'!$A$26:$DE$43,CY$3-VLOOKUP($A10,'détails investissements'!$A$71:$B$88,2,FALSE)+1,FALSE)="","",VLOOKUP($A10,'détails investissements'!$A$26:$DE$43,CY$3-VLOOKUP($A10,'détails investissements'!$A$71:$B$88,2,FALSE)+1,FALSE))),'détails investissements'!$U$6:$AB$7,2,FALSE),""),FALSE),"")</f>
        <v/>
      </c>
      <c r="CZ10" s="45" t="str">
        <f>IF(IF(IF(CZ$3-VLOOKUP($A10,'détails investissements'!$A$71:$B$88,2,FALSE)&lt;=0,"",IF(VLOOKUP($A10,'détails investissements'!$A$26:$DE$43,CZ$3-VLOOKUP($A10,'détails investissements'!$A$71:$B$88,2,FALSE)+1,FALSE)="","",VLOOKUP($A10,'détails investissements'!$A$26:$DE$43,CZ$3-VLOOKUP($A10,'détails investissements'!$A$71:$B$88,2,FALSE)+1,FALSE)))&lt;&gt;"",HLOOKUP(IF(CZ$3-VLOOKUP($A10,'détails investissements'!$A$71:$B$88,2,FALSE)&lt;=0,"",IF(VLOOKUP($A10,'détails investissements'!$A$26:$DE$43,CZ$3-VLOOKUP($A10,'détails investissements'!$A$71:$B$88,2,FALSE)+1,FALSE)="","",VLOOKUP($A10,'détails investissements'!$A$26:$DE$43,CZ$3-VLOOKUP($A10,'détails investissements'!$A$71:$B$88,2,FALSE)+1,FALSE))),'détails investissements'!$U$6:$AB$7,2,FALSE),"")&lt;&gt;"",VLOOKUP($A10,'détails investissements'!$A$7:$H$21,1+IF(IF(CZ$3-VLOOKUP($A10,'détails investissements'!$A$71:$B$88,2,FALSE)&lt;=0,"",IF(VLOOKUP($A10,'détails investissements'!$A$26:$DE$43,CZ$3-VLOOKUP($A10,'détails investissements'!$A$71:$B$88,2,FALSE)+1,FALSE)="","",VLOOKUP($A10,'détails investissements'!$A$26:$DE$43,CZ$3-VLOOKUP($A10,'détails investissements'!$A$71:$B$88,2,FALSE)+1,FALSE)))&lt;&gt;"",HLOOKUP(IF(CZ$3-VLOOKUP($A10,'détails investissements'!$A$71:$B$88,2,FALSE)&lt;=0,"",IF(VLOOKUP($A10,'détails investissements'!$A$26:$DE$43,CZ$3-VLOOKUP($A10,'détails investissements'!$A$71:$B$88,2,FALSE)+1,FALSE)="","",VLOOKUP($A10,'détails investissements'!$A$26:$DE$43,CZ$3-VLOOKUP($A10,'détails investissements'!$A$71:$B$88,2,FALSE)+1,FALSE))),'détails investissements'!$U$6:$AB$7,2,FALSE),""),FALSE),"")</f>
        <v/>
      </c>
      <c r="DA10" s="45" t="str">
        <f>IF(IF(IF(DA$3-VLOOKUP($A10,'détails investissements'!$A$71:$B$88,2,FALSE)&lt;=0,"",IF(VLOOKUP($A10,'détails investissements'!$A$26:$DE$43,DA$3-VLOOKUP($A10,'détails investissements'!$A$71:$B$88,2,FALSE)+1,FALSE)="","",VLOOKUP($A10,'détails investissements'!$A$26:$DE$43,DA$3-VLOOKUP($A10,'détails investissements'!$A$71:$B$88,2,FALSE)+1,FALSE)))&lt;&gt;"",HLOOKUP(IF(DA$3-VLOOKUP($A10,'détails investissements'!$A$71:$B$88,2,FALSE)&lt;=0,"",IF(VLOOKUP($A10,'détails investissements'!$A$26:$DE$43,DA$3-VLOOKUP($A10,'détails investissements'!$A$71:$B$88,2,FALSE)+1,FALSE)="","",VLOOKUP($A10,'détails investissements'!$A$26:$DE$43,DA$3-VLOOKUP($A10,'détails investissements'!$A$71:$B$88,2,FALSE)+1,FALSE))),'détails investissements'!$U$6:$AB$7,2,FALSE),"")&lt;&gt;"",VLOOKUP($A10,'détails investissements'!$A$7:$H$21,1+IF(IF(DA$3-VLOOKUP($A10,'détails investissements'!$A$71:$B$88,2,FALSE)&lt;=0,"",IF(VLOOKUP($A10,'détails investissements'!$A$26:$DE$43,DA$3-VLOOKUP($A10,'détails investissements'!$A$71:$B$88,2,FALSE)+1,FALSE)="","",VLOOKUP($A10,'détails investissements'!$A$26:$DE$43,DA$3-VLOOKUP($A10,'détails investissements'!$A$71:$B$88,2,FALSE)+1,FALSE)))&lt;&gt;"",HLOOKUP(IF(DA$3-VLOOKUP($A10,'détails investissements'!$A$71:$B$88,2,FALSE)&lt;=0,"",IF(VLOOKUP($A10,'détails investissements'!$A$26:$DE$43,DA$3-VLOOKUP($A10,'détails investissements'!$A$71:$B$88,2,FALSE)+1,FALSE)="","",VLOOKUP($A10,'détails investissements'!$A$26:$DE$43,DA$3-VLOOKUP($A10,'détails investissements'!$A$71:$B$88,2,FALSE)+1,FALSE))),'détails investissements'!$U$6:$AB$7,2,FALSE),""),FALSE),"")</f>
        <v/>
      </c>
      <c r="DB10" s="45" t="str">
        <f>IF(IF(IF(DB$3-VLOOKUP($A10,'détails investissements'!$A$71:$B$88,2,FALSE)&lt;=0,"",IF(VLOOKUP($A10,'détails investissements'!$A$26:$DE$43,DB$3-VLOOKUP($A10,'détails investissements'!$A$71:$B$88,2,FALSE)+1,FALSE)="","",VLOOKUP($A10,'détails investissements'!$A$26:$DE$43,DB$3-VLOOKUP($A10,'détails investissements'!$A$71:$B$88,2,FALSE)+1,FALSE)))&lt;&gt;"",HLOOKUP(IF(DB$3-VLOOKUP($A10,'détails investissements'!$A$71:$B$88,2,FALSE)&lt;=0,"",IF(VLOOKUP($A10,'détails investissements'!$A$26:$DE$43,DB$3-VLOOKUP($A10,'détails investissements'!$A$71:$B$88,2,FALSE)+1,FALSE)="","",VLOOKUP($A10,'détails investissements'!$A$26:$DE$43,DB$3-VLOOKUP($A10,'détails investissements'!$A$71:$B$88,2,FALSE)+1,FALSE))),'détails investissements'!$U$6:$AB$7,2,FALSE),"")&lt;&gt;"",VLOOKUP($A10,'détails investissements'!$A$7:$H$21,1+IF(IF(DB$3-VLOOKUP($A10,'détails investissements'!$A$71:$B$88,2,FALSE)&lt;=0,"",IF(VLOOKUP($A10,'détails investissements'!$A$26:$DE$43,DB$3-VLOOKUP($A10,'détails investissements'!$A$71:$B$88,2,FALSE)+1,FALSE)="","",VLOOKUP($A10,'détails investissements'!$A$26:$DE$43,DB$3-VLOOKUP($A10,'détails investissements'!$A$71:$B$88,2,FALSE)+1,FALSE)))&lt;&gt;"",HLOOKUP(IF(DB$3-VLOOKUP($A10,'détails investissements'!$A$71:$B$88,2,FALSE)&lt;=0,"",IF(VLOOKUP($A10,'détails investissements'!$A$26:$DE$43,DB$3-VLOOKUP($A10,'détails investissements'!$A$71:$B$88,2,FALSE)+1,FALSE)="","",VLOOKUP($A10,'détails investissements'!$A$26:$DE$43,DB$3-VLOOKUP($A10,'détails investissements'!$A$71:$B$88,2,FALSE)+1,FALSE))),'détails investissements'!$U$6:$AB$7,2,FALSE),""),FALSE),"")</f>
        <v/>
      </c>
      <c r="DC10" s="45" t="str">
        <f>IF(IF(IF(DC$3-VLOOKUP($A10,'détails investissements'!$A$71:$B$88,2,FALSE)&lt;=0,"",IF(VLOOKUP($A10,'détails investissements'!$A$26:$DE$43,DC$3-VLOOKUP($A10,'détails investissements'!$A$71:$B$88,2,FALSE)+1,FALSE)="","",VLOOKUP($A10,'détails investissements'!$A$26:$DE$43,DC$3-VLOOKUP($A10,'détails investissements'!$A$71:$B$88,2,FALSE)+1,FALSE)))&lt;&gt;"",HLOOKUP(IF(DC$3-VLOOKUP($A10,'détails investissements'!$A$71:$B$88,2,FALSE)&lt;=0,"",IF(VLOOKUP($A10,'détails investissements'!$A$26:$DE$43,DC$3-VLOOKUP($A10,'détails investissements'!$A$71:$B$88,2,FALSE)+1,FALSE)="","",VLOOKUP($A10,'détails investissements'!$A$26:$DE$43,DC$3-VLOOKUP($A10,'détails investissements'!$A$71:$B$88,2,FALSE)+1,FALSE))),'détails investissements'!$U$6:$AB$7,2,FALSE),"")&lt;&gt;"",VLOOKUP($A10,'détails investissements'!$A$7:$H$21,1+IF(IF(DC$3-VLOOKUP($A10,'détails investissements'!$A$71:$B$88,2,FALSE)&lt;=0,"",IF(VLOOKUP($A10,'détails investissements'!$A$26:$DE$43,DC$3-VLOOKUP($A10,'détails investissements'!$A$71:$B$88,2,FALSE)+1,FALSE)="","",VLOOKUP($A10,'détails investissements'!$A$26:$DE$43,DC$3-VLOOKUP($A10,'détails investissements'!$A$71:$B$88,2,FALSE)+1,FALSE)))&lt;&gt;"",HLOOKUP(IF(DC$3-VLOOKUP($A10,'détails investissements'!$A$71:$B$88,2,FALSE)&lt;=0,"",IF(VLOOKUP($A10,'détails investissements'!$A$26:$DE$43,DC$3-VLOOKUP($A10,'détails investissements'!$A$71:$B$88,2,FALSE)+1,FALSE)="","",VLOOKUP($A10,'détails investissements'!$A$26:$DE$43,DC$3-VLOOKUP($A10,'détails investissements'!$A$71:$B$88,2,FALSE)+1,FALSE))),'détails investissements'!$U$6:$AB$7,2,FALSE),""),FALSE),"")</f>
        <v/>
      </c>
      <c r="DD10" s="45" t="str">
        <f>IF(IF(IF(DD$3-VLOOKUP($A10,'détails investissements'!$A$71:$B$88,2,FALSE)&lt;=0,"",IF(VLOOKUP($A10,'détails investissements'!$A$26:$DE$43,DD$3-VLOOKUP($A10,'détails investissements'!$A$71:$B$88,2,FALSE)+1,FALSE)="","",VLOOKUP($A10,'détails investissements'!$A$26:$DE$43,DD$3-VLOOKUP($A10,'détails investissements'!$A$71:$B$88,2,FALSE)+1,FALSE)))&lt;&gt;"",HLOOKUP(IF(DD$3-VLOOKUP($A10,'détails investissements'!$A$71:$B$88,2,FALSE)&lt;=0,"",IF(VLOOKUP($A10,'détails investissements'!$A$26:$DE$43,DD$3-VLOOKUP($A10,'détails investissements'!$A$71:$B$88,2,FALSE)+1,FALSE)="","",VLOOKUP($A10,'détails investissements'!$A$26:$DE$43,DD$3-VLOOKUP($A10,'détails investissements'!$A$71:$B$88,2,FALSE)+1,FALSE))),'détails investissements'!$U$6:$AB$7,2,FALSE),"")&lt;&gt;"",VLOOKUP($A10,'détails investissements'!$A$7:$H$21,1+IF(IF(DD$3-VLOOKUP($A10,'détails investissements'!$A$71:$B$88,2,FALSE)&lt;=0,"",IF(VLOOKUP($A10,'détails investissements'!$A$26:$DE$43,DD$3-VLOOKUP($A10,'détails investissements'!$A$71:$B$88,2,FALSE)+1,FALSE)="","",VLOOKUP($A10,'détails investissements'!$A$26:$DE$43,DD$3-VLOOKUP($A10,'détails investissements'!$A$71:$B$88,2,FALSE)+1,FALSE)))&lt;&gt;"",HLOOKUP(IF(DD$3-VLOOKUP($A10,'détails investissements'!$A$71:$B$88,2,FALSE)&lt;=0,"",IF(VLOOKUP($A10,'détails investissements'!$A$26:$DE$43,DD$3-VLOOKUP($A10,'détails investissements'!$A$71:$B$88,2,FALSE)+1,FALSE)="","",VLOOKUP($A10,'détails investissements'!$A$26:$DE$43,DD$3-VLOOKUP($A10,'détails investissements'!$A$71:$B$88,2,FALSE)+1,FALSE))),'détails investissements'!$U$6:$AB$7,2,FALSE),""),FALSE),"")</f>
        <v/>
      </c>
      <c r="DE10" s="45" t="str">
        <f>IF(IF(IF(DE$3-VLOOKUP($A10,'détails investissements'!$A$71:$B$88,2,FALSE)&lt;=0,"",IF(VLOOKUP($A10,'détails investissements'!$A$26:$DE$43,DE$3-VLOOKUP($A10,'détails investissements'!$A$71:$B$88,2,FALSE)+1,FALSE)="","",VLOOKUP($A10,'détails investissements'!$A$26:$DE$43,DE$3-VLOOKUP($A10,'détails investissements'!$A$71:$B$88,2,FALSE)+1,FALSE)))&lt;&gt;"",HLOOKUP(IF(DE$3-VLOOKUP($A10,'détails investissements'!$A$71:$B$88,2,FALSE)&lt;=0,"",IF(VLOOKUP($A10,'détails investissements'!$A$26:$DE$43,DE$3-VLOOKUP($A10,'détails investissements'!$A$71:$B$88,2,FALSE)+1,FALSE)="","",VLOOKUP($A10,'détails investissements'!$A$26:$DE$43,DE$3-VLOOKUP($A10,'détails investissements'!$A$71:$B$88,2,FALSE)+1,FALSE))),'détails investissements'!$U$6:$AB$7,2,FALSE),"")&lt;&gt;"",VLOOKUP($A10,'détails investissements'!$A$7:$H$21,1+IF(IF(DE$3-VLOOKUP($A10,'détails investissements'!$A$71:$B$88,2,FALSE)&lt;=0,"",IF(VLOOKUP($A10,'détails investissements'!$A$26:$DE$43,DE$3-VLOOKUP($A10,'détails investissements'!$A$71:$B$88,2,FALSE)+1,FALSE)="","",VLOOKUP($A10,'détails investissements'!$A$26:$DE$43,DE$3-VLOOKUP($A10,'détails investissements'!$A$71:$B$88,2,FALSE)+1,FALSE)))&lt;&gt;"",HLOOKUP(IF(DE$3-VLOOKUP($A10,'détails investissements'!$A$71:$B$88,2,FALSE)&lt;=0,"",IF(VLOOKUP($A10,'détails investissements'!$A$26:$DE$43,DE$3-VLOOKUP($A10,'détails investissements'!$A$71:$B$88,2,FALSE)+1,FALSE)="","",VLOOKUP($A10,'détails investissements'!$A$26:$DE$43,DE$3-VLOOKUP($A10,'détails investissements'!$A$71:$B$88,2,FALSE)+1,FALSE))),'détails investissements'!$U$6:$AB$7,2,FALSE),""),FALSE),"")</f>
        <v/>
      </c>
      <c r="DF10" s="45" t="str">
        <f>IF(IF(IF(DF$3-VLOOKUP($A10,'détails investissements'!$A$71:$B$88,2,FALSE)&lt;=0,"",IF(VLOOKUP($A10,'détails investissements'!$A$26:$DE$43,DF$3-VLOOKUP($A10,'détails investissements'!$A$71:$B$88,2,FALSE)+1,FALSE)="","",VLOOKUP($A10,'détails investissements'!$A$26:$DE$43,DF$3-VLOOKUP($A10,'détails investissements'!$A$71:$B$88,2,FALSE)+1,FALSE)))&lt;&gt;"",HLOOKUP(IF(DF$3-VLOOKUP($A10,'détails investissements'!$A$71:$B$88,2,FALSE)&lt;=0,"",IF(VLOOKUP($A10,'détails investissements'!$A$26:$DE$43,DF$3-VLOOKUP($A10,'détails investissements'!$A$71:$B$88,2,FALSE)+1,FALSE)="","",VLOOKUP($A10,'détails investissements'!$A$26:$DE$43,DF$3-VLOOKUP($A10,'détails investissements'!$A$71:$B$88,2,FALSE)+1,FALSE))),'détails investissements'!$U$6:$AB$7,2,FALSE),"")&lt;&gt;"",VLOOKUP($A10,'détails investissements'!$A$7:$H$21,1+IF(IF(DF$3-VLOOKUP($A10,'détails investissements'!$A$71:$B$88,2,FALSE)&lt;=0,"",IF(VLOOKUP($A10,'détails investissements'!$A$26:$DE$43,DF$3-VLOOKUP($A10,'détails investissements'!$A$71:$B$88,2,FALSE)+1,FALSE)="","",VLOOKUP($A10,'détails investissements'!$A$26:$DE$43,DF$3-VLOOKUP($A10,'détails investissements'!$A$71:$B$88,2,FALSE)+1,FALSE)))&lt;&gt;"",HLOOKUP(IF(DF$3-VLOOKUP($A10,'détails investissements'!$A$71:$B$88,2,FALSE)&lt;=0,"",IF(VLOOKUP($A10,'détails investissements'!$A$26:$DE$43,DF$3-VLOOKUP($A10,'détails investissements'!$A$71:$B$88,2,FALSE)+1,FALSE)="","",VLOOKUP($A10,'détails investissements'!$A$26:$DE$43,DF$3-VLOOKUP($A10,'détails investissements'!$A$71:$B$88,2,FALSE)+1,FALSE))),'détails investissements'!$U$6:$AB$7,2,FALSE),""),FALSE),"")</f>
        <v/>
      </c>
      <c r="DG10">
        <f t="shared" si="0"/>
        <v>1</v>
      </c>
    </row>
    <row r="11" spans="1:111" x14ac:dyDescent="0.2">
      <c r="A11" s="15" t="str">
        <f>'[4]Données investissements'!A31</f>
        <v>Annexe VAR : outillage (scie)</v>
      </c>
      <c r="B11" s="23">
        <f>'détails investissements'!B99</f>
        <v>0.3</v>
      </c>
      <c r="C11" s="45" t="str">
        <f>IF(IF(IF(C$3-VLOOKUP($A11,'détails investissements'!$A$71:$B$88,2,FALSE)&lt;=0,"",IF(VLOOKUP($A11,'détails investissements'!$A$26:$DE$43,C$3-VLOOKUP($A11,'détails investissements'!$A$71:$B$88,2,FALSE)+1,FALSE)="","",VLOOKUP($A11,'détails investissements'!$A$26:$DE$43,C$3-VLOOKUP($A11,'détails investissements'!$A$71:$B$88,2,FALSE)+1,FALSE)))&lt;&gt;"",HLOOKUP(IF(C$3-VLOOKUP($A11,'détails investissements'!$A$71:$B$88,2,FALSE)&lt;=0,"",IF(VLOOKUP($A11,'détails investissements'!$A$26:$DE$43,C$3-VLOOKUP($A11,'détails investissements'!$A$71:$B$88,2,FALSE)+1,FALSE)="","",VLOOKUP($A11,'détails investissements'!$A$26:$DE$43,C$3-VLOOKUP($A11,'détails investissements'!$A$71:$B$88,2,FALSE)+1,FALSE))),'détails investissements'!$U$6:$AB$7,2,FALSE),"")&lt;&gt;"",VLOOKUP($A11,'détails investissements'!$A$7:$H$21,1+IF(IF(C$3-VLOOKUP($A11,'détails investissements'!$A$71:$B$88,2,FALSE)&lt;=0,"",IF(VLOOKUP($A11,'détails investissements'!$A$26:$DE$43,C$3-VLOOKUP($A11,'détails investissements'!$A$71:$B$88,2,FALSE)+1,FALSE)="","",VLOOKUP($A11,'détails investissements'!$A$26:$DE$43,C$3-VLOOKUP($A11,'détails investissements'!$A$71:$B$88,2,FALSE)+1,FALSE)))&lt;&gt;"",HLOOKUP(IF(C$3-VLOOKUP($A11,'détails investissements'!$A$71:$B$88,2,FALSE)&lt;=0,"",IF(VLOOKUP($A11,'détails investissements'!$A$26:$DE$43,C$3-VLOOKUP($A11,'détails investissements'!$A$71:$B$88,2,FALSE)+1,FALSE)="","",VLOOKUP($A11,'détails investissements'!$A$26:$DE$43,C$3-VLOOKUP($A11,'détails investissements'!$A$71:$B$88,2,FALSE)+1,FALSE))),'détails investissements'!$U$6:$AB$7,2,FALSE),""),FALSE),"")</f>
        <v/>
      </c>
      <c r="D11" s="45" t="str">
        <f>IF(IF(IF(D$3-VLOOKUP($A11,'détails investissements'!$A$71:$B$88,2,FALSE)&lt;=0,"",IF(VLOOKUP($A11,'détails investissements'!$A$26:$DE$43,D$3-VLOOKUP($A11,'détails investissements'!$A$71:$B$88,2,FALSE)+1,FALSE)="","",VLOOKUP($A11,'détails investissements'!$A$26:$DE$43,D$3-VLOOKUP($A11,'détails investissements'!$A$71:$B$88,2,FALSE)+1,FALSE)))&lt;&gt;"",HLOOKUP(IF(D$3-VLOOKUP($A11,'détails investissements'!$A$71:$B$88,2,FALSE)&lt;=0,"",IF(VLOOKUP($A11,'détails investissements'!$A$26:$DE$43,D$3-VLOOKUP($A11,'détails investissements'!$A$71:$B$88,2,FALSE)+1,FALSE)="","",VLOOKUP($A11,'détails investissements'!$A$26:$DE$43,D$3-VLOOKUP($A11,'détails investissements'!$A$71:$B$88,2,FALSE)+1,FALSE))),'détails investissements'!$U$6:$AB$7,2,FALSE),"")&lt;&gt;"",VLOOKUP($A11,'détails investissements'!$A$7:$H$21,1+IF(IF(D$3-VLOOKUP($A11,'détails investissements'!$A$71:$B$88,2,FALSE)&lt;=0,"",IF(VLOOKUP($A11,'détails investissements'!$A$26:$DE$43,D$3-VLOOKUP($A11,'détails investissements'!$A$71:$B$88,2,FALSE)+1,FALSE)="","",VLOOKUP($A11,'détails investissements'!$A$26:$DE$43,D$3-VLOOKUP($A11,'détails investissements'!$A$71:$B$88,2,FALSE)+1,FALSE)))&lt;&gt;"",HLOOKUP(IF(D$3-VLOOKUP($A11,'détails investissements'!$A$71:$B$88,2,FALSE)&lt;=0,"",IF(VLOOKUP($A11,'détails investissements'!$A$26:$DE$43,D$3-VLOOKUP($A11,'détails investissements'!$A$71:$B$88,2,FALSE)+1,FALSE)="","",VLOOKUP($A11,'détails investissements'!$A$26:$DE$43,D$3-VLOOKUP($A11,'détails investissements'!$A$71:$B$88,2,FALSE)+1,FALSE))),'détails investissements'!$U$6:$AB$7,2,FALSE),""),FALSE),"")</f>
        <v/>
      </c>
      <c r="E11" s="45" t="str">
        <f>IF(IF(IF(E$3-VLOOKUP($A11,'détails investissements'!$A$71:$B$88,2,FALSE)&lt;=0,"",IF(VLOOKUP($A11,'détails investissements'!$A$26:$DE$43,E$3-VLOOKUP($A11,'détails investissements'!$A$71:$B$88,2,FALSE)+1,FALSE)="","",VLOOKUP($A11,'détails investissements'!$A$26:$DE$43,E$3-VLOOKUP($A11,'détails investissements'!$A$71:$B$88,2,FALSE)+1,FALSE)))&lt;&gt;"",HLOOKUP(IF(E$3-VLOOKUP($A11,'détails investissements'!$A$71:$B$88,2,FALSE)&lt;=0,"",IF(VLOOKUP($A11,'détails investissements'!$A$26:$DE$43,E$3-VLOOKUP($A11,'détails investissements'!$A$71:$B$88,2,FALSE)+1,FALSE)="","",VLOOKUP($A11,'détails investissements'!$A$26:$DE$43,E$3-VLOOKUP($A11,'détails investissements'!$A$71:$B$88,2,FALSE)+1,FALSE))),'détails investissements'!$U$6:$AB$7,2,FALSE),"")&lt;&gt;"",VLOOKUP($A11,'détails investissements'!$A$7:$H$21,1+IF(IF(E$3-VLOOKUP($A11,'détails investissements'!$A$71:$B$88,2,FALSE)&lt;=0,"",IF(VLOOKUP($A11,'détails investissements'!$A$26:$DE$43,E$3-VLOOKUP($A11,'détails investissements'!$A$71:$B$88,2,FALSE)+1,FALSE)="","",VLOOKUP($A11,'détails investissements'!$A$26:$DE$43,E$3-VLOOKUP($A11,'détails investissements'!$A$71:$B$88,2,FALSE)+1,FALSE)))&lt;&gt;"",HLOOKUP(IF(E$3-VLOOKUP($A11,'détails investissements'!$A$71:$B$88,2,FALSE)&lt;=0,"",IF(VLOOKUP($A11,'détails investissements'!$A$26:$DE$43,E$3-VLOOKUP($A11,'détails investissements'!$A$71:$B$88,2,FALSE)+1,FALSE)="","",VLOOKUP($A11,'détails investissements'!$A$26:$DE$43,E$3-VLOOKUP($A11,'détails investissements'!$A$71:$B$88,2,FALSE)+1,FALSE))),'détails investissements'!$U$6:$AB$7,2,FALSE),""),FALSE),"")</f>
        <v/>
      </c>
      <c r="F11" s="45" t="str">
        <f>IF(IF(IF(F$3-VLOOKUP($A11,'détails investissements'!$A$71:$B$88,2,FALSE)&lt;=0,"",IF(VLOOKUP($A11,'détails investissements'!$A$26:$DE$43,F$3-VLOOKUP($A11,'détails investissements'!$A$71:$B$88,2,FALSE)+1,FALSE)="","",VLOOKUP($A11,'détails investissements'!$A$26:$DE$43,F$3-VLOOKUP($A11,'détails investissements'!$A$71:$B$88,2,FALSE)+1,FALSE)))&lt;&gt;"",HLOOKUP(IF(F$3-VLOOKUP($A11,'détails investissements'!$A$71:$B$88,2,FALSE)&lt;=0,"",IF(VLOOKUP($A11,'détails investissements'!$A$26:$DE$43,F$3-VLOOKUP($A11,'détails investissements'!$A$71:$B$88,2,FALSE)+1,FALSE)="","",VLOOKUP($A11,'détails investissements'!$A$26:$DE$43,F$3-VLOOKUP($A11,'détails investissements'!$A$71:$B$88,2,FALSE)+1,FALSE))),'détails investissements'!$U$6:$AB$7,2,FALSE),"")&lt;&gt;"",VLOOKUP($A11,'détails investissements'!$A$7:$H$21,1+IF(IF(F$3-VLOOKUP($A11,'détails investissements'!$A$71:$B$88,2,FALSE)&lt;=0,"",IF(VLOOKUP($A11,'détails investissements'!$A$26:$DE$43,F$3-VLOOKUP($A11,'détails investissements'!$A$71:$B$88,2,FALSE)+1,FALSE)="","",VLOOKUP($A11,'détails investissements'!$A$26:$DE$43,F$3-VLOOKUP($A11,'détails investissements'!$A$71:$B$88,2,FALSE)+1,FALSE)))&lt;&gt;"",HLOOKUP(IF(F$3-VLOOKUP($A11,'détails investissements'!$A$71:$B$88,2,FALSE)&lt;=0,"",IF(VLOOKUP($A11,'détails investissements'!$A$26:$DE$43,F$3-VLOOKUP($A11,'détails investissements'!$A$71:$B$88,2,FALSE)+1,FALSE)="","",VLOOKUP($A11,'détails investissements'!$A$26:$DE$43,F$3-VLOOKUP($A11,'détails investissements'!$A$71:$B$88,2,FALSE)+1,FALSE))),'détails investissements'!$U$6:$AB$7,2,FALSE),""),FALSE),"")</f>
        <v/>
      </c>
      <c r="G11" s="45" t="str">
        <f>IF(IF(IF(G$3-VLOOKUP($A11,'détails investissements'!$A$71:$B$88,2,FALSE)&lt;=0,"",IF(VLOOKUP($A11,'détails investissements'!$A$26:$DE$43,G$3-VLOOKUP($A11,'détails investissements'!$A$71:$B$88,2,FALSE)+1,FALSE)="","",VLOOKUP($A11,'détails investissements'!$A$26:$DE$43,G$3-VLOOKUP($A11,'détails investissements'!$A$71:$B$88,2,FALSE)+1,FALSE)))&lt;&gt;"",HLOOKUP(IF(G$3-VLOOKUP($A11,'détails investissements'!$A$71:$B$88,2,FALSE)&lt;=0,"",IF(VLOOKUP($A11,'détails investissements'!$A$26:$DE$43,G$3-VLOOKUP($A11,'détails investissements'!$A$71:$B$88,2,FALSE)+1,FALSE)="","",VLOOKUP($A11,'détails investissements'!$A$26:$DE$43,G$3-VLOOKUP($A11,'détails investissements'!$A$71:$B$88,2,FALSE)+1,FALSE))),'détails investissements'!$U$6:$AB$7,2,FALSE),"")&lt;&gt;"",VLOOKUP($A11,'détails investissements'!$A$7:$H$21,1+IF(IF(G$3-VLOOKUP($A11,'détails investissements'!$A$71:$B$88,2,FALSE)&lt;=0,"",IF(VLOOKUP($A11,'détails investissements'!$A$26:$DE$43,G$3-VLOOKUP($A11,'détails investissements'!$A$71:$B$88,2,FALSE)+1,FALSE)="","",VLOOKUP($A11,'détails investissements'!$A$26:$DE$43,G$3-VLOOKUP($A11,'détails investissements'!$A$71:$B$88,2,FALSE)+1,FALSE)))&lt;&gt;"",HLOOKUP(IF(G$3-VLOOKUP($A11,'détails investissements'!$A$71:$B$88,2,FALSE)&lt;=0,"",IF(VLOOKUP($A11,'détails investissements'!$A$26:$DE$43,G$3-VLOOKUP($A11,'détails investissements'!$A$71:$B$88,2,FALSE)+1,FALSE)="","",VLOOKUP($A11,'détails investissements'!$A$26:$DE$43,G$3-VLOOKUP($A11,'détails investissements'!$A$71:$B$88,2,FALSE)+1,FALSE))),'détails investissements'!$U$6:$AB$7,2,FALSE),""),FALSE),"")</f>
        <v/>
      </c>
      <c r="H11" s="45" t="str">
        <f>IF(IF(IF(H$3-VLOOKUP($A11,'détails investissements'!$A$71:$B$88,2,FALSE)&lt;=0,"",IF(VLOOKUP($A11,'détails investissements'!$A$26:$DE$43,H$3-VLOOKUP($A11,'détails investissements'!$A$71:$B$88,2,FALSE)+1,FALSE)="","",VLOOKUP($A11,'détails investissements'!$A$26:$DE$43,H$3-VLOOKUP($A11,'détails investissements'!$A$71:$B$88,2,FALSE)+1,FALSE)))&lt;&gt;"",HLOOKUP(IF(H$3-VLOOKUP($A11,'détails investissements'!$A$71:$B$88,2,FALSE)&lt;=0,"",IF(VLOOKUP($A11,'détails investissements'!$A$26:$DE$43,H$3-VLOOKUP($A11,'détails investissements'!$A$71:$B$88,2,FALSE)+1,FALSE)="","",VLOOKUP($A11,'détails investissements'!$A$26:$DE$43,H$3-VLOOKUP($A11,'détails investissements'!$A$71:$B$88,2,FALSE)+1,FALSE))),'détails investissements'!$U$6:$AB$7,2,FALSE),"")&lt;&gt;"",VLOOKUP($A11,'détails investissements'!$A$7:$H$21,1+IF(IF(H$3-VLOOKUP($A11,'détails investissements'!$A$71:$B$88,2,FALSE)&lt;=0,"",IF(VLOOKUP($A11,'détails investissements'!$A$26:$DE$43,H$3-VLOOKUP($A11,'détails investissements'!$A$71:$B$88,2,FALSE)+1,FALSE)="","",VLOOKUP($A11,'détails investissements'!$A$26:$DE$43,H$3-VLOOKUP($A11,'détails investissements'!$A$71:$B$88,2,FALSE)+1,FALSE)))&lt;&gt;"",HLOOKUP(IF(H$3-VLOOKUP($A11,'détails investissements'!$A$71:$B$88,2,FALSE)&lt;=0,"",IF(VLOOKUP($A11,'détails investissements'!$A$26:$DE$43,H$3-VLOOKUP($A11,'détails investissements'!$A$71:$B$88,2,FALSE)+1,FALSE)="","",VLOOKUP($A11,'détails investissements'!$A$26:$DE$43,H$3-VLOOKUP($A11,'détails investissements'!$A$71:$B$88,2,FALSE)+1,FALSE))),'détails investissements'!$U$6:$AB$7,2,FALSE),""),FALSE),"")</f>
        <v/>
      </c>
      <c r="I11" s="45" t="str">
        <f>IF(IF(IF(I$3-VLOOKUP($A11,'détails investissements'!$A$71:$B$88,2,FALSE)&lt;=0,"",IF(VLOOKUP($A11,'détails investissements'!$A$26:$DE$43,I$3-VLOOKUP($A11,'détails investissements'!$A$71:$B$88,2,FALSE)+1,FALSE)="","",VLOOKUP($A11,'détails investissements'!$A$26:$DE$43,I$3-VLOOKUP($A11,'détails investissements'!$A$71:$B$88,2,FALSE)+1,FALSE)))&lt;&gt;"",HLOOKUP(IF(I$3-VLOOKUP($A11,'détails investissements'!$A$71:$B$88,2,FALSE)&lt;=0,"",IF(VLOOKUP($A11,'détails investissements'!$A$26:$DE$43,I$3-VLOOKUP($A11,'détails investissements'!$A$71:$B$88,2,FALSE)+1,FALSE)="","",VLOOKUP($A11,'détails investissements'!$A$26:$DE$43,I$3-VLOOKUP($A11,'détails investissements'!$A$71:$B$88,2,FALSE)+1,FALSE))),'détails investissements'!$U$6:$AB$7,2,FALSE),"")&lt;&gt;"",VLOOKUP($A11,'détails investissements'!$A$7:$H$21,1+IF(IF(I$3-VLOOKUP($A11,'détails investissements'!$A$71:$B$88,2,FALSE)&lt;=0,"",IF(VLOOKUP($A11,'détails investissements'!$A$26:$DE$43,I$3-VLOOKUP($A11,'détails investissements'!$A$71:$B$88,2,FALSE)+1,FALSE)="","",VLOOKUP($A11,'détails investissements'!$A$26:$DE$43,I$3-VLOOKUP($A11,'détails investissements'!$A$71:$B$88,2,FALSE)+1,FALSE)))&lt;&gt;"",HLOOKUP(IF(I$3-VLOOKUP($A11,'détails investissements'!$A$71:$B$88,2,FALSE)&lt;=0,"",IF(VLOOKUP($A11,'détails investissements'!$A$26:$DE$43,I$3-VLOOKUP($A11,'détails investissements'!$A$71:$B$88,2,FALSE)+1,FALSE)="","",VLOOKUP($A11,'détails investissements'!$A$26:$DE$43,I$3-VLOOKUP($A11,'détails investissements'!$A$71:$B$88,2,FALSE)+1,FALSE))),'détails investissements'!$U$6:$AB$7,2,FALSE),""),FALSE),"")</f>
        <v/>
      </c>
      <c r="J11" s="45" t="str">
        <f>IF(IF(IF(J$3-VLOOKUP($A11,'détails investissements'!$A$71:$B$88,2,FALSE)&lt;=0,"",IF(VLOOKUP($A11,'détails investissements'!$A$26:$DE$43,J$3-VLOOKUP($A11,'détails investissements'!$A$71:$B$88,2,FALSE)+1,FALSE)="","",VLOOKUP($A11,'détails investissements'!$A$26:$DE$43,J$3-VLOOKUP($A11,'détails investissements'!$A$71:$B$88,2,FALSE)+1,FALSE)))&lt;&gt;"",HLOOKUP(IF(J$3-VLOOKUP($A11,'détails investissements'!$A$71:$B$88,2,FALSE)&lt;=0,"",IF(VLOOKUP($A11,'détails investissements'!$A$26:$DE$43,J$3-VLOOKUP($A11,'détails investissements'!$A$71:$B$88,2,FALSE)+1,FALSE)="","",VLOOKUP($A11,'détails investissements'!$A$26:$DE$43,J$3-VLOOKUP($A11,'détails investissements'!$A$71:$B$88,2,FALSE)+1,FALSE))),'détails investissements'!$U$6:$AB$7,2,FALSE),"")&lt;&gt;"",VLOOKUP($A11,'détails investissements'!$A$7:$H$21,1+IF(IF(J$3-VLOOKUP($A11,'détails investissements'!$A$71:$B$88,2,FALSE)&lt;=0,"",IF(VLOOKUP($A11,'détails investissements'!$A$26:$DE$43,J$3-VLOOKUP($A11,'détails investissements'!$A$71:$B$88,2,FALSE)+1,FALSE)="","",VLOOKUP($A11,'détails investissements'!$A$26:$DE$43,J$3-VLOOKUP($A11,'détails investissements'!$A$71:$B$88,2,FALSE)+1,FALSE)))&lt;&gt;"",HLOOKUP(IF(J$3-VLOOKUP($A11,'détails investissements'!$A$71:$B$88,2,FALSE)&lt;=0,"",IF(VLOOKUP($A11,'détails investissements'!$A$26:$DE$43,J$3-VLOOKUP($A11,'détails investissements'!$A$71:$B$88,2,FALSE)+1,FALSE)="","",VLOOKUP($A11,'détails investissements'!$A$26:$DE$43,J$3-VLOOKUP($A11,'détails investissements'!$A$71:$B$88,2,FALSE)+1,FALSE))),'détails investissements'!$U$6:$AB$7,2,FALSE),""),FALSE),"")</f>
        <v/>
      </c>
      <c r="K11" s="45" t="str">
        <f>IF(IF(IF(K$3-VLOOKUP($A11,'détails investissements'!$A$71:$B$88,2,FALSE)&lt;=0,"",IF(VLOOKUP($A11,'détails investissements'!$A$26:$DE$43,K$3-VLOOKUP($A11,'détails investissements'!$A$71:$B$88,2,FALSE)+1,FALSE)="","",VLOOKUP($A11,'détails investissements'!$A$26:$DE$43,K$3-VLOOKUP($A11,'détails investissements'!$A$71:$B$88,2,FALSE)+1,FALSE)))&lt;&gt;"",HLOOKUP(IF(K$3-VLOOKUP($A11,'détails investissements'!$A$71:$B$88,2,FALSE)&lt;=0,"",IF(VLOOKUP($A11,'détails investissements'!$A$26:$DE$43,K$3-VLOOKUP($A11,'détails investissements'!$A$71:$B$88,2,FALSE)+1,FALSE)="","",VLOOKUP($A11,'détails investissements'!$A$26:$DE$43,K$3-VLOOKUP($A11,'détails investissements'!$A$71:$B$88,2,FALSE)+1,FALSE))),'détails investissements'!$U$6:$AB$7,2,FALSE),"")&lt;&gt;"",VLOOKUP($A11,'détails investissements'!$A$7:$H$21,1+IF(IF(K$3-VLOOKUP($A11,'détails investissements'!$A$71:$B$88,2,FALSE)&lt;=0,"",IF(VLOOKUP($A11,'détails investissements'!$A$26:$DE$43,K$3-VLOOKUP($A11,'détails investissements'!$A$71:$B$88,2,FALSE)+1,FALSE)="","",VLOOKUP($A11,'détails investissements'!$A$26:$DE$43,K$3-VLOOKUP($A11,'détails investissements'!$A$71:$B$88,2,FALSE)+1,FALSE)))&lt;&gt;"",HLOOKUP(IF(K$3-VLOOKUP($A11,'détails investissements'!$A$71:$B$88,2,FALSE)&lt;=0,"",IF(VLOOKUP($A11,'détails investissements'!$A$26:$DE$43,K$3-VLOOKUP($A11,'détails investissements'!$A$71:$B$88,2,FALSE)+1,FALSE)="","",VLOOKUP($A11,'détails investissements'!$A$26:$DE$43,K$3-VLOOKUP($A11,'détails investissements'!$A$71:$B$88,2,FALSE)+1,FALSE))),'détails investissements'!$U$6:$AB$7,2,FALSE),""),FALSE),"")</f>
        <v/>
      </c>
      <c r="L11" s="45" t="str">
        <f>IF(IF(IF(L$3-VLOOKUP($A11,'détails investissements'!$A$71:$B$88,2,FALSE)&lt;=0,"",IF(VLOOKUP($A11,'détails investissements'!$A$26:$DE$43,L$3-VLOOKUP($A11,'détails investissements'!$A$71:$B$88,2,FALSE)+1,FALSE)="","",VLOOKUP($A11,'détails investissements'!$A$26:$DE$43,L$3-VLOOKUP($A11,'détails investissements'!$A$71:$B$88,2,FALSE)+1,FALSE)))&lt;&gt;"",HLOOKUP(IF(L$3-VLOOKUP($A11,'détails investissements'!$A$71:$B$88,2,FALSE)&lt;=0,"",IF(VLOOKUP($A11,'détails investissements'!$A$26:$DE$43,L$3-VLOOKUP($A11,'détails investissements'!$A$71:$B$88,2,FALSE)+1,FALSE)="","",VLOOKUP($A11,'détails investissements'!$A$26:$DE$43,L$3-VLOOKUP($A11,'détails investissements'!$A$71:$B$88,2,FALSE)+1,FALSE))),'détails investissements'!$U$6:$AB$7,2,FALSE),"")&lt;&gt;"",VLOOKUP($A11,'détails investissements'!$A$7:$H$21,1+IF(IF(L$3-VLOOKUP($A11,'détails investissements'!$A$71:$B$88,2,FALSE)&lt;=0,"",IF(VLOOKUP($A11,'détails investissements'!$A$26:$DE$43,L$3-VLOOKUP($A11,'détails investissements'!$A$71:$B$88,2,FALSE)+1,FALSE)="","",VLOOKUP($A11,'détails investissements'!$A$26:$DE$43,L$3-VLOOKUP($A11,'détails investissements'!$A$71:$B$88,2,FALSE)+1,FALSE)))&lt;&gt;"",HLOOKUP(IF(L$3-VLOOKUP($A11,'détails investissements'!$A$71:$B$88,2,FALSE)&lt;=0,"",IF(VLOOKUP($A11,'détails investissements'!$A$26:$DE$43,L$3-VLOOKUP($A11,'détails investissements'!$A$71:$B$88,2,FALSE)+1,FALSE)="","",VLOOKUP($A11,'détails investissements'!$A$26:$DE$43,L$3-VLOOKUP($A11,'détails investissements'!$A$71:$B$88,2,FALSE)+1,FALSE))),'détails investissements'!$U$6:$AB$7,2,FALSE),""),FALSE),"")</f>
        <v/>
      </c>
      <c r="M11" s="45" t="str">
        <f>IF(IF(IF(M$3-VLOOKUP($A11,'détails investissements'!$A$71:$B$88,2,FALSE)&lt;=0,"",IF(VLOOKUP($A11,'détails investissements'!$A$26:$DE$43,M$3-VLOOKUP($A11,'détails investissements'!$A$71:$B$88,2,FALSE)+1,FALSE)="","",VLOOKUP($A11,'détails investissements'!$A$26:$DE$43,M$3-VLOOKUP($A11,'détails investissements'!$A$71:$B$88,2,FALSE)+1,FALSE)))&lt;&gt;"",HLOOKUP(IF(M$3-VLOOKUP($A11,'détails investissements'!$A$71:$B$88,2,FALSE)&lt;=0,"",IF(VLOOKUP($A11,'détails investissements'!$A$26:$DE$43,M$3-VLOOKUP($A11,'détails investissements'!$A$71:$B$88,2,FALSE)+1,FALSE)="","",VLOOKUP($A11,'détails investissements'!$A$26:$DE$43,M$3-VLOOKUP($A11,'détails investissements'!$A$71:$B$88,2,FALSE)+1,FALSE))),'détails investissements'!$U$6:$AB$7,2,FALSE),"")&lt;&gt;"",VLOOKUP($A11,'détails investissements'!$A$7:$H$21,1+IF(IF(M$3-VLOOKUP($A11,'détails investissements'!$A$71:$B$88,2,FALSE)&lt;=0,"",IF(VLOOKUP($A11,'détails investissements'!$A$26:$DE$43,M$3-VLOOKUP($A11,'détails investissements'!$A$71:$B$88,2,FALSE)+1,FALSE)="","",VLOOKUP($A11,'détails investissements'!$A$26:$DE$43,M$3-VLOOKUP($A11,'détails investissements'!$A$71:$B$88,2,FALSE)+1,FALSE)))&lt;&gt;"",HLOOKUP(IF(M$3-VLOOKUP($A11,'détails investissements'!$A$71:$B$88,2,FALSE)&lt;=0,"",IF(VLOOKUP($A11,'détails investissements'!$A$26:$DE$43,M$3-VLOOKUP($A11,'détails investissements'!$A$71:$B$88,2,FALSE)+1,FALSE)="","",VLOOKUP($A11,'détails investissements'!$A$26:$DE$43,M$3-VLOOKUP($A11,'détails investissements'!$A$71:$B$88,2,FALSE)+1,FALSE))),'détails investissements'!$U$6:$AB$7,2,FALSE),""),FALSE),"")</f>
        <v/>
      </c>
      <c r="N11" s="45" t="str">
        <f>IF(IF(IF(N$3-VLOOKUP($A11,'détails investissements'!$A$71:$B$88,2,FALSE)&lt;=0,"",IF(VLOOKUP($A11,'détails investissements'!$A$26:$DE$43,N$3-VLOOKUP($A11,'détails investissements'!$A$71:$B$88,2,FALSE)+1,FALSE)="","",VLOOKUP($A11,'détails investissements'!$A$26:$DE$43,N$3-VLOOKUP($A11,'détails investissements'!$A$71:$B$88,2,FALSE)+1,FALSE)))&lt;&gt;"",HLOOKUP(IF(N$3-VLOOKUP($A11,'détails investissements'!$A$71:$B$88,2,FALSE)&lt;=0,"",IF(VLOOKUP($A11,'détails investissements'!$A$26:$DE$43,N$3-VLOOKUP($A11,'détails investissements'!$A$71:$B$88,2,FALSE)+1,FALSE)="","",VLOOKUP($A11,'détails investissements'!$A$26:$DE$43,N$3-VLOOKUP($A11,'détails investissements'!$A$71:$B$88,2,FALSE)+1,FALSE))),'détails investissements'!$U$6:$AB$7,2,FALSE),"")&lt;&gt;"",VLOOKUP($A11,'détails investissements'!$A$7:$H$21,1+IF(IF(N$3-VLOOKUP($A11,'détails investissements'!$A$71:$B$88,2,FALSE)&lt;=0,"",IF(VLOOKUP($A11,'détails investissements'!$A$26:$DE$43,N$3-VLOOKUP($A11,'détails investissements'!$A$71:$B$88,2,FALSE)+1,FALSE)="","",VLOOKUP($A11,'détails investissements'!$A$26:$DE$43,N$3-VLOOKUP($A11,'détails investissements'!$A$71:$B$88,2,FALSE)+1,FALSE)))&lt;&gt;"",HLOOKUP(IF(N$3-VLOOKUP($A11,'détails investissements'!$A$71:$B$88,2,FALSE)&lt;=0,"",IF(VLOOKUP($A11,'détails investissements'!$A$26:$DE$43,N$3-VLOOKUP($A11,'détails investissements'!$A$71:$B$88,2,FALSE)+1,FALSE)="","",VLOOKUP($A11,'détails investissements'!$A$26:$DE$43,N$3-VLOOKUP($A11,'détails investissements'!$A$71:$B$88,2,FALSE)+1,FALSE))),'détails investissements'!$U$6:$AB$7,2,FALSE),""),FALSE),"")</f>
        <v/>
      </c>
      <c r="O11" s="45" t="str">
        <f>IF(IF(IF(O$3-VLOOKUP($A11,'détails investissements'!$A$71:$B$88,2,FALSE)&lt;=0,"",IF(VLOOKUP($A11,'détails investissements'!$A$26:$DE$43,O$3-VLOOKUP($A11,'détails investissements'!$A$71:$B$88,2,FALSE)+1,FALSE)="","",VLOOKUP($A11,'détails investissements'!$A$26:$DE$43,O$3-VLOOKUP($A11,'détails investissements'!$A$71:$B$88,2,FALSE)+1,FALSE)))&lt;&gt;"",HLOOKUP(IF(O$3-VLOOKUP($A11,'détails investissements'!$A$71:$B$88,2,FALSE)&lt;=0,"",IF(VLOOKUP($A11,'détails investissements'!$A$26:$DE$43,O$3-VLOOKUP($A11,'détails investissements'!$A$71:$B$88,2,FALSE)+1,FALSE)="","",VLOOKUP($A11,'détails investissements'!$A$26:$DE$43,O$3-VLOOKUP($A11,'détails investissements'!$A$71:$B$88,2,FALSE)+1,FALSE))),'détails investissements'!$U$6:$AB$7,2,FALSE),"")&lt;&gt;"",VLOOKUP($A11,'détails investissements'!$A$7:$H$21,1+IF(IF(O$3-VLOOKUP($A11,'détails investissements'!$A$71:$B$88,2,FALSE)&lt;=0,"",IF(VLOOKUP($A11,'détails investissements'!$A$26:$DE$43,O$3-VLOOKUP($A11,'détails investissements'!$A$71:$B$88,2,FALSE)+1,FALSE)="","",VLOOKUP($A11,'détails investissements'!$A$26:$DE$43,O$3-VLOOKUP($A11,'détails investissements'!$A$71:$B$88,2,FALSE)+1,FALSE)))&lt;&gt;"",HLOOKUP(IF(O$3-VLOOKUP($A11,'détails investissements'!$A$71:$B$88,2,FALSE)&lt;=0,"",IF(VLOOKUP($A11,'détails investissements'!$A$26:$DE$43,O$3-VLOOKUP($A11,'détails investissements'!$A$71:$B$88,2,FALSE)+1,FALSE)="","",VLOOKUP($A11,'détails investissements'!$A$26:$DE$43,O$3-VLOOKUP($A11,'détails investissements'!$A$71:$B$88,2,FALSE)+1,FALSE))),'détails investissements'!$U$6:$AB$7,2,FALSE),""),FALSE),"")</f>
        <v/>
      </c>
      <c r="P11" s="45" t="str">
        <f>IF(IF(IF(P$3-VLOOKUP($A11,'détails investissements'!$A$71:$B$88,2,FALSE)&lt;=0,"",IF(VLOOKUP($A11,'détails investissements'!$A$26:$DE$43,P$3-VLOOKUP($A11,'détails investissements'!$A$71:$B$88,2,FALSE)+1,FALSE)="","",VLOOKUP($A11,'détails investissements'!$A$26:$DE$43,P$3-VLOOKUP($A11,'détails investissements'!$A$71:$B$88,2,FALSE)+1,FALSE)))&lt;&gt;"",HLOOKUP(IF(P$3-VLOOKUP($A11,'détails investissements'!$A$71:$B$88,2,FALSE)&lt;=0,"",IF(VLOOKUP($A11,'détails investissements'!$A$26:$DE$43,P$3-VLOOKUP($A11,'détails investissements'!$A$71:$B$88,2,FALSE)+1,FALSE)="","",VLOOKUP($A11,'détails investissements'!$A$26:$DE$43,P$3-VLOOKUP($A11,'détails investissements'!$A$71:$B$88,2,FALSE)+1,FALSE))),'détails investissements'!$U$6:$AB$7,2,FALSE),"")&lt;&gt;"",VLOOKUP($A11,'détails investissements'!$A$7:$H$21,1+IF(IF(P$3-VLOOKUP($A11,'détails investissements'!$A$71:$B$88,2,FALSE)&lt;=0,"",IF(VLOOKUP($A11,'détails investissements'!$A$26:$DE$43,P$3-VLOOKUP($A11,'détails investissements'!$A$71:$B$88,2,FALSE)+1,FALSE)="","",VLOOKUP($A11,'détails investissements'!$A$26:$DE$43,P$3-VLOOKUP($A11,'détails investissements'!$A$71:$B$88,2,FALSE)+1,FALSE)))&lt;&gt;"",HLOOKUP(IF(P$3-VLOOKUP($A11,'détails investissements'!$A$71:$B$88,2,FALSE)&lt;=0,"",IF(VLOOKUP($A11,'détails investissements'!$A$26:$DE$43,P$3-VLOOKUP($A11,'détails investissements'!$A$71:$B$88,2,FALSE)+1,FALSE)="","",VLOOKUP($A11,'détails investissements'!$A$26:$DE$43,P$3-VLOOKUP($A11,'détails investissements'!$A$71:$B$88,2,FALSE)+1,FALSE))),'détails investissements'!$U$6:$AB$7,2,FALSE),""),FALSE),"")</f>
        <v/>
      </c>
      <c r="Q11" s="45" t="str">
        <f>IF(IF(IF(Q$3-VLOOKUP($A11,'détails investissements'!$A$71:$B$88,2,FALSE)&lt;=0,"",IF(VLOOKUP($A11,'détails investissements'!$A$26:$DE$43,Q$3-VLOOKUP($A11,'détails investissements'!$A$71:$B$88,2,FALSE)+1,FALSE)="","",VLOOKUP($A11,'détails investissements'!$A$26:$DE$43,Q$3-VLOOKUP($A11,'détails investissements'!$A$71:$B$88,2,FALSE)+1,FALSE)))&lt;&gt;"",HLOOKUP(IF(Q$3-VLOOKUP($A11,'détails investissements'!$A$71:$B$88,2,FALSE)&lt;=0,"",IF(VLOOKUP($A11,'détails investissements'!$A$26:$DE$43,Q$3-VLOOKUP($A11,'détails investissements'!$A$71:$B$88,2,FALSE)+1,FALSE)="","",VLOOKUP($A11,'détails investissements'!$A$26:$DE$43,Q$3-VLOOKUP($A11,'détails investissements'!$A$71:$B$88,2,FALSE)+1,FALSE))),'détails investissements'!$U$6:$AB$7,2,FALSE),"")&lt;&gt;"",VLOOKUP($A11,'détails investissements'!$A$7:$H$21,1+IF(IF(Q$3-VLOOKUP($A11,'détails investissements'!$A$71:$B$88,2,FALSE)&lt;=0,"",IF(VLOOKUP($A11,'détails investissements'!$A$26:$DE$43,Q$3-VLOOKUP($A11,'détails investissements'!$A$71:$B$88,2,FALSE)+1,FALSE)="","",VLOOKUP($A11,'détails investissements'!$A$26:$DE$43,Q$3-VLOOKUP($A11,'détails investissements'!$A$71:$B$88,2,FALSE)+1,FALSE)))&lt;&gt;"",HLOOKUP(IF(Q$3-VLOOKUP($A11,'détails investissements'!$A$71:$B$88,2,FALSE)&lt;=0,"",IF(VLOOKUP($A11,'détails investissements'!$A$26:$DE$43,Q$3-VLOOKUP($A11,'détails investissements'!$A$71:$B$88,2,FALSE)+1,FALSE)="","",VLOOKUP($A11,'détails investissements'!$A$26:$DE$43,Q$3-VLOOKUP($A11,'détails investissements'!$A$71:$B$88,2,FALSE)+1,FALSE))),'détails investissements'!$U$6:$AB$7,2,FALSE),""),FALSE),"")</f>
        <v/>
      </c>
      <c r="R11" s="45" t="str">
        <f>IF(IF(IF(R$3-VLOOKUP($A11,'détails investissements'!$A$71:$B$88,2,FALSE)&lt;=0,"",IF(VLOOKUP($A11,'détails investissements'!$A$26:$DE$43,R$3-VLOOKUP($A11,'détails investissements'!$A$71:$B$88,2,FALSE)+1,FALSE)="","",VLOOKUP($A11,'détails investissements'!$A$26:$DE$43,R$3-VLOOKUP($A11,'détails investissements'!$A$71:$B$88,2,FALSE)+1,FALSE)))&lt;&gt;"",HLOOKUP(IF(R$3-VLOOKUP($A11,'détails investissements'!$A$71:$B$88,2,FALSE)&lt;=0,"",IF(VLOOKUP($A11,'détails investissements'!$A$26:$DE$43,R$3-VLOOKUP($A11,'détails investissements'!$A$71:$B$88,2,FALSE)+1,FALSE)="","",VLOOKUP($A11,'détails investissements'!$A$26:$DE$43,R$3-VLOOKUP($A11,'détails investissements'!$A$71:$B$88,2,FALSE)+1,FALSE))),'détails investissements'!$U$6:$AB$7,2,FALSE),"")&lt;&gt;"",VLOOKUP($A11,'détails investissements'!$A$7:$H$21,1+IF(IF(R$3-VLOOKUP($A11,'détails investissements'!$A$71:$B$88,2,FALSE)&lt;=0,"",IF(VLOOKUP($A11,'détails investissements'!$A$26:$DE$43,R$3-VLOOKUP($A11,'détails investissements'!$A$71:$B$88,2,FALSE)+1,FALSE)="","",VLOOKUP($A11,'détails investissements'!$A$26:$DE$43,R$3-VLOOKUP($A11,'détails investissements'!$A$71:$B$88,2,FALSE)+1,FALSE)))&lt;&gt;"",HLOOKUP(IF(R$3-VLOOKUP($A11,'détails investissements'!$A$71:$B$88,2,FALSE)&lt;=0,"",IF(VLOOKUP($A11,'détails investissements'!$A$26:$DE$43,R$3-VLOOKUP($A11,'détails investissements'!$A$71:$B$88,2,FALSE)+1,FALSE)="","",VLOOKUP($A11,'détails investissements'!$A$26:$DE$43,R$3-VLOOKUP($A11,'détails investissements'!$A$71:$B$88,2,FALSE)+1,FALSE))),'détails investissements'!$U$6:$AB$7,2,FALSE),""),FALSE),"")</f>
        <v/>
      </c>
      <c r="S11" s="45" t="str">
        <f>IF(IF(IF(S$3-VLOOKUP($A11,'détails investissements'!$A$71:$B$88,2,FALSE)&lt;=0,"",IF(VLOOKUP($A11,'détails investissements'!$A$26:$DE$43,S$3-VLOOKUP($A11,'détails investissements'!$A$71:$B$88,2,FALSE)+1,FALSE)="","",VLOOKUP($A11,'détails investissements'!$A$26:$DE$43,S$3-VLOOKUP($A11,'détails investissements'!$A$71:$B$88,2,FALSE)+1,FALSE)))&lt;&gt;"",HLOOKUP(IF(S$3-VLOOKUP($A11,'détails investissements'!$A$71:$B$88,2,FALSE)&lt;=0,"",IF(VLOOKUP($A11,'détails investissements'!$A$26:$DE$43,S$3-VLOOKUP($A11,'détails investissements'!$A$71:$B$88,2,FALSE)+1,FALSE)="","",VLOOKUP($A11,'détails investissements'!$A$26:$DE$43,S$3-VLOOKUP($A11,'détails investissements'!$A$71:$B$88,2,FALSE)+1,FALSE))),'détails investissements'!$U$6:$AB$7,2,FALSE),"")&lt;&gt;"",VLOOKUP($A11,'détails investissements'!$A$7:$H$21,1+IF(IF(S$3-VLOOKUP($A11,'détails investissements'!$A$71:$B$88,2,FALSE)&lt;=0,"",IF(VLOOKUP($A11,'détails investissements'!$A$26:$DE$43,S$3-VLOOKUP($A11,'détails investissements'!$A$71:$B$88,2,FALSE)+1,FALSE)="","",VLOOKUP($A11,'détails investissements'!$A$26:$DE$43,S$3-VLOOKUP($A11,'détails investissements'!$A$71:$B$88,2,FALSE)+1,FALSE)))&lt;&gt;"",HLOOKUP(IF(S$3-VLOOKUP($A11,'détails investissements'!$A$71:$B$88,2,FALSE)&lt;=0,"",IF(VLOOKUP($A11,'détails investissements'!$A$26:$DE$43,S$3-VLOOKUP($A11,'détails investissements'!$A$71:$B$88,2,FALSE)+1,FALSE)="","",VLOOKUP($A11,'détails investissements'!$A$26:$DE$43,S$3-VLOOKUP($A11,'détails investissements'!$A$71:$B$88,2,FALSE)+1,FALSE))),'détails investissements'!$U$6:$AB$7,2,FALSE),""),FALSE),"")</f>
        <v/>
      </c>
      <c r="T11" s="45" t="str">
        <f>IF(IF(IF(T$3-VLOOKUP($A11,'détails investissements'!$A$71:$B$88,2,FALSE)&lt;=0,"",IF(VLOOKUP($A11,'détails investissements'!$A$26:$DE$43,T$3-VLOOKUP($A11,'détails investissements'!$A$71:$B$88,2,FALSE)+1,FALSE)="","",VLOOKUP($A11,'détails investissements'!$A$26:$DE$43,T$3-VLOOKUP($A11,'détails investissements'!$A$71:$B$88,2,FALSE)+1,FALSE)))&lt;&gt;"",HLOOKUP(IF(T$3-VLOOKUP($A11,'détails investissements'!$A$71:$B$88,2,FALSE)&lt;=0,"",IF(VLOOKUP($A11,'détails investissements'!$A$26:$DE$43,T$3-VLOOKUP($A11,'détails investissements'!$A$71:$B$88,2,FALSE)+1,FALSE)="","",VLOOKUP($A11,'détails investissements'!$A$26:$DE$43,T$3-VLOOKUP($A11,'détails investissements'!$A$71:$B$88,2,FALSE)+1,FALSE))),'détails investissements'!$U$6:$AB$7,2,FALSE),"")&lt;&gt;"",VLOOKUP($A11,'détails investissements'!$A$7:$H$21,1+IF(IF(T$3-VLOOKUP($A11,'détails investissements'!$A$71:$B$88,2,FALSE)&lt;=0,"",IF(VLOOKUP($A11,'détails investissements'!$A$26:$DE$43,T$3-VLOOKUP($A11,'détails investissements'!$A$71:$B$88,2,FALSE)+1,FALSE)="","",VLOOKUP($A11,'détails investissements'!$A$26:$DE$43,T$3-VLOOKUP($A11,'détails investissements'!$A$71:$B$88,2,FALSE)+1,FALSE)))&lt;&gt;"",HLOOKUP(IF(T$3-VLOOKUP($A11,'détails investissements'!$A$71:$B$88,2,FALSE)&lt;=0,"",IF(VLOOKUP($A11,'détails investissements'!$A$26:$DE$43,T$3-VLOOKUP($A11,'détails investissements'!$A$71:$B$88,2,FALSE)+1,FALSE)="","",VLOOKUP($A11,'détails investissements'!$A$26:$DE$43,T$3-VLOOKUP($A11,'détails investissements'!$A$71:$B$88,2,FALSE)+1,FALSE))),'détails investissements'!$U$6:$AB$7,2,FALSE),""),FALSE),"")</f>
        <v/>
      </c>
      <c r="U11" s="45">
        <f>IF(IF(IF(U$3-VLOOKUP($A11,'détails investissements'!$A$71:$B$88,2,FALSE)&lt;=0,"",IF(VLOOKUP($A11,'détails investissements'!$A$26:$DE$43,U$3-VLOOKUP($A11,'détails investissements'!$A$71:$B$88,2,FALSE)+1,FALSE)="","",VLOOKUP($A11,'détails investissements'!$A$26:$DE$43,U$3-VLOOKUP($A11,'détails investissements'!$A$71:$B$88,2,FALSE)+1,FALSE)))&lt;&gt;"",HLOOKUP(IF(U$3-VLOOKUP($A11,'détails investissements'!$A$71:$B$88,2,FALSE)&lt;=0,"",IF(VLOOKUP($A11,'détails investissements'!$A$26:$DE$43,U$3-VLOOKUP($A11,'détails investissements'!$A$71:$B$88,2,FALSE)+1,FALSE)="","",VLOOKUP($A11,'détails investissements'!$A$26:$DE$43,U$3-VLOOKUP($A11,'détails investissements'!$A$71:$B$88,2,FALSE)+1,FALSE))),'détails investissements'!$U$6:$AB$7,2,FALSE),"")&lt;&gt;"",VLOOKUP($A11,'détails investissements'!$A$7:$H$21,1+IF(IF(U$3-VLOOKUP($A11,'détails investissements'!$A$71:$B$88,2,FALSE)&lt;=0,"",IF(VLOOKUP($A11,'détails investissements'!$A$26:$DE$43,U$3-VLOOKUP($A11,'détails investissements'!$A$71:$B$88,2,FALSE)+1,FALSE)="","",VLOOKUP($A11,'détails investissements'!$A$26:$DE$43,U$3-VLOOKUP($A11,'détails investissements'!$A$71:$B$88,2,FALSE)+1,FALSE)))&lt;&gt;"",HLOOKUP(IF(U$3-VLOOKUP($A11,'détails investissements'!$A$71:$B$88,2,FALSE)&lt;=0,"",IF(VLOOKUP($A11,'détails investissements'!$A$26:$DE$43,U$3-VLOOKUP($A11,'détails investissements'!$A$71:$B$88,2,FALSE)+1,FALSE)="","",VLOOKUP($A11,'détails investissements'!$A$26:$DE$43,U$3-VLOOKUP($A11,'détails investissements'!$A$71:$B$88,2,FALSE)+1,FALSE))),'détails investissements'!$U$6:$AB$7,2,FALSE),""),FALSE),"")</f>
        <v>0.15</v>
      </c>
      <c r="V11" s="45">
        <f>IF(IF(IF(V$3-VLOOKUP($A11,'détails investissements'!$A$71:$B$88,2,FALSE)&lt;=0,"",IF(VLOOKUP($A11,'détails investissements'!$A$26:$DE$43,V$3-VLOOKUP($A11,'détails investissements'!$A$71:$B$88,2,FALSE)+1,FALSE)="","",VLOOKUP($A11,'détails investissements'!$A$26:$DE$43,V$3-VLOOKUP($A11,'détails investissements'!$A$71:$B$88,2,FALSE)+1,FALSE)))&lt;&gt;"",HLOOKUP(IF(V$3-VLOOKUP($A11,'détails investissements'!$A$71:$B$88,2,FALSE)&lt;=0,"",IF(VLOOKUP($A11,'détails investissements'!$A$26:$DE$43,V$3-VLOOKUP($A11,'détails investissements'!$A$71:$B$88,2,FALSE)+1,FALSE)="","",VLOOKUP($A11,'détails investissements'!$A$26:$DE$43,V$3-VLOOKUP($A11,'détails investissements'!$A$71:$B$88,2,FALSE)+1,FALSE))),'détails investissements'!$U$6:$AB$7,2,FALSE),"")&lt;&gt;"",VLOOKUP($A11,'détails investissements'!$A$7:$H$21,1+IF(IF(V$3-VLOOKUP($A11,'détails investissements'!$A$71:$B$88,2,FALSE)&lt;=0,"",IF(VLOOKUP($A11,'détails investissements'!$A$26:$DE$43,V$3-VLOOKUP($A11,'détails investissements'!$A$71:$B$88,2,FALSE)+1,FALSE)="","",VLOOKUP($A11,'détails investissements'!$A$26:$DE$43,V$3-VLOOKUP($A11,'détails investissements'!$A$71:$B$88,2,FALSE)+1,FALSE)))&lt;&gt;"",HLOOKUP(IF(V$3-VLOOKUP($A11,'détails investissements'!$A$71:$B$88,2,FALSE)&lt;=0,"",IF(VLOOKUP($A11,'détails investissements'!$A$26:$DE$43,V$3-VLOOKUP($A11,'détails investissements'!$A$71:$B$88,2,FALSE)+1,FALSE)="","",VLOOKUP($A11,'détails investissements'!$A$26:$DE$43,V$3-VLOOKUP($A11,'détails investissements'!$A$71:$B$88,2,FALSE)+1,FALSE))),'détails investissements'!$U$6:$AB$7,2,FALSE),""),FALSE),"")</f>
        <v>0.05</v>
      </c>
      <c r="W11" s="45" t="str">
        <f>IF(IF(IF(W$3-VLOOKUP($A11,'détails investissements'!$A$71:$B$88,2,FALSE)&lt;=0,"",IF(VLOOKUP($A11,'détails investissements'!$A$26:$DE$43,W$3-VLOOKUP($A11,'détails investissements'!$A$71:$B$88,2,FALSE)+1,FALSE)="","",VLOOKUP($A11,'détails investissements'!$A$26:$DE$43,W$3-VLOOKUP($A11,'détails investissements'!$A$71:$B$88,2,FALSE)+1,FALSE)))&lt;&gt;"",HLOOKUP(IF(W$3-VLOOKUP($A11,'détails investissements'!$A$71:$B$88,2,FALSE)&lt;=0,"",IF(VLOOKUP($A11,'détails investissements'!$A$26:$DE$43,W$3-VLOOKUP($A11,'détails investissements'!$A$71:$B$88,2,FALSE)+1,FALSE)="","",VLOOKUP($A11,'détails investissements'!$A$26:$DE$43,W$3-VLOOKUP($A11,'détails investissements'!$A$71:$B$88,2,FALSE)+1,FALSE))),'détails investissements'!$U$6:$AB$7,2,FALSE),"")&lt;&gt;"",VLOOKUP($A11,'détails investissements'!$A$7:$H$21,1+IF(IF(W$3-VLOOKUP($A11,'détails investissements'!$A$71:$B$88,2,FALSE)&lt;=0,"",IF(VLOOKUP($A11,'détails investissements'!$A$26:$DE$43,W$3-VLOOKUP($A11,'détails investissements'!$A$71:$B$88,2,FALSE)+1,FALSE)="","",VLOOKUP($A11,'détails investissements'!$A$26:$DE$43,W$3-VLOOKUP($A11,'détails investissements'!$A$71:$B$88,2,FALSE)+1,FALSE)))&lt;&gt;"",HLOOKUP(IF(W$3-VLOOKUP($A11,'détails investissements'!$A$71:$B$88,2,FALSE)&lt;=0,"",IF(VLOOKUP($A11,'détails investissements'!$A$26:$DE$43,W$3-VLOOKUP($A11,'détails investissements'!$A$71:$B$88,2,FALSE)+1,FALSE)="","",VLOOKUP($A11,'détails investissements'!$A$26:$DE$43,W$3-VLOOKUP($A11,'détails investissements'!$A$71:$B$88,2,FALSE)+1,FALSE))),'détails investissements'!$U$6:$AB$7,2,FALSE),""),FALSE),"")</f>
        <v/>
      </c>
      <c r="X11" s="45" t="str">
        <f>IF(IF(IF(X$3-VLOOKUP($A11,'détails investissements'!$A$71:$B$88,2,FALSE)&lt;=0,"",IF(VLOOKUP($A11,'détails investissements'!$A$26:$DE$43,X$3-VLOOKUP($A11,'détails investissements'!$A$71:$B$88,2,FALSE)+1,FALSE)="","",VLOOKUP($A11,'détails investissements'!$A$26:$DE$43,X$3-VLOOKUP($A11,'détails investissements'!$A$71:$B$88,2,FALSE)+1,FALSE)))&lt;&gt;"",HLOOKUP(IF(X$3-VLOOKUP($A11,'détails investissements'!$A$71:$B$88,2,FALSE)&lt;=0,"",IF(VLOOKUP($A11,'détails investissements'!$A$26:$DE$43,X$3-VLOOKUP($A11,'détails investissements'!$A$71:$B$88,2,FALSE)+1,FALSE)="","",VLOOKUP($A11,'détails investissements'!$A$26:$DE$43,X$3-VLOOKUP($A11,'détails investissements'!$A$71:$B$88,2,FALSE)+1,FALSE))),'détails investissements'!$U$6:$AB$7,2,FALSE),"")&lt;&gt;"",VLOOKUP($A11,'détails investissements'!$A$7:$H$21,1+IF(IF(X$3-VLOOKUP($A11,'détails investissements'!$A$71:$B$88,2,FALSE)&lt;=0,"",IF(VLOOKUP($A11,'détails investissements'!$A$26:$DE$43,X$3-VLOOKUP($A11,'détails investissements'!$A$71:$B$88,2,FALSE)+1,FALSE)="","",VLOOKUP($A11,'détails investissements'!$A$26:$DE$43,X$3-VLOOKUP($A11,'détails investissements'!$A$71:$B$88,2,FALSE)+1,FALSE)))&lt;&gt;"",HLOOKUP(IF(X$3-VLOOKUP($A11,'détails investissements'!$A$71:$B$88,2,FALSE)&lt;=0,"",IF(VLOOKUP($A11,'détails investissements'!$A$26:$DE$43,X$3-VLOOKUP($A11,'détails investissements'!$A$71:$B$88,2,FALSE)+1,FALSE)="","",VLOOKUP($A11,'détails investissements'!$A$26:$DE$43,X$3-VLOOKUP($A11,'détails investissements'!$A$71:$B$88,2,FALSE)+1,FALSE))),'détails investissements'!$U$6:$AB$7,2,FALSE),""),FALSE),"")</f>
        <v/>
      </c>
      <c r="Y11" s="45" t="str">
        <f>IF(IF(IF(Y$3-VLOOKUP($A11,'détails investissements'!$A$71:$B$88,2,FALSE)&lt;=0,"",IF(VLOOKUP($A11,'détails investissements'!$A$26:$DE$43,Y$3-VLOOKUP($A11,'détails investissements'!$A$71:$B$88,2,FALSE)+1,FALSE)="","",VLOOKUP($A11,'détails investissements'!$A$26:$DE$43,Y$3-VLOOKUP($A11,'détails investissements'!$A$71:$B$88,2,FALSE)+1,FALSE)))&lt;&gt;"",HLOOKUP(IF(Y$3-VLOOKUP($A11,'détails investissements'!$A$71:$B$88,2,FALSE)&lt;=0,"",IF(VLOOKUP($A11,'détails investissements'!$A$26:$DE$43,Y$3-VLOOKUP($A11,'détails investissements'!$A$71:$B$88,2,FALSE)+1,FALSE)="","",VLOOKUP($A11,'détails investissements'!$A$26:$DE$43,Y$3-VLOOKUP($A11,'détails investissements'!$A$71:$B$88,2,FALSE)+1,FALSE))),'détails investissements'!$U$6:$AB$7,2,FALSE),"")&lt;&gt;"",VLOOKUP($A11,'détails investissements'!$A$7:$H$21,1+IF(IF(Y$3-VLOOKUP($A11,'détails investissements'!$A$71:$B$88,2,FALSE)&lt;=0,"",IF(VLOOKUP($A11,'détails investissements'!$A$26:$DE$43,Y$3-VLOOKUP($A11,'détails investissements'!$A$71:$B$88,2,FALSE)+1,FALSE)="","",VLOOKUP($A11,'détails investissements'!$A$26:$DE$43,Y$3-VLOOKUP($A11,'détails investissements'!$A$71:$B$88,2,FALSE)+1,FALSE)))&lt;&gt;"",HLOOKUP(IF(Y$3-VLOOKUP($A11,'détails investissements'!$A$71:$B$88,2,FALSE)&lt;=0,"",IF(VLOOKUP($A11,'détails investissements'!$A$26:$DE$43,Y$3-VLOOKUP($A11,'détails investissements'!$A$71:$B$88,2,FALSE)+1,FALSE)="","",VLOOKUP($A11,'détails investissements'!$A$26:$DE$43,Y$3-VLOOKUP($A11,'détails investissements'!$A$71:$B$88,2,FALSE)+1,FALSE))),'détails investissements'!$U$6:$AB$7,2,FALSE),""),FALSE),"")</f>
        <v/>
      </c>
      <c r="Z11" s="45">
        <f>IF(IF(IF(Z$3-VLOOKUP($A11,'détails investissements'!$A$71:$B$88,2,FALSE)&lt;=0,"",IF(VLOOKUP($A11,'détails investissements'!$A$26:$DE$43,Z$3-VLOOKUP($A11,'détails investissements'!$A$71:$B$88,2,FALSE)+1,FALSE)="","",VLOOKUP($A11,'détails investissements'!$A$26:$DE$43,Z$3-VLOOKUP($A11,'détails investissements'!$A$71:$B$88,2,FALSE)+1,FALSE)))&lt;&gt;"",HLOOKUP(IF(Z$3-VLOOKUP($A11,'détails investissements'!$A$71:$B$88,2,FALSE)&lt;=0,"",IF(VLOOKUP($A11,'détails investissements'!$A$26:$DE$43,Z$3-VLOOKUP($A11,'détails investissements'!$A$71:$B$88,2,FALSE)+1,FALSE)="","",VLOOKUP($A11,'détails investissements'!$A$26:$DE$43,Z$3-VLOOKUP($A11,'détails investissements'!$A$71:$B$88,2,FALSE)+1,FALSE))),'détails investissements'!$U$6:$AB$7,2,FALSE),"")&lt;&gt;"",VLOOKUP($A11,'détails investissements'!$A$7:$H$21,1+IF(IF(Z$3-VLOOKUP($A11,'détails investissements'!$A$71:$B$88,2,FALSE)&lt;=0,"",IF(VLOOKUP($A11,'détails investissements'!$A$26:$DE$43,Z$3-VLOOKUP($A11,'détails investissements'!$A$71:$B$88,2,FALSE)+1,FALSE)="","",VLOOKUP($A11,'détails investissements'!$A$26:$DE$43,Z$3-VLOOKUP($A11,'détails investissements'!$A$71:$B$88,2,FALSE)+1,FALSE)))&lt;&gt;"",HLOOKUP(IF(Z$3-VLOOKUP($A11,'détails investissements'!$A$71:$B$88,2,FALSE)&lt;=0,"",IF(VLOOKUP($A11,'détails investissements'!$A$26:$DE$43,Z$3-VLOOKUP($A11,'détails investissements'!$A$71:$B$88,2,FALSE)+1,FALSE)="","",VLOOKUP($A11,'détails investissements'!$A$26:$DE$43,Z$3-VLOOKUP($A11,'détails investissements'!$A$71:$B$88,2,FALSE)+1,FALSE))),'détails investissements'!$U$6:$AB$7,2,FALSE),""),FALSE),"")</f>
        <v>0.15</v>
      </c>
      <c r="AA11" s="45">
        <f>IF(IF(IF(AA$3-VLOOKUP($A11,'détails investissements'!$A$71:$B$88,2,FALSE)&lt;=0,"",IF(VLOOKUP($A11,'détails investissements'!$A$26:$DE$43,AA$3-VLOOKUP($A11,'détails investissements'!$A$71:$B$88,2,FALSE)+1,FALSE)="","",VLOOKUP($A11,'détails investissements'!$A$26:$DE$43,AA$3-VLOOKUP($A11,'détails investissements'!$A$71:$B$88,2,FALSE)+1,FALSE)))&lt;&gt;"",HLOOKUP(IF(AA$3-VLOOKUP($A11,'détails investissements'!$A$71:$B$88,2,FALSE)&lt;=0,"",IF(VLOOKUP($A11,'détails investissements'!$A$26:$DE$43,AA$3-VLOOKUP($A11,'détails investissements'!$A$71:$B$88,2,FALSE)+1,FALSE)="","",VLOOKUP($A11,'détails investissements'!$A$26:$DE$43,AA$3-VLOOKUP($A11,'détails investissements'!$A$71:$B$88,2,FALSE)+1,FALSE))),'détails investissements'!$U$6:$AB$7,2,FALSE),"")&lt;&gt;"",VLOOKUP($A11,'détails investissements'!$A$7:$H$21,1+IF(IF(AA$3-VLOOKUP($A11,'détails investissements'!$A$71:$B$88,2,FALSE)&lt;=0,"",IF(VLOOKUP($A11,'détails investissements'!$A$26:$DE$43,AA$3-VLOOKUP($A11,'détails investissements'!$A$71:$B$88,2,FALSE)+1,FALSE)="","",VLOOKUP($A11,'détails investissements'!$A$26:$DE$43,AA$3-VLOOKUP($A11,'détails investissements'!$A$71:$B$88,2,FALSE)+1,FALSE)))&lt;&gt;"",HLOOKUP(IF(AA$3-VLOOKUP($A11,'détails investissements'!$A$71:$B$88,2,FALSE)&lt;=0,"",IF(VLOOKUP($A11,'détails investissements'!$A$26:$DE$43,AA$3-VLOOKUP($A11,'détails investissements'!$A$71:$B$88,2,FALSE)+1,FALSE)="","",VLOOKUP($A11,'détails investissements'!$A$26:$DE$43,AA$3-VLOOKUP($A11,'détails investissements'!$A$71:$B$88,2,FALSE)+1,FALSE))),'détails investissements'!$U$6:$AB$7,2,FALSE),""),FALSE),"")</f>
        <v>0.2</v>
      </c>
      <c r="AB11" s="45">
        <f>IF(IF(IF(AB$3-VLOOKUP($A11,'détails investissements'!$A$71:$B$88,2,FALSE)&lt;=0,"",IF(VLOOKUP($A11,'détails investissements'!$A$26:$DE$43,AB$3-VLOOKUP($A11,'détails investissements'!$A$71:$B$88,2,FALSE)+1,FALSE)="","",VLOOKUP($A11,'détails investissements'!$A$26:$DE$43,AB$3-VLOOKUP($A11,'détails investissements'!$A$71:$B$88,2,FALSE)+1,FALSE)))&lt;&gt;"",HLOOKUP(IF(AB$3-VLOOKUP($A11,'détails investissements'!$A$71:$B$88,2,FALSE)&lt;=0,"",IF(VLOOKUP($A11,'détails investissements'!$A$26:$DE$43,AB$3-VLOOKUP($A11,'détails investissements'!$A$71:$B$88,2,FALSE)+1,FALSE)="","",VLOOKUP($A11,'détails investissements'!$A$26:$DE$43,AB$3-VLOOKUP($A11,'détails investissements'!$A$71:$B$88,2,FALSE)+1,FALSE))),'détails investissements'!$U$6:$AB$7,2,FALSE),"")&lt;&gt;"",VLOOKUP($A11,'détails investissements'!$A$7:$H$21,1+IF(IF(AB$3-VLOOKUP($A11,'détails investissements'!$A$71:$B$88,2,FALSE)&lt;=0,"",IF(VLOOKUP($A11,'détails investissements'!$A$26:$DE$43,AB$3-VLOOKUP($A11,'détails investissements'!$A$71:$B$88,2,FALSE)+1,FALSE)="","",VLOOKUP($A11,'détails investissements'!$A$26:$DE$43,AB$3-VLOOKUP($A11,'détails investissements'!$A$71:$B$88,2,FALSE)+1,FALSE)))&lt;&gt;"",HLOOKUP(IF(AB$3-VLOOKUP($A11,'détails investissements'!$A$71:$B$88,2,FALSE)&lt;=0,"",IF(VLOOKUP($A11,'détails investissements'!$A$26:$DE$43,AB$3-VLOOKUP($A11,'détails investissements'!$A$71:$B$88,2,FALSE)+1,FALSE)="","",VLOOKUP($A11,'détails investissements'!$A$26:$DE$43,AB$3-VLOOKUP($A11,'détails investissements'!$A$71:$B$88,2,FALSE)+1,FALSE))),'détails investissements'!$U$6:$AB$7,2,FALSE),""),FALSE),"")</f>
        <v>0.25</v>
      </c>
      <c r="AC11" s="45" t="str">
        <f>IF(IF(IF(AC$3-VLOOKUP($A11,'détails investissements'!$A$71:$B$88,2,FALSE)&lt;=0,"",IF(VLOOKUP($A11,'détails investissements'!$A$26:$DE$43,AC$3-VLOOKUP($A11,'détails investissements'!$A$71:$B$88,2,FALSE)+1,FALSE)="","",VLOOKUP($A11,'détails investissements'!$A$26:$DE$43,AC$3-VLOOKUP($A11,'détails investissements'!$A$71:$B$88,2,FALSE)+1,FALSE)))&lt;&gt;"",HLOOKUP(IF(AC$3-VLOOKUP($A11,'détails investissements'!$A$71:$B$88,2,FALSE)&lt;=0,"",IF(VLOOKUP($A11,'détails investissements'!$A$26:$DE$43,AC$3-VLOOKUP($A11,'détails investissements'!$A$71:$B$88,2,FALSE)+1,FALSE)="","",VLOOKUP($A11,'détails investissements'!$A$26:$DE$43,AC$3-VLOOKUP($A11,'détails investissements'!$A$71:$B$88,2,FALSE)+1,FALSE))),'détails investissements'!$U$6:$AB$7,2,FALSE),"")&lt;&gt;"",VLOOKUP($A11,'détails investissements'!$A$7:$H$21,1+IF(IF(AC$3-VLOOKUP($A11,'détails investissements'!$A$71:$B$88,2,FALSE)&lt;=0,"",IF(VLOOKUP($A11,'détails investissements'!$A$26:$DE$43,AC$3-VLOOKUP($A11,'détails investissements'!$A$71:$B$88,2,FALSE)+1,FALSE)="","",VLOOKUP($A11,'détails investissements'!$A$26:$DE$43,AC$3-VLOOKUP($A11,'détails investissements'!$A$71:$B$88,2,FALSE)+1,FALSE)))&lt;&gt;"",HLOOKUP(IF(AC$3-VLOOKUP($A11,'détails investissements'!$A$71:$B$88,2,FALSE)&lt;=0,"",IF(VLOOKUP($A11,'détails investissements'!$A$26:$DE$43,AC$3-VLOOKUP($A11,'détails investissements'!$A$71:$B$88,2,FALSE)+1,FALSE)="","",VLOOKUP($A11,'détails investissements'!$A$26:$DE$43,AC$3-VLOOKUP($A11,'détails investissements'!$A$71:$B$88,2,FALSE)+1,FALSE))),'détails investissements'!$U$6:$AB$7,2,FALSE),""),FALSE),"")</f>
        <v/>
      </c>
      <c r="AD11" s="45">
        <f>IF(IF(IF(AD$3-VLOOKUP($A11,'détails investissements'!$A$71:$B$88,2,FALSE)&lt;=0,"",IF(VLOOKUP($A11,'détails investissements'!$A$26:$DE$43,AD$3-VLOOKUP($A11,'détails investissements'!$A$71:$B$88,2,FALSE)+1,FALSE)="","",VLOOKUP($A11,'détails investissements'!$A$26:$DE$43,AD$3-VLOOKUP($A11,'détails investissements'!$A$71:$B$88,2,FALSE)+1,FALSE)))&lt;&gt;"",HLOOKUP(IF(AD$3-VLOOKUP($A11,'détails investissements'!$A$71:$B$88,2,FALSE)&lt;=0,"",IF(VLOOKUP($A11,'détails investissements'!$A$26:$DE$43,AD$3-VLOOKUP($A11,'détails investissements'!$A$71:$B$88,2,FALSE)+1,FALSE)="","",VLOOKUP($A11,'détails investissements'!$A$26:$DE$43,AD$3-VLOOKUP($A11,'détails investissements'!$A$71:$B$88,2,FALSE)+1,FALSE))),'détails investissements'!$U$6:$AB$7,2,FALSE),"")&lt;&gt;"",VLOOKUP($A11,'détails investissements'!$A$7:$H$21,1+IF(IF(AD$3-VLOOKUP($A11,'détails investissements'!$A$71:$B$88,2,FALSE)&lt;=0,"",IF(VLOOKUP($A11,'détails investissements'!$A$26:$DE$43,AD$3-VLOOKUP($A11,'détails investissements'!$A$71:$B$88,2,FALSE)+1,FALSE)="","",VLOOKUP($A11,'détails investissements'!$A$26:$DE$43,AD$3-VLOOKUP($A11,'détails investissements'!$A$71:$B$88,2,FALSE)+1,FALSE)))&lt;&gt;"",HLOOKUP(IF(AD$3-VLOOKUP($A11,'détails investissements'!$A$71:$B$88,2,FALSE)&lt;=0,"",IF(VLOOKUP($A11,'détails investissements'!$A$26:$DE$43,AD$3-VLOOKUP($A11,'détails investissements'!$A$71:$B$88,2,FALSE)+1,FALSE)="","",VLOOKUP($A11,'détails investissements'!$A$26:$DE$43,AD$3-VLOOKUP($A11,'détails investissements'!$A$71:$B$88,2,FALSE)+1,FALSE))),'détails investissements'!$U$6:$AB$7,2,FALSE),""),FALSE),"")</f>
        <v>0.15</v>
      </c>
      <c r="AE11" s="45" t="str">
        <f>IF(IF(IF(AE$3-VLOOKUP($A11,'détails investissements'!$A$71:$B$88,2,FALSE)&lt;=0,"",IF(VLOOKUP($A11,'détails investissements'!$A$26:$DE$43,AE$3-VLOOKUP($A11,'détails investissements'!$A$71:$B$88,2,FALSE)+1,FALSE)="","",VLOOKUP($A11,'détails investissements'!$A$26:$DE$43,AE$3-VLOOKUP($A11,'détails investissements'!$A$71:$B$88,2,FALSE)+1,FALSE)))&lt;&gt;"",HLOOKUP(IF(AE$3-VLOOKUP($A11,'détails investissements'!$A$71:$B$88,2,FALSE)&lt;=0,"",IF(VLOOKUP($A11,'détails investissements'!$A$26:$DE$43,AE$3-VLOOKUP($A11,'détails investissements'!$A$71:$B$88,2,FALSE)+1,FALSE)="","",VLOOKUP($A11,'détails investissements'!$A$26:$DE$43,AE$3-VLOOKUP($A11,'détails investissements'!$A$71:$B$88,2,FALSE)+1,FALSE))),'détails investissements'!$U$6:$AB$7,2,FALSE),"")&lt;&gt;"",VLOOKUP($A11,'détails investissements'!$A$7:$H$21,1+IF(IF(AE$3-VLOOKUP($A11,'détails investissements'!$A$71:$B$88,2,FALSE)&lt;=0,"",IF(VLOOKUP($A11,'détails investissements'!$A$26:$DE$43,AE$3-VLOOKUP($A11,'détails investissements'!$A$71:$B$88,2,FALSE)+1,FALSE)="","",VLOOKUP($A11,'détails investissements'!$A$26:$DE$43,AE$3-VLOOKUP($A11,'détails investissements'!$A$71:$B$88,2,FALSE)+1,FALSE)))&lt;&gt;"",HLOOKUP(IF(AE$3-VLOOKUP($A11,'détails investissements'!$A$71:$B$88,2,FALSE)&lt;=0,"",IF(VLOOKUP($A11,'détails investissements'!$A$26:$DE$43,AE$3-VLOOKUP($A11,'détails investissements'!$A$71:$B$88,2,FALSE)+1,FALSE)="","",VLOOKUP($A11,'détails investissements'!$A$26:$DE$43,AE$3-VLOOKUP($A11,'détails investissements'!$A$71:$B$88,2,FALSE)+1,FALSE))),'détails investissements'!$U$6:$AB$7,2,FALSE),""),FALSE),"")</f>
        <v/>
      </c>
      <c r="AF11" s="45" t="str">
        <f>IF(IF(IF(AF$3-VLOOKUP($A11,'détails investissements'!$A$71:$B$88,2,FALSE)&lt;=0,"",IF(VLOOKUP($A11,'détails investissements'!$A$26:$DE$43,AF$3-VLOOKUP($A11,'détails investissements'!$A$71:$B$88,2,FALSE)+1,FALSE)="","",VLOOKUP($A11,'détails investissements'!$A$26:$DE$43,AF$3-VLOOKUP($A11,'détails investissements'!$A$71:$B$88,2,FALSE)+1,FALSE)))&lt;&gt;"",HLOOKUP(IF(AF$3-VLOOKUP($A11,'détails investissements'!$A$71:$B$88,2,FALSE)&lt;=0,"",IF(VLOOKUP($A11,'détails investissements'!$A$26:$DE$43,AF$3-VLOOKUP($A11,'détails investissements'!$A$71:$B$88,2,FALSE)+1,FALSE)="","",VLOOKUP($A11,'détails investissements'!$A$26:$DE$43,AF$3-VLOOKUP($A11,'détails investissements'!$A$71:$B$88,2,FALSE)+1,FALSE))),'détails investissements'!$U$6:$AB$7,2,FALSE),"")&lt;&gt;"",VLOOKUP($A11,'détails investissements'!$A$7:$H$21,1+IF(IF(AF$3-VLOOKUP($A11,'détails investissements'!$A$71:$B$88,2,FALSE)&lt;=0,"",IF(VLOOKUP($A11,'détails investissements'!$A$26:$DE$43,AF$3-VLOOKUP($A11,'détails investissements'!$A$71:$B$88,2,FALSE)+1,FALSE)="","",VLOOKUP($A11,'détails investissements'!$A$26:$DE$43,AF$3-VLOOKUP($A11,'détails investissements'!$A$71:$B$88,2,FALSE)+1,FALSE)))&lt;&gt;"",HLOOKUP(IF(AF$3-VLOOKUP($A11,'détails investissements'!$A$71:$B$88,2,FALSE)&lt;=0,"",IF(VLOOKUP($A11,'détails investissements'!$A$26:$DE$43,AF$3-VLOOKUP($A11,'détails investissements'!$A$71:$B$88,2,FALSE)+1,FALSE)="","",VLOOKUP($A11,'détails investissements'!$A$26:$DE$43,AF$3-VLOOKUP($A11,'détails investissements'!$A$71:$B$88,2,FALSE)+1,FALSE))),'détails investissements'!$U$6:$AB$7,2,FALSE),""),FALSE),"")</f>
        <v/>
      </c>
      <c r="AG11" s="45" t="str">
        <f>IF(IF(IF(AG$3-VLOOKUP($A11,'détails investissements'!$A$71:$B$88,2,FALSE)&lt;=0,"",IF(VLOOKUP($A11,'détails investissements'!$A$26:$DE$43,AG$3-VLOOKUP($A11,'détails investissements'!$A$71:$B$88,2,FALSE)+1,FALSE)="","",VLOOKUP($A11,'détails investissements'!$A$26:$DE$43,AG$3-VLOOKUP($A11,'détails investissements'!$A$71:$B$88,2,FALSE)+1,FALSE)))&lt;&gt;"",HLOOKUP(IF(AG$3-VLOOKUP($A11,'détails investissements'!$A$71:$B$88,2,FALSE)&lt;=0,"",IF(VLOOKUP($A11,'détails investissements'!$A$26:$DE$43,AG$3-VLOOKUP($A11,'détails investissements'!$A$71:$B$88,2,FALSE)+1,FALSE)="","",VLOOKUP($A11,'détails investissements'!$A$26:$DE$43,AG$3-VLOOKUP($A11,'détails investissements'!$A$71:$B$88,2,FALSE)+1,FALSE))),'détails investissements'!$U$6:$AB$7,2,FALSE),"")&lt;&gt;"",VLOOKUP($A11,'détails investissements'!$A$7:$H$21,1+IF(IF(AG$3-VLOOKUP($A11,'détails investissements'!$A$71:$B$88,2,FALSE)&lt;=0,"",IF(VLOOKUP($A11,'détails investissements'!$A$26:$DE$43,AG$3-VLOOKUP($A11,'détails investissements'!$A$71:$B$88,2,FALSE)+1,FALSE)="","",VLOOKUP($A11,'détails investissements'!$A$26:$DE$43,AG$3-VLOOKUP($A11,'détails investissements'!$A$71:$B$88,2,FALSE)+1,FALSE)))&lt;&gt;"",HLOOKUP(IF(AG$3-VLOOKUP($A11,'détails investissements'!$A$71:$B$88,2,FALSE)&lt;=0,"",IF(VLOOKUP($A11,'détails investissements'!$A$26:$DE$43,AG$3-VLOOKUP($A11,'détails investissements'!$A$71:$B$88,2,FALSE)+1,FALSE)="","",VLOOKUP($A11,'détails investissements'!$A$26:$DE$43,AG$3-VLOOKUP($A11,'détails investissements'!$A$71:$B$88,2,FALSE)+1,FALSE))),'détails investissements'!$U$6:$AB$7,2,FALSE),""),FALSE),"")</f>
        <v/>
      </c>
      <c r="AH11" s="45" t="str">
        <f>IF(IF(IF(AH$3-VLOOKUP($A11,'détails investissements'!$A$71:$B$88,2,FALSE)&lt;=0,"",IF(VLOOKUP($A11,'détails investissements'!$A$26:$DE$43,AH$3-VLOOKUP($A11,'détails investissements'!$A$71:$B$88,2,FALSE)+1,FALSE)="","",VLOOKUP($A11,'détails investissements'!$A$26:$DE$43,AH$3-VLOOKUP($A11,'détails investissements'!$A$71:$B$88,2,FALSE)+1,FALSE)))&lt;&gt;"",HLOOKUP(IF(AH$3-VLOOKUP($A11,'détails investissements'!$A$71:$B$88,2,FALSE)&lt;=0,"",IF(VLOOKUP($A11,'détails investissements'!$A$26:$DE$43,AH$3-VLOOKUP($A11,'détails investissements'!$A$71:$B$88,2,FALSE)+1,FALSE)="","",VLOOKUP($A11,'détails investissements'!$A$26:$DE$43,AH$3-VLOOKUP($A11,'détails investissements'!$A$71:$B$88,2,FALSE)+1,FALSE))),'détails investissements'!$U$6:$AB$7,2,FALSE),"")&lt;&gt;"",VLOOKUP($A11,'détails investissements'!$A$7:$H$21,1+IF(IF(AH$3-VLOOKUP($A11,'détails investissements'!$A$71:$B$88,2,FALSE)&lt;=0,"",IF(VLOOKUP($A11,'détails investissements'!$A$26:$DE$43,AH$3-VLOOKUP($A11,'détails investissements'!$A$71:$B$88,2,FALSE)+1,FALSE)="","",VLOOKUP($A11,'détails investissements'!$A$26:$DE$43,AH$3-VLOOKUP($A11,'détails investissements'!$A$71:$B$88,2,FALSE)+1,FALSE)))&lt;&gt;"",HLOOKUP(IF(AH$3-VLOOKUP($A11,'détails investissements'!$A$71:$B$88,2,FALSE)&lt;=0,"",IF(VLOOKUP($A11,'détails investissements'!$A$26:$DE$43,AH$3-VLOOKUP($A11,'détails investissements'!$A$71:$B$88,2,FALSE)+1,FALSE)="","",VLOOKUP($A11,'détails investissements'!$A$26:$DE$43,AH$3-VLOOKUP($A11,'détails investissements'!$A$71:$B$88,2,FALSE)+1,FALSE))),'détails investissements'!$U$6:$AB$7,2,FALSE),""),FALSE),"")</f>
        <v/>
      </c>
      <c r="AI11" s="45" t="str">
        <f>IF(IF(IF(AI$3-VLOOKUP($A11,'détails investissements'!$A$71:$B$88,2,FALSE)&lt;=0,"",IF(VLOOKUP($A11,'détails investissements'!$A$26:$DE$43,AI$3-VLOOKUP($A11,'détails investissements'!$A$71:$B$88,2,FALSE)+1,FALSE)="","",VLOOKUP($A11,'détails investissements'!$A$26:$DE$43,AI$3-VLOOKUP($A11,'détails investissements'!$A$71:$B$88,2,FALSE)+1,FALSE)))&lt;&gt;"",HLOOKUP(IF(AI$3-VLOOKUP($A11,'détails investissements'!$A$71:$B$88,2,FALSE)&lt;=0,"",IF(VLOOKUP($A11,'détails investissements'!$A$26:$DE$43,AI$3-VLOOKUP($A11,'détails investissements'!$A$71:$B$88,2,FALSE)+1,FALSE)="","",VLOOKUP($A11,'détails investissements'!$A$26:$DE$43,AI$3-VLOOKUP($A11,'détails investissements'!$A$71:$B$88,2,FALSE)+1,FALSE))),'détails investissements'!$U$6:$AB$7,2,FALSE),"")&lt;&gt;"",VLOOKUP($A11,'détails investissements'!$A$7:$H$21,1+IF(IF(AI$3-VLOOKUP($A11,'détails investissements'!$A$71:$B$88,2,FALSE)&lt;=0,"",IF(VLOOKUP($A11,'détails investissements'!$A$26:$DE$43,AI$3-VLOOKUP($A11,'détails investissements'!$A$71:$B$88,2,FALSE)+1,FALSE)="","",VLOOKUP($A11,'détails investissements'!$A$26:$DE$43,AI$3-VLOOKUP($A11,'détails investissements'!$A$71:$B$88,2,FALSE)+1,FALSE)))&lt;&gt;"",HLOOKUP(IF(AI$3-VLOOKUP($A11,'détails investissements'!$A$71:$B$88,2,FALSE)&lt;=0,"",IF(VLOOKUP($A11,'détails investissements'!$A$26:$DE$43,AI$3-VLOOKUP($A11,'détails investissements'!$A$71:$B$88,2,FALSE)+1,FALSE)="","",VLOOKUP($A11,'détails investissements'!$A$26:$DE$43,AI$3-VLOOKUP($A11,'détails investissements'!$A$71:$B$88,2,FALSE)+1,FALSE))),'détails investissements'!$U$6:$AB$7,2,FALSE),""),FALSE),"")</f>
        <v/>
      </c>
      <c r="AJ11" s="45" t="str">
        <f>IF(IF(IF(AJ$3-VLOOKUP($A11,'détails investissements'!$A$71:$B$88,2,FALSE)&lt;=0,"",IF(VLOOKUP($A11,'détails investissements'!$A$26:$DE$43,AJ$3-VLOOKUP($A11,'détails investissements'!$A$71:$B$88,2,FALSE)+1,FALSE)="","",VLOOKUP($A11,'détails investissements'!$A$26:$DE$43,AJ$3-VLOOKUP($A11,'détails investissements'!$A$71:$B$88,2,FALSE)+1,FALSE)))&lt;&gt;"",HLOOKUP(IF(AJ$3-VLOOKUP($A11,'détails investissements'!$A$71:$B$88,2,FALSE)&lt;=0,"",IF(VLOOKUP($A11,'détails investissements'!$A$26:$DE$43,AJ$3-VLOOKUP($A11,'détails investissements'!$A$71:$B$88,2,FALSE)+1,FALSE)="","",VLOOKUP($A11,'détails investissements'!$A$26:$DE$43,AJ$3-VLOOKUP($A11,'détails investissements'!$A$71:$B$88,2,FALSE)+1,FALSE))),'détails investissements'!$U$6:$AB$7,2,FALSE),"")&lt;&gt;"",VLOOKUP($A11,'détails investissements'!$A$7:$H$21,1+IF(IF(AJ$3-VLOOKUP($A11,'détails investissements'!$A$71:$B$88,2,FALSE)&lt;=0,"",IF(VLOOKUP($A11,'détails investissements'!$A$26:$DE$43,AJ$3-VLOOKUP($A11,'détails investissements'!$A$71:$B$88,2,FALSE)+1,FALSE)="","",VLOOKUP($A11,'détails investissements'!$A$26:$DE$43,AJ$3-VLOOKUP($A11,'détails investissements'!$A$71:$B$88,2,FALSE)+1,FALSE)))&lt;&gt;"",HLOOKUP(IF(AJ$3-VLOOKUP($A11,'détails investissements'!$A$71:$B$88,2,FALSE)&lt;=0,"",IF(VLOOKUP($A11,'détails investissements'!$A$26:$DE$43,AJ$3-VLOOKUP($A11,'détails investissements'!$A$71:$B$88,2,FALSE)+1,FALSE)="","",VLOOKUP($A11,'détails investissements'!$A$26:$DE$43,AJ$3-VLOOKUP($A11,'détails investissements'!$A$71:$B$88,2,FALSE)+1,FALSE))),'détails investissements'!$U$6:$AB$7,2,FALSE),""),FALSE),"")</f>
        <v/>
      </c>
      <c r="AK11" s="45" t="str">
        <f>IF(IF(IF(AK$3-VLOOKUP($A11,'détails investissements'!$A$71:$B$88,2,FALSE)&lt;=0,"",IF(VLOOKUP($A11,'détails investissements'!$A$26:$DE$43,AK$3-VLOOKUP($A11,'détails investissements'!$A$71:$B$88,2,FALSE)+1,FALSE)="","",VLOOKUP($A11,'détails investissements'!$A$26:$DE$43,AK$3-VLOOKUP($A11,'détails investissements'!$A$71:$B$88,2,FALSE)+1,FALSE)))&lt;&gt;"",HLOOKUP(IF(AK$3-VLOOKUP($A11,'détails investissements'!$A$71:$B$88,2,FALSE)&lt;=0,"",IF(VLOOKUP($A11,'détails investissements'!$A$26:$DE$43,AK$3-VLOOKUP($A11,'détails investissements'!$A$71:$B$88,2,FALSE)+1,FALSE)="","",VLOOKUP($A11,'détails investissements'!$A$26:$DE$43,AK$3-VLOOKUP($A11,'détails investissements'!$A$71:$B$88,2,FALSE)+1,FALSE))),'détails investissements'!$U$6:$AB$7,2,FALSE),"")&lt;&gt;"",VLOOKUP($A11,'détails investissements'!$A$7:$H$21,1+IF(IF(AK$3-VLOOKUP($A11,'détails investissements'!$A$71:$B$88,2,FALSE)&lt;=0,"",IF(VLOOKUP($A11,'détails investissements'!$A$26:$DE$43,AK$3-VLOOKUP($A11,'détails investissements'!$A$71:$B$88,2,FALSE)+1,FALSE)="","",VLOOKUP($A11,'détails investissements'!$A$26:$DE$43,AK$3-VLOOKUP($A11,'détails investissements'!$A$71:$B$88,2,FALSE)+1,FALSE)))&lt;&gt;"",HLOOKUP(IF(AK$3-VLOOKUP($A11,'détails investissements'!$A$71:$B$88,2,FALSE)&lt;=0,"",IF(VLOOKUP($A11,'détails investissements'!$A$26:$DE$43,AK$3-VLOOKUP($A11,'détails investissements'!$A$71:$B$88,2,FALSE)+1,FALSE)="","",VLOOKUP($A11,'détails investissements'!$A$26:$DE$43,AK$3-VLOOKUP($A11,'détails investissements'!$A$71:$B$88,2,FALSE)+1,FALSE))),'détails investissements'!$U$6:$AB$7,2,FALSE),""),FALSE),"")</f>
        <v/>
      </c>
      <c r="AL11" s="45" t="str">
        <f>IF(IF(IF(AL$3-VLOOKUP($A11,'détails investissements'!$A$71:$B$88,2,FALSE)&lt;=0,"",IF(VLOOKUP($A11,'détails investissements'!$A$26:$DE$43,AL$3-VLOOKUP($A11,'détails investissements'!$A$71:$B$88,2,FALSE)+1,FALSE)="","",VLOOKUP($A11,'détails investissements'!$A$26:$DE$43,AL$3-VLOOKUP($A11,'détails investissements'!$A$71:$B$88,2,FALSE)+1,FALSE)))&lt;&gt;"",HLOOKUP(IF(AL$3-VLOOKUP($A11,'détails investissements'!$A$71:$B$88,2,FALSE)&lt;=0,"",IF(VLOOKUP($A11,'détails investissements'!$A$26:$DE$43,AL$3-VLOOKUP($A11,'détails investissements'!$A$71:$B$88,2,FALSE)+1,FALSE)="","",VLOOKUP($A11,'détails investissements'!$A$26:$DE$43,AL$3-VLOOKUP($A11,'détails investissements'!$A$71:$B$88,2,FALSE)+1,FALSE))),'détails investissements'!$U$6:$AB$7,2,FALSE),"")&lt;&gt;"",VLOOKUP($A11,'détails investissements'!$A$7:$H$21,1+IF(IF(AL$3-VLOOKUP($A11,'détails investissements'!$A$71:$B$88,2,FALSE)&lt;=0,"",IF(VLOOKUP($A11,'détails investissements'!$A$26:$DE$43,AL$3-VLOOKUP($A11,'détails investissements'!$A$71:$B$88,2,FALSE)+1,FALSE)="","",VLOOKUP($A11,'détails investissements'!$A$26:$DE$43,AL$3-VLOOKUP($A11,'détails investissements'!$A$71:$B$88,2,FALSE)+1,FALSE)))&lt;&gt;"",HLOOKUP(IF(AL$3-VLOOKUP($A11,'détails investissements'!$A$71:$B$88,2,FALSE)&lt;=0,"",IF(VLOOKUP($A11,'détails investissements'!$A$26:$DE$43,AL$3-VLOOKUP($A11,'détails investissements'!$A$71:$B$88,2,FALSE)+1,FALSE)="","",VLOOKUP($A11,'détails investissements'!$A$26:$DE$43,AL$3-VLOOKUP($A11,'détails investissements'!$A$71:$B$88,2,FALSE)+1,FALSE))),'détails investissements'!$U$6:$AB$7,2,FALSE),""),FALSE),"")</f>
        <v/>
      </c>
      <c r="AM11" s="45" t="str">
        <f>IF(IF(IF(AM$3-VLOOKUP($A11,'détails investissements'!$A$71:$B$88,2,FALSE)&lt;=0,"",IF(VLOOKUP($A11,'détails investissements'!$A$26:$DE$43,AM$3-VLOOKUP($A11,'détails investissements'!$A$71:$B$88,2,FALSE)+1,FALSE)="","",VLOOKUP($A11,'détails investissements'!$A$26:$DE$43,AM$3-VLOOKUP($A11,'détails investissements'!$A$71:$B$88,2,FALSE)+1,FALSE)))&lt;&gt;"",HLOOKUP(IF(AM$3-VLOOKUP($A11,'détails investissements'!$A$71:$B$88,2,FALSE)&lt;=0,"",IF(VLOOKUP($A11,'détails investissements'!$A$26:$DE$43,AM$3-VLOOKUP($A11,'détails investissements'!$A$71:$B$88,2,FALSE)+1,FALSE)="","",VLOOKUP($A11,'détails investissements'!$A$26:$DE$43,AM$3-VLOOKUP($A11,'détails investissements'!$A$71:$B$88,2,FALSE)+1,FALSE))),'détails investissements'!$U$6:$AB$7,2,FALSE),"")&lt;&gt;"",VLOOKUP($A11,'détails investissements'!$A$7:$H$21,1+IF(IF(AM$3-VLOOKUP($A11,'détails investissements'!$A$71:$B$88,2,FALSE)&lt;=0,"",IF(VLOOKUP($A11,'détails investissements'!$A$26:$DE$43,AM$3-VLOOKUP($A11,'détails investissements'!$A$71:$B$88,2,FALSE)+1,FALSE)="","",VLOOKUP($A11,'détails investissements'!$A$26:$DE$43,AM$3-VLOOKUP($A11,'détails investissements'!$A$71:$B$88,2,FALSE)+1,FALSE)))&lt;&gt;"",HLOOKUP(IF(AM$3-VLOOKUP($A11,'détails investissements'!$A$71:$B$88,2,FALSE)&lt;=0,"",IF(VLOOKUP($A11,'détails investissements'!$A$26:$DE$43,AM$3-VLOOKUP($A11,'détails investissements'!$A$71:$B$88,2,FALSE)+1,FALSE)="","",VLOOKUP($A11,'détails investissements'!$A$26:$DE$43,AM$3-VLOOKUP($A11,'détails investissements'!$A$71:$B$88,2,FALSE)+1,FALSE))),'détails investissements'!$U$6:$AB$7,2,FALSE),""),FALSE),"")</f>
        <v/>
      </c>
      <c r="AN11" s="45" t="str">
        <f>IF(IF(IF(AN$3-VLOOKUP($A11,'détails investissements'!$A$71:$B$88,2,FALSE)&lt;=0,"",IF(VLOOKUP($A11,'détails investissements'!$A$26:$DE$43,AN$3-VLOOKUP($A11,'détails investissements'!$A$71:$B$88,2,FALSE)+1,FALSE)="","",VLOOKUP($A11,'détails investissements'!$A$26:$DE$43,AN$3-VLOOKUP($A11,'détails investissements'!$A$71:$B$88,2,FALSE)+1,FALSE)))&lt;&gt;"",HLOOKUP(IF(AN$3-VLOOKUP($A11,'détails investissements'!$A$71:$B$88,2,FALSE)&lt;=0,"",IF(VLOOKUP($A11,'détails investissements'!$A$26:$DE$43,AN$3-VLOOKUP($A11,'détails investissements'!$A$71:$B$88,2,FALSE)+1,FALSE)="","",VLOOKUP($A11,'détails investissements'!$A$26:$DE$43,AN$3-VLOOKUP($A11,'détails investissements'!$A$71:$B$88,2,FALSE)+1,FALSE))),'détails investissements'!$U$6:$AB$7,2,FALSE),"")&lt;&gt;"",VLOOKUP($A11,'détails investissements'!$A$7:$H$21,1+IF(IF(AN$3-VLOOKUP($A11,'détails investissements'!$A$71:$B$88,2,FALSE)&lt;=0,"",IF(VLOOKUP($A11,'détails investissements'!$A$26:$DE$43,AN$3-VLOOKUP($A11,'détails investissements'!$A$71:$B$88,2,FALSE)+1,FALSE)="","",VLOOKUP($A11,'détails investissements'!$A$26:$DE$43,AN$3-VLOOKUP($A11,'détails investissements'!$A$71:$B$88,2,FALSE)+1,FALSE)))&lt;&gt;"",HLOOKUP(IF(AN$3-VLOOKUP($A11,'détails investissements'!$A$71:$B$88,2,FALSE)&lt;=0,"",IF(VLOOKUP($A11,'détails investissements'!$A$26:$DE$43,AN$3-VLOOKUP($A11,'détails investissements'!$A$71:$B$88,2,FALSE)+1,FALSE)="","",VLOOKUP($A11,'détails investissements'!$A$26:$DE$43,AN$3-VLOOKUP($A11,'détails investissements'!$A$71:$B$88,2,FALSE)+1,FALSE))),'détails investissements'!$U$6:$AB$7,2,FALSE),""),FALSE),"")</f>
        <v/>
      </c>
      <c r="AO11" s="45" t="str">
        <f>IF(IF(IF(AO$3-VLOOKUP($A11,'détails investissements'!$A$71:$B$88,2,FALSE)&lt;=0,"",IF(VLOOKUP($A11,'détails investissements'!$A$26:$DE$43,AO$3-VLOOKUP($A11,'détails investissements'!$A$71:$B$88,2,FALSE)+1,FALSE)="","",VLOOKUP($A11,'détails investissements'!$A$26:$DE$43,AO$3-VLOOKUP($A11,'détails investissements'!$A$71:$B$88,2,FALSE)+1,FALSE)))&lt;&gt;"",HLOOKUP(IF(AO$3-VLOOKUP($A11,'détails investissements'!$A$71:$B$88,2,FALSE)&lt;=0,"",IF(VLOOKUP($A11,'détails investissements'!$A$26:$DE$43,AO$3-VLOOKUP($A11,'détails investissements'!$A$71:$B$88,2,FALSE)+1,FALSE)="","",VLOOKUP($A11,'détails investissements'!$A$26:$DE$43,AO$3-VLOOKUP($A11,'détails investissements'!$A$71:$B$88,2,FALSE)+1,FALSE))),'détails investissements'!$U$6:$AB$7,2,FALSE),"")&lt;&gt;"",VLOOKUP($A11,'détails investissements'!$A$7:$H$21,1+IF(IF(AO$3-VLOOKUP($A11,'détails investissements'!$A$71:$B$88,2,FALSE)&lt;=0,"",IF(VLOOKUP($A11,'détails investissements'!$A$26:$DE$43,AO$3-VLOOKUP($A11,'détails investissements'!$A$71:$B$88,2,FALSE)+1,FALSE)="","",VLOOKUP($A11,'détails investissements'!$A$26:$DE$43,AO$3-VLOOKUP($A11,'détails investissements'!$A$71:$B$88,2,FALSE)+1,FALSE)))&lt;&gt;"",HLOOKUP(IF(AO$3-VLOOKUP($A11,'détails investissements'!$A$71:$B$88,2,FALSE)&lt;=0,"",IF(VLOOKUP($A11,'détails investissements'!$A$26:$DE$43,AO$3-VLOOKUP($A11,'détails investissements'!$A$71:$B$88,2,FALSE)+1,FALSE)="","",VLOOKUP($A11,'détails investissements'!$A$26:$DE$43,AO$3-VLOOKUP($A11,'détails investissements'!$A$71:$B$88,2,FALSE)+1,FALSE))),'détails investissements'!$U$6:$AB$7,2,FALSE),""),FALSE),"")</f>
        <v/>
      </c>
      <c r="AP11" s="45">
        <f>IF(IF(IF(AP$3-VLOOKUP($A11,'détails investissements'!$A$71:$B$88,2,FALSE)&lt;=0,"",IF(VLOOKUP($A11,'détails investissements'!$A$26:$DE$43,AP$3-VLOOKUP($A11,'détails investissements'!$A$71:$B$88,2,FALSE)+1,FALSE)="","",VLOOKUP($A11,'détails investissements'!$A$26:$DE$43,AP$3-VLOOKUP($A11,'détails investissements'!$A$71:$B$88,2,FALSE)+1,FALSE)))&lt;&gt;"",HLOOKUP(IF(AP$3-VLOOKUP($A11,'détails investissements'!$A$71:$B$88,2,FALSE)&lt;=0,"",IF(VLOOKUP($A11,'détails investissements'!$A$26:$DE$43,AP$3-VLOOKUP($A11,'détails investissements'!$A$71:$B$88,2,FALSE)+1,FALSE)="","",VLOOKUP($A11,'détails investissements'!$A$26:$DE$43,AP$3-VLOOKUP($A11,'détails investissements'!$A$71:$B$88,2,FALSE)+1,FALSE))),'détails investissements'!$U$6:$AB$7,2,FALSE),"")&lt;&gt;"",VLOOKUP($A11,'détails investissements'!$A$7:$H$21,1+IF(IF(AP$3-VLOOKUP($A11,'détails investissements'!$A$71:$B$88,2,FALSE)&lt;=0,"",IF(VLOOKUP($A11,'détails investissements'!$A$26:$DE$43,AP$3-VLOOKUP($A11,'détails investissements'!$A$71:$B$88,2,FALSE)+1,FALSE)="","",VLOOKUP($A11,'détails investissements'!$A$26:$DE$43,AP$3-VLOOKUP($A11,'détails investissements'!$A$71:$B$88,2,FALSE)+1,FALSE)))&lt;&gt;"",HLOOKUP(IF(AP$3-VLOOKUP($A11,'détails investissements'!$A$71:$B$88,2,FALSE)&lt;=0,"",IF(VLOOKUP($A11,'détails investissements'!$A$26:$DE$43,AP$3-VLOOKUP($A11,'détails investissements'!$A$71:$B$88,2,FALSE)+1,FALSE)="","",VLOOKUP($A11,'détails investissements'!$A$26:$DE$43,AP$3-VLOOKUP($A11,'détails investissements'!$A$71:$B$88,2,FALSE)+1,FALSE))),'détails investissements'!$U$6:$AB$7,2,FALSE),""),FALSE),"")</f>
        <v>0.05</v>
      </c>
      <c r="AQ11" s="45" t="str">
        <f>IF(IF(IF(AQ$3-VLOOKUP($A11,'détails investissements'!$A$71:$B$88,2,FALSE)&lt;=0,"",IF(VLOOKUP($A11,'détails investissements'!$A$26:$DE$43,AQ$3-VLOOKUP($A11,'détails investissements'!$A$71:$B$88,2,FALSE)+1,FALSE)="","",VLOOKUP($A11,'détails investissements'!$A$26:$DE$43,AQ$3-VLOOKUP($A11,'détails investissements'!$A$71:$B$88,2,FALSE)+1,FALSE)))&lt;&gt;"",HLOOKUP(IF(AQ$3-VLOOKUP($A11,'détails investissements'!$A$71:$B$88,2,FALSE)&lt;=0,"",IF(VLOOKUP($A11,'détails investissements'!$A$26:$DE$43,AQ$3-VLOOKUP($A11,'détails investissements'!$A$71:$B$88,2,FALSE)+1,FALSE)="","",VLOOKUP($A11,'détails investissements'!$A$26:$DE$43,AQ$3-VLOOKUP($A11,'détails investissements'!$A$71:$B$88,2,FALSE)+1,FALSE))),'détails investissements'!$U$6:$AB$7,2,FALSE),"")&lt;&gt;"",VLOOKUP($A11,'détails investissements'!$A$7:$H$21,1+IF(IF(AQ$3-VLOOKUP($A11,'détails investissements'!$A$71:$B$88,2,FALSE)&lt;=0,"",IF(VLOOKUP($A11,'détails investissements'!$A$26:$DE$43,AQ$3-VLOOKUP($A11,'détails investissements'!$A$71:$B$88,2,FALSE)+1,FALSE)="","",VLOOKUP($A11,'détails investissements'!$A$26:$DE$43,AQ$3-VLOOKUP($A11,'détails investissements'!$A$71:$B$88,2,FALSE)+1,FALSE)))&lt;&gt;"",HLOOKUP(IF(AQ$3-VLOOKUP($A11,'détails investissements'!$A$71:$B$88,2,FALSE)&lt;=0,"",IF(VLOOKUP($A11,'détails investissements'!$A$26:$DE$43,AQ$3-VLOOKUP($A11,'détails investissements'!$A$71:$B$88,2,FALSE)+1,FALSE)="","",VLOOKUP($A11,'détails investissements'!$A$26:$DE$43,AQ$3-VLOOKUP($A11,'détails investissements'!$A$71:$B$88,2,FALSE)+1,FALSE))),'détails investissements'!$U$6:$AB$7,2,FALSE),""),FALSE),"")</f>
        <v/>
      </c>
      <c r="AR11" s="45" t="str">
        <f>IF(IF(IF(AR$3-VLOOKUP($A11,'détails investissements'!$A$71:$B$88,2,FALSE)&lt;=0,"",IF(VLOOKUP($A11,'détails investissements'!$A$26:$DE$43,AR$3-VLOOKUP($A11,'détails investissements'!$A$71:$B$88,2,FALSE)+1,FALSE)="","",VLOOKUP($A11,'détails investissements'!$A$26:$DE$43,AR$3-VLOOKUP($A11,'détails investissements'!$A$71:$B$88,2,FALSE)+1,FALSE)))&lt;&gt;"",HLOOKUP(IF(AR$3-VLOOKUP($A11,'détails investissements'!$A$71:$B$88,2,FALSE)&lt;=0,"",IF(VLOOKUP($A11,'détails investissements'!$A$26:$DE$43,AR$3-VLOOKUP($A11,'détails investissements'!$A$71:$B$88,2,FALSE)+1,FALSE)="","",VLOOKUP($A11,'détails investissements'!$A$26:$DE$43,AR$3-VLOOKUP($A11,'détails investissements'!$A$71:$B$88,2,FALSE)+1,FALSE))),'détails investissements'!$U$6:$AB$7,2,FALSE),"")&lt;&gt;"",VLOOKUP($A11,'détails investissements'!$A$7:$H$21,1+IF(IF(AR$3-VLOOKUP($A11,'détails investissements'!$A$71:$B$88,2,FALSE)&lt;=0,"",IF(VLOOKUP($A11,'détails investissements'!$A$26:$DE$43,AR$3-VLOOKUP($A11,'détails investissements'!$A$71:$B$88,2,FALSE)+1,FALSE)="","",VLOOKUP($A11,'détails investissements'!$A$26:$DE$43,AR$3-VLOOKUP($A11,'détails investissements'!$A$71:$B$88,2,FALSE)+1,FALSE)))&lt;&gt;"",HLOOKUP(IF(AR$3-VLOOKUP($A11,'détails investissements'!$A$71:$B$88,2,FALSE)&lt;=0,"",IF(VLOOKUP($A11,'détails investissements'!$A$26:$DE$43,AR$3-VLOOKUP($A11,'détails investissements'!$A$71:$B$88,2,FALSE)+1,FALSE)="","",VLOOKUP($A11,'détails investissements'!$A$26:$DE$43,AR$3-VLOOKUP($A11,'détails investissements'!$A$71:$B$88,2,FALSE)+1,FALSE))),'détails investissements'!$U$6:$AB$7,2,FALSE),""),FALSE),"")</f>
        <v/>
      </c>
      <c r="AS11" s="45" t="str">
        <f>IF(IF(IF(AS$3-VLOOKUP($A11,'détails investissements'!$A$71:$B$88,2,FALSE)&lt;=0,"",IF(VLOOKUP($A11,'détails investissements'!$A$26:$DE$43,AS$3-VLOOKUP($A11,'détails investissements'!$A$71:$B$88,2,FALSE)+1,FALSE)="","",VLOOKUP($A11,'détails investissements'!$A$26:$DE$43,AS$3-VLOOKUP($A11,'détails investissements'!$A$71:$B$88,2,FALSE)+1,FALSE)))&lt;&gt;"",HLOOKUP(IF(AS$3-VLOOKUP($A11,'détails investissements'!$A$71:$B$88,2,FALSE)&lt;=0,"",IF(VLOOKUP($A11,'détails investissements'!$A$26:$DE$43,AS$3-VLOOKUP($A11,'détails investissements'!$A$71:$B$88,2,FALSE)+1,FALSE)="","",VLOOKUP($A11,'détails investissements'!$A$26:$DE$43,AS$3-VLOOKUP($A11,'détails investissements'!$A$71:$B$88,2,FALSE)+1,FALSE))),'détails investissements'!$U$6:$AB$7,2,FALSE),"")&lt;&gt;"",VLOOKUP($A11,'détails investissements'!$A$7:$H$21,1+IF(IF(AS$3-VLOOKUP($A11,'détails investissements'!$A$71:$B$88,2,FALSE)&lt;=0,"",IF(VLOOKUP($A11,'détails investissements'!$A$26:$DE$43,AS$3-VLOOKUP($A11,'détails investissements'!$A$71:$B$88,2,FALSE)+1,FALSE)="","",VLOOKUP($A11,'détails investissements'!$A$26:$DE$43,AS$3-VLOOKUP($A11,'détails investissements'!$A$71:$B$88,2,FALSE)+1,FALSE)))&lt;&gt;"",HLOOKUP(IF(AS$3-VLOOKUP($A11,'détails investissements'!$A$71:$B$88,2,FALSE)&lt;=0,"",IF(VLOOKUP($A11,'détails investissements'!$A$26:$DE$43,AS$3-VLOOKUP($A11,'détails investissements'!$A$71:$B$88,2,FALSE)+1,FALSE)="","",VLOOKUP($A11,'détails investissements'!$A$26:$DE$43,AS$3-VLOOKUP($A11,'détails investissements'!$A$71:$B$88,2,FALSE)+1,FALSE))),'détails investissements'!$U$6:$AB$7,2,FALSE),""),FALSE),"")</f>
        <v/>
      </c>
      <c r="AT11" s="45" t="str">
        <f>IF(IF(IF(AT$3-VLOOKUP($A11,'détails investissements'!$A$71:$B$88,2,FALSE)&lt;=0,"",IF(VLOOKUP($A11,'détails investissements'!$A$26:$DE$43,AT$3-VLOOKUP($A11,'détails investissements'!$A$71:$B$88,2,FALSE)+1,FALSE)="","",VLOOKUP($A11,'détails investissements'!$A$26:$DE$43,AT$3-VLOOKUP($A11,'détails investissements'!$A$71:$B$88,2,FALSE)+1,FALSE)))&lt;&gt;"",HLOOKUP(IF(AT$3-VLOOKUP($A11,'détails investissements'!$A$71:$B$88,2,FALSE)&lt;=0,"",IF(VLOOKUP($A11,'détails investissements'!$A$26:$DE$43,AT$3-VLOOKUP($A11,'détails investissements'!$A$71:$B$88,2,FALSE)+1,FALSE)="","",VLOOKUP($A11,'détails investissements'!$A$26:$DE$43,AT$3-VLOOKUP($A11,'détails investissements'!$A$71:$B$88,2,FALSE)+1,FALSE))),'détails investissements'!$U$6:$AB$7,2,FALSE),"")&lt;&gt;"",VLOOKUP($A11,'détails investissements'!$A$7:$H$21,1+IF(IF(AT$3-VLOOKUP($A11,'détails investissements'!$A$71:$B$88,2,FALSE)&lt;=0,"",IF(VLOOKUP($A11,'détails investissements'!$A$26:$DE$43,AT$3-VLOOKUP($A11,'détails investissements'!$A$71:$B$88,2,FALSE)+1,FALSE)="","",VLOOKUP($A11,'détails investissements'!$A$26:$DE$43,AT$3-VLOOKUP($A11,'détails investissements'!$A$71:$B$88,2,FALSE)+1,FALSE)))&lt;&gt;"",HLOOKUP(IF(AT$3-VLOOKUP($A11,'détails investissements'!$A$71:$B$88,2,FALSE)&lt;=0,"",IF(VLOOKUP($A11,'détails investissements'!$A$26:$DE$43,AT$3-VLOOKUP($A11,'détails investissements'!$A$71:$B$88,2,FALSE)+1,FALSE)="","",VLOOKUP($A11,'détails investissements'!$A$26:$DE$43,AT$3-VLOOKUP($A11,'détails investissements'!$A$71:$B$88,2,FALSE)+1,FALSE))),'détails investissements'!$U$6:$AB$7,2,FALSE),""),FALSE),"")</f>
        <v/>
      </c>
      <c r="AU11" s="45" t="str">
        <f>IF(IF(IF(AU$3-VLOOKUP($A11,'détails investissements'!$A$71:$B$88,2,FALSE)&lt;=0,"",IF(VLOOKUP($A11,'détails investissements'!$A$26:$DE$43,AU$3-VLOOKUP($A11,'détails investissements'!$A$71:$B$88,2,FALSE)+1,FALSE)="","",VLOOKUP($A11,'détails investissements'!$A$26:$DE$43,AU$3-VLOOKUP($A11,'détails investissements'!$A$71:$B$88,2,FALSE)+1,FALSE)))&lt;&gt;"",HLOOKUP(IF(AU$3-VLOOKUP($A11,'détails investissements'!$A$71:$B$88,2,FALSE)&lt;=0,"",IF(VLOOKUP($A11,'détails investissements'!$A$26:$DE$43,AU$3-VLOOKUP($A11,'détails investissements'!$A$71:$B$88,2,FALSE)+1,FALSE)="","",VLOOKUP($A11,'détails investissements'!$A$26:$DE$43,AU$3-VLOOKUP($A11,'détails investissements'!$A$71:$B$88,2,FALSE)+1,FALSE))),'détails investissements'!$U$6:$AB$7,2,FALSE),"")&lt;&gt;"",VLOOKUP($A11,'détails investissements'!$A$7:$H$21,1+IF(IF(AU$3-VLOOKUP($A11,'détails investissements'!$A$71:$B$88,2,FALSE)&lt;=0,"",IF(VLOOKUP($A11,'détails investissements'!$A$26:$DE$43,AU$3-VLOOKUP($A11,'détails investissements'!$A$71:$B$88,2,FALSE)+1,FALSE)="","",VLOOKUP($A11,'détails investissements'!$A$26:$DE$43,AU$3-VLOOKUP($A11,'détails investissements'!$A$71:$B$88,2,FALSE)+1,FALSE)))&lt;&gt;"",HLOOKUP(IF(AU$3-VLOOKUP($A11,'détails investissements'!$A$71:$B$88,2,FALSE)&lt;=0,"",IF(VLOOKUP($A11,'détails investissements'!$A$26:$DE$43,AU$3-VLOOKUP($A11,'détails investissements'!$A$71:$B$88,2,FALSE)+1,FALSE)="","",VLOOKUP($A11,'détails investissements'!$A$26:$DE$43,AU$3-VLOOKUP($A11,'détails investissements'!$A$71:$B$88,2,FALSE)+1,FALSE))),'détails investissements'!$U$6:$AB$7,2,FALSE),""),FALSE),"")</f>
        <v/>
      </c>
      <c r="AV11" s="45" t="str">
        <f>IF(IF(IF(AV$3-VLOOKUP($A11,'détails investissements'!$A$71:$B$88,2,FALSE)&lt;=0,"",IF(VLOOKUP($A11,'détails investissements'!$A$26:$DE$43,AV$3-VLOOKUP($A11,'détails investissements'!$A$71:$B$88,2,FALSE)+1,FALSE)="","",VLOOKUP($A11,'détails investissements'!$A$26:$DE$43,AV$3-VLOOKUP($A11,'détails investissements'!$A$71:$B$88,2,FALSE)+1,FALSE)))&lt;&gt;"",HLOOKUP(IF(AV$3-VLOOKUP($A11,'détails investissements'!$A$71:$B$88,2,FALSE)&lt;=0,"",IF(VLOOKUP($A11,'détails investissements'!$A$26:$DE$43,AV$3-VLOOKUP($A11,'détails investissements'!$A$71:$B$88,2,FALSE)+1,FALSE)="","",VLOOKUP($A11,'détails investissements'!$A$26:$DE$43,AV$3-VLOOKUP($A11,'détails investissements'!$A$71:$B$88,2,FALSE)+1,FALSE))),'détails investissements'!$U$6:$AB$7,2,FALSE),"")&lt;&gt;"",VLOOKUP($A11,'détails investissements'!$A$7:$H$21,1+IF(IF(AV$3-VLOOKUP($A11,'détails investissements'!$A$71:$B$88,2,FALSE)&lt;=0,"",IF(VLOOKUP($A11,'détails investissements'!$A$26:$DE$43,AV$3-VLOOKUP($A11,'détails investissements'!$A$71:$B$88,2,FALSE)+1,FALSE)="","",VLOOKUP($A11,'détails investissements'!$A$26:$DE$43,AV$3-VLOOKUP($A11,'détails investissements'!$A$71:$B$88,2,FALSE)+1,FALSE)))&lt;&gt;"",HLOOKUP(IF(AV$3-VLOOKUP($A11,'détails investissements'!$A$71:$B$88,2,FALSE)&lt;=0,"",IF(VLOOKUP($A11,'détails investissements'!$A$26:$DE$43,AV$3-VLOOKUP($A11,'détails investissements'!$A$71:$B$88,2,FALSE)+1,FALSE)="","",VLOOKUP($A11,'détails investissements'!$A$26:$DE$43,AV$3-VLOOKUP($A11,'détails investissements'!$A$71:$B$88,2,FALSE)+1,FALSE))),'détails investissements'!$U$6:$AB$7,2,FALSE),""),FALSE),"")</f>
        <v/>
      </c>
      <c r="AW11" s="45" t="str">
        <f>IF(IF(IF(AW$3-VLOOKUP($A11,'détails investissements'!$A$71:$B$88,2,FALSE)&lt;=0,"",IF(VLOOKUP($A11,'détails investissements'!$A$26:$DE$43,AW$3-VLOOKUP($A11,'détails investissements'!$A$71:$B$88,2,FALSE)+1,FALSE)="","",VLOOKUP($A11,'détails investissements'!$A$26:$DE$43,AW$3-VLOOKUP($A11,'détails investissements'!$A$71:$B$88,2,FALSE)+1,FALSE)))&lt;&gt;"",HLOOKUP(IF(AW$3-VLOOKUP($A11,'détails investissements'!$A$71:$B$88,2,FALSE)&lt;=0,"",IF(VLOOKUP($A11,'détails investissements'!$A$26:$DE$43,AW$3-VLOOKUP($A11,'détails investissements'!$A$71:$B$88,2,FALSE)+1,FALSE)="","",VLOOKUP($A11,'détails investissements'!$A$26:$DE$43,AW$3-VLOOKUP($A11,'détails investissements'!$A$71:$B$88,2,FALSE)+1,FALSE))),'détails investissements'!$U$6:$AB$7,2,FALSE),"")&lt;&gt;"",VLOOKUP($A11,'détails investissements'!$A$7:$H$21,1+IF(IF(AW$3-VLOOKUP($A11,'détails investissements'!$A$71:$B$88,2,FALSE)&lt;=0,"",IF(VLOOKUP($A11,'détails investissements'!$A$26:$DE$43,AW$3-VLOOKUP($A11,'détails investissements'!$A$71:$B$88,2,FALSE)+1,FALSE)="","",VLOOKUP($A11,'détails investissements'!$A$26:$DE$43,AW$3-VLOOKUP($A11,'détails investissements'!$A$71:$B$88,2,FALSE)+1,FALSE)))&lt;&gt;"",HLOOKUP(IF(AW$3-VLOOKUP($A11,'détails investissements'!$A$71:$B$88,2,FALSE)&lt;=0,"",IF(VLOOKUP($A11,'détails investissements'!$A$26:$DE$43,AW$3-VLOOKUP($A11,'détails investissements'!$A$71:$B$88,2,FALSE)+1,FALSE)="","",VLOOKUP($A11,'détails investissements'!$A$26:$DE$43,AW$3-VLOOKUP($A11,'détails investissements'!$A$71:$B$88,2,FALSE)+1,FALSE))),'détails investissements'!$U$6:$AB$7,2,FALSE),""),FALSE),"")</f>
        <v/>
      </c>
      <c r="AX11" s="45" t="str">
        <f>IF(IF(IF(AX$3-VLOOKUP($A11,'détails investissements'!$A$71:$B$88,2,FALSE)&lt;=0,"",IF(VLOOKUP($A11,'détails investissements'!$A$26:$DE$43,AX$3-VLOOKUP($A11,'détails investissements'!$A$71:$B$88,2,FALSE)+1,FALSE)="","",VLOOKUP($A11,'détails investissements'!$A$26:$DE$43,AX$3-VLOOKUP($A11,'détails investissements'!$A$71:$B$88,2,FALSE)+1,FALSE)))&lt;&gt;"",HLOOKUP(IF(AX$3-VLOOKUP($A11,'détails investissements'!$A$71:$B$88,2,FALSE)&lt;=0,"",IF(VLOOKUP($A11,'détails investissements'!$A$26:$DE$43,AX$3-VLOOKUP($A11,'détails investissements'!$A$71:$B$88,2,FALSE)+1,FALSE)="","",VLOOKUP($A11,'détails investissements'!$A$26:$DE$43,AX$3-VLOOKUP($A11,'détails investissements'!$A$71:$B$88,2,FALSE)+1,FALSE))),'détails investissements'!$U$6:$AB$7,2,FALSE),"")&lt;&gt;"",VLOOKUP($A11,'détails investissements'!$A$7:$H$21,1+IF(IF(AX$3-VLOOKUP($A11,'détails investissements'!$A$71:$B$88,2,FALSE)&lt;=0,"",IF(VLOOKUP($A11,'détails investissements'!$A$26:$DE$43,AX$3-VLOOKUP($A11,'détails investissements'!$A$71:$B$88,2,FALSE)+1,FALSE)="","",VLOOKUP($A11,'détails investissements'!$A$26:$DE$43,AX$3-VLOOKUP($A11,'détails investissements'!$A$71:$B$88,2,FALSE)+1,FALSE)))&lt;&gt;"",HLOOKUP(IF(AX$3-VLOOKUP($A11,'détails investissements'!$A$71:$B$88,2,FALSE)&lt;=0,"",IF(VLOOKUP($A11,'détails investissements'!$A$26:$DE$43,AX$3-VLOOKUP($A11,'détails investissements'!$A$71:$B$88,2,FALSE)+1,FALSE)="","",VLOOKUP($A11,'détails investissements'!$A$26:$DE$43,AX$3-VLOOKUP($A11,'détails investissements'!$A$71:$B$88,2,FALSE)+1,FALSE))),'détails investissements'!$U$6:$AB$7,2,FALSE),""),FALSE),"")</f>
        <v/>
      </c>
      <c r="AY11" s="45" t="str">
        <f>IF(IF(IF(AY$3-VLOOKUP($A11,'détails investissements'!$A$71:$B$88,2,FALSE)&lt;=0,"",IF(VLOOKUP($A11,'détails investissements'!$A$26:$DE$43,AY$3-VLOOKUP($A11,'détails investissements'!$A$71:$B$88,2,FALSE)+1,FALSE)="","",VLOOKUP($A11,'détails investissements'!$A$26:$DE$43,AY$3-VLOOKUP($A11,'détails investissements'!$A$71:$B$88,2,FALSE)+1,FALSE)))&lt;&gt;"",HLOOKUP(IF(AY$3-VLOOKUP($A11,'détails investissements'!$A$71:$B$88,2,FALSE)&lt;=0,"",IF(VLOOKUP($A11,'détails investissements'!$A$26:$DE$43,AY$3-VLOOKUP($A11,'détails investissements'!$A$71:$B$88,2,FALSE)+1,FALSE)="","",VLOOKUP($A11,'détails investissements'!$A$26:$DE$43,AY$3-VLOOKUP($A11,'détails investissements'!$A$71:$B$88,2,FALSE)+1,FALSE))),'détails investissements'!$U$6:$AB$7,2,FALSE),"")&lt;&gt;"",VLOOKUP($A11,'détails investissements'!$A$7:$H$21,1+IF(IF(AY$3-VLOOKUP($A11,'détails investissements'!$A$71:$B$88,2,FALSE)&lt;=0,"",IF(VLOOKUP($A11,'détails investissements'!$A$26:$DE$43,AY$3-VLOOKUP($A11,'détails investissements'!$A$71:$B$88,2,FALSE)+1,FALSE)="","",VLOOKUP($A11,'détails investissements'!$A$26:$DE$43,AY$3-VLOOKUP($A11,'détails investissements'!$A$71:$B$88,2,FALSE)+1,FALSE)))&lt;&gt;"",HLOOKUP(IF(AY$3-VLOOKUP($A11,'détails investissements'!$A$71:$B$88,2,FALSE)&lt;=0,"",IF(VLOOKUP($A11,'détails investissements'!$A$26:$DE$43,AY$3-VLOOKUP($A11,'détails investissements'!$A$71:$B$88,2,FALSE)+1,FALSE)="","",VLOOKUP($A11,'détails investissements'!$A$26:$DE$43,AY$3-VLOOKUP($A11,'détails investissements'!$A$71:$B$88,2,FALSE)+1,FALSE))),'détails investissements'!$U$6:$AB$7,2,FALSE),""),FALSE),"")</f>
        <v/>
      </c>
      <c r="AZ11" s="45" t="str">
        <f>IF(IF(IF(AZ$3-VLOOKUP($A11,'détails investissements'!$A$71:$B$88,2,FALSE)&lt;=0,"",IF(VLOOKUP($A11,'détails investissements'!$A$26:$DE$43,AZ$3-VLOOKUP($A11,'détails investissements'!$A$71:$B$88,2,FALSE)+1,FALSE)="","",VLOOKUP($A11,'détails investissements'!$A$26:$DE$43,AZ$3-VLOOKUP($A11,'détails investissements'!$A$71:$B$88,2,FALSE)+1,FALSE)))&lt;&gt;"",HLOOKUP(IF(AZ$3-VLOOKUP($A11,'détails investissements'!$A$71:$B$88,2,FALSE)&lt;=0,"",IF(VLOOKUP($A11,'détails investissements'!$A$26:$DE$43,AZ$3-VLOOKUP($A11,'détails investissements'!$A$71:$B$88,2,FALSE)+1,FALSE)="","",VLOOKUP($A11,'détails investissements'!$A$26:$DE$43,AZ$3-VLOOKUP($A11,'détails investissements'!$A$71:$B$88,2,FALSE)+1,FALSE))),'détails investissements'!$U$6:$AB$7,2,FALSE),"")&lt;&gt;"",VLOOKUP($A11,'détails investissements'!$A$7:$H$21,1+IF(IF(AZ$3-VLOOKUP($A11,'détails investissements'!$A$71:$B$88,2,FALSE)&lt;=0,"",IF(VLOOKUP($A11,'détails investissements'!$A$26:$DE$43,AZ$3-VLOOKUP($A11,'détails investissements'!$A$71:$B$88,2,FALSE)+1,FALSE)="","",VLOOKUP($A11,'détails investissements'!$A$26:$DE$43,AZ$3-VLOOKUP($A11,'détails investissements'!$A$71:$B$88,2,FALSE)+1,FALSE)))&lt;&gt;"",HLOOKUP(IF(AZ$3-VLOOKUP($A11,'détails investissements'!$A$71:$B$88,2,FALSE)&lt;=0,"",IF(VLOOKUP($A11,'détails investissements'!$A$26:$DE$43,AZ$3-VLOOKUP($A11,'détails investissements'!$A$71:$B$88,2,FALSE)+1,FALSE)="","",VLOOKUP($A11,'détails investissements'!$A$26:$DE$43,AZ$3-VLOOKUP($A11,'détails investissements'!$A$71:$B$88,2,FALSE)+1,FALSE))),'détails investissements'!$U$6:$AB$7,2,FALSE),""),FALSE),"")</f>
        <v/>
      </c>
      <c r="BA11" s="45" t="str">
        <f>IF(IF(IF(BA$3-VLOOKUP($A11,'détails investissements'!$A$71:$B$88,2,FALSE)&lt;=0,"",IF(VLOOKUP($A11,'détails investissements'!$A$26:$DE$43,BA$3-VLOOKUP($A11,'détails investissements'!$A$71:$B$88,2,FALSE)+1,FALSE)="","",VLOOKUP($A11,'détails investissements'!$A$26:$DE$43,BA$3-VLOOKUP($A11,'détails investissements'!$A$71:$B$88,2,FALSE)+1,FALSE)))&lt;&gt;"",HLOOKUP(IF(BA$3-VLOOKUP($A11,'détails investissements'!$A$71:$B$88,2,FALSE)&lt;=0,"",IF(VLOOKUP($A11,'détails investissements'!$A$26:$DE$43,BA$3-VLOOKUP($A11,'détails investissements'!$A$71:$B$88,2,FALSE)+1,FALSE)="","",VLOOKUP($A11,'détails investissements'!$A$26:$DE$43,BA$3-VLOOKUP($A11,'détails investissements'!$A$71:$B$88,2,FALSE)+1,FALSE))),'détails investissements'!$U$6:$AB$7,2,FALSE),"")&lt;&gt;"",VLOOKUP($A11,'détails investissements'!$A$7:$H$21,1+IF(IF(BA$3-VLOOKUP($A11,'détails investissements'!$A$71:$B$88,2,FALSE)&lt;=0,"",IF(VLOOKUP($A11,'détails investissements'!$A$26:$DE$43,BA$3-VLOOKUP($A11,'détails investissements'!$A$71:$B$88,2,FALSE)+1,FALSE)="","",VLOOKUP($A11,'détails investissements'!$A$26:$DE$43,BA$3-VLOOKUP($A11,'détails investissements'!$A$71:$B$88,2,FALSE)+1,FALSE)))&lt;&gt;"",HLOOKUP(IF(BA$3-VLOOKUP($A11,'détails investissements'!$A$71:$B$88,2,FALSE)&lt;=0,"",IF(VLOOKUP($A11,'détails investissements'!$A$26:$DE$43,BA$3-VLOOKUP($A11,'détails investissements'!$A$71:$B$88,2,FALSE)+1,FALSE)="","",VLOOKUP($A11,'détails investissements'!$A$26:$DE$43,BA$3-VLOOKUP($A11,'détails investissements'!$A$71:$B$88,2,FALSE)+1,FALSE))),'détails investissements'!$U$6:$AB$7,2,FALSE),""),FALSE),"")</f>
        <v/>
      </c>
      <c r="BB11" s="45" t="str">
        <f>IF(IF(IF(BB$3-VLOOKUP($A11,'détails investissements'!$A$71:$B$88,2,FALSE)&lt;=0,"",IF(VLOOKUP($A11,'détails investissements'!$A$26:$DE$43,BB$3-VLOOKUP($A11,'détails investissements'!$A$71:$B$88,2,FALSE)+1,FALSE)="","",VLOOKUP($A11,'détails investissements'!$A$26:$DE$43,BB$3-VLOOKUP($A11,'détails investissements'!$A$71:$B$88,2,FALSE)+1,FALSE)))&lt;&gt;"",HLOOKUP(IF(BB$3-VLOOKUP($A11,'détails investissements'!$A$71:$B$88,2,FALSE)&lt;=0,"",IF(VLOOKUP($A11,'détails investissements'!$A$26:$DE$43,BB$3-VLOOKUP($A11,'détails investissements'!$A$71:$B$88,2,FALSE)+1,FALSE)="","",VLOOKUP($A11,'détails investissements'!$A$26:$DE$43,BB$3-VLOOKUP($A11,'détails investissements'!$A$71:$B$88,2,FALSE)+1,FALSE))),'détails investissements'!$U$6:$AB$7,2,FALSE),"")&lt;&gt;"",VLOOKUP($A11,'détails investissements'!$A$7:$H$21,1+IF(IF(BB$3-VLOOKUP($A11,'détails investissements'!$A$71:$B$88,2,FALSE)&lt;=0,"",IF(VLOOKUP($A11,'détails investissements'!$A$26:$DE$43,BB$3-VLOOKUP($A11,'détails investissements'!$A$71:$B$88,2,FALSE)+1,FALSE)="","",VLOOKUP($A11,'détails investissements'!$A$26:$DE$43,BB$3-VLOOKUP($A11,'détails investissements'!$A$71:$B$88,2,FALSE)+1,FALSE)))&lt;&gt;"",HLOOKUP(IF(BB$3-VLOOKUP($A11,'détails investissements'!$A$71:$B$88,2,FALSE)&lt;=0,"",IF(VLOOKUP($A11,'détails investissements'!$A$26:$DE$43,BB$3-VLOOKUP($A11,'détails investissements'!$A$71:$B$88,2,FALSE)+1,FALSE)="","",VLOOKUP($A11,'détails investissements'!$A$26:$DE$43,BB$3-VLOOKUP($A11,'détails investissements'!$A$71:$B$88,2,FALSE)+1,FALSE))),'détails investissements'!$U$6:$AB$7,2,FALSE),""),FALSE),"")</f>
        <v/>
      </c>
      <c r="BC11" s="45" t="str">
        <f>IF(IF(IF(BC$3-VLOOKUP($A11,'détails investissements'!$A$71:$B$88,2,FALSE)&lt;=0,"",IF(VLOOKUP($A11,'détails investissements'!$A$26:$DE$43,BC$3-VLOOKUP($A11,'détails investissements'!$A$71:$B$88,2,FALSE)+1,FALSE)="","",VLOOKUP($A11,'détails investissements'!$A$26:$DE$43,BC$3-VLOOKUP($A11,'détails investissements'!$A$71:$B$88,2,FALSE)+1,FALSE)))&lt;&gt;"",HLOOKUP(IF(BC$3-VLOOKUP($A11,'détails investissements'!$A$71:$B$88,2,FALSE)&lt;=0,"",IF(VLOOKUP($A11,'détails investissements'!$A$26:$DE$43,BC$3-VLOOKUP($A11,'détails investissements'!$A$71:$B$88,2,FALSE)+1,FALSE)="","",VLOOKUP($A11,'détails investissements'!$A$26:$DE$43,BC$3-VLOOKUP($A11,'détails investissements'!$A$71:$B$88,2,FALSE)+1,FALSE))),'détails investissements'!$U$6:$AB$7,2,FALSE),"")&lt;&gt;"",VLOOKUP($A11,'détails investissements'!$A$7:$H$21,1+IF(IF(BC$3-VLOOKUP($A11,'détails investissements'!$A$71:$B$88,2,FALSE)&lt;=0,"",IF(VLOOKUP($A11,'détails investissements'!$A$26:$DE$43,BC$3-VLOOKUP($A11,'détails investissements'!$A$71:$B$88,2,FALSE)+1,FALSE)="","",VLOOKUP($A11,'détails investissements'!$A$26:$DE$43,BC$3-VLOOKUP($A11,'détails investissements'!$A$71:$B$88,2,FALSE)+1,FALSE)))&lt;&gt;"",HLOOKUP(IF(BC$3-VLOOKUP($A11,'détails investissements'!$A$71:$B$88,2,FALSE)&lt;=0,"",IF(VLOOKUP($A11,'détails investissements'!$A$26:$DE$43,BC$3-VLOOKUP($A11,'détails investissements'!$A$71:$B$88,2,FALSE)+1,FALSE)="","",VLOOKUP($A11,'détails investissements'!$A$26:$DE$43,BC$3-VLOOKUP($A11,'détails investissements'!$A$71:$B$88,2,FALSE)+1,FALSE))),'détails investissements'!$U$6:$AB$7,2,FALSE),""),FALSE),"")</f>
        <v/>
      </c>
      <c r="BD11" s="45" t="str">
        <f>IF(IF(IF(BD$3-VLOOKUP($A11,'détails investissements'!$A$71:$B$88,2,FALSE)&lt;=0,"",IF(VLOOKUP($A11,'détails investissements'!$A$26:$DE$43,BD$3-VLOOKUP($A11,'détails investissements'!$A$71:$B$88,2,FALSE)+1,FALSE)="","",VLOOKUP($A11,'détails investissements'!$A$26:$DE$43,BD$3-VLOOKUP($A11,'détails investissements'!$A$71:$B$88,2,FALSE)+1,FALSE)))&lt;&gt;"",HLOOKUP(IF(BD$3-VLOOKUP($A11,'détails investissements'!$A$71:$B$88,2,FALSE)&lt;=0,"",IF(VLOOKUP($A11,'détails investissements'!$A$26:$DE$43,BD$3-VLOOKUP($A11,'détails investissements'!$A$71:$B$88,2,FALSE)+1,FALSE)="","",VLOOKUP($A11,'détails investissements'!$A$26:$DE$43,BD$3-VLOOKUP($A11,'détails investissements'!$A$71:$B$88,2,FALSE)+1,FALSE))),'détails investissements'!$U$6:$AB$7,2,FALSE),"")&lt;&gt;"",VLOOKUP($A11,'détails investissements'!$A$7:$H$21,1+IF(IF(BD$3-VLOOKUP($A11,'détails investissements'!$A$71:$B$88,2,FALSE)&lt;=0,"",IF(VLOOKUP($A11,'détails investissements'!$A$26:$DE$43,BD$3-VLOOKUP($A11,'détails investissements'!$A$71:$B$88,2,FALSE)+1,FALSE)="","",VLOOKUP($A11,'détails investissements'!$A$26:$DE$43,BD$3-VLOOKUP($A11,'détails investissements'!$A$71:$B$88,2,FALSE)+1,FALSE)))&lt;&gt;"",HLOOKUP(IF(BD$3-VLOOKUP($A11,'détails investissements'!$A$71:$B$88,2,FALSE)&lt;=0,"",IF(VLOOKUP($A11,'détails investissements'!$A$26:$DE$43,BD$3-VLOOKUP($A11,'détails investissements'!$A$71:$B$88,2,FALSE)+1,FALSE)="","",VLOOKUP($A11,'détails investissements'!$A$26:$DE$43,BD$3-VLOOKUP($A11,'détails investissements'!$A$71:$B$88,2,FALSE)+1,FALSE))),'détails investissements'!$U$6:$AB$7,2,FALSE),""),FALSE),"")</f>
        <v/>
      </c>
      <c r="BE11" s="45" t="str">
        <f>IF(IF(IF(BE$3-VLOOKUP($A11,'détails investissements'!$A$71:$B$88,2,FALSE)&lt;=0,"",IF(VLOOKUP($A11,'détails investissements'!$A$26:$DE$43,BE$3-VLOOKUP($A11,'détails investissements'!$A$71:$B$88,2,FALSE)+1,FALSE)="","",VLOOKUP($A11,'détails investissements'!$A$26:$DE$43,BE$3-VLOOKUP($A11,'détails investissements'!$A$71:$B$88,2,FALSE)+1,FALSE)))&lt;&gt;"",HLOOKUP(IF(BE$3-VLOOKUP($A11,'détails investissements'!$A$71:$B$88,2,FALSE)&lt;=0,"",IF(VLOOKUP($A11,'détails investissements'!$A$26:$DE$43,BE$3-VLOOKUP($A11,'détails investissements'!$A$71:$B$88,2,FALSE)+1,FALSE)="","",VLOOKUP($A11,'détails investissements'!$A$26:$DE$43,BE$3-VLOOKUP($A11,'détails investissements'!$A$71:$B$88,2,FALSE)+1,FALSE))),'détails investissements'!$U$6:$AB$7,2,FALSE),"")&lt;&gt;"",VLOOKUP($A11,'détails investissements'!$A$7:$H$21,1+IF(IF(BE$3-VLOOKUP($A11,'détails investissements'!$A$71:$B$88,2,FALSE)&lt;=0,"",IF(VLOOKUP($A11,'détails investissements'!$A$26:$DE$43,BE$3-VLOOKUP($A11,'détails investissements'!$A$71:$B$88,2,FALSE)+1,FALSE)="","",VLOOKUP($A11,'détails investissements'!$A$26:$DE$43,BE$3-VLOOKUP($A11,'détails investissements'!$A$71:$B$88,2,FALSE)+1,FALSE)))&lt;&gt;"",HLOOKUP(IF(BE$3-VLOOKUP($A11,'détails investissements'!$A$71:$B$88,2,FALSE)&lt;=0,"",IF(VLOOKUP($A11,'détails investissements'!$A$26:$DE$43,BE$3-VLOOKUP($A11,'détails investissements'!$A$71:$B$88,2,FALSE)+1,FALSE)="","",VLOOKUP($A11,'détails investissements'!$A$26:$DE$43,BE$3-VLOOKUP($A11,'détails investissements'!$A$71:$B$88,2,FALSE)+1,FALSE))),'détails investissements'!$U$6:$AB$7,2,FALSE),""),FALSE),"")</f>
        <v/>
      </c>
      <c r="BF11" s="45" t="str">
        <f>IF(IF(IF(BF$3-VLOOKUP($A11,'détails investissements'!$A$71:$B$88,2,FALSE)&lt;=0,"",IF(VLOOKUP($A11,'détails investissements'!$A$26:$DE$43,BF$3-VLOOKUP($A11,'détails investissements'!$A$71:$B$88,2,FALSE)+1,FALSE)="","",VLOOKUP($A11,'détails investissements'!$A$26:$DE$43,BF$3-VLOOKUP($A11,'détails investissements'!$A$71:$B$88,2,FALSE)+1,FALSE)))&lt;&gt;"",HLOOKUP(IF(BF$3-VLOOKUP($A11,'détails investissements'!$A$71:$B$88,2,FALSE)&lt;=0,"",IF(VLOOKUP($A11,'détails investissements'!$A$26:$DE$43,BF$3-VLOOKUP($A11,'détails investissements'!$A$71:$B$88,2,FALSE)+1,FALSE)="","",VLOOKUP($A11,'détails investissements'!$A$26:$DE$43,BF$3-VLOOKUP($A11,'détails investissements'!$A$71:$B$88,2,FALSE)+1,FALSE))),'détails investissements'!$U$6:$AB$7,2,FALSE),"")&lt;&gt;"",VLOOKUP($A11,'détails investissements'!$A$7:$H$21,1+IF(IF(BF$3-VLOOKUP($A11,'détails investissements'!$A$71:$B$88,2,FALSE)&lt;=0,"",IF(VLOOKUP($A11,'détails investissements'!$A$26:$DE$43,BF$3-VLOOKUP($A11,'détails investissements'!$A$71:$B$88,2,FALSE)+1,FALSE)="","",VLOOKUP($A11,'détails investissements'!$A$26:$DE$43,BF$3-VLOOKUP($A11,'détails investissements'!$A$71:$B$88,2,FALSE)+1,FALSE)))&lt;&gt;"",HLOOKUP(IF(BF$3-VLOOKUP($A11,'détails investissements'!$A$71:$B$88,2,FALSE)&lt;=0,"",IF(VLOOKUP($A11,'détails investissements'!$A$26:$DE$43,BF$3-VLOOKUP($A11,'détails investissements'!$A$71:$B$88,2,FALSE)+1,FALSE)="","",VLOOKUP($A11,'détails investissements'!$A$26:$DE$43,BF$3-VLOOKUP($A11,'détails investissements'!$A$71:$B$88,2,FALSE)+1,FALSE))),'détails investissements'!$U$6:$AB$7,2,FALSE),""),FALSE),"")</f>
        <v/>
      </c>
      <c r="BG11" s="45" t="str">
        <f>IF(IF(IF(BG$3-VLOOKUP($A11,'détails investissements'!$A$71:$B$88,2,FALSE)&lt;=0,"",IF(VLOOKUP($A11,'détails investissements'!$A$26:$DE$43,BG$3-VLOOKUP($A11,'détails investissements'!$A$71:$B$88,2,FALSE)+1,FALSE)="","",VLOOKUP($A11,'détails investissements'!$A$26:$DE$43,BG$3-VLOOKUP($A11,'détails investissements'!$A$71:$B$88,2,FALSE)+1,FALSE)))&lt;&gt;"",HLOOKUP(IF(BG$3-VLOOKUP($A11,'détails investissements'!$A$71:$B$88,2,FALSE)&lt;=0,"",IF(VLOOKUP($A11,'détails investissements'!$A$26:$DE$43,BG$3-VLOOKUP($A11,'détails investissements'!$A$71:$B$88,2,FALSE)+1,FALSE)="","",VLOOKUP($A11,'détails investissements'!$A$26:$DE$43,BG$3-VLOOKUP($A11,'détails investissements'!$A$71:$B$88,2,FALSE)+1,FALSE))),'détails investissements'!$U$6:$AB$7,2,FALSE),"")&lt;&gt;"",VLOOKUP($A11,'détails investissements'!$A$7:$H$21,1+IF(IF(BG$3-VLOOKUP($A11,'détails investissements'!$A$71:$B$88,2,FALSE)&lt;=0,"",IF(VLOOKUP($A11,'détails investissements'!$A$26:$DE$43,BG$3-VLOOKUP($A11,'détails investissements'!$A$71:$B$88,2,FALSE)+1,FALSE)="","",VLOOKUP($A11,'détails investissements'!$A$26:$DE$43,BG$3-VLOOKUP($A11,'détails investissements'!$A$71:$B$88,2,FALSE)+1,FALSE)))&lt;&gt;"",HLOOKUP(IF(BG$3-VLOOKUP($A11,'détails investissements'!$A$71:$B$88,2,FALSE)&lt;=0,"",IF(VLOOKUP($A11,'détails investissements'!$A$26:$DE$43,BG$3-VLOOKUP($A11,'détails investissements'!$A$71:$B$88,2,FALSE)+1,FALSE)="","",VLOOKUP($A11,'détails investissements'!$A$26:$DE$43,BG$3-VLOOKUP($A11,'détails investissements'!$A$71:$B$88,2,FALSE)+1,FALSE))),'détails investissements'!$U$6:$AB$7,2,FALSE),""),FALSE),"")</f>
        <v/>
      </c>
      <c r="BH11" s="45" t="str">
        <f>IF(IF(IF(BH$3-VLOOKUP($A11,'détails investissements'!$A$71:$B$88,2,FALSE)&lt;=0,"",IF(VLOOKUP($A11,'détails investissements'!$A$26:$DE$43,BH$3-VLOOKUP($A11,'détails investissements'!$A$71:$B$88,2,FALSE)+1,FALSE)="","",VLOOKUP($A11,'détails investissements'!$A$26:$DE$43,BH$3-VLOOKUP($A11,'détails investissements'!$A$71:$B$88,2,FALSE)+1,FALSE)))&lt;&gt;"",HLOOKUP(IF(BH$3-VLOOKUP($A11,'détails investissements'!$A$71:$B$88,2,FALSE)&lt;=0,"",IF(VLOOKUP($A11,'détails investissements'!$A$26:$DE$43,BH$3-VLOOKUP($A11,'détails investissements'!$A$71:$B$88,2,FALSE)+1,FALSE)="","",VLOOKUP($A11,'détails investissements'!$A$26:$DE$43,BH$3-VLOOKUP($A11,'détails investissements'!$A$71:$B$88,2,FALSE)+1,FALSE))),'détails investissements'!$U$6:$AB$7,2,FALSE),"")&lt;&gt;"",VLOOKUP($A11,'détails investissements'!$A$7:$H$21,1+IF(IF(BH$3-VLOOKUP($A11,'détails investissements'!$A$71:$B$88,2,FALSE)&lt;=0,"",IF(VLOOKUP($A11,'détails investissements'!$A$26:$DE$43,BH$3-VLOOKUP($A11,'détails investissements'!$A$71:$B$88,2,FALSE)+1,FALSE)="","",VLOOKUP($A11,'détails investissements'!$A$26:$DE$43,BH$3-VLOOKUP($A11,'détails investissements'!$A$71:$B$88,2,FALSE)+1,FALSE)))&lt;&gt;"",HLOOKUP(IF(BH$3-VLOOKUP($A11,'détails investissements'!$A$71:$B$88,2,FALSE)&lt;=0,"",IF(VLOOKUP($A11,'détails investissements'!$A$26:$DE$43,BH$3-VLOOKUP($A11,'détails investissements'!$A$71:$B$88,2,FALSE)+1,FALSE)="","",VLOOKUP($A11,'détails investissements'!$A$26:$DE$43,BH$3-VLOOKUP($A11,'détails investissements'!$A$71:$B$88,2,FALSE)+1,FALSE))),'détails investissements'!$U$6:$AB$7,2,FALSE),""),FALSE),"")</f>
        <v/>
      </c>
      <c r="BI11" s="45" t="str">
        <f>IF(IF(IF(BI$3-VLOOKUP($A11,'détails investissements'!$A$71:$B$88,2,FALSE)&lt;=0,"",IF(VLOOKUP($A11,'détails investissements'!$A$26:$DE$43,BI$3-VLOOKUP($A11,'détails investissements'!$A$71:$B$88,2,FALSE)+1,FALSE)="","",VLOOKUP($A11,'détails investissements'!$A$26:$DE$43,BI$3-VLOOKUP($A11,'détails investissements'!$A$71:$B$88,2,FALSE)+1,FALSE)))&lt;&gt;"",HLOOKUP(IF(BI$3-VLOOKUP($A11,'détails investissements'!$A$71:$B$88,2,FALSE)&lt;=0,"",IF(VLOOKUP($A11,'détails investissements'!$A$26:$DE$43,BI$3-VLOOKUP($A11,'détails investissements'!$A$71:$B$88,2,FALSE)+1,FALSE)="","",VLOOKUP($A11,'détails investissements'!$A$26:$DE$43,BI$3-VLOOKUP($A11,'détails investissements'!$A$71:$B$88,2,FALSE)+1,FALSE))),'détails investissements'!$U$6:$AB$7,2,FALSE),"")&lt;&gt;"",VLOOKUP($A11,'détails investissements'!$A$7:$H$21,1+IF(IF(BI$3-VLOOKUP($A11,'détails investissements'!$A$71:$B$88,2,FALSE)&lt;=0,"",IF(VLOOKUP($A11,'détails investissements'!$A$26:$DE$43,BI$3-VLOOKUP($A11,'détails investissements'!$A$71:$B$88,2,FALSE)+1,FALSE)="","",VLOOKUP($A11,'détails investissements'!$A$26:$DE$43,BI$3-VLOOKUP($A11,'détails investissements'!$A$71:$B$88,2,FALSE)+1,FALSE)))&lt;&gt;"",HLOOKUP(IF(BI$3-VLOOKUP($A11,'détails investissements'!$A$71:$B$88,2,FALSE)&lt;=0,"",IF(VLOOKUP($A11,'détails investissements'!$A$26:$DE$43,BI$3-VLOOKUP($A11,'détails investissements'!$A$71:$B$88,2,FALSE)+1,FALSE)="","",VLOOKUP($A11,'détails investissements'!$A$26:$DE$43,BI$3-VLOOKUP($A11,'détails investissements'!$A$71:$B$88,2,FALSE)+1,FALSE))),'détails investissements'!$U$6:$AB$7,2,FALSE),""),FALSE),"")</f>
        <v/>
      </c>
      <c r="BJ11" s="45" t="str">
        <f>IF(IF(IF(BJ$3-VLOOKUP($A11,'détails investissements'!$A$71:$B$88,2,FALSE)&lt;=0,"",IF(VLOOKUP($A11,'détails investissements'!$A$26:$DE$43,BJ$3-VLOOKUP($A11,'détails investissements'!$A$71:$B$88,2,FALSE)+1,FALSE)="","",VLOOKUP($A11,'détails investissements'!$A$26:$DE$43,BJ$3-VLOOKUP($A11,'détails investissements'!$A$71:$B$88,2,FALSE)+1,FALSE)))&lt;&gt;"",HLOOKUP(IF(BJ$3-VLOOKUP($A11,'détails investissements'!$A$71:$B$88,2,FALSE)&lt;=0,"",IF(VLOOKUP($A11,'détails investissements'!$A$26:$DE$43,BJ$3-VLOOKUP($A11,'détails investissements'!$A$71:$B$88,2,FALSE)+1,FALSE)="","",VLOOKUP($A11,'détails investissements'!$A$26:$DE$43,BJ$3-VLOOKUP($A11,'détails investissements'!$A$71:$B$88,2,FALSE)+1,FALSE))),'détails investissements'!$U$6:$AB$7,2,FALSE),"")&lt;&gt;"",VLOOKUP($A11,'détails investissements'!$A$7:$H$21,1+IF(IF(BJ$3-VLOOKUP($A11,'détails investissements'!$A$71:$B$88,2,FALSE)&lt;=0,"",IF(VLOOKUP($A11,'détails investissements'!$A$26:$DE$43,BJ$3-VLOOKUP($A11,'détails investissements'!$A$71:$B$88,2,FALSE)+1,FALSE)="","",VLOOKUP($A11,'détails investissements'!$A$26:$DE$43,BJ$3-VLOOKUP($A11,'détails investissements'!$A$71:$B$88,2,FALSE)+1,FALSE)))&lt;&gt;"",HLOOKUP(IF(BJ$3-VLOOKUP($A11,'détails investissements'!$A$71:$B$88,2,FALSE)&lt;=0,"",IF(VLOOKUP($A11,'détails investissements'!$A$26:$DE$43,BJ$3-VLOOKUP($A11,'détails investissements'!$A$71:$B$88,2,FALSE)+1,FALSE)="","",VLOOKUP($A11,'détails investissements'!$A$26:$DE$43,BJ$3-VLOOKUP($A11,'détails investissements'!$A$71:$B$88,2,FALSE)+1,FALSE))),'détails investissements'!$U$6:$AB$7,2,FALSE),""),FALSE),"")</f>
        <v/>
      </c>
      <c r="BK11" s="45" t="str">
        <f>IF(IF(IF(BK$3-VLOOKUP($A11,'détails investissements'!$A$71:$B$88,2,FALSE)&lt;=0,"",IF(VLOOKUP($A11,'détails investissements'!$A$26:$DE$43,BK$3-VLOOKUP($A11,'détails investissements'!$A$71:$B$88,2,FALSE)+1,FALSE)="","",VLOOKUP($A11,'détails investissements'!$A$26:$DE$43,BK$3-VLOOKUP($A11,'détails investissements'!$A$71:$B$88,2,FALSE)+1,FALSE)))&lt;&gt;"",HLOOKUP(IF(BK$3-VLOOKUP($A11,'détails investissements'!$A$71:$B$88,2,FALSE)&lt;=0,"",IF(VLOOKUP($A11,'détails investissements'!$A$26:$DE$43,BK$3-VLOOKUP($A11,'détails investissements'!$A$71:$B$88,2,FALSE)+1,FALSE)="","",VLOOKUP($A11,'détails investissements'!$A$26:$DE$43,BK$3-VLOOKUP($A11,'détails investissements'!$A$71:$B$88,2,FALSE)+1,FALSE))),'détails investissements'!$U$6:$AB$7,2,FALSE),"")&lt;&gt;"",VLOOKUP($A11,'détails investissements'!$A$7:$H$21,1+IF(IF(BK$3-VLOOKUP($A11,'détails investissements'!$A$71:$B$88,2,FALSE)&lt;=0,"",IF(VLOOKUP($A11,'détails investissements'!$A$26:$DE$43,BK$3-VLOOKUP($A11,'détails investissements'!$A$71:$B$88,2,FALSE)+1,FALSE)="","",VLOOKUP($A11,'détails investissements'!$A$26:$DE$43,BK$3-VLOOKUP($A11,'détails investissements'!$A$71:$B$88,2,FALSE)+1,FALSE)))&lt;&gt;"",HLOOKUP(IF(BK$3-VLOOKUP($A11,'détails investissements'!$A$71:$B$88,2,FALSE)&lt;=0,"",IF(VLOOKUP($A11,'détails investissements'!$A$26:$DE$43,BK$3-VLOOKUP($A11,'détails investissements'!$A$71:$B$88,2,FALSE)+1,FALSE)="","",VLOOKUP($A11,'détails investissements'!$A$26:$DE$43,BK$3-VLOOKUP($A11,'détails investissements'!$A$71:$B$88,2,FALSE)+1,FALSE))),'détails investissements'!$U$6:$AB$7,2,FALSE),""),FALSE),"")</f>
        <v/>
      </c>
      <c r="BL11" s="45" t="str">
        <f>IF(IF(IF(BL$3-VLOOKUP($A11,'détails investissements'!$A$71:$B$88,2,FALSE)&lt;=0,"",IF(VLOOKUP($A11,'détails investissements'!$A$26:$DE$43,BL$3-VLOOKUP($A11,'détails investissements'!$A$71:$B$88,2,FALSE)+1,FALSE)="","",VLOOKUP($A11,'détails investissements'!$A$26:$DE$43,BL$3-VLOOKUP($A11,'détails investissements'!$A$71:$B$88,2,FALSE)+1,FALSE)))&lt;&gt;"",HLOOKUP(IF(BL$3-VLOOKUP($A11,'détails investissements'!$A$71:$B$88,2,FALSE)&lt;=0,"",IF(VLOOKUP($A11,'détails investissements'!$A$26:$DE$43,BL$3-VLOOKUP($A11,'détails investissements'!$A$71:$B$88,2,FALSE)+1,FALSE)="","",VLOOKUP($A11,'détails investissements'!$A$26:$DE$43,BL$3-VLOOKUP($A11,'détails investissements'!$A$71:$B$88,2,FALSE)+1,FALSE))),'détails investissements'!$U$6:$AB$7,2,FALSE),"")&lt;&gt;"",VLOOKUP($A11,'détails investissements'!$A$7:$H$21,1+IF(IF(BL$3-VLOOKUP($A11,'détails investissements'!$A$71:$B$88,2,FALSE)&lt;=0,"",IF(VLOOKUP($A11,'détails investissements'!$A$26:$DE$43,BL$3-VLOOKUP($A11,'détails investissements'!$A$71:$B$88,2,FALSE)+1,FALSE)="","",VLOOKUP($A11,'détails investissements'!$A$26:$DE$43,BL$3-VLOOKUP($A11,'détails investissements'!$A$71:$B$88,2,FALSE)+1,FALSE)))&lt;&gt;"",HLOOKUP(IF(BL$3-VLOOKUP($A11,'détails investissements'!$A$71:$B$88,2,FALSE)&lt;=0,"",IF(VLOOKUP($A11,'détails investissements'!$A$26:$DE$43,BL$3-VLOOKUP($A11,'détails investissements'!$A$71:$B$88,2,FALSE)+1,FALSE)="","",VLOOKUP($A11,'détails investissements'!$A$26:$DE$43,BL$3-VLOOKUP($A11,'détails investissements'!$A$71:$B$88,2,FALSE)+1,FALSE))),'détails investissements'!$U$6:$AB$7,2,FALSE),""),FALSE),"")</f>
        <v/>
      </c>
      <c r="BM11" s="45" t="str">
        <f>IF(IF(IF(BM$3-VLOOKUP($A11,'détails investissements'!$A$71:$B$88,2,FALSE)&lt;=0,"",IF(VLOOKUP($A11,'détails investissements'!$A$26:$DE$43,BM$3-VLOOKUP($A11,'détails investissements'!$A$71:$B$88,2,FALSE)+1,FALSE)="","",VLOOKUP($A11,'détails investissements'!$A$26:$DE$43,BM$3-VLOOKUP($A11,'détails investissements'!$A$71:$B$88,2,FALSE)+1,FALSE)))&lt;&gt;"",HLOOKUP(IF(BM$3-VLOOKUP($A11,'détails investissements'!$A$71:$B$88,2,FALSE)&lt;=0,"",IF(VLOOKUP($A11,'détails investissements'!$A$26:$DE$43,BM$3-VLOOKUP($A11,'détails investissements'!$A$71:$B$88,2,FALSE)+1,FALSE)="","",VLOOKUP($A11,'détails investissements'!$A$26:$DE$43,BM$3-VLOOKUP($A11,'détails investissements'!$A$71:$B$88,2,FALSE)+1,FALSE))),'détails investissements'!$U$6:$AB$7,2,FALSE),"")&lt;&gt;"",VLOOKUP($A11,'détails investissements'!$A$7:$H$21,1+IF(IF(BM$3-VLOOKUP($A11,'détails investissements'!$A$71:$B$88,2,FALSE)&lt;=0,"",IF(VLOOKUP($A11,'détails investissements'!$A$26:$DE$43,BM$3-VLOOKUP($A11,'détails investissements'!$A$71:$B$88,2,FALSE)+1,FALSE)="","",VLOOKUP($A11,'détails investissements'!$A$26:$DE$43,BM$3-VLOOKUP($A11,'détails investissements'!$A$71:$B$88,2,FALSE)+1,FALSE)))&lt;&gt;"",HLOOKUP(IF(BM$3-VLOOKUP($A11,'détails investissements'!$A$71:$B$88,2,FALSE)&lt;=0,"",IF(VLOOKUP($A11,'détails investissements'!$A$26:$DE$43,BM$3-VLOOKUP($A11,'détails investissements'!$A$71:$B$88,2,FALSE)+1,FALSE)="","",VLOOKUP($A11,'détails investissements'!$A$26:$DE$43,BM$3-VLOOKUP($A11,'détails investissements'!$A$71:$B$88,2,FALSE)+1,FALSE))),'détails investissements'!$U$6:$AB$7,2,FALSE),""),FALSE),"")</f>
        <v/>
      </c>
      <c r="BN11" s="45" t="str">
        <f>IF(IF(IF(BN$3-VLOOKUP($A11,'détails investissements'!$A$71:$B$88,2,FALSE)&lt;=0,"",IF(VLOOKUP($A11,'détails investissements'!$A$26:$DE$43,BN$3-VLOOKUP($A11,'détails investissements'!$A$71:$B$88,2,FALSE)+1,FALSE)="","",VLOOKUP($A11,'détails investissements'!$A$26:$DE$43,BN$3-VLOOKUP($A11,'détails investissements'!$A$71:$B$88,2,FALSE)+1,FALSE)))&lt;&gt;"",HLOOKUP(IF(BN$3-VLOOKUP($A11,'détails investissements'!$A$71:$B$88,2,FALSE)&lt;=0,"",IF(VLOOKUP($A11,'détails investissements'!$A$26:$DE$43,BN$3-VLOOKUP($A11,'détails investissements'!$A$71:$B$88,2,FALSE)+1,FALSE)="","",VLOOKUP($A11,'détails investissements'!$A$26:$DE$43,BN$3-VLOOKUP($A11,'détails investissements'!$A$71:$B$88,2,FALSE)+1,FALSE))),'détails investissements'!$U$6:$AB$7,2,FALSE),"")&lt;&gt;"",VLOOKUP($A11,'détails investissements'!$A$7:$H$21,1+IF(IF(BN$3-VLOOKUP($A11,'détails investissements'!$A$71:$B$88,2,FALSE)&lt;=0,"",IF(VLOOKUP($A11,'détails investissements'!$A$26:$DE$43,BN$3-VLOOKUP($A11,'détails investissements'!$A$71:$B$88,2,FALSE)+1,FALSE)="","",VLOOKUP($A11,'détails investissements'!$A$26:$DE$43,BN$3-VLOOKUP($A11,'détails investissements'!$A$71:$B$88,2,FALSE)+1,FALSE)))&lt;&gt;"",HLOOKUP(IF(BN$3-VLOOKUP($A11,'détails investissements'!$A$71:$B$88,2,FALSE)&lt;=0,"",IF(VLOOKUP($A11,'détails investissements'!$A$26:$DE$43,BN$3-VLOOKUP($A11,'détails investissements'!$A$71:$B$88,2,FALSE)+1,FALSE)="","",VLOOKUP($A11,'détails investissements'!$A$26:$DE$43,BN$3-VLOOKUP($A11,'détails investissements'!$A$71:$B$88,2,FALSE)+1,FALSE))),'détails investissements'!$U$6:$AB$7,2,FALSE),""),FALSE),"")</f>
        <v/>
      </c>
      <c r="BO11" s="45" t="str">
        <f>IF(IF(IF(BO$3-VLOOKUP($A11,'détails investissements'!$A$71:$B$88,2,FALSE)&lt;=0,"",IF(VLOOKUP($A11,'détails investissements'!$A$26:$DE$43,BO$3-VLOOKUP($A11,'détails investissements'!$A$71:$B$88,2,FALSE)+1,FALSE)="","",VLOOKUP($A11,'détails investissements'!$A$26:$DE$43,BO$3-VLOOKUP($A11,'détails investissements'!$A$71:$B$88,2,FALSE)+1,FALSE)))&lt;&gt;"",HLOOKUP(IF(BO$3-VLOOKUP($A11,'détails investissements'!$A$71:$B$88,2,FALSE)&lt;=0,"",IF(VLOOKUP($A11,'détails investissements'!$A$26:$DE$43,BO$3-VLOOKUP($A11,'détails investissements'!$A$71:$B$88,2,FALSE)+1,FALSE)="","",VLOOKUP($A11,'détails investissements'!$A$26:$DE$43,BO$3-VLOOKUP($A11,'détails investissements'!$A$71:$B$88,2,FALSE)+1,FALSE))),'détails investissements'!$U$6:$AB$7,2,FALSE),"")&lt;&gt;"",VLOOKUP($A11,'détails investissements'!$A$7:$H$21,1+IF(IF(BO$3-VLOOKUP($A11,'détails investissements'!$A$71:$B$88,2,FALSE)&lt;=0,"",IF(VLOOKUP($A11,'détails investissements'!$A$26:$DE$43,BO$3-VLOOKUP($A11,'détails investissements'!$A$71:$B$88,2,FALSE)+1,FALSE)="","",VLOOKUP($A11,'détails investissements'!$A$26:$DE$43,BO$3-VLOOKUP($A11,'détails investissements'!$A$71:$B$88,2,FALSE)+1,FALSE)))&lt;&gt;"",HLOOKUP(IF(BO$3-VLOOKUP($A11,'détails investissements'!$A$71:$B$88,2,FALSE)&lt;=0,"",IF(VLOOKUP($A11,'détails investissements'!$A$26:$DE$43,BO$3-VLOOKUP($A11,'détails investissements'!$A$71:$B$88,2,FALSE)+1,FALSE)="","",VLOOKUP($A11,'détails investissements'!$A$26:$DE$43,BO$3-VLOOKUP($A11,'détails investissements'!$A$71:$B$88,2,FALSE)+1,FALSE))),'détails investissements'!$U$6:$AB$7,2,FALSE),""),FALSE),"")</f>
        <v/>
      </c>
      <c r="BP11" s="45" t="str">
        <f>IF(IF(IF(BP$3-VLOOKUP($A11,'détails investissements'!$A$71:$B$88,2,FALSE)&lt;=0,"",IF(VLOOKUP($A11,'détails investissements'!$A$26:$DE$43,BP$3-VLOOKUP($A11,'détails investissements'!$A$71:$B$88,2,FALSE)+1,FALSE)="","",VLOOKUP($A11,'détails investissements'!$A$26:$DE$43,BP$3-VLOOKUP($A11,'détails investissements'!$A$71:$B$88,2,FALSE)+1,FALSE)))&lt;&gt;"",HLOOKUP(IF(BP$3-VLOOKUP($A11,'détails investissements'!$A$71:$B$88,2,FALSE)&lt;=0,"",IF(VLOOKUP($A11,'détails investissements'!$A$26:$DE$43,BP$3-VLOOKUP($A11,'détails investissements'!$A$71:$B$88,2,FALSE)+1,FALSE)="","",VLOOKUP($A11,'détails investissements'!$A$26:$DE$43,BP$3-VLOOKUP($A11,'détails investissements'!$A$71:$B$88,2,FALSE)+1,FALSE))),'détails investissements'!$U$6:$AB$7,2,FALSE),"")&lt;&gt;"",VLOOKUP($A11,'détails investissements'!$A$7:$H$21,1+IF(IF(BP$3-VLOOKUP($A11,'détails investissements'!$A$71:$B$88,2,FALSE)&lt;=0,"",IF(VLOOKUP($A11,'détails investissements'!$A$26:$DE$43,BP$3-VLOOKUP($A11,'détails investissements'!$A$71:$B$88,2,FALSE)+1,FALSE)="","",VLOOKUP($A11,'détails investissements'!$A$26:$DE$43,BP$3-VLOOKUP($A11,'détails investissements'!$A$71:$B$88,2,FALSE)+1,FALSE)))&lt;&gt;"",HLOOKUP(IF(BP$3-VLOOKUP($A11,'détails investissements'!$A$71:$B$88,2,FALSE)&lt;=0,"",IF(VLOOKUP($A11,'détails investissements'!$A$26:$DE$43,BP$3-VLOOKUP($A11,'détails investissements'!$A$71:$B$88,2,FALSE)+1,FALSE)="","",VLOOKUP($A11,'détails investissements'!$A$26:$DE$43,BP$3-VLOOKUP($A11,'détails investissements'!$A$71:$B$88,2,FALSE)+1,FALSE))),'détails investissements'!$U$6:$AB$7,2,FALSE),""),FALSE),"")</f>
        <v/>
      </c>
      <c r="BQ11" s="45" t="str">
        <f>IF(IF(IF(BQ$3-VLOOKUP($A11,'détails investissements'!$A$71:$B$88,2,FALSE)&lt;=0,"",IF(VLOOKUP($A11,'détails investissements'!$A$26:$DE$43,BQ$3-VLOOKUP($A11,'détails investissements'!$A$71:$B$88,2,FALSE)+1,FALSE)="","",VLOOKUP($A11,'détails investissements'!$A$26:$DE$43,BQ$3-VLOOKUP($A11,'détails investissements'!$A$71:$B$88,2,FALSE)+1,FALSE)))&lt;&gt;"",HLOOKUP(IF(BQ$3-VLOOKUP($A11,'détails investissements'!$A$71:$B$88,2,FALSE)&lt;=0,"",IF(VLOOKUP($A11,'détails investissements'!$A$26:$DE$43,BQ$3-VLOOKUP($A11,'détails investissements'!$A$71:$B$88,2,FALSE)+1,FALSE)="","",VLOOKUP($A11,'détails investissements'!$A$26:$DE$43,BQ$3-VLOOKUP($A11,'détails investissements'!$A$71:$B$88,2,FALSE)+1,FALSE))),'détails investissements'!$U$6:$AB$7,2,FALSE),"")&lt;&gt;"",VLOOKUP($A11,'détails investissements'!$A$7:$H$21,1+IF(IF(BQ$3-VLOOKUP($A11,'détails investissements'!$A$71:$B$88,2,FALSE)&lt;=0,"",IF(VLOOKUP($A11,'détails investissements'!$A$26:$DE$43,BQ$3-VLOOKUP($A11,'détails investissements'!$A$71:$B$88,2,FALSE)+1,FALSE)="","",VLOOKUP($A11,'détails investissements'!$A$26:$DE$43,BQ$3-VLOOKUP($A11,'détails investissements'!$A$71:$B$88,2,FALSE)+1,FALSE)))&lt;&gt;"",HLOOKUP(IF(BQ$3-VLOOKUP($A11,'détails investissements'!$A$71:$B$88,2,FALSE)&lt;=0,"",IF(VLOOKUP($A11,'détails investissements'!$A$26:$DE$43,BQ$3-VLOOKUP($A11,'détails investissements'!$A$71:$B$88,2,FALSE)+1,FALSE)="","",VLOOKUP($A11,'détails investissements'!$A$26:$DE$43,BQ$3-VLOOKUP($A11,'détails investissements'!$A$71:$B$88,2,FALSE)+1,FALSE))),'détails investissements'!$U$6:$AB$7,2,FALSE),""),FALSE),"")</f>
        <v/>
      </c>
      <c r="BR11" s="45" t="str">
        <f>IF(IF(IF(BR$3-VLOOKUP($A11,'détails investissements'!$A$71:$B$88,2,FALSE)&lt;=0,"",IF(VLOOKUP($A11,'détails investissements'!$A$26:$DE$43,BR$3-VLOOKUP($A11,'détails investissements'!$A$71:$B$88,2,FALSE)+1,FALSE)="","",VLOOKUP($A11,'détails investissements'!$A$26:$DE$43,BR$3-VLOOKUP($A11,'détails investissements'!$A$71:$B$88,2,FALSE)+1,FALSE)))&lt;&gt;"",HLOOKUP(IF(BR$3-VLOOKUP($A11,'détails investissements'!$A$71:$B$88,2,FALSE)&lt;=0,"",IF(VLOOKUP($A11,'détails investissements'!$A$26:$DE$43,BR$3-VLOOKUP($A11,'détails investissements'!$A$71:$B$88,2,FALSE)+1,FALSE)="","",VLOOKUP($A11,'détails investissements'!$A$26:$DE$43,BR$3-VLOOKUP($A11,'détails investissements'!$A$71:$B$88,2,FALSE)+1,FALSE))),'détails investissements'!$U$6:$AB$7,2,FALSE),"")&lt;&gt;"",VLOOKUP($A11,'détails investissements'!$A$7:$H$21,1+IF(IF(BR$3-VLOOKUP($A11,'détails investissements'!$A$71:$B$88,2,FALSE)&lt;=0,"",IF(VLOOKUP($A11,'détails investissements'!$A$26:$DE$43,BR$3-VLOOKUP($A11,'détails investissements'!$A$71:$B$88,2,FALSE)+1,FALSE)="","",VLOOKUP($A11,'détails investissements'!$A$26:$DE$43,BR$3-VLOOKUP($A11,'détails investissements'!$A$71:$B$88,2,FALSE)+1,FALSE)))&lt;&gt;"",HLOOKUP(IF(BR$3-VLOOKUP($A11,'détails investissements'!$A$71:$B$88,2,FALSE)&lt;=0,"",IF(VLOOKUP($A11,'détails investissements'!$A$26:$DE$43,BR$3-VLOOKUP($A11,'détails investissements'!$A$71:$B$88,2,FALSE)+1,FALSE)="","",VLOOKUP($A11,'détails investissements'!$A$26:$DE$43,BR$3-VLOOKUP($A11,'détails investissements'!$A$71:$B$88,2,FALSE)+1,FALSE))),'détails investissements'!$U$6:$AB$7,2,FALSE),""),FALSE),"")</f>
        <v/>
      </c>
      <c r="BS11" s="45" t="str">
        <f>IF(IF(IF(BS$3-VLOOKUP($A11,'détails investissements'!$A$71:$B$88,2,FALSE)&lt;=0,"",IF(VLOOKUP($A11,'détails investissements'!$A$26:$DE$43,BS$3-VLOOKUP($A11,'détails investissements'!$A$71:$B$88,2,FALSE)+1,FALSE)="","",VLOOKUP($A11,'détails investissements'!$A$26:$DE$43,BS$3-VLOOKUP($A11,'détails investissements'!$A$71:$B$88,2,FALSE)+1,FALSE)))&lt;&gt;"",HLOOKUP(IF(BS$3-VLOOKUP($A11,'détails investissements'!$A$71:$B$88,2,FALSE)&lt;=0,"",IF(VLOOKUP($A11,'détails investissements'!$A$26:$DE$43,BS$3-VLOOKUP($A11,'détails investissements'!$A$71:$B$88,2,FALSE)+1,FALSE)="","",VLOOKUP($A11,'détails investissements'!$A$26:$DE$43,BS$3-VLOOKUP($A11,'détails investissements'!$A$71:$B$88,2,FALSE)+1,FALSE))),'détails investissements'!$U$6:$AB$7,2,FALSE),"")&lt;&gt;"",VLOOKUP($A11,'détails investissements'!$A$7:$H$21,1+IF(IF(BS$3-VLOOKUP($A11,'détails investissements'!$A$71:$B$88,2,FALSE)&lt;=0,"",IF(VLOOKUP($A11,'détails investissements'!$A$26:$DE$43,BS$3-VLOOKUP($A11,'détails investissements'!$A$71:$B$88,2,FALSE)+1,FALSE)="","",VLOOKUP($A11,'détails investissements'!$A$26:$DE$43,BS$3-VLOOKUP($A11,'détails investissements'!$A$71:$B$88,2,FALSE)+1,FALSE)))&lt;&gt;"",HLOOKUP(IF(BS$3-VLOOKUP($A11,'détails investissements'!$A$71:$B$88,2,FALSE)&lt;=0,"",IF(VLOOKUP($A11,'détails investissements'!$A$26:$DE$43,BS$3-VLOOKUP($A11,'détails investissements'!$A$71:$B$88,2,FALSE)+1,FALSE)="","",VLOOKUP($A11,'détails investissements'!$A$26:$DE$43,BS$3-VLOOKUP($A11,'détails investissements'!$A$71:$B$88,2,FALSE)+1,FALSE))),'détails investissements'!$U$6:$AB$7,2,FALSE),""),FALSE),"")</f>
        <v/>
      </c>
      <c r="BT11" s="45" t="str">
        <f>IF(IF(IF(BT$3-VLOOKUP($A11,'détails investissements'!$A$71:$B$88,2,FALSE)&lt;=0,"",IF(VLOOKUP($A11,'détails investissements'!$A$26:$DE$43,BT$3-VLOOKUP($A11,'détails investissements'!$A$71:$B$88,2,FALSE)+1,FALSE)="","",VLOOKUP($A11,'détails investissements'!$A$26:$DE$43,BT$3-VLOOKUP($A11,'détails investissements'!$A$71:$B$88,2,FALSE)+1,FALSE)))&lt;&gt;"",HLOOKUP(IF(BT$3-VLOOKUP($A11,'détails investissements'!$A$71:$B$88,2,FALSE)&lt;=0,"",IF(VLOOKUP($A11,'détails investissements'!$A$26:$DE$43,BT$3-VLOOKUP($A11,'détails investissements'!$A$71:$B$88,2,FALSE)+1,FALSE)="","",VLOOKUP($A11,'détails investissements'!$A$26:$DE$43,BT$3-VLOOKUP($A11,'détails investissements'!$A$71:$B$88,2,FALSE)+1,FALSE))),'détails investissements'!$U$6:$AB$7,2,FALSE),"")&lt;&gt;"",VLOOKUP($A11,'détails investissements'!$A$7:$H$21,1+IF(IF(BT$3-VLOOKUP($A11,'détails investissements'!$A$71:$B$88,2,FALSE)&lt;=0,"",IF(VLOOKUP($A11,'détails investissements'!$A$26:$DE$43,BT$3-VLOOKUP($A11,'détails investissements'!$A$71:$B$88,2,FALSE)+1,FALSE)="","",VLOOKUP($A11,'détails investissements'!$A$26:$DE$43,BT$3-VLOOKUP($A11,'détails investissements'!$A$71:$B$88,2,FALSE)+1,FALSE)))&lt;&gt;"",HLOOKUP(IF(BT$3-VLOOKUP($A11,'détails investissements'!$A$71:$B$88,2,FALSE)&lt;=0,"",IF(VLOOKUP($A11,'détails investissements'!$A$26:$DE$43,BT$3-VLOOKUP($A11,'détails investissements'!$A$71:$B$88,2,FALSE)+1,FALSE)="","",VLOOKUP($A11,'détails investissements'!$A$26:$DE$43,BT$3-VLOOKUP($A11,'détails investissements'!$A$71:$B$88,2,FALSE)+1,FALSE))),'détails investissements'!$U$6:$AB$7,2,FALSE),""),FALSE),"")</f>
        <v/>
      </c>
      <c r="BU11" s="45" t="str">
        <f>IF(IF(IF(BU$3-VLOOKUP($A11,'détails investissements'!$A$71:$B$88,2,FALSE)&lt;=0,"",IF(VLOOKUP($A11,'détails investissements'!$A$26:$DE$43,BU$3-VLOOKUP($A11,'détails investissements'!$A$71:$B$88,2,FALSE)+1,FALSE)="","",VLOOKUP($A11,'détails investissements'!$A$26:$DE$43,BU$3-VLOOKUP($A11,'détails investissements'!$A$71:$B$88,2,FALSE)+1,FALSE)))&lt;&gt;"",HLOOKUP(IF(BU$3-VLOOKUP($A11,'détails investissements'!$A$71:$B$88,2,FALSE)&lt;=0,"",IF(VLOOKUP($A11,'détails investissements'!$A$26:$DE$43,BU$3-VLOOKUP($A11,'détails investissements'!$A$71:$B$88,2,FALSE)+1,FALSE)="","",VLOOKUP($A11,'détails investissements'!$A$26:$DE$43,BU$3-VLOOKUP($A11,'détails investissements'!$A$71:$B$88,2,FALSE)+1,FALSE))),'détails investissements'!$U$6:$AB$7,2,FALSE),"")&lt;&gt;"",VLOOKUP($A11,'détails investissements'!$A$7:$H$21,1+IF(IF(BU$3-VLOOKUP($A11,'détails investissements'!$A$71:$B$88,2,FALSE)&lt;=0,"",IF(VLOOKUP($A11,'détails investissements'!$A$26:$DE$43,BU$3-VLOOKUP($A11,'détails investissements'!$A$71:$B$88,2,FALSE)+1,FALSE)="","",VLOOKUP($A11,'détails investissements'!$A$26:$DE$43,BU$3-VLOOKUP($A11,'détails investissements'!$A$71:$B$88,2,FALSE)+1,FALSE)))&lt;&gt;"",HLOOKUP(IF(BU$3-VLOOKUP($A11,'détails investissements'!$A$71:$B$88,2,FALSE)&lt;=0,"",IF(VLOOKUP($A11,'détails investissements'!$A$26:$DE$43,BU$3-VLOOKUP($A11,'détails investissements'!$A$71:$B$88,2,FALSE)+1,FALSE)="","",VLOOKUP($A11,'détails investissements'!$A$26:$DE$43,BU$3-VLOOKUP($A11,'détails investissements'!$A$71:$B$88,2,FALSE)+1,FALSE))),'détails investissements'!$U$6:$AB$7,2,FALSE),""),FALSE),"")</f>
        <v/>
      </c>
      <c r="BV11" s="45" t="str">
        <f>IF(IF(IF(BV$3-VLOOKUP($A11,'détails investissements'!$A$71:$B$88,2,FALSE)&lt;=0,"",IF(VLOOKUP($A11,'détails investissements'!$A$26:$DE$43,BV$3-VLOOKUP($A11,'détails investissements'!$A$71:$B$88,2,FALSE)+1,FALSE)="","",VLOOKUP($A11,'détails investissements'!$A$26:$DE$43,BV$3-VLOOKUP($A11,'détails investissements'!$A$71:$B$88,2,FALSE)+1,FALSE)))&lt;&gt;"",HLOOKUP(IF(BV$3-VLOOKUP($A11,'détails investissements'!$A$71:$B$88,2,FALSE)&lt;=0,"",IF(VLOOKUP($A11,'détails investissements'!$A$26:$DE$43,BV$3-VLOOKUP($A11,'détails investissements'!$A$71:$B$88,2,FALSE)+1,FALSE)="","",VLOOKUP($A11,'détails investissements'!$A$26:$DE$43,BV$3-VLOOKUP($A11,'détails investissements'!$A$71:$B$88,2,FALSE)+1,FALSE))),'détails investissements'!$U$6:$AB$7,2,FALSE),"")&lt;&gt;"",VLOOKUP($A11,'détails investissements'!$A$7:$H$21,1+IF(IF(BV$3-VLOOKUP($A11,'détails investissements'!$A$71:$B$88,2,FALSE)&lt;=0,"",IF(VLOOKUP($A11,'détails investissements'!$A$26:$DE$43,BV$3-VLOOKUP($A11,'détails investissements'!$A$71:$B$88,2,FALSE)+1,FALSE)="","",VLOOKUP($A11,'détails investissements'!$A$26:$DE$43,BV$3-VLOOKUP($A11,'détails investissements'!$A$71:$B$88,2,FALSE)+1,FALSE)))&lt;&gt;"",HLOOKUP(IF(BV$3-VLOOKUP($A11,'détails investissements'!$A$71:$B$88,2,FALSE)&lt;=0,"",IF(VLOOKUP($A11,'détails investissements'!$A$26:$DE$43,BV$3-VLOOKUP($A11,'détails investissements'!$A$71:$B$88,2,FALSE)+1,FALSE)="","",VLOOKUP($A11,'détails investissements'!$A$26:$DE$43,BV$3-VLOOKUP($A11,'détails investissements'!$A$71:$B$88,2,FALSE)+1,FALSE))),'détails investissements'!$U$6:$AB$7,2,FALSE),""),FALSE),"")</f>
        <v/>
      </c>
      <c r="BW11" s="45" t="str">
        <f>IF(IF(IF(BW$3-VLOOKUP($A11,'détails investissements'!$A$71:$B$88,2,FALSE)&lt;=0,"",IF(VLOOKUP($A11,'détails investissements'!$A$26:$DE$43,BW$3-VLOOKUP($A11,'détails investissements'!$A$71:$B$88,2,FALSE)+1,FALSE)="","",VLOOKUP($A11,'détails investissements'!$A$26:$DE$43,BW$3-VLOOKUP($A11,'détails investissements'!$A$71:$B$88,2,FALSE)+1,FALSE)))&lt;&gt;"",HLOOKUP(IF(BW$3-VLOOKUP($A11,'détails investissements'!$A$71:$B$88,2,FALSE)&lt;=0,"",IF(VLOOKUP($A11,'détails investissements'!$A$26:$DE$43,BW$3-VLOOKUP($A11,'détails investissements'!$A$71:$B$88,2,FALSE)+1,FALSE)="","",VLOOKUP($A11,'détails investissements'!$A$26:$DE$43,BW$3-VLOOKUP($A11,'détails investissements'!$A$71:$B$88,2,FALSE)+1,FALSE))),'détails investissements'!$U$6:$AB$7,2,FALSE),"")&lt;&gt;"",VLOOKUP($A11,'détails investissements'!$A$7:$H$21,1+IF(IF(BW$3-VLOOKUP($A11,'détails investissements'!$A$71:$B$88,2,FALSE)&lt;=0,"",IF(VLOOKUP($A11,'détails investissements'!$A$26:$DE$43,BW$3-VLOOKUP($A11,'détails investissements'!$A$71:$B$88,2,FALSE)+1,FALSE)="","",VLOOKUP($A11,'détails investissements'!$A$26:$DE$43,BW$3-VLOOKUP($A11,'détails investissements'!$A$71:$B$88,2,FALSE)+1,FALSE)))&lt;&gt;"",HLOOKUP(IF(BW$3-VLOOKUP($A11,'détails investissements'!$A$71:$B$88,2,FALSE)&lt;=0,"",IF(VLOOKUP($A11,'détails investissements'!$A$26:$DE$43,BW$3-VLOOKUP($A11,'détails investissements'!$A$71:$B$88,2,FALSE)+1,FALSE)="","",VLOOKUP($A11,'détails investissements'!$A$26:$DE$43,BW$3-VLOOKUP($A11,'détails investissements'!$A$71:$B$88,2,FALSE)+1,FALSE))),'détails investissements'!$U$6:$AB$7,2,FALSE),""),FALSE),"")</f>
        <v/>
      </c>
      <c r="BX11" s="45" t="str">
        <f>IF(IF(IF(BX$3-VLOOKUP($A11,'détails investissements'!$A$71:$B$88,2,FALSE)&lt;=0,"",IF(VLOOKUP($A11,'détails investissements'!$A$26:$DE$43,BX$3-VLOOKUP($A11,'détails investissements'!$A$71:$B$88,2,FALSE)+1,FALSE)="","",VLOOKUP($A11,'détails investissements'!$A$26:$DE$43,BX$3-VLOOKUP($A11,'détails investissements'!$A$71:$B$88,2,FALSE)+1,FALSE)))&lt;&gt;"",HLOOKUP(IF(BX$3-VLOOKUP($A11,'détails investissements'!$A$71:$B$88,2,FALSE)&lt;=0,"",IF(VLOOKUP($A11,'détails investissements'!$A$26:$DE$43,BX$3-VLOOKUP($A11,'détails investissements'!$A$71:$B$88,2,FALSE)+1,FALSE)="","",VLOOKUP($A11,'détails investissements'!$A$26:$DE$43,BX$3-VLOOKUP($A11,'détails investissements'!$A$71:$B$88,2,FALSE)+1,FALSE))),'détails investissements'!$U$6:$AB$7,2,FALSE),"")&lt;&gt;"",VLOOKUP($A11,'détails investissements'!$A$7:$H$21,1+IF(IF(BX$3-VLOOKUP($A11,'détails investissements'!$A$71:$B$88,2,FALSE)&lt;=0,"",IF(VLOOKUP($A11,'détails investissements'!$A$26:$DE$43,BX$3-VLOOKUP($A11,'détails investissements'!$A$71:$B$88,2,FALSE)+1,FALSE)="","",VLOOKUP($A11,'détails investissements'!$A$26:$DE$43,BX$3-VLOOKUP($A11,'détails investissements'!$A$71:$B$88,2,FALSE)+1,FALSE)))&lt;&gt;"",HLOOKUP(IF(BX$3-VLOOKUP($A11,'détails investissements'!$A$71:$B$88,2,FALSE)&lt;=0,"",IF(VLOOKUP($A11,'détails investissements'!$A$26:$DE$43,BX$3-VLOOKUP($A11,'détails investissements'!$A$71:$B$88,2,FALSE)+1,FALSE)="","",VLOOKUP($A11,'détails investissements'!$A$26:$DE$43,BX$3-VLOOKUP($A11,'détails investissements'!$A$71:$B$88,2,FALSE)+1,FALSE))),'détails investissements'!$U$6:$AB$7,2,FALSE),""),FALSE),"")</f>
        <v/>
      </c>
      <c r="BY11" s="45" t="str">
        <f>IF(IF(IF(BY$3-VLOOKUP($A11,'détails investissements'!$A$71:$B$88,2,FALSE)&lt;=0,"",IF(VLOOKUP($A11,'détails investissements'!$A$26:$DE$43,BY$3-VLOOKUP($A11,'détails investissements'!$A$71:$B$88,2,FALSE)+1,FALSE)="","",VLOOKUP($A11,'détails investissements'!$A$26:$DE$43,BY$3-VLOOKUP($A11,'détails investissements'!$A$71:$B$88,2,FALSE)+1,FALSE)))&lt;&gt;"",HLOOKUP(IF(BY$3-VLOOKUP($A11,'détails investissements'!$A$71:$B$88,2,FALSE)&lt;=0,"",IF(VLOOKUP($A11,'détails investissements'!$A$26:$DE$43,BY$3-VLOOKUP($A11,'détails investissements'!$A$71:$B$88,2,FALSE)+1,FALSE)="","",VLOOKUP($A11,'détails investissements'!$A$26:$DE$43,BY$3-VLOOKUP($A11,'détails investissements'!$A$71:$B$88,2,FALSE)+1,FALSE))),'détails investissements'!$U$6:$AB$7,2,FALSE),"")&lt;&gt;"",VLOOKUP($A11,'détails investissements'!$A$7:$H$21,1+IF(IF(BY$3-VLOOKUP($A11,'détails investissements'!$A$71:$B$88,2,FALSE)&lt;=0,"",IF(VLOOKUP($A11,'détails investissements'!$A$26:$DE$43,BY$3-VLOOKUP($A11,'détails investissements'!$A$71:$B$88,2,FALSE)+1,FALSE)="","",VLOOKUP($A11,'détails investissements'!$A$26:$DE$43,BY$3-VLOOKUP($A11,'détails investissements'!$A$71:$B$88,2,FALSE)+1,FALSE)))&lt;&gt;"",HLOOKUP(IF(BY$3-VLOOKUP($A11,'détails investissements'!$A$71:$B$88,2,FALSE)&lt;=0,"",IF(VLOOKUP($A11,'détails investissements'!$A$26:$DE$43,BY$3-VLOOKUP($A11,'détails investissements'!$A$71:$B$88,2,FALSE)+1,FALSE)="","",VLOOKUP($A11,'détails investissements'!$A$26:$DE$43,BY$3-VLOOKUP($A11,'détails investissements'!$A$71:$B$88,2,FALSE)+1,FALSE))),'détails investissements'!$U$6:$AB$7,2,FALSE),""),FALSE),"")</f>
        <v/>
      </c>
      <c r="BZ11" s="45" t="str">
        <f>IF(IF(IF(BZ$3-VLOOKUP($A11,'détails investissements'!$A$71:$B$88,2,FALSE)&lt;=0,"",IF(VLOOKUP($A11,'détails investissements'!$A$26:$DE$43,BZ$3-VLOOKUP($A11,'détails investissements'!$A$71:$B$88,2,FALSE)+1,FALSE)="","",VLOOKUP($A11,'détails investissements'!$A$26:$DE$43,BZ$3-VLOOKUP($A11,'détails investissements'!$A$71:$B$88,2,FALSE)+1,FALSE)))&lt;&gt;"",HLOOKUP(IF(BZ$3-VLOOKUP($A11,'détails investissements'!$A$71:$B$88,2,FALSE)&lt;=0,"",IF(VLOOKUP($A11,'détails investissements'!$A$26:$DE$43,BZ$3-VLOOKUP($A11,'détails investissements'!$A$71:$B$88,2,FALSE)+1,FALSE)="","",VLOOKUP($A11,'détails investissements'!$A$26:$DE$43,BZ$3-VLOOKUP($A11,'détails investissements'!$A$71:$B$88,2,FALSE)+1,FALSE))),'détails investissements'!$U$6:$AB$7,2,FALSE),"")&lt;&gt;"",VLOOKUP($A11,'détails investissements'!$A$7:$H$21,1+IF(IF(BZ$3-VLOOKUP($A11,'détails investissements'!$A$71:$B$88,2,FALSE)&lt;=0,"",IF(VLOOKUP($A11,'détails investissements'!$A$26:$DE$43,BZ$3-VLOOKUP($A11,'détails investissements'!$A$71:$B$88,2,FALSE)+1,FALSE)="","",VLOOKUP($A11,'détails investissements'!$A$26:$DE$43,BZ$3-VLOOKUP($A11,'détails investissements'!$A$71:$B$88,2,FALSE)+1,FALSE)))&lt;&gt;"",HLOOKUP(IF(BZ$3-VLOOKUP($A11,'détails investissements'!$A$71:$B$88,2,FALSE)&lt;=0,"",IF(VLOOKUP($A11,'détails investissements'!$A$26:$DE$43,BZ$3-VLOOKUP($A11,'détails investissements'!$A$71:$B$88,2,FALSE)+1,FALSE)="","",VLOOKUP($A11,'détails investissements'!$A$26:$DE$43,BZ$3-VLOOKUP($A11,'détails investissements'!$A$71:$B$88,2,FALSE)+1,FALSE))),'détails investissements'!$U$6:$AB$7,2,FALSE),""),FALSE),"")</f>
        <v/>
      </c>
      <c r="CA11" s="45" t="str">
        <f>IF(IF(IF(CA$3-VLOOKUP($A11,'détails investissements'!$A$71:$B$88,2,FALSE)&lt;=0,"",IF(VLOOKUP($A11,'détails investissements'!$A$26:$DE$43,CA$3-VLOOKUP($A11,'détails investissements'!$A$71:$B$88,2,FALSE)+1,FALSE)="","",VLOOKUP($A11,'détails investissements'!$A$26:$DE$43,CA$3-VLOOKUP($A11,'détails investissements'!$A$71:$B$88,2,FALSE)+1,FALSE)))&lt;&gt;"",HLOOKUP(IF(CA$3-VLOOKUP($A11,'détails investissements'!$A$71:$B$88,2,FALSE)&lt;=0,"",IF(VLOOKUP($A11,'détails investissements'!$A$26:$DE$43,CA$3-VLOOKUP($A11,'détails investissements'!$A$71:$B$88,2,FALSE)+1,FALSE)="","",VLOOKUP($A11,'détails investissements'!$A$26:$DE$43,CA$3-VLOOKUP($A11,'détails investissements'!$A$71:$B$88,2,FALSE)+1,FALSE))),'détails investissements'!$U$6:$AB$7,2,FALSE),"")&lt;&gt;"",VLOOKUP($A11,'détails investissements'!$A$7:$H$21,1+IF(IF(CA$3-VLOOKUP($A11,'détails investissements'!$A$71:$B$88,2,FALSE)&lt;=0,"",IF(VLOOKUP($A11,'détails investissements'!$A$26:$DE$43,CA$3-VLOOKUP($A11,'détails investissements'!$A$71:$B$88,2,FALSE)+1,FALSE)="","",VLOOKUP($A11,'détails investissements'!$A$26:$DE$43,CA$3-VLOOKUP($A11,'détails investissements'!$A$71:$B$88,2,FALSE)+1,FALSE)))&lt;&gt;"",HLOOKUP(IF(CA$3-VLOOKUP($A11,'détails investissements'!$A$71:$B$88,2,FALSE)&lt;=0,"",IF(VLOOKUP($A11,'détails investissements'!$A$26:$DE$43,CA$3-VLOOKUP($A11,'détails investissements'!$A$71:$B$88,2,FALSE)+1,FALSE)="","",VLOOKUP($A11,'détails investissements'!$A$26:$DE$43,CA$3-VLOOKUP($A11,'détails investissements'!$A$71:$B$88,2,FALSE)+1,FALSE))),'détails investissements'!$U$6:$AB$7,2,FALSE),""),FALSE),"")</f>
        <v/>
      </c>
      <c r="CB11" s="45" t="str">
        <f>IF(IF(IF(CB$3-VLOOKUP($A11,'détails investissements'!$A$71:$B$88,2,FALSE)&lt;=0,"",IF(VLOOKUP($A11,'détails investissements'!$A$26:$DE$43,CB$3-VLOOKUP($A11,'détails investissements'!$A$71:$B$88,2,FALSE)+1,FALSE)="","",VLOOKUP($A11,'détails investissements'!$A$26:$DE$43,CB$3-VLOOKUP($A11,'détails investissements'!$A$71:$B$88,2,FALSE)+1,FALSE)))&lt;&gt;"",HLOOKUP(IF(CB$3-VLOOKUP($A11,'détails investissements'!$A$71:$B$88,2,FALSE)&lt;=0,"",IF(VLOOKUP($A11,'détails investissements'!$A$26:$DE$43,CB$3-VLOOKUP($A11,'détails investissements'!$A$71:$B$88,2,FALSE)+1,FALSE)="","",VLOOKUP($A11,'détails investissements'!$A$26:$DE$43,CB$3-VLOOKUP($A11,'détails investissements'!$A$71:$B$88,2,FALSE)+1,FALSE))),'détails investissements'!$U$6:$AB$7,2,FALSE),"")&lt;&gt;"",VLOOKUP($A11,'détails investissements'!$A$7:$H$21,1+IF(IF(CB$3-VLOOKUP($A11,'détails investissements'!$A$71:$B$88,2,FALSE)&lt;=0,"",IF(VLOOKUP($A11,'détails investissements'!$A$26:$DE$43,CB$3-VLOOKUP($A11,'détails investissements'!$A$71:$B$88,2,FALSE)+1,FALSE)="","",VLOOKUP($A11,'détails investissements'!$A$26:$DE$43,CB$3-VLOOKUP($A11,'détails investissements'!$A$71:$B$88,2,FALSE)+1,FALSE)))&lt;&gt;"",HLOOKUP(IF(CB$3-VLOOKUP($A11,'détails investissements'!$A$71:$B$88,2,FALSE)&lt;=0,"",IF(VLOOKUP($A11,'détails investissements'!$A$26:$DE$43,CB$3-VLOOKUP($A11,'détails investissements'!$A$71:$B$88,2,FALSE)+1,FALSE)="","",VLOOKUP($A11,'détails investissements'!$A$26:$DE$43,CB$3-VLOOKUP($A11,'détails investissements'!$A$71:$B$88,2,FALSE)+1,FALSE))),'détails investissements'!$U$6:$AB$7,2,FALSE),""),FALSE),"")</f>
        <v/>
      </c>
      <c r="CC11" s="45" t="str">
        <f>IF(IF(IF(CC$3-VLOOKUP($A11,'détails investissements'!$A$71:$B$88,2,FALSE)&lt;=0,"",IF(VLOOKUP($A11,'détails investissements'!$A$26:$DE$43,CC$3-VLOOKUP($A11,'détails investissements'!$A$71:$B$88,2,FALSE)+1,FALSE)="","",VLOOKUP($A11,'détails investissements'!$A$26:$DE$43,CC$3-VLOOKUP($A11,'détails investissements'!$A$71:$B$88,2,FALSE)+1,FALSE)))&lt;&gt;"",HLOOKUP(IF(CC$3-VLOOKUP($A11,'détails investissements'!$A$71:$B$88,2,FALSE)&lt;=0,"",IF(VLOOKUP($A11,'détails investissements'!$A$26:$DE$43,CC$3-VLOOKUP($A11,'détails investissements'!$A$71:$B$88,2,FALSE)+1,FALSE)="","",VLOOKUP($A11,'détails investissements'!$A$26:$DE$43,CC$3-VLOOKUP($A11,'détails investissements'!$A$71:$B$88,2,FALSE)+1,FALSE))),'détails investissements'!$U$6:$AB$7,2,FALSE),"")&lt;&gt;"",VLOOKUP($A11,'détails investissements'!$A$7:$H$21,1+IF(IF(CC$3-VLOOKUP($A11,'détails investissements'!$A$71:$B$88,2,FALSE)&lt;=0,"",IF(VLOOKUP($A11,'détails investissements'!$A$26:$DE$43,CC$3-VLOOKUP($A11,'détails investissements'!$A$71:$B$88,2,FALSE)+1,FALSE)="","",VLOOKUP($A11,'détails investissements'!$A$26:$DE$43,CC$3-VLOOKUP($A11,'détails investissements'!$A$71:$B$88,2,FALSE)+1,FALSE)))&lt;&gt;"",HLOOKUP(IF(CC$3-VLOOKUP($A11,'détails investissements'!$A$71:$B$88,2,FALSE)&lt;=0,"",IF(VLOOKUP($A11,'détails investissements'!$A$26:$DE$43,CC$3-VLOOKUP($A11,'détails investissements'!$A$71:$B$88,2,FALSE)+1,FALSE)="","",VLOOKUP($A11,'détails investissements'!$A$26:$DE$43,CC$3-VLOOKUP($A11,'détails investissements'!$A$71:$B$88,2,FALSE)+1,FALSE))),'détails investissements'!$U$6:$AB$7,2,FALSE),""),FALSE),"")</f>
        <v/>
      </c>
      <c r="CD11" s="45" t="str">
        <f>IF(IF(IF(CD$3-VLOOKUP($A11,'détails investissements'!$A$71:$B$88,2,FALSE)&lt;=0,"",IF(VLOOKUP($A11,'détails investissements'!$A$26:$DE$43,CD$3-VLOOKUP($A11,'détails investissements'!$A$71:$B$88,2,FALSE)+1,FALSE)="","",VLOOKUP($A11,'détails investissements'!$A$26:$DE$43,CD$3-VLOOKUP($A11,'détails investissements'!$A$71:$B$88,2,FALSE)+1,FALSE)))&lt;&gt;"",HLOOKUP(IF(CD$3-VLOOKUP($A11,'détails investissements'!$A$71:$B$88,2,FALSE)&lt;=0,"",IF(VLOOKUP($A11,'détails investissements'!$A$26:$DE$43,CD$3-VLOOKUP($A11,'détails investissements'!$A$71:$B$88,2,FALSE)+1,FALSE)="","",VLOOKUP($A11,'détails investissements'!$A$26:$DE$43,CD$3-VLOOKUP($A11,'détails investissements'!$A$71:$B$88,2,FALSE)+1,FALSE))),'détails investissements'!$U$6:$AB$7,2,FALSE),"")&lt;&gt;"",VLOOKUP($A11,'détails investissements'!$A$7:$H$21,1+IF(IF(CD$3-VLOOKUP($A11,'détails investissements'!$A$71:$B$88,2,FALSE)&lt;=0,"",IF(VLOOKUP($A11,'détails investissements'!$A$26:$DE$43,CD$3-VLOOKUP($A11,'détails investissements'!$A$71:$B$88,2,FALSE)+1,FALSE)="","",VLOOKUP($A11,'détails investissements'!$A$26:$DE$43,CD$3-VLOOKUP($A11,'détails investissements'!$A$71:$B$88,2,FALSE)+1,FALSE)))&lt;&gt;"",HLOOKUP(IF(CD$3-VLOOKUP($A11,'détails investissements'!$A$71:$B$88,2,FALSE)&lt;=0,"",IF(VLOOKUP($A11,'détails investissements'!$A$26:$DE$43,CD$3-VLOOKUP($A11,'détails investissements'!$A$71:$B$88,2,FALSE)+1,FALSE)="","",VLOOKUP($A11,'détails investissements'!$A$26:$DE$43,CD$3-VLOOKUP($A11,'détails investissements'!$A$71:$B$88,2,FALSE)+1,FALSE))),'détails investissements'!$U$6:$AB$7,2,FALSE),""),FALSE),"")</f>
        <v/>
      </c>
      <c r="CE11" s="45" t="str">
        <f>IF(IF(IF(CE$3-VLOOKUP($A11,'détails investissements'!$A$71:$B$88,2,FALSE)&lt;=0,"",IF(VLOOKUP($A11,'détails investissements'!$A$26:$DE$43,CE$3-VLOOKUP($A11,'détails investissements'!$A$71:$B$88,2,FALSE)+1,FALSE)="","",VLOOKUP($A11,'détails investissements'!$A$26:$DE$43,CE$3-VLOOKUP($A11,'détails investissements'!$A$71:$B$88,2,FALSE)+1,FALSE)))&lt;&gt;"",HLOOKUP(IF(CE$3-VLOOKUP($A11,'détails investissements'!$A$71:$B$88,2,FALSE)&lt;=0,"",IF(VLOOKUP($A11,'détails investissements'!$A$26:$DE$43,CE$3-VLOOKUP($A11,'détails investissements'!$A$71:$B$88,2,FALSE)+1,FALSE)="","",VLOOKUP($A11,'détails investissements'!$A$26:$DE$43,CE$3-VLOOKUP($A11,'détails investissements'!$A$71:$B$88,2,FALSE)+1,FALSE))),'détails investissements'!$U$6:$AB$7,2,FALSE),"")&lt;&gt;"",VLOOKUP($A11,'détails investissements'!$A$7:$H$21,1+IF(IF(CE$3-VLOOKUP($A11,'détails investissements'!$A$71:$B$88,2,FALSE)&lt;=0,"",IF(VLOOKUP($A11,'détails investissements'!$A$26:$DE$43,CE$3-VLOOKUP($A11,'détails investissements'!$A$71:$B$88,2,FALSE)+1,FALSE)="","",VLOOKUP($A11,'détails investissements'!$A$26:$DE$43,CE$3-VLOOKUP($A11,'détails investissements'!$A$71:$B$88,2,FALSE)+1,FALSE)))&lt;&gt;"",HLOOKUP(IF(CE$3-VLOOKUP($A11,'détails investissements'!$A$71:$B$88,2,FALSE)&lt;=0,"",IF(VLOOKUP($A11,'détails investissements'!$A$26:$DE$43,CE$3-VLOOKUP($A11,'détails investissements'!$A$71:$B$88,2,FALSE)+1,FALSE)="","",VLOOKUP($A11,'détails investissements'!$A$26:$DE$43,CE$3-VLOOKUP($A11,'détails investissements'!$A$71:$B$88,2,FALSE)+1,FALSE))),'détails investissements'!$U$6:$AB$7,2,FALSE),""),FALSE),"")</f>
        <v/>
      </c>
      <c r="CF11" s="45" t="str">
        <f>IF(IF(IF(CF$3-VLOOKUP($A11,'détails investissements'!$A$71:$B$88,2,FALSE)&lt;=0,"",IF(VLOOKUP($A11,'détails investissements'!$A$26:$DE$43,CF$3-VLOOKUP($A11,'détails investissements'!$A$71:$B$88,2,FALSE)+1,FALSE)="","",VLOOKUP($A11,'détails investissements'!$A$26:$DE$43,CF$3-VLOOKUP($A11,'détails investissements'!$A$71:$B$88,2,FALSE)+1,FALSE)))&lt;&gt;"",HLOOKUP(IF(CF$3-VLOOKUP($A11,'détails investissements'!$A$71:$B$88,2,FALSE)&lt;=0,"",IF(VLOOKUP($A11,'détails investissements'!$A$26:$DE$43,CF$3-VLOOKUP($A11,'détails investissements'!$A$71:$B$88,2,FALSE)+1,FALSE)="","",VLOOKUP($A11,'détails investissements'!$A$26:$DE$43,CF$3-VLOOKUP($A11,'détails investissements'!$A$71:$B$88,2,FALSE)+1,FALSE))),'détails investissements'!$U$6:$AB$7,2,FALSE),"")&lt;&gt;"",VLOOKUP($A11,'détails investissements'!$A$7:$H$21,1+IF(IF(CF$3-VLOOKUP($A11,'détails investissements'!$A$71:$B$88,2,FALSE)&lt;=0,"",IF(VLOOKUP($A11,'détails investissements'!$A$26:$DE$43,CF$3-VLOOKUP($A11,'détails investissements'!$A$71:$B$88,2,FALSE)+1,FALSE)="","",VLOOKUP($A11,'détails investissements'!$A$26:$DE$43,CF$3-VLOOKUP($A11,'détails investissements'!$A$71:$B$88,2,FALSE)+1,FALSE)))&lt;&gt;"",HLOOKUP(IF(CF$3-VLOOKUP($A11,'détails investissements'!$A$71:$B$88,2,FALSE)&lt;=0,"",IF(VLOOKUP($A11,'détails investissements'!$A$26:$DE$43,CF$3-VLOOKUP($A11,'détails investissements'!$A$71:$B$88,2,FALSE)+1,FALSE)="","",VLOOKUP($A11,'détails investissements'!$A$26:$DE$43,CF$3-VLOOKUP($A11,'détails investissements'!$A$71:$B$88,2,FALSE)+1,FALSE))),'détails investissements'!$U$6:$AB$7,2,FALSE),""),FALSE),"")</f>
        <v/>
      </c>
      <c r="CG11" s="45" t="str">
        <f>IF(IF(IF(CG$3-VLOOKUP($A11,'détails investissements'!$A$71:$B$88,2,FALSE)&lt;=0,"",IF(VLOOKUP($A11,'détails investissements'!$A$26:$DE$43,CG$3-VLOOKUP($A11,'détails investissements'!$A$71:$B$88,2,FALSE)+1,FALSE)="","",VLOOKUP($A11,'détails investissements'!$A$26:$DE$43,CG$3-VLOOKUP($A11,'détails investissements'!$A$71:$B$88,2,FALSE)+1,FALSE)))&lt;&gt;"",HLOOKUP(IF(CG$3-VLOOKUP($A11,'détails investissements'!$A$71:$B$88,2,FALSE)&lt;=0,"",IF(VLOOKUP($A11,'détails investissements'!$A$26:$DE$43,CG$3-VLOOKUP($A11,'détails investissements'!$A$71:$B$88,2,FALSE)+1,FALSE)="","",VLOOKUP($A11,'détails investissements'!$A$26:$DE$43,CG$3-VLOOKUP($A11,'détails investissements'!$A$71:$B$88,2,FALSE)+1,FALSE))),'détails investissements'!$U$6:$AB$7,2,FALSE),"")&lt;&gt;"",VLOOKUP($A11,'détails investissements'!$A$7:$H$21,1+IF(IF(CG$3-VLOOKUP($A11,'détails investissements'!$A$71:$B$88,2,FALSE)&lt;=0,"",IF(VLOOKUP($A11,'détails investissements'!$A$26:$DE$43,CG$3-VLOOKUP($A11,'détails investissements'!$A$71:$B$88,2,FALSE)+1,FALSE)="","",VLOOKUP($A11,'détails investissements'!$A$26:$DE$43,CG$3-VLOOKUP($A11,'détails investissements'!$A$71:$B$88,2,FALSE)+1,FALSE)))&lt;&gt;"",HLOOKUP(IF(CG$3-VLOOKUP($A11,'détails investissements'!$A$71:$B$88,2,FALSE)&lt;=0,"",IF(VLOOKUP($A11,'détails investissements'!$A$26:$DE$43,CG$3-VLOOKUP($A11,'détails investissements'!$A$71:$B$88,2,FALSE)+1,FALSE)="","",VLOOKUP($A11,'détails investissements'!$A$26:$DE$43,CG$3-VLOOKUP($A11,'détails investissements'!$A$71:$B$88,2,FALSE)+1,FALSE))),'détails investissements'!$U$6:$AB$7,2,FALSE),""),FALSE),"")</f>
        <v/>
      </c>
      <c r="CH11" s="45" t="str">
        <f>IF(IF(IF(CH$3-VLOOKUP($A11,'détails investissements'!$A$71:$B$88,2,FALSE)&lt;=0,"",IF(VLOOKUP($A11,'détails investissements'!$A$26:$DE$43,CH$3-VLOOKUP($A11,'détails investissements'!$A$71:$B$88,2,FALSE)+1,FALSE)="","",VLOOKUP($A11,'détails investissements'!$A$26:$DE$43,CH$3-VLOOKUP($A11,'détails investissements'!$A$71:$B$88,2,FALSE)+1,FALSE)))&lt;&gt;"",HLOOKUP(IF(CH$3-VLOOKUP($A11,'détails investissements'!$A$71:$B$88,2,FALSE)&lt;=0,"",IF(VLOOKUP($A11,'détails investissements'!$A$26:$DE$43,CH$3-VLOOKUP($A11,'détails investissements'!$A$71:$B$88,2,FALSE)+1,FALSE)="","",VLOOKUP($A11,'détails investissements'!$A$26:$DE$43,CH$3-VLOOKUP($A11,'détails investissements'!$A$71:$B$88,2,FALSE)+1,FALSE))),'détails investissements'!$U$6:$AB$7,2,FALSE),"")&lt;&gt;"",VLOOKUP($A11,'détails investissements'!$A$7:$H$21,1+IF(IF(CH$3-VLOOKUP($A11,'détails investissements'!$A$71:$B$88,2,FALSE)&lt;=0,"",IF(VLOOKUP($A11,'détails investissements'!$A$26:$DE$43,CH$3-VLOOKUP($A11,'détails investissements'!$A$71:$B$88,2,FALSE)+1,FALSE)="","",VLOOKUP($A11,'détails investissements'!$A$26:$DE$43,CH$3-VLOOKUP($A11,'détails investissements'!$A$71:$B$88,2,FALSE)+1,FALSE)))&lt;&gt;"",HLOOKUP(IF(CH$3-VLOOKUP($A11,'détails investissements'!$A$71:$B$88,2,FALSE)&lt;=0,"",IF(VLOOKUP($A11,'détails investissements'!$A$26:$DE$43,CH$3-VLOOKUP($A11,'détails investissements'!$A$71:$B$88,2,FALSE)+1,FALSE)="","",VLOOKUP($A11,'détails investissements'!$A$26:$DE$43,CH$3-VLOOKUP($A11,'détails investissements'!$A$71:$B$88,2,FALSE)+1,FALSE))),'détails investissements'!$U$6:$AB$7,2,FALSE),""),FALSE),"")</f>
        <v/>
      </c>
      <c r="CI11" s="45" t="str">
        <f>IF(IF(IF(CI$3-VLOOKUP($A11,'détails investissements'!$A$71:$B$88,2,FALSE)&lt;=0,"",IF(VLOOKUP($A11,'détails investissements'!$A$26:$DE$43,CI$3-VLOOKUP($A11,'détails investissements'!$A$71:$B$88,2,FALSE)+1,FALSE)="","",VLOOKUP($A11,'détails investissements'!$A$26:$DE$43,CI$3-VLOOKUP($A11,'détails investissements'!$A$71:$B$88,2,FALSE)+1,FALSE)))&lt;&gt;"",HLOOKUP(IF(CI$3-VLOOKUP($A11,'détails investissements'!$A$71:$B$88,2,FALSE)&lt;=0,"",IF(VLOOKUP($A11,'détails investissements'!$A$26:$DE$43,CI$3-VLOOKUP($A11,'détails investissements'!$A$71:$B$88,2,FALSE)+1,FALSE)="","",VLOOKUP($A11,'détails investissements'!$A$26:$DE$43,CI$3-VLOOKUP($A11,'détails investissements'!$A$71:$B$88,2,FALSE)+1,FALSE))),'détails investissements'!$U$6:$AB$7,2,FALSE),"")&lt;&gt;"",VLOOKUP($A11,'détails investissements'!$A$7:$H$21,1+IF(IF(CI$3-VLOOKUP($A11,'détails investissements'!$A$71:$B$88,2,FALSE)&lt;=0,"",IF(VLOOKUP($A11,'détails investissements'!$A$26:$DE$43,CI$3-VLOOKUP($A11,'détails investissements'!$A$71:$B$88,2,FALSE)+1,FALSE)="","",VLOOKUP($A11,'détails investissements'!$A$26:$DE$43,CI$3-VLOOKUP($A11,'détails investissements'!$A$71:$B$88,2,FALSE)+1,FALSE)))&lt;&gt;"",HLOOKUP(IF(CI$3-VLOOKUP($A11,'détails investissements'!$A$71:$B$88,2,FALSE)&lt;=0,"",IF(VLOOKUP($A11,'détails investissements'!$A$26:$DE$43,CI$3-VLOOKUP($A11,'détails investissements'!$A$71:$B$88,2,FALSE)+1,FALSE)="","",VLOOKUP($A11,'détails investissements'!$A$26:$DE$43,CI$3-VLOOKUP($A11,'détails investissements'!$A$71:$B$88,2,FALSE)+1,FALSE))),'détails investissements'!$U$6:$AB$7,2,FALSE),""),FALSE),"")</f>
        <v/>
      </c>
      <c r="CJ11" s="45" t="str">
        <f>IF(IF(IF(CJ$3-VLOOKUP($A11,'détails investissements'!$A$71:$B$88,2,FALSE)&lt;=0,"",IF(VLOOKUP($A11,'détails investissements'!$A$26:$DE$43,CJ$3-VLOOKUP($A11,'détails investissements'!$A$71:$B$88,2,FALSE)+1,FALSE)="","",VLOOKUP($A11,'détails investissements'!$A$26:$DE$43,CJ$3-VLOOKUP($A11,'détails investissements'!$A$71:$B$88,2,FALSE)+1,FALSE)))&lt;&gt;"",HLOOKUP(IF(CJ$3-VLOOKUP($A11,'détails investissements'!$A$71:$B$88,2,FALSE)&lt;=0,"",IF(VLOOKUP($A11,'détails investissements'!$A$26:$DE$43,CJ$3-VLOOKUP($A11,'détails investissements'!$A$71:$B$88,2,FALSE)+1,FALSE)="","",VLOOKUP($A11,'détails investissements'!$A$26:$DE$43,CJ$3-VLOOKUP($A11,'détails investissements'!$A$71:$B$88,2,FALSE)+1,FALSE))),'détails investissements'!$U$6:$AB$7,2,FALSE),"")&lt;&gt;"",VLOOKUP($A11,'détails investissements'!$A$7:$H$21,1+IF(IF(CJ$3-VLOOKUP($A11,'détails investissements'!$A$71:$B$88,2,FALSE)&lt;=0,"",IF(VLOOKUP($A11,'détails investissements'!$A$26:$DE$43,CJ$3-VLOOKUP($A11,'détails investissements'!$A$71:$B$88,2,FALSE)+1,FALSE)="","",VLOOKUP($A11,'détails investissements'!$A$26:$DE$43,CJ$3-VLOOKUP($A11,'détails investissements'!$A$71:$B$88,2,FALSE)+1,FALSE)))&lt;&gt;"",HLOOKUP(IF(CJ$3-VLOOKUP($A11,'détails investissements'!$A$71:$B$88,2,FALSE)&lt;=0,"",IF(VLOOKUP($A11,'détails investissements'!$A$26:$DE$43,CJ$3-VLOOKUP($A11,'détails investissements'!$A$71:$B$88,2,FALSE)+1,FALSE)="","",VLOOKUP($A11,'détails investissements'!$A$26:$DE$43,CJ$3-VLOOKUP($A11,'détails investissements'!$A$71:$B$88,2,FALSE)+1,FALSE))),'détails investissements'!$U$6:$AB$7,2,FALSE),""),FALSE),"")</f>
        <v/>
      </c>
      <c r="CK11" s="45" t="str">
        <f>IF(IF(IF(CK$3-VLOOKUP($A11,'détails investissements'!$A$71:$B$88,2,FALSE)&lt;=0,"",IF(VLOOKUP($A11,'détails investissements'!$A$26:$DE$43,CK$3-VLOOKUP($A11,'détails investissements'!$A$71:$B$88,2,FALSE)+1,FALSE)="","",VLOOKUP($A11,'détails investissements'!$A$26:$DE$43,CK$3-VLOOKUP($A11,'détails investissements'!$A$71:$B$88,2,FALSE)+1,FALSE)))&lt;&gt;"",HLOOKUP(IF(CK$3-VLOOKUP($A11,'détails investissements'!$A$71:$B$88,2,FALSE)&lt;=0,"",IF(VLOOKUP($A11,'détails investissements'!$A$26:$DE$43,CK$3-VLOOKUP($A11,'détails investissements'!$A$71:$B$88,2,FALSE)+1,FALSE)="","",VLOOKUP($A11,'détails investissements'!$A$26:$DE$43,CK$3-VLOOKUP($A11,'détails investissements'!$A$71:$B$88,2,FALSE)+1,FALSE))),'détails investissements'!$U$6:$AB$7,2,FALSE),"")&lt;&gt;"",VLOOKUP($A11,'détails investissements'!$A$7:$H$21,1+IF(IF(CK$3-VLOOKUP($A11,'détails investissements'!$A$71:$B$88,2,FALSE)&lt;=0,"",IF(VLOOKUP($A11,'détails investissements'!$A$26:$DE$43,CK$3-VLOOKUP($A11,'détails investissements'!$A$71:$B$88,2,FALSE)+1,FALSE)="","",VLOOKUP($A11,'détails investissements'!$A$26:$DE$43,CK$3-VLOOKUP($A11,'détails investissements'!$A$71:$B$88,2,FALSE)+1,FALSE)))&lt;&gt;"",HLOOKUP(IF(CK$3-VLOOKUP($A11,'détails investissements'!$A$71:$B$88,2,FALSE)&lt;=0,"",IF(VLOOKUP($A11,'détails investissements'!$A$26:$DE$43,CK$3-VLOOKUP($A11,'détails investissements'!$A$71:$B$88,2,FALSE)+1,FALSE)="","",VLOOKUP($A11,'détails investissements'!$A$26:$DE$43,CK$3-VLOOKUP($A11,'détails investissements'!$A$71:$B$88,2,FALSE)+1,FALSE))),'détails investissements'!$U$6:$AB$7,2,FALSE),""),FALSE),"")</f>
        <v/>
      </c>
      <c r="CL11" s="45" t="str">
        <f>IF(IF(IF(CL$3-VLOOKUP($A11,'détails investissements'!$A$71:$B$88,2,FALSE)&lt;=0,"",IF(VLOOKUP($A11,'détails investissements'!$A$26:$DE$43,CL$3-VLOOKUP($A11,'détails investissements'!$A$71:$B$88,2,FALSE)+1,FALSE)="","",VLOOKUP($A11,'détails investissements'!$A$26:$DE$43,CL$3-VLOOKUP($A11,'détails investissements'!$A$71:$B$88,2,FALSE)+1,FALSE)))&lt;&gt;"",HLOOKUP(IF(CL$3-VLOOKUP($A11,'détails investissements'!$A$71:$B$88,2,FALSE)&lt;=0,"",IF(VLOOKUP($A11,'détails investissements'!$A$26:$DE$43,CL$3-VLOOKUP($A11,'détails investissements'!$A$71:$B$88,2,FALSE)+1,FALSE)="","",VLOOKUP($A11,'détails investissements'!$A$26:$DE$43,CL$3-VLOOKUP($A11,'détails investissements'!$A$71:$B$88,2,FALSE)+1,FALSE))),'détails investissements'!$U$6:$AB$7,2,FALSE),"")&lt;&gt;"",VLOOKUP($A11,'détails investissements'!$A$7:$H$21,1+IF(IF(CL$3-VLOOKUP($A11,'détails investissements'!$A$71:$B$88,2,FALSE)&lt;=0,"",IF(VLOOKUP($A11,'détails investissements'!$A$26:$DE$43,CL$3-VLOOKUP($A11,'détails investissements'!$A$71:$B$88,2,FALSE)+1,FALSE)="","",VLOOKUP($A11,'détails investissements'!$A$26:$DE$43,CL$3-VLOOKUP($A11,'détails investissements'!$A$71:$B$88,2,FALSE)+1,FALSE)))&lt;&gt;"",HLOOKUP(IF(CL$3-VLOOKUP($A11,'détails investissements'!$A$71:$B$88,2,FALSE)&lt;=0,"",IF(VLOOKUP($A11,'détails investissements'!$A$26:$DE$43,CL$3-VLOOKUP($A11,'détails investissements'!$A$71:$B$88,2,FALSE)+1,FALSE)="","",VLOOKUP($A11,'détails investissements'!$A$26:$DE$43,CL$3-VLOOKUP($A11,'détails investissements'!$A$71:$B$88,2,FALSE)+1,FALSE))),'détails investissements'!$U$6:$AB$7,2,FALSE),""),FALSE),"")</f>
        <v/>
      </c>
      <c r="CM11" s="45" t="str">
        <f>IF(IF(IF(CM$3-VLOOKUP($A11,'détails investissements'!$A$71:$B$88,2,FALSE)&lt;=0,"",IF(VLOOKUP($A11,'détails investissements'!$A$26:$DE$43,CM$3-VLOOKUP($A11,'détails investissements'!$A$71:$B$88,2,FALSE)+1,FALSE)="","",VLOOKUP($A11,'détails investissements'!$A$26:$DE$43,CM$3-VLOOKUP($A11,'détails investissements'!$A$71:$B$88,2,FALSE)+1,FALSE)))&lt;&gt;"",HLOOKUP(IF(CM$3-VLOOKUP($A11,'détails investissements'!$A$71:$B$88,2,FALSE)&lt;=0,"",IF(VLOOKUP($A11,'détails investissements'!$A$26:$DE$43,CM$3-VLOOKUP($A11,'détails investissements'!$A$71:$B$88,2,FALSE)+1,FALSE)="","",VLOOKUP($A11,'détails investissements'!$A$26:$DE$43,CM$3-VLOOKUP($A11,'détails investissements'!$A$71:$B$88,2,FALSE)+1,FALSE))),'détails investissements'!$U$6:$AB$7,2,FALSE),"")&lt;&gt;"",VLOOKUP($A11,'détails investissements'!$A$7:$H$21,1+IF(IF(CM$3-VLOOKUP($A11,'détails investissements'!$A$71:$B$88,2,FALSE)&lt;=0,"",IF(VLOOKUP($A11,'détails investissements'!$A$26:$DE$43,CM$3-VLOOKUP($A11,'détails investissements'!$A$71:$B$88,2,FALSE)+1,FALSE)="","",VLOOKUP($A11,'détails investissements'!$A$26:$DE$43,CM$3-VLOOKUP($A11,'détails investissements'!$A$71:$B$88,2,FALSE)+1,FALSE)))&lt;&gt;"",HLOOKUP(IF(CM$3-VLOOKUP($A11,'détails investissements'!$A$71:$B$88,2,FALSE)&lt;=0,"",IF(VLOOKUP($A11,'détails investissements'!$A$26:$DE$43,CM$3-VLOOKUP($A11,'détails investissements'!$A$71:$B$88,2,FALSE)+1,FALSE)="","",VLOOKUP($A11,'détails investissements'!$A$26:$DE$43,CM$3-VLOOKUP($A11,'détails investissements'!$A$71:$B$88,2,FALSE)+1,FALSE))),'détails investissements'!$U$6:$AB$7,2,FALSE),""),FALSE),"")</f>
        <v/>
      </c>
      <c r="CN11" s="45" t="str">
        <f>IF(IF(IF(CN$3-VLOOKUP($A11,'détails investissements'!$A$71:$B$88,2,FALSE)&lt;=0,"",IF(VLOOKUP($A11,'détails investissements'!$A$26:$DE$43,CN$3-VLOOKUP($A11,'détails investissements'!$A$71:$B$88,2,FALSE)+1,FALSE)="","",VLOOKUP($A11,'détails investissements'!$A$26:$DE$43,CN$3-VLOOKUP($A11,'détails investissements'!$A$71:$B$88,2,FALSE)+1,FALSE)))&lt;&gt;"",HLOOKUP(IF(CN$3-VLOOKUP($A11,'détails investissements'!$A$71:$B$88,2,FALSE)&lt;=0,"",IF(VLOOKUP($A11,'détails investissements'!$A$26:$DE$43,CN$3-VLOOKUP($A11,'détails investissements'!$A$71:$B$88,2,FALSE)+1,FALSE)="","",VLOOKUP($A11,'détails investissements'!$A$26:$DE$43,CN$3-VLOOKUP($A11,'détails investissements'!$A$71:$B$88,2,FALSE)+1,FALSE))),'détails investissements'!$U$6:$AB$7,2,FALSE),"")&lt;&gt;"",VLOOKUP($A11,'détails investissements'!$A$7:$H$21,1+IF(IF(CN$3-VLOOKUP($A11,'détails investissements'!$A$71:$B$88,2,FALSE)&lt;=0,"",IF(VLOOKUP($A11,'détails investissements'!$A$26:$DE$43,CN$3-VLOOKUP($A11,'détails investissements'!$A$71:$B$88,2,FALSE)+1,FALSE)="","",VLOOKUP($A11,'détails investissements'!$A$26:$DE$43,CN$3-VLOOKUP($A11,'détails investissements'!$A$71:$B$88,2,FALSE)+1,FALSE)))&lt;&gt;"",HLOOKUP(IF(CN$3-VLOOKUP($A11,'détails investissements'!$A$71:$B$88,2,FALSE)&lt;=0,"",IF(VLOOKUP($A11,'détails investissements'!$A$26:$DE$43,CN$3-VLOOKUP($A11,'détails investissements'!$A$71:$B$88,2,FALSE)+1,FALSE)="","",VLOOKUP($A11,'détails investissements'!$A$26:$DE$43,CN$3-VLOOKUP($A11,'détails investissements'!$A$71:$B$88,2,FALSE)+1,FALSE))),'détails investissements'!$U$6:$AB$7,2,FALSE),""),FALSE),"")</f>
        <v/>
      </c>
      <c r="CO11" s="45" t="str">
        <f>IF(IF(IF(CO$3-VLOOKUP($A11,'détails investissements'!$A$71:$B$88,2,FALSE)&lt;=0,"",IF(VLOOKUP($A11,'détails investissements'!$A$26:$DE$43,CO$3-VLOOKUP($A11,'détails investissements'!$A$71:$B$88,2,FALSE)+1,FALSE)="","",VLOOKUP($A11,'détails investissements'!$A$26:$DE$43,CO$3-VLOOKUP($A11,'détails investissements'!$A$71:$B$88,2,FALSE)+1,FALSE)))&lt;&gt;"",HLOOKUP(IF(CO$3-VLOOKUP($A11,'détails investissements'!$A$71:$B$88,2,FALSE)&lt;=0,"",IF(VLOOKUP($A11,'détails investissements'!$A$26:$DE$43,CO$3-VLOOKUP($A11,'détails investissements'!$A$71:$B$88,2,FALSE)+1,FALSE)="","",VLOOKUP($A11,'détails investissements'!$A$26:$DE$43,CO$3-VLOOKUP($A11,'détails investissements'!$A$71:$B$88,2,FALSE)+1,FALSE))),'détails investissements'!$U$6:$AB$7,2,FALSE),"")&lt;&gt;"",VLOOKUP($A11,'détails investissements'!$A$7:$H$21,1+IF(IF(CO$3-VLOOKUP($A11,'détails investissements'!$A$71:$B$88,2,FALSE)&lt;=0,"",IF(VLOOKUP($A11,'détails investissements'!$A$26:$DE$43,CO$3-VLOOKUP($A11,'détails investissements'!$A$71:$B$88,2,FALSE)+1,FALSE)="","",VLOOKUP($A11,'détails investissements'!$A$26:$DE$43,CO$3-VLOOKUP($A11,'détails investissements'!$A$71:$B$88,2,FALSE)+1,FALSE)))&lt;&gt;"",HLOOKUP(IF(CO$3-VLOOKUP($A11,'détails investissements'!$A$71:$B$88,2,FALSE)&lt;=0,"",IF(VLOOKUP($A11,'détails investissements'!$A$26:$DE$43,CO$3-VLOOKUP($A11,'détails investissements'!$A$71:$B$88,2,FALSE)+1,FALSE)="","",VLOOKUP($A11,'détails investissements'!$A$26:$DE$43,CO$3-VLOOKUP($A11,'détails investissements'!$A$71:$B$88,2,FALSE)+1,FALSE))),'détails investissements'!$U$6:$AB$7,2,FALSE),""),FALSE),"")</f>
        <v/>
      </c>
      <c r="CP11" s="45" t="str">
        <f>IF(IF(IF(CP$3-VLOOKUP($A11,'détails investissements'!$A$71:$B$88,2,FALSE)&lt;=0,"",IF(VLOOKUP($A11,'détails investissements'!$A$26:$DE$43,CP$3-VLOOKUP($A11,'détails investissements'!$A$71:$B$88,2,FALSE)+1,FALSE)="","",VLOOKUP($A11,'détails investissements'!$A$26:$DE$43,CP$3-VLOOKUP($A11,'détails investissements'!$A$71:$B$88,2,FALSE)+1,FALSE)))&lt;&gt;"",HLOOKUP(IF(CP$3-VLOOKUP($A11,'détails investissements'!$A$71:$B$88,2,FALSE)&lt;=0,"",IF(VLOOKUP($A11,'détails investissements'!$A$26:$DE$43,CP$3-VLOOKUP($A11,'détails investissements'!$A$71:$B$88,2,FALSE)+1,FALSE)="","",VLOOKUP($A11,'détails investissements'!$A$26:$DE$43,CP$3-VLOOKUP($A11,'détails investissements'!$A$71:$B$88,2,FALSE)+1,FALSE))),'détails investissements'!$U$6:$AB$7,2,FALSE),"")&lt;&gt;"",VLOOKUP($A11,'détails investissements'!$A$7:$H$21,1+IF(IF(CP$3-VLOOKUP($A11,'détails investissements'!$A$71:$B$88,2,FALSE)&lt;=0,"",IF(VLOOKUP($A11,'détails investissements'!$A$26:$DE$43,CP$3-VLOOKUP($A11,'détails investissements'!$A$71:$B$88,2,FALSE)+1,FALSE)="","",VLOOKUP($A11,'détails investissements'!$A$26:$DE$43,CP$3-VLOOKUP($A11,'détails investissements'!$A$71:$B$88,2,FALSE)+1,FALSE)))&lt;&gt;"",HLOOKUP(IF(CP$3-VLOOKUP($A11,'détails investissements'!$A$71:$B$88,2,FALSE)&lt;=0,"",IF(VLOOKUP($A11,'détails investissements'!$A$26:$DE$43,CP$3-VLOOKUP($A11,'détails investissements'!$A$71:$B$88,2,FALSE)+1,FALSE)="","",VLOOKUP($A11,'détails investissements'!$A$26:$DE$43,CP$3-VLOOKUP($A11,'détails investissements'!$A$71:$B$88,2,FALSE)+1,FALSE))),'détails investissements'!$U$6:$AB$7,2,FALSE),""),FALSE),"")</f>
        <v/>
      </c>
      <c r="CQ11" s="45" t="str">
        <f>IF(IF(IF(CQ$3-VLOOKUP($A11,'détails investissements'!$A$71:$B$88,2,FALSE)&lt;=0,"",IF(VLOOKUP($A11,'détails investissements'!$A$26:$DE$43,CQ$3-VLOOKUP($A11,'détails investissements'!$A$71:$B$88,2,FALSE)+1,FALSE)="","",VLOOKUP($A11,'détails investissements'!$A$26:$DE$43,CQ$3-VLOOKUP($A11,'détails investissements'!$A$71:$B$88,2,FALSE)+1,FALSE)))&lt;&gt;"",HLOOKUP(IF(CQ$3-VLOOKUP($A11,'détails investissements'!$A$71:$B$88,2,FALSE)&lt;=0,"",IF(VLOOKUP($A11,'détails investissements'!$A$26:$DE$43,CQ$3-VLOOKUP($A11,'détails investissements'!$A$71:$B$88,2,FALSE)+1,FALSE)="","",VLOOKUP($A11,'détails investissements'!$A$26:$DE$43,CQ$3-VLOOKUP($A11,'détails investissements'!$A$71:$B$88,2,FALSE)+1,FALSE))),'détails investissements'!$U$6:$AB$7,2,FALSE),"")&lt;&gt;"",VLOOKUP($A11,'détails investissements'!$A$7:$H$21,1+IF(IF(CQ$3-VLOOKUP($A11,'détails investissements'!$A$71:$B$88,2,FALSE)&lt;=0,"",IF(VLOOKUP($A11,'détails investissements'!$A$26:$DE$43,CQ$3-VLOOKUP($A11,'détails investissements'!$A$71:$B$88,2,FALSE)+1,FALSE)="","",VLOOKUP($A11,'détails investissements'!$A$26:$DE$43,CQ$3-VLOOKUP($A11,'détails investissements'!$A$71:$B$88,2,FALSE)+1,FALSE)))&lt;&gt;"",HLOOKUP(IF(CQ$3-VLOOKUP($A11,'détails investissements'!$A$71:$B$88,2,FALSE)&lt;=0,"",IF(VLOOKUP($A11,'détails investissements'!$A$26:$DE$43,CQ$3-VLOOKUP($A11,'détails investissements'!$A$71:$B$88,2,FALSE)+1,FALSE)="","",VLOOKUP($A11,'détails investissements'!$A$26:$DE$43,CQ$3-VLOOKUP($A11,'détails investissements'!$A$71:$B$88,2,FALSE)+1,FALSE))),'détails investissements'!$U$6:$AB$7,2,FALSE),""),FALSE),"")</f>
        <v/>
      </c>
      <c r="CR11" s="45" t="str">
        <f>IF(IF(IF(CR$3-VLOOKUP($A11,'détails investissements'!$A$71:$B$88,2,FALSE)&lt;=0,"",IF(VLOOKUP($A11,'détails investissements'!$A$26:$DE$43,CR$3-VLOOKUP($A11,'détails investissements'!$A$71:$B$88,2,FALSE)+1,FALSE)="","",VLOOKUP($A11,'détails investissements'!$A$26:$DE$43,CR$3-VLOOKUP($A11,'détails investissements'!$A$71:$B$88,2,FALSE)+1,FALSE)))&lt;&gt;"",HLOOKUP(IF(CR$3-VLOOKUP($A11,'détails investissements'!$A$71:$B$88,2,FALSE)&lt;=0,"",IF(VLOOKUP($A11,'détails investissements'!$A$26:$DE$43,CR$3-VLOOKUP($A11,'détails investissements'!$A$71:$B$88,2,FALSE)+1,FALSE)="","",VLOOKUP($A11,'détails investissements'!$A$26:$DE$43,CR$3-VLOOKUP($A11,'détails investissements'!$A$71:$B$88,2,FALSE)+1,FALSE))),'détails investissements'!$U$6:$AB$7,2,FALSE),"")&lt;&gt;"",VLOOKUP($A11,'détails investissements'!$A$7:$H$21,1+IF(IF(CR$3-VLOOKUP($A11,'détails investissements'!$A$71:$B$88,2,FALSE)&lt;=0,"",IF(VLOOKUP($A11,'détails investissements'!$A$26:$DE$43,CR$3-VLOOKUP($A11,'détails investissements'!$A$71:$B$88,2,FALSE)+1,FALSE)="","",VLOOKUP($A11,'détails investissements'!$A$26:$DE$43,CR$3-VLOOKUP($A11,'détails investissements'!$A$71:$B$88,2,FALSE)+1,FALSE)))&lt;&gt;"",HLOOKUP(IF(CR$3-VLOOKUP($A11,'détails investissements'!$A$71:$B$88,2,FALSE)&lt;=0,"",IF(VLOOKUP($A11,'détails investissements'!$A$26:$DE$43,CR$3-VLOOKUP($A11,'détails investissements'!$A$71:$B$88,2,FALSE)+1,FALSE)="","",VLOOKUP($A11,'détails investissements'!$A$26:$DE$43,CR$3-VLOOKUP($A11,'détails investissements'!$A$71:$B$88,2,FALSE)+1,FALSE))),'détails investissements'!$U$6:$AB$7,2,FALSE),""),FALSE),"")</f>
        <v/>
      </c>
      <c r="CS11" s="45" t="str">
        <f>IF(IF(IF(CS$3-VLOOKUP($A11,'détails investissements'!$A$71:$B$88,2,FALSE)&lt;=0,"",IF(VLOOKUP($A11,'détails investissements'!$A$26:$DE$43,CS$3-VLOOKUP($A11,'détails investissements'!$A$71:$B$88,2,FALSE)+1,FALSE)="","",VLOOKUP($A11,'détails investissements'!$A$26:$DE$43,CS$3-VLOOKUP($A11,'détails investissements'!$A$71:$B$88,2,FALSE)+1,FALSE)))&lt;&gt;"",HLOOKUP(IF(CS$3-VLOOKUP($A11,'détails investissements'!$A$71:$B$88,2,FALSE)&lt;=0,"",IF(VLOOKUP($A11,'détails investissements'!$A$26:$DE$43,CS$3-VLOOKUP($A11,'détails investissements'!$A$71:$B$88,2,FALSE)+1,FALSE)="","",VLOOKUP($A11,'détails investissements'!$A$26:$DE$43,CS$3-VLOOKUP($A11,'détails investissements'!$A$71:$B$88,2,FALSE)+1,FALSE))),'détails investissements'!$U$6:$AB$7,2,FALSE),"")&lt;&gt;"",VLOOKUP($A11,'détails investissements'!$A$7:$H$21,1+IF(IF(CS$3-VLOOKUP($A11,'détails investissements'!$A$71:$B$88,2,FALSE)&lt;=0,"",IF(VLOOKUP($A11,'détails investissements'!$A$26:$DE$43,CS$3-VLOOKUP($A11,'détails investissements'!$A$71:$B$88,2,FALSE)+1,FALSE)="","",VLOOKUP($A11,'détails investissements'!$A$26:$DE$43,CS$3-VLOOKUP($A11,'détails investissements'!$A$71:$B$88,2,FALSE)+1,FALSE)))&lt;&gt;"",HLOOKUP(IF(CS$3-VLOOKUP($A11,'détails investissements'!$A$71:$B$88,2,FALSE)&lt;=0,"",IF(VLOOKUP($A11,'détails investissements'!$A$26:$DE$43,CS$3-VLOOKUP($A11,'détails investissements'!$A$71:$B$88,2,FALSE)+1,FALSE)="","",VLOOKUP($A11,'détails investissements'!$A$26:$DE$43,CS$3-VLOOKUP($A11,'détails investissements'!$A$71:$B$88,2,FALSE)+1,FALSE))),'détails investissements'!$U$6:$AB$7,2,FALSE),""),FALSE),"")</f>
        <v/>
      </c>
      <c r="CT11" s="45" t="str">
        <f>IF(IF(IF(CT$3-VLOOKUP($A11,'détails investissements'!$A$71:$B$88,2,FALSE)&lt;=0,"",IF(VLOOKUP($A11,'détails investissements'!$A$26:$DE$43,CT$3-VLOOKUP($A11,'détails investissements'!$A$71:$B$88,2,FALSE)+1,FALSE)="","",VLOOKUP($A11,'détails investissements'!$A$26:$DE$43,CT$3-VLOOKUP($A11,'détails investissements'!$A$71:$B$88,2,FALSE)+1,FALSE)))&lt;&gt;"",HLOOKUP(IF(CT$3-VLOOKUP($A11,'détails investissements'!$A$71:$B$88,2,FALSE)&lt;=0,"",IF(VLOOKUP($A11,'détails investissements'!$A$26:$DE$43,CT$3-VLOOKUP($A11,'détails investissements'!$A$71:$B$88,2,FALSE)+1,FALSE)="","",VLOOKUP($A11,'détails investissements'!$A$26:$DE$43,CT$3-VLOOKUP($A11,'détails investissements'!$A$71:$B$88,2,FALSE)+1,FALSE))),'détails investissements'!$U$6:$AB$7,2,FALSE),"")&lt;&gt;"",VLOOKUP($A11,'détails investissements'!$A$7:$H$21,1+IF(IF(CT$3-VLOOKUP($A11,'détails investissements'!$A$71:$B$88,2,FALSE)&lt;=0,"",IF(VLOOKUP($A11,'détails investissements'!$A$26:$DE$43,CT$3-VLOOKUP($A11,'détails investissements'!$A$71:$B$88,2,FALSE)+1,FALSE)="","",VLOOKUP($A11,'détails investissements'!$A$26:$DE$43,CT$3-VLOOKUP($A11,'détails investissements'!$A$71:$B$88,2,FALSE)+1,FALSE)))&lt;&gt;"",HLOOKUP(IF(CT$3-VLOOKUP($A11,'détails investissements'!$A$71:$B$88,2,FALSE)&lt;=0,"",IF(VLOOKUP($A11,'détails investissements'!$A$26:$DE$43,CT$3-VLOOKUP($A11,'détails investissements'!$A$71:$B$88,2,FALSE)+1,FALSE)="","",VLOOKUP($A11,'détails investissements'!$A$26:$DE$43,CT$3-VLOOKUP($A11,'détails investissements'!$A$71:$B$88,2,FALSE)+1,FALSE))),'détails investissements'!$U$6:$AB$7,2,FALSE),""),FALSE),"")</f>
        <v/>
      </c>
      <c r="CU11" s="45" t="str">
        <f>IF(IF(IF(CU$3-VLOOKUP($A11,'détails investissements'!$A$71:$B$88,2,FALSE)&lt;=0,"",IF(VLOOKUP($A11,'détails investissements'!$A$26:$DE$43,CU$3-VLOOKUP($A11,'détails investissements'!$A$71:$B$88,2,FALSE)+1,FALSE)="","",VLOOKUP($A11,'détails investissements'!$A$26:$DE$43,CU$3-VLOOKUP($A11,'détails investissements'!$A$71:$B$88,2,FALSE)+1,FALSE)))&lt;&gt;"",HLOOKUP(IF(CU$3-VLOOKUP($A11,'détails investissements'!$A$71:$B$88,2,FALSE)&lt;=0,"",IF(VLOOKUP($A11,'détails investissements'!$A$26:$DE$43,CU$3-VLOOKUP($A11,'détails investissements'!$A$71:$B$88,2,FALSE)+1,FALSE)="","",VLOOKUP($A11,'détails investissements'!$A$26:$DE$43,CU$3-VLOOKUP($A11,'détails investissements'!$A$71:$B$88,2,FALSE)+1,FALSE))),'détails investissements'!$U$6:$AB$7,2,FALSE),"")&lt;&gt;"",VLOOKUP($A11,'détails investissements'!$A$7:$H$21,1+IF(IF(CU$3-VLOOKUP($A11,'détails investissements'!$A$71:$B$88,2,FALSE)&lt;=0,"",IF(VLOOKUP($A11,'détails investissements'!$A$26:$DE$43,CU$3-VLOOKUP($A11,'détails investissements'!$A$71:$B$88,2,FALSE)+1,FALSE)="","",VLOOKUP($A11,'détails investissements'!$A$26:$DE$43,CU$3-VLOOKUP($A11,'détails investissements'!$A$71:$B$88,2,FALSE)+1,FALSE)))&lt;&gt;"",HLOOKUP(IF(CU$3-VLOOKUP($A11,'détails investissements'!$A$71:$B$88,2,FALSE)&lt;=0,"",IF(VLOOKUP($A11,'détails investissements'!$A$26:$DE$43,CU$3-VLOOKUP($A11,'détails investissements'!$A$71:$B$88,2,FALSE)+1,FALSE)="","",VLOOKUP($A11,'détails investissements'!$A$26:$DE$43,CU$3-VLOOKUP($A11,'détails investissements'!$A$71:$B$88,2,FALSE)+1,FALSE))),'détails investissements'!$U$6:$AB$7,2,FALSE),""),FALSE),"")</f>
        <v/>
      </c>
      <c r="CV11" s="45" t="str">
        <f>IF(IF(IF(CV$3-VLOOKUP($A11,'détails investissements'!$A$71:$B$88,2,FALSE)&lt;=0,"",IF(VLOOKUP($A11,'détails investissements'!$A$26:$DE$43,CV$3-VLOOKUP($A11,'détails investissements'!$A$71:$B$88,2,FALSE)+1,FALSE)="","",VLOOKUP($A11,'détails investissements'!$A$26:$DE$43,CV$3-VLOOKUP($A11,'détails investissements'!$A$71:$B$88,2,FALSE)+1,FALSE)))&lt;&gt;"",HLOOKUP(IF(CV$3-VLOOKUP($A11,'détails investissements'!$A$71:$B$88,2,FALSE)&lt;=0,"",IF(VLOOKUP($A11,'détails investissements'!$A$26:$DE$43,CV$3-VLOOKUP($A11,'détails investissements'!$A$71:$B$88,2,FALSE)+1,FALSE)="","",VLOOKUP($A11,'détails investissements'!$A$26:$DE$43,CV$3-VLOOKUP($A11,'détails investissements'!$A$71:$B$88,2,FALSE)+1,FALSE))),'détails investissements'!$U$6:$AB$7,2,FALSE),"")&lt;&gt;"",VLOOKUP($A11,'détails investissements'!$A$7:$H$21,1+IF(IF(CV$3-VLOOKUP($A11,'détails investissements'!$A$71:$B$88,2,FALSE)&lt;=0,"",IF(VLOOKUP($A11,'détails investissements'!$A$26:$DE$43,CV$3-VLOOKUP($A11,'détails investissements'!$A$71:$B$88,2,FALSE)+1,FALSE)="","",VLOOKUP($A11,'détails investissements'!$A$26:$DE$43,CV$3-VLOOKUP($A11,'détails investissements'!$A$71:$B$88,2,FALSE)+1,FALSE)))&lt;&gt;"",HLOOKUP(IF(CV$3-VLOOKUP($A11,'détails investissements'!$A$71:$B$88,2,FALSE)&lt;=0,"",IF(VLOOKUP($A11,'détails investissements'!$A$26:$DE$43,CV$3-VLOOKUP($A11,'détails investissements'!$A$71:$B$88,2,FALSE)+1,FALSE)="","",VLOOKUP($A11,'détails investissements'!$A$26:$DE$43,CV$3-VLOOKUP($A11,'détails investissements'!$A$71:$B$88,2,FALSE)+1,FALSE))),'détails investissements'!$U$6:$AB$7,2,FALSE),""),FALSE),"")</f>
        <v/>
      </c>
      <c r="CW11" s="45" t="str">
        <f>IF(IF(IF(CW$3-VLOOKUP($A11,'détails investissements'!$A$71:$B$88,2,FALSE)&lt;=0,"",IF(VLOOKUP($A11,'détails investissements'!$A$26:$DE$43,CW$3-VLOOKUP($A11,'détails investissements'!$A$71:$B$88,2,FALSE)+1,FALSE)="","",VLOOKUP($A11,'détails investissements'!$A$26:$DE$43,CW$3-VLOOKUP($A11,'détails investissements'!$A$71:$B$88,2,FALSE)+1,FALSE)))&lt;&gt;"",HLOOKUP(IF(CW$3-VLOOKUP($A11,'détails investissements'!$A$71:$B$88,2,FALSE)&lt;=0,"",IF(VLOOKUP($A11,'détails investissements'!$A$26:$DE$43,CW$3-VLOOKUP($A11,'détails investissements'!$A$71:$B$88,2,FALSE)+1,FALSE)="","",VLOOKUP($A11,'détails investissements'!$A$26:$DE$43,CW$3-VLOOKUP($A11,'détails investissements'!$A$71:$B$88,2,FALSE)+1,FALSE))),'détails investissements'!$U$6:$AB$7,2,FALSE),"")&lt;&gt;"",VLOOKUP($A11,'détails investissements'!$A$7:$H$21,1+IF(IF(CW$3-VLOOKUP($A11,'détails investissements'!$A$71:$B$88,2,FALSE)&lt;=0,"",IF(VLOOKUP($A11,'détails investissements'!$A$26:$DE$43,CW$3-VLOOKUP($A11,'détails investissements'!$A$71:$B$88,2,FALSE)+1,FALSE)="","",VLOOKUP($A11,'détails investissements'!$A$26:$DE$43,CW$3-VLOOKUP($A11,'détails investissements'!$A$71:$B$88,2,FALSE)+1,FALSE)))&lt;&gt;"",HLOOKUP(IF(CW$3-VLOOKUP($A11,'détails investissements'!$A$71:$B$88,2,FALSE)&lt;=0,"",IF(VLOOKUP($A11,'détails investissements'!$A$26:$DE$43,CW$3-VLOOKUP($A11,'détails investissements'!$A$71:$B$88,2,FALSE)+1,FALSE)="","",VLOOKUP($A11,'détails investissements'!$A$26:$DE$43,CW$3-VLOOKUP($A11,'détails investissements'!$A$71:$B$88,2,FALSE)+1,FALSE))),'détails investissements'!$U$6:$AB$7,2,FALSE),""),FALSE),"")</f>
        <v/>
      </c>
      <c r="CX11" s="45" t="str">
        <f>IF(IF(IF(CX$3-VLOOKUP($A11,'détails investissements'!$A$71:$B$88,2,FALSE)&lt;=0,"",IF(VLOOKUP($A11,'détails investissements'!$A$26:$DE$43,CX$3-VLOOKUP($A11,'détails investissements'!$A$71:$B$88,2,FALSE)+1,FALSE)="","",VLOOKUP($A11,'détails investissements'!$A$26:$DE$43,CX$3-VLOOKUP($A11,'détails investissements'!$A$71:$B$88,2,FALSE)+1,FALSE)))&lt;&gt;"",HLOOKUP(IF(CX$3-VLOOKUP($A11,'détails investissements'!$A$71:$B$88,2,FALSE)&lt;=0,"",IF(VLOOKUP($A11,'détails investissements'!$A$26:$DE$43,CX$3-VLOOKUP($A11,'détails investissements'!$A$71:$B$88,2,FALSE)+1,FALSE)="","",VLOOKUP($A11,'détails investissements'!$A$26:$DE$43,CX$3-VLOOKUP($A11,'détails investissements'!$A$71:$B$88,2,FALSE)+1,FALSE))),'détails investissements'!$U$6:$AB$7,2,FALSE),"")&lt;&gt;"",VLOOKUP($A11,'détails investissements'!$A$7:$H$21,1+IF(IF(CX$3-VLOOKUP($A11,'détails investissements'!$A$71:$B$88,2,FALSE)&lt;=0,"",IF(VLOOKUP($A11,'détails investissements'!$A$26:$DE$43,CX$3-VLOOKUP($A11,'détails investissements'!$A$71:$B$88,2,FALSE)+1,FALSE)="","",VLOOKUP($A11,'détails investissements'!$A$26:$DE$43,CX$3-VLOOKUP($A11,'détails investissements'!$A$71:$B$88,2,FALSE)+1,FALSE)))&lt;&gt;"",HLOOKUP(IF(CX$3-VLOOKUP($A11,'détails investissements'!$A$71:$B$88,2,FALSE)&lt;=0,"",IF(VLOOKUP($A11,'détails investissements'!$A$26:$DE$43,CX$3-VLOOKUP($A11,'détails investissements'!$A$71:$B$88,2,FALSE)+1,FALSE)="","",VLOOKUP($A11,'détails investissements'!$A$26:$DE$43,CX$3-VLOOKUP($A11,'détails investissements'!$A$71:$B$88,2,FALSE)+1,FALSE))),'détails investissements'!$U$6:$AB$7,2,FALSE),""),FALSE),"")</f>
        <v/>
      </c>
      <c r="CY11" s="45" t="str">
        <f>IF(IF(IF(CY$3-VLOOKUP($A11,'détails investissements'!$A$71:$B$88,2,FALSE)&lt;=0,"",IF(VLOOKUP($A11,'détails investissements'!$A$26:$DE$43,CY$3-VLOOKUP($A11,'détails investissements'!$A$71:$B$88,2,FALSE)+1,FALSE)="","",VLOOKUP($A11,'détails investissements'!$A$26:$DE$43,CY$3-VLOOKUP($A11,'détails investissements'!$A$71:$B$88,2,FALSE)+1,FALSE)))&lt;&gt;"",HLOOKUP(IF(CY$3-VLOOKUP($A11,'détails investissements'!$A$71:$B$88,2,FALSE)&lt;=0,"",IF(VLOOKUP($A11,'détails investissements'!$A$26:$DE$43,CY$3-VLOOKUP($A11,'détails investissements'!$A$71:$B$88,2,FALSE)+1,FALSE)="","",VLOOKUP($A11,'détails investissements'!$A$26:$DE$43,CY$3-VLOOKUP($A11,'détails investissements'!$A$71:$B$88,2,FALSE)+1,FALSE))),'détails investissements'!$U$6:$AB$7,2,FALSE),"")&lt;&gt;"",VLOOKUP($A11,'détails investissements'!$A$7:$H$21,1+IF(IF(CY$3-VLOOKUP($A11,'détails investissements'!$A$71:$B$88,2,FALSE)&lt;=0,"",IF(VLOOKUP($A11,'détails investissements'!$A$26:$DE$43,CY$3-VLOOKUP($A11,'détails investissements'!$A$71:$B$88,2,FALSE)+1,FALSE)="","",VLOOKUP($A11,'détails investissements'!$A$26:$DE$43,CY$3-VLOOKUP($A11,'détails investissements'!$A$71:$B$88,2,FALSE)+1,FALSE)))&lt;&gt;"",HLOOKUP(IF(CY$3-VLOOKUP($A11,'détails investissements'!$A$71:$B$88,2,FALSE)&lt;=0,"",IF(VLOOKUP($A11,'détails investissements'!$A$26:$DE$43,CY$3-VLOOKUP($A11,'détails investissements'!$A$71:$B$88,2,FALSE)+1,FALSE)="","",VLOOKUP($A11,'détails investissements'!$A$26:$DE$43,CY$3-VLOOKUP($A11,'détails investissements'!$A$71:$B$88,2,FALSE)+1,FALSE))),'détails investissements'!$U$6:$AB$7,2,FALSE),""),FALSE),"")</f>
        <v/>
      </c>
      <c r="CZ11" s="45" t="str">
        <f>IF(IF(IF(CZ$3-VLOOKUP($A11,'détails investissements'!$A$71:$B$88,2,FALSE)&lt;=0,"",IF(VLOOKUP($A11,'détails investissements'!$A$26:$DE$43,CZ$3-VLOOKUP($A11,'détails investissements'!$A$71:$B$88,2,FALSE)+1,FALSE)="","",VLOOKUP($A11,'détails investissements'!$A$26:$DE$43,CZ$3-VLOOKUP($A11,'détails investissements'!$A$71:$B$88,2,FALSE)+1,FALSE)))&lt;&gt;"",HLOOKUP(IF(CZ$3-VLOOKUP($A11,'détails investissements'!$A$71:$B$88,2,FALSE)&lt;=0,"",IF(VLOOKUP($A11,'détails investissements'!$A$26:$DE$43,CZ$3-VLOOKUP($A11,'détails investissements'!$A$71:$B$88,2,FALSE)+1,FALSE)="","",VLOOKUP($A11,'détails investissements'!$A$26:$DE$43,CZ$3-VLOOKUP($A11,'détails investissements'!$A$71:$B$88,2,FALSE)+1,FALSE))),'détails investissements'!$U$6:$AB$7,2,FALSE),"")&lt;&gt;"",VLOOKUP($A11,'détails investissements'!$A$7:$H$21,1+IF(IF(CZ$3-VLOOKUP($A11,'détails investissements'!$A$71:$B$88,2,FALSE)&lt;=0,"",IF(VLOOKUP($A11,'détails investissements'!$A$26:$DE$43,CZ$3-VLOOKUP($A11,'détails investissements'!$A$71:$B$88,2,FALSE)+1,FALSE)="","",VLOOKUP($A11,'détails investissements'!$A$26:$DE$43,CZ$3-VLOOKUP($A11,'détails investissements'!$A$71:$B$88,2,FALSE)+1,FALSE)))&lt;&gt;"",HLOOKUP(IF(CZ$3-VLOOKUP($A11,'détails investissements'!$A$71:$B$88,2,FALSE)&lt;=0,"",IF(VLOOKUP($A11,'détails investissements'!$A$26:$DE$43,CZ$3-VLOOKUP($A11,'détails investissements'!$A$71:$B$88,2,FALSE)+1,FALSE)="","",VLOOKUP($A11,'détails investissements'!$A$26:$DE$43,CZ$3-VLOOKUP($A11,'détails investissements'!$A$71:$B$88,2,FALSE)+1,FALSE))),'détails investissements'!$U$6:$AB$7,2,FALSE),""),FALSE),"")</f>
        <v/>
      </c>
      <c r="DA11" s="45" t="str">
        <f>IF(IF(IF(DA$3-VLOOKUP($A11,'détails investissements'!$A$71:$B$88,2,FALSE)&lt;=0,"",IF(VLOOKUP($A11,'détails investissements'!$A$26:$DE$43,DA$3-VLOOKUP($A11,'détails investissements'!$A$71:$B$88,2,FALSE)+1,FALSE)="","",VLOOKUP($A11,'détails investissements'!$A$26:$DE$43,DA$3-VLOOKUP($A11,'détails investissements'!$A$71:$B$88,2,FALSE)+1,FALSE)))&lt;&gt;"",HLOOKUP(IF(DA$3-VLOOKUP($A11,'détails investissements'!$A$71:$B$88,2,FALSE)&lt;=0,"",IF(VLOOKUP($A11,'détails investissements'!$A$26:$DE$43,DA$3-VLOOKUP($A11,'détails investissements'!$A$71:$B$88,2,FALSE)+1,FALSE)="","",VLOOKUP($A11,'détails investissements'!$A$26:$DE$43,DA$3-VLOOKUP($A11,'détails investissements'!$A$71:$B$88,2,FALSE)+1,FALSE))),'détails investissements'!$U$6:$AB$7,2,FALSE),"")&lt;&gt;"",VLOOKUP($A11,'détails investissements'!$A$7:$H$21,1+IF(IF(DA$3-VLOOKUP($A11,'détails investissements'!$A$71:$B$88,2,FALSE)&lt;=0,"",IF(VLOOKUP($A11,'détails investissements'!$A$26:$DE$43,DA$3-VLOOKUP($A11,'détails investissements'!$A$71:$B$88,2,FALSE)+1,FALSE)="","",VLOOKUP($A11,'détails investissements'!$A$26:$DE$43,DA$3-VLOOKUP($A11,'détails investissements'!$A$71:$B$88,2,FALSE)+1,FALSE)))&lt;&gt;"",HLOOKUP(IF(DA$3-VLOOKUP($A11,'détails investissements'!$A$71:$B$88,2,FALSE)&lt;=0,"",IF(VLOOKUP($A11,'détails investissements'!$A$26:$DE$43,DA$3-VLOOKUP($A11,'détails investissements'!$A$71:$B$88,2,FALSE)+1,FALSE)="","",VLOOKUP($A11,'détails investissements'!$A$26:$DE$43,DA$3-VLOOKUP($A11,'détails investissements'!$A$71:$B$88,2,FALSE)+1,FALSE))),'détails investissements'!$U$6:$AB$7,2,FALSE),""),FALSE),"")</f>
        <v/>
      </c>
      <c r="DB11" s="45" t="str">
        <f>IF(IF(IF(DB$3-VLOOKUP($A11,'détails investissements'!$A$71:$B$88,2,FALSE)&lt;=0,"",IF(VLOOKUP($A11,'détails investissements'!$A$26:$DE$43,DB$3-VLOOKUP($A11,'détails investissements'!$A$71:$B$88,2,FALSE)+1,FALSE)="","",VLOOKUP($A11,'détails investissements'!$A$26:$DE$43,DB$3-VLOOKUP($A11,'détails investissements'!$A$71:$B$88,2,FALSE)+1,FALSE)))&lt;&gt;"",HLOOKUP(IF(DB$3-VLOOKUP($A11,'détails investissements'!$A$71:$B$88,2,FALSE)&lt;=0,"",IF(VLOOKUP($A11,'détails investissements'!$A$26:$DE$43,DB$3-VLOOKUP($A11,'détails investissements'!$A$71:$B$88,2,FALSE)+1,FALSE)="","",VLOOKUP($A11,'détails investissements'!$A$26:$DE$43,DB$3-VLOOKUP($A11,'détails investissements'!$A$71:$B$88,2,FALSE)+1,FALSE))),'détails investissements'!$U$6:$AB$7,2,FALSE),"")&lt;&gt;"",VLOOKUP($A11,'détails investissements'!$A$7:$H$21,1+IF(IF(DB$3-VLOOKUP($A11,'détails investissements'!$A$71:$B$88,2,FALSE)&lt;=0,"",IF(VLOOKUP($A11,'détails investissements'!$A$26:$DE$43,DB$3-VLOOKUP($A11,'détails investissements'!$A$71:$B$88,2,FALSE)+1,FALSE)="","",VLOOKUP($A11,'détails investissements'!$A$26:$DE$43,DB$3-VLOOKUP($A11,'détails investissements'!$A$71:$B$88,2,FALSE)+1,FALSE)))&lt;&gt;"",HLOOKUP(IF(DB$3-VLOOKUP($A11,'détails investissements'!$A$71:$B$88,2,FALSE)&lt;=0,"",IF(VLOOKUP($A11,'détails investissements'!$A$26:$DE$43,DB$3-VLOOKUP($A11,'détails investissements'!$A$71:$B$88,2,FALSE)+1,FALSE)="","",VLOOKUP($A11,'détails investissements'!$A$26:$DE$43,DB$3-VLOOKUP($A11,'détails investissements'!$A$71:$B$88,2,FALSE)+1,FALSE))),'détails investissements'!$U$6:$AB$7,2,FALSE),""),FALSE),"")</f>
        <v/>
      </c>
      <c r="DC11" s="45" t="str">
        <f>IF(IF(IF(DC$3-VLOOKUP($A11,'détails investissements'!$A$71:$B$88,2,FALSE)&lt;=0,"",IF(VLOOKUP($A11,'détails investissements'!$A$26:$DE$43,DC$3-VLOOKUP($A11,'détails investissements'!$A$71:$B$88,2,FALSE)+1,FALSE)="","",VLOOKUP($A11,'détails investissements'!$A$26:$DE$43,DC$3-VLOOKUP($A11,'détails investissements'!$A$71:$B$88,2,FALSE)+1,FALSE)))&lt;&gt;"",HLOOKUP(IF(DC$3-VLOOKUP($A11,'détails investissements'!$A$71:$B$88,2,FALSE)&lt;=0,"",IF(VLOOKUP($A11,'détails investissements'!$A$26:$DE$43,DC$3-VLOOKUP($A11,'détails investissements'!$A$71:$B$88,2,FALSE)+1,FALSE)="","",VLOOKUP($A11,'détails investissements'!$A$26:$DE$43,DC$3-VLOOKUP($A11,'détails investissements'!$A$71:$B$88,2,FALSE)+1,FALSE))),'détails investissements'!$U$6:$AB$7,2,FALSE),"")&lt;&gt;"",VLOOKUP($A11,'détails investissements'!$A$7:$H$21,1+IF(IF(DC$3-VLOOKUP($A11,'détails investissements'!$A$71:$B$88,2,FALSE)&lt;=0,"",IF(VLOOKUP($A11,'détails investissements'!$A$26:$DE$43,DC$3-VLOOKUP($A11,'détails investissements'!$A$71:$B$88,2,FALSE)+1,FALSE)="","",VLOOKUP($A11,'détails investissements'!$A$26:$DE$43,DC$3-VLOOKUP($A11,'détails investissements'!$A$71:$B$88,2,FALSE)+1,FALSE)))&lt;&gt;"",HLOOKUP(IF(DC$3-VLOOKUP($A11,'détails investissements'!$A$71:$B$88,2,FALSE)&lt;=0,"",IF(VLOOKUP($A11,'détails investissements'!$A$26:$DE$43,DC$3-VLOOKUP($A11,'détails investissements'!$A$71:$B$88,2,FALSE)+1,FALSE)="","",VLOOKUP($A11,'détails investissements'!$A$26:$DE$43,DC$3-VLOOKUP($A11,'détails investissements'!$A$71:$B$88,2,FALSE)+1,FALSE))),'détails investissements'!$U$6:$AB$7,2,FALSE),""),FALSE),"")</f>
        <v/>
      </c>
      <c r="DD11" s="45" t="str">
        <f>IF(IF(IF(DD$3-VLOOKUP($A11,'détails investissements'!$A$71:$B$88,2,FALSE)&lt;=0,"",IF(VLOOKUP($A11,'détails investissements'!$A$26:$DE$43,DD$3-VLOOKUP($A11,'détails investissements'!$A$71:$B$88,2,FALSE)+1,FALSE)="","",VLOOKUP($A11,'détails investissements'!$A$26:$DE$43,DD$3-VLOOKUP($A11,'détails investissements'!$A$71:$B$88,2,FALSE)+1,FALSE)))&lt;&gt;"",HLOOKUP(IF(DD$3-VLOOKUP($A11,'détails investissements'!$A$71:$B$88,2,FALSE)&lt;=0,"",IF(VLOOKUP($A11,'détails investissements'!$A$26:$DE$43,DD$3-VLOOKUP($A11,'détails investissements'!$A$71:$B$88,2,FALSE)+1,FALSE)="","",VLOOKUP($A11,'détails investissements'!$A$26:$DE$43,DD$3-VLOOKUP($A11,'détails investissements'!$A$71:$B$88,2,FALSE)+1,FALSE))),'détails investissements'!$U$6:$AB$7,2,FALSE),"")&lt;&gt;"",VLOOKUP($A11,'détails investissements'!$A$7:$H$21,1+IF(IF(DD$3-VLOOKUP($A11,'détails investissements'!$A$71:$B$88,2,FALSE)&lt;=0,"",IF(VLOOKUP($A11,'détails investissements'!$A$26:$DE$43,DD$3-VLOOKUP($A11,'détails investissements'!$A$71:$B$88,2,FALSE)+1,FALSE)="","",VLOOKUP($A11,'détails investissements'!$A$26:$DE$43,DD$3-VLOOKUP($A11,'détails investissements'!$A$71:$B$88,2,FALSE)+1,FALSE)))&lt;&gt;"",HLOOKUP(IF(DD$3-VLOOKUP($A11,'détails investissements'!$A$71:$B$88,2,FALSE)&lt;=0,"",IF(VLOOKUP($A11,'détails investissements'!$A$26:$DE$43,DD$3-VLOOKUP($A11,'détails investissements'!$A$71:$B$88,2,FALSE)+1,FALSE)="","",VLOOKUP($A11,'détails investissements'!$A$26:$DE$43,DD$3-VLOOKUP($A11,'détails investissements'!$A$71:$B$88,2,FALSE)+1,FALSE))),'détails investissements'!$U$6:$AB$7,2,FALSE),""),FALSE),"")</f>
        <v/>
      </c>
      <c r="DE11" s="45" t="str">
        <f>IF(IF(IF(DE$3-VLOOKUP($A11,'détails investissements'!$A$71:$B$88,2,FALSE)&lt;=0,"",IF(VLOOKUP($A11,'détails investissements'!$A$26:$DE$43,DE$3-VLOOKUP($A11,'détails investissements'!$A$71:$B$88,2,FALSE)+1,FALSE)="","",VLOOKUP($A11,'détails investissements'!$A$26:$DE$43,DE$3-VLOOKUP($A11,'détails investissements'!$A$71:$B$88,2,FALSE)+1,FALSE)))&lt;&gt;"",HLOOKUP(IF(DE$3-VLOOKUP($A11,'détails investissements'!$A$71:$B$88,2,FALSE)&lt;=0,"",IF(VLOOKUP($A11,'détails investissements'!$A$26:$DE$43,DE$3-VLOOKUP($A11,'détails investissements'!$A$71:$B$88,2,FALSE)+1,FALSE)="","",VLOOKUP($A11,'détails investissements'!$A$26:$DE$43,DE$3-VLOOKUP($A11,'détails investissements'!$A$71:$B$88,2,FALSE)+1,FALSE))),'détails investissements'!$U$6:$AB$7,2,FALSE),"")&lt;&gt;"",VLOOKUP($A11,'détails investissements'!$A$7:$H$21,1+IF(IF(DE$3-VLOOKUP($A11,'détails investissements'!$A$71:$B$88,2,FALSE)&lt;=0,"",IF(VLOOKUP($A11,'détails investissements'!$A$26:$DE$43,DE$3-VLOOKUP($A11,'détails investissements'!$A$71:$B$88,2,FALSE)+1,FALSE)="","",VLOOKUP($A11,'détails investissements'!$A$26:$DE$43,DE$3-VLOOKUP($A11,'détails investissements'!$A$71:$B$88,2,FALSE)+1,FALSE)))&lt;&gt;"",HLOOKUP(IF(DE$3-VLOOKUP($A11,'détails investissements'!$A$71:$B$88,2,FALSE)&lt;=0,"",IF(VLOOKUP($A11,'détails investissements'!$A$26:$DE$43,DE$3-VLOOKUP($A11,'détails investissements'!$A$71:$B$88,2,FALSE)+1,FALSE)="","",VLOOKUP($A11,'détails investissements'!$A$26:$DE$43,DE$3-VLOOKUP($A11,'détails investissements'!$A$71:$B$88,2,FALSE)+1,FALSE))),'détails investissements'!$U$6:$AB$7,2,FALSE),""),FALSE),"")</f>
        <v/>
      </c>
      <c r="DF11" s="45" t="str">
        <f>IF(IF(IF(DF$3-VLOOKUP($A11,'détails investissements'!$A$71:$B$88,2,FALSE)&lt;=0,"",IF(VLOOKUP($A11,'détails investissements'!$A$26:$DE$43,DF$3-VLOOKUP($A11,'détails investissements'!$A$71:$B$88,2,FALSE)+1,FALSE)="","",VLOOKUP($A11,'détails investissements'!$A$26:$DE$43,DF$3-VLOOKUP($A11,'détails investissements'!$A$71:$B$88,2,FALSE)+1,FALSE)))&lt;&gt;"",HLOOKUP(IF(DF$3-VLOOKUP($A11,'détails investissements'!$A$71:$B$88,2,FALSE)&lt;=0,"",IF(VLOOKUP($A11,'détails investissements'!$A$26:$DE$43,DF$3-VLOOKUP($A11,'détails investissements'!$A$71:$B$88,2,FALSE)+1,FALSE)="","",VLOOKUP($A11,'détails investissements'!$A$26:$DE$43,DF$3-VLOOKUP($A11,'détails investissements'!$A$71:$B$88,2,FALSE)+1,FALSE))),'détails investissements'!$U$6:$AB$7,2,FALSE),"")&lt;&gt;"",VLOOKUP($A11,'détails investissements'!$A$7:$H$21,1+IF(IF(DF$3-VLOOKUP($A11,'détails investissements'!$A$71:$B$88,2,FALSE)&lt;=0,"",IF(VLOOKUP($A11,'détails investissements'!$A$26:$DE$43,DF$3-VLOOKUP($A11,'détails investissements'!$A$71:$B$88,2,FALSE)+1,FALSE)="","",VLOOKUP($A11,'détails investissements'!$A$26:$DE$43,DF$3-VLOOKUP($A11,'détails investissements'!$A$71:$B$88,2,FALSE)+1,FALSE)))&lt;&gt;"",HLOOKUP(IF(DF$3-VLOOKUP($A11,'détails investissements'!$A$71:$B$88,2,FALSE)&lt;=0,"",IF(VLOOKUP($A11,'détails investissements'!$A$26:$DE$43,DF$3-VLOOKUP($A11,'détails investissements'!$A$71:$B$88,2,FALSE)+1,FALSE)="","",VLOOKUP($A11,'détails investissements'!$A$26:$DE$43,DF$3-VLOOKUP($A11,'détails investissements'!$A$71:$B$88,2,FALSE)+1,FALSE))),'détails investissements'!$U$6:$AB$7,2,FALSE),""),FALSE),"")</f>
        <v/>
      </c>
      <c r="DG11">
        <f t="shared" si="0"/>
        <v>1</v>
      </c>
    </row>
    <row r="12" spans="1:111" x14ac:dyDescent="0.2">
      <c r="A12" s="15" t="str">
        <f>'[4]Données investissements'!A32</f>
        <v>Retourneur à lingot</v>
      </c>
      <c r="B12" s="23">
        <f>'détails investissements'!B100</f>
        <v>0.14000000000000001</v>
      </c>
      <c r="C12" s="45" t="str">
        <f>IF(IF(IF(C$3-VLOOKUP($A12,'détails investissements'!$A$71:$B$88,2,FALSE)&lt;=0,"",IF(VLOOKUP($A12,'détails investissements'!$A$26:$DE$43,C$3-VLOOKUP($A12,'détails investissements'!$A$71:$B$88,2,FALSE)+1,FALSE)="","",VLOOKUP($A12,'détails investissements'!$A$26:$DE$43,C$3-VLOOKUP($A12,'détails investissements'!$A$71:$B$88,2,FALSE)+1,FALSE)))&lt;&gt;"",HLOOKUP(IF(C$3-VLOOKUP($A12,'détails investissements'!$A$71:$B$88,2,FALSE)&lt;=0,"",IF(VLOOKUP($A12,'détails investissements'!$A$26:$DE$43,C$3-VLOOKUP($A12,'détails investissements'!$A$71:$B$88,2,FALSE)+1,FALSE)="","",VLOOKUP($A12,'détails investissements'!$A$26:$DE$43,C$3-VLOOKUP($A12,'détails investissements'!$A$71:$B$88,2,FALSE)+1,FALSE))),'détails investissements'!$U$6:$AB$7,2,FALSE),"")&lt;&gt;"",VLOOKUP($A12,'détails investissements'!$A$7:$H$21,1+IF(IF(C$3-VLOOKUP($A12,'détails investissements'!$A$71:$B$88,2,FALSE)&lt;=0,"",IF(VLOOKUP($A12,'détails investissements'!$A$26:$DE$43,C$3-VLOOKUP($A12,'détails investissements'!$A$71:$B$88,2,FALSE)+1,FALSE)="","",VLOOKUP($A12,'détails investissements'!$A$26:$DE$43,C$3-VLOOKUP($A12,'détails investissements'!$A$71:$B$88,2,FALSE)+1,FALSE)))&lt;&gt;"",HLOOKUP(IF(C$3-VLOOKUP($A12,'détails investissements'!$A$71:$B$88,2,FALSE)&lt;=0,"",IF(VLOOKUP($A12,'détails investissements'!$A$26:$DE$43,C$3-VLOOKUP($A12,'détails investissements'!$A$71:$B$88,2,FALSE)+1,FALSE)="","",VLOOKUP($A12,'détails investissements'!$A$26:$DE$43,C$3-VLOOKUP($A12,'détails investissements'!$A$71:$B$88,2,FALSE)+1,FALSE))),'détails investissements'!$U$6:$AB$7,2,FALSE),""),FALSE),"")</f>
        <v/>
      </c>
      <c r="D12" s="45" t="str">
        <f>IF(IF(IF(D$3-VLOOKUP($A12,'détails investissements'!$A$71:$B$88,2,FALSE)&lt;=0,"",IF(VLOOKUP($A12,'détails investissements'!$A$26:$DE$43,D$3-VLOOKUP($A12,'détails investissements'!$A$71:$B$88,2,FALSE)+1,FALSE)="","",VLOOKUP($A12,'détails investissements'!$A$26:$DE$43,D$3-VLOOKUP($A12,'détails investissements'!$A$71:$B$88,2,FALSE)+1,FALSE)))&lt;&gt;"",HLOOKUP(IF(D$3-VLOOKUP($A12,'détails investissements'!$A$71:$B$88,2,FALSE)&lt;=0,"",IF(VLOOKUP($A12,'détails investissements'!$A$26:$DE$43,D$3-VLOOKUP($A12,'détails investissements'!$A$71:$B$88,2,FALSE)+1,FALSE)="","",VLOOKUP($A12,'détails investissements'!$A$26:$DE$43,D$3-VLOOKUP($A12,'détails investissements'!$A$71:$B$88,2,FALSE)+1,FALSE))),'détails investissements'!$U$6:$AB$7,2,FALSE),"")&lt;&gt;"",VLOOKUP($A12,'détails investissements'!$A$7:$H$21,1+IF(IF(D$3-VLOOKUP($A12,'détails investissements'!$A$71:$B$88,2,FALSE)&lt;=0,"",IF(VLOOKUP($A12,'détails investissements'!$A$26:$DE$43,D$3-VLOOKUP($A12,'détails investissements'!$A$71:$B$88,2,FALSE)+1,FALSE)="","",VLOOKUP($A12,'détails investissements'!$A$26:$DE$43,D$3-VLOOKUP($A12,'détails investissements'!$A$71:$B$88,2,FALSE)+1,FALSE)))&lt;&gt;"",HLOOKUP(IF(D$3-VLOOKUP($A12,'détails investissements'!$A$71:$B$88,2,FALSE)&lt;=0,"",IF(VLOOKUP($A12,'détails investissements'!$A$26:$DE$43,D$3-VLOOKUP($A12,'détails investissements'!$A$71:$B$88,2,FALSE)+1,FALSE)="","",VLOOKUP($A12,'détails investissements'!$A$26:$DE$43,D$3-VLOOKUP($A12,'détails investissements'!$A$71:$B$88,2,FALSE)+1,FALSE))),'détails investissements'!$U$6:$AB$7,2,FALSE),""),FALSE),"")</f>
        <v/>
      </c>
      <c r="E12" s="45" t="str">
        <f>IF(IF(IF(E$3-VLOOKUP($A12,'détails investissements'!$A$71:$B$88,2,FALSE)&lt;=0,"",IF(VLOOKUP($A12,'détails investissements'!$A$26:$DE$43,E$3-VLOOKUP($A12,'détails investissements'!$A$71:$B$88,2,FALSE)+1,FALSE)="","",VLOOKUP($A12,'détails investissements'!$A$26:$DE$43,E$3-VLOOKUP($A12,'détails investissements'!$A$71:$B$88,2,FALSE)+1,FALSE)))&lt;&gt;"",HLOOKUP(IF(E$3-VLOOKUP($A12,'détails investissements'!$A$71:$B$88,2,FALSE)&lt;=0,"",IF(VLOOKUP($A12,'détails investissements'!$A$26:$DE$43,E$3-VLOOKUP($A12,'détails investissements'!$A$71:$B$88,2,FALSE)+1,FALSE)="","",VLOOKUP($A12,'détails investissements'!$A$26:$DE$43,E$3-VLOOKUP($A12,'détails investissements'!$A$71:$B$88,2,FALSE)+1,FALSE))),'détails investissements'!$U$6:$AB$7,2,FALSE),"")&lt;&gt;"",VLOOKUP($A12,'détails investissements'!$A$7:$H$21,1+IF(IF(E$3-VLOOKUP($A12,'détails investissements'!$A$71:$B$88,2,FALSE)&lt;=0,"",IF(VLOOKUP($A12,'détails investissements'!$A$26:$DE$43,E$3-VLOOKUP($A12,'détails investissements'!$A$71:$B$88,2,FALSE)+1,FALSE)="","",VLOOKUP($A12,'détails investissements'!$A$26:$DE$43,E$3-VLOOKUP($A12,'détails investissements'!$A$71:$B$88,2,FALSE)+1,FALSE)))&lt;&gt;"",HLOOKUP(IF(E$3-VLOOKUP($A12,'détails investissements'!$A$71:$B$88,2,FALSE)&lt;=0,"",IF(VLOOKUP($A12,'détails investissements'!$A$26:$DE$43,E$3-VLOOKUP($A12,'détails investissements'!$A$71:$B$88,2,FALSE)+1,FALSE)="","",VLOOKUP($A12,'détails investissements'!$A$26:$DE$43,E$3-VLOOKUP($A12,'détails investissements'!$A$71:$B$88,2,FALSE)+1,FALSE))),'détails investissements'!$U$6:$AB$7,2,FALSE),""),FALSE),"")</f>
        <v/>
      </c>
      <c r="F12" s="45" t="str">
        <f>IF(IF(IF(F$3-VLOOKUP($A12,'détails investissements'!$A$71:$B$88,2,FALSE)&lt;=0,"",IF(VLOOKUP($A12,'détails investissements'!$A$26:$DE$43,F$3-VLOOKUP($A12,'détails investissements'!$A$71:$B$88,2,FALSE)+1,FALSE)="","",VLOOKUP($A12,'détails investissements'!$A$26:$DE$43,F$3-VLOOKUP($A12,'détails investissements'!$A$71:$B$88,2,FALSE)+1,FALSE)))&lt;&gt;"",HLOOKUP(IF(F$3-VLOOKUP($A12,'détails investissements'!$A$71:$B$88,2,FALSE)&lt;=0,"",IF(VLOOKUP($A12,'détails investissements'!$A$26:$DE$43,F$3-VLOOKUP($A12,'détails investissements'!$A$71:$B$88,2,FALSE)+1,FALSE)="","",VLOOKUP($A12,'détails investissements'!$A$26:$DE$43,F$3-VLOOKUP($A12,'détails investissements'!$A$71:$B$88,2,FALSE)+1,FALSE))),'détails investissements'!$U$6:$AB$7,2,FALSE),"")&lt;&gt;"",VLOOKUP($A12,'détails investissements'!$A$7:$H$21,1+IF(IF(F$3-VLOOKUP($A12,'détails investissements'!$A$71:$B$88,2,FALSE)&lt;=0,"",IF(VLOOKUP($A12,'détails investissements'!$A$26:$DE$43,F$3-VLOOKUP($A12,'détails investissements'!$A$71:$B$88,2,FALSE)+1,FALSE)="","",VLOOKUP($A12,'détails investissements'!$A$26:$DE$43,F$3-VLOOKUP($A12,'détails investissements'!$A$71:$B$88,2,FALSE)+1,FALSE)))&lt;&gt;"",HLOOKUP(IF(F$3-VLOOKUP($A12,'détails investissements'!$A$71:$B$88,2,FALSE)&lt;=0,"",IF(VLOOKUP($A12,'détails investissements'!$A$26:$DE$43,F$3-VLOOKUP($A12,'détails investissements'!$A$71:$B$88,2,FALSE)+1,FALSE)="","",VLOOKUP($A12,'détails investissements'!$A$26:$DE$43,F$3-VLOOKUP($A12,'détails investissements'!$A$71:$B$88,2,FALSE)+1,FALSE))),'détails investissements'!$U$6:$AB$7,2,FALSE),""),FALSE),"")</f>
        <v/>
      </c>
      <c r="G12" s="45" t="str">
        <f>IF(IF(IF(G$3-VLOOKUP($A12,'détails investissements'!$A$71:$B$88,2,FALSE)&lt;=0,"",IF(VLOOKUP($A12,'détails investissements'!$A$26:$DE$43,G$3-VLOOKUP($A12,'détails investissements'!$A$71:$B$88,2,FALSE)+1,FALSE)="","",VLOOKUP($A12,'détails investissements'!$A$26:$DE$43,G$3-VLOOKUP($A12,'détails investissements'!$A$71:$B$88,2,FALSE)+1,FALSE)))&lt;&gt;"",HLOOKUP(IF(G$3-VLOOKUP($A12,'détails investissements'!$A$71:$B$88,2,FALSE)&lt;=0,"",IF(VLOOKUP($A12,'détails investissements'!$A$26:$DE$43,G$3-VLOOKUP($A12,'détails investissements'!$A$71:$B$88,2,FALSE)+1,FALSE)="","",VLOOKUP($A12,'détails investissements'!$A$26:$DE$43,G$3-VLOOKUP($A12,'détails investissements'!$A$71:$B$88,2,FALSE)+1,FALSE))),'détails investissements'!$U$6:$AB$7,2,FALSE),"")&lt;&gt;"",VLOOKUP($A12,'détails investissements'!$A$7:$H$21,1+IF(IF(G$3-VLOOKUP($A12,'détails investissements'!$A$71:$B$88,2,FALSE)&lt;=0,"",IF(VLOOKUP($A12,'détails investissements'!$A$26:$DE$43,G$3-VLOOKUP($A12,'détails investissements'!$A$71:$B$88,2,FALSE)+1,FALSE)="","",VLOOKUP($A12,'détails investissements'!$A$26:$DE$43,G$3-VLOOKUP($A12,'détails investissements'!$A$71:$B$88,2,FALSE)+1,FALSE)))&lt;&gt;"",HLOOKUP(IF(G$3-VLOOKUP($A12,'détails investissements'!$A$71:$B$88,2,FALSE)&lt;=0,"",IF(VLOOKUP($A12,'détails investissements'!$A$26:$DE$43,G$3-VLOOKUP($A12,'détails investissements'!$A$71:$B$88,2,FALSE)+1,FALSE)="","",VLOOKUP($A12,'détails investissements'!$A$26:$DE$43,G$3-VLOOKUP($A12,'détails investissements'!$A$71:$B$88,2,FALSE)+1,FALSE))),'détails investissements'!$U$6:$AB$7,2,FALSE),""),FALSE),"")</f>
        <v/>
      </c>
      <c r="H12" s="45" t="str">
        <f>IF(IF(IF(H$3-VLOOKUP($A12,'détails investissements'!$A$71:$B$88,2,FALSE)&lt;=0,"",IF(VLOOKUP($A12,'détails investissements'!$A$26:$DE$43,H$3-VLOOKUP($A12,'détails investissements'!$A$71:$B$88,2,FALSE)+1,FALSE)="","",VLOOKUP($A12,'détails investissements'!$A$26:$DE$43,H$3-VLOOKUP($A12,'détails investissements'!$A$71:$B$88,2,FALSE)+1,FALSE)))&lt;&gt;"",HLOOKUP(IF(H$3-VLOOKUP($A12,'détails investissements'!$A$71:$B$88,2,FALSE)&lt;=0,"",IF(VLOOKUP($A12,'détails investissements'!$A$26:$DE$43,H$3-VLOOKUP($A12,'détails investissements'!$A$71:$B$88,2,FALSE)+1,FALSE)="","",VLOOKUP($A12,'détails investissements'!$A$26:$DE$43,H$3-VLOOKUP($A12,'détails investissements'!$A$71:$B$88,2,FALSE)+1,FALSE))),'détails investissements'!$U$6:$AB$7,2,FALSE),"")&lt;&gt;"",VLOOKUP($A12,'détails investissements'!$A$7:$H$21,1+IF(IF(H$3-VLOOKUP($A12,'détails investissements'!$A$71:$B$88,2,FALSE)&lt;=0,"",IF(VLOOKUP($A12,'détails investissements'!$A$26:$DE$43,H$3-VLOOKUP($A12,'détails investissements'!$A$71:$B$88,2,FALSE)+1,FALSE)="","",VLOOKUP($A12,'détails investissements'!$A$26:$DE$43,H$3-VLOOKUP($A12,'détails investissements'!$A$71:$B$88,2,FALSE)+1,FALSE)))&lt;&gt;"",HLOOKUP(IF(H$3-VLOOKUP($A12,'détails investissements'!$A$71:$B$88,2,FALSE)&lt;=0,"",IF(VLOOKUP($A12,'détails investissements'!$A$26:$DE$43,H$3-VLOOKUP($A12,'détails investissements'!$A$71:$B$88,2,FALSE)+1,FALSE)="","",VLOOKUP($A12,'détails investissements'!$A$26:$DE$43,H$3-VLOOKUP($A12,'détails investissements'!$A$71:$B$88,2,FALSE)+1,FALSE))),'détails investissements'!$U$6:$AB$7,2,FALSE),""),FALSE),"")</f>
        <v/>
      </c>
      <c r="I12" s="45" t="str">
        <f>IF(IF(IF(I$3-VLOOKUP($A12,'détails investissements'!$A$71:$B$88,2,FALSE)&lt;=0,"",IF(VLOOKUP($A12,'détails investissements'!$A$26:$DE$43,I$3-VLOOKUP($A12,'détails investissements'!$A$71:$B$88,2,FALSE)+1,FALSE)="","",VLOOKUP($A12,'détails investissements'!$A$26:$DE$43,I$3-VLOOKUP($A12,'détails investissements'!$A$71:$B$88,2,FALSE)+1,FALSE)))&lt;&gt;"",HLOOKUP(IF(I$3-VLOOKUP($A12,'détails investissements'!$A$71:$B$88,2,FALSE)&lt;=0,"",IF(VLOOKUP($A12,'détails investissements'!$A$26:$DE$43,I$3-VLOOKUP($A12,'détails investissements'!$A$71:$B$88,2,FALSE)+1,FALSE)="","",VLOOKUP($A12,'détails investissements'!$A$26:$DE$43,I$3-VLOOKUP($A12,'détails investissements'!$A$71:$B$88,2,FALSE)+1,FALSE))),'détails investissements'!$U$6:$AB$7,2,FALSE),"")&lt;&gt;"",VLOOKUP($A12,'détails investissements'!$A$7:$H$21,1+IF(IF(I$3-VLOOKUP($A12,'détails investissements'!$A$71:$B$88,2,FALSE)&lt;=0,"",IF(VLOOKUP($A12,'détails investissements'!$A$26:$DE$43,I$3-VLOOKUP($A12,'détails investissements'!$A$71:$B$88,2,FALSE)+1,FALSE)="","",VLOOKUP($A12,'détails investissements'!$A$26:$DE$43,I$3-VLOOKUP($A12,'détails investissements'!$A$71:$B$88,2,FALSE)+1,FALSE)))&lt;&gt;"",HLOOKUP(IF(I$3-VLOOKUP($A12,'détails investissements'!$A$71:$B$88,2,FALSE)&lt;=0,"",IF(VLOOKUP($A12,'détails investissements'!$A$26:$DE$43,I$3-VLOOKUP($A12,'détails investissements'!$A$71:$B$88,2,FALSE)+1,FALSE)="","",VLOOKUP($A12,'détails investissements'!$A$26:$DE$43,I$3-VLOOKUP($A12,'détails investissements'!$A$71:$B$88,2,FALSE)+1,FALSE))),'détails investissements'!$U$6:$AB$7,2,FALSE),""),FALSE),"")</f>
        <v/>
      </c>
      <c r="J12" s="45" t="str">
        <f>IF(IF(IF(J$3-VLOOKUP($A12,'détails investissements'!$A$71:$B$88,2,FALSE)&lt;=0,"",IF(VLOOKUP($A12,'détails investissements'!$A$26:$DE$43,J$3-VLOOKUP($A12,'détails investissements'!$A$71:$B$88,2,FALSE)+1,FALSE)="","",VLOOKUP($A12,'détails investissements'!$A$26:$DE$43,J$3-VLOOKUP($A12,'détails investissements'!$A$71:$B$88,2,FALSE)+1,FALSE)))&lt;&gt;"",HLOOKUP(IF(J$3-VLOOKUP($A12,'détails investissements'!$A$71:$B$88,2,FALSE)&lt;=0,"",IF(VLOOKUP($A12,'détails investissements'!$A$26:$DE$43,J$3-VLOOKUP($A12,'détails investissements'!$A$71:$B$88,2,FALSE)+1,FALSE)="","",VLOOKUP($A12,'détails investissements'!$A$26:$DE$43,J$3-VLOOKUP($A12,'détails investissements'!$A$71:$B$88,2,FALSE)+1,FALSE))),'détails investissements'!$U$6:$AB$7,2,FALSE),"")&lt;&gt;"",VLOOKUP($A12,'détails investissements'!$A$7:$H$21,1+IF(IF(J$3-VLOOKUP($A12,'détails investissements'!$A$71:$B$88,2,FALSE)&lt;=0,"",IF(VLOOKUP($A12,'détails investissements'!$A$26:$DE$43,J$3-VLOOKUP($A12,'détails investissements'!$A$71:$B$88,2,FALSE)+1,FALSE)="","",VLOOKUP($A12,'détails investissements'!$A$26:$DE$43,J$3-VLOOKUP($A12,'détails investissements'!$A$71:$B$88,2,FALSE)+1,FALSE)))&lt;&gt;"",HLOOKUP(IF(J$3-VLOOKUP($A12,'détails investissements'!$A$71:$B$88,2,FALSE)&lt;=0,"",IF(VLOOKUP($A12,'détails investissements'!$A$26:$DE$43,J$3-VLOOKUP($A12,'détails investissements'!$A$71:$B$88,2,FALSE)+1,FALSE)="","",VLOOKUP($A12,'détails investissements'!$A$26:$DE$43,J$3-VLOOKUP($A12,'détails investissements'!$A$71:$B$88,2,FALSE)+1,FALSE))),'détails investissements'!$U$6:$AB$7,2,FALSE),""),FALSE),"")</f>
        <v/>
      </c>
      <c r="K12" s="45" t="str">
        <f>IF(IF(IF(K$3-VLOOKUP($A12,'détails investissements'!$A$71:$B$88,2,FALSE)&lt;=0,"",IF(VLOOKUP($A12,'détails investissements'!$A$26:$DE$43,K$3-VLOOKUP($A12,'détails investissements'!$A$71:$B$88,2,FALSE)+1,FALSE)="","",VLOOKUP($A12,'détails investissements'!$A$26:$DE$43,K$3-VLOOKUP($A12,'détails investissements'!$A$71:$B$88,2,FALSE)+1,FALSE)))&lt;&gt;"",HLOOKUP(IF(K$3-VLOOKUP($A12,'détails investissements'!$A$71:$B$88,2,FALSE)&lt;=0,"",IF(VLOOKUP($A12,'détails investissements'!$A$26:$DE$43,K$3-VLOOKUP($A12,'détails investissements'!$A$71:$B$88,2,FALSE)+1,FALSE)="","",VLOOKUP($A12,'détails investissements'!$A$26:$DE$43,K$3-VLOOKUP($A12,'détails investissements'!$A$71:$B$88,2,FALSE)+1,FALSE))),'détails investissements'!$U$6:$AB$7,2,FALSE),"")&lt;&gt;"",VLOOKUP($A12,'détails investissements'!$A$7:$H$21,1+IF(IF(K$3-VLOOKUP($A12,'détails investissements'!$A$71:$B$88,2,FALSE)&lt;=0,"",IF(VLOOKUP($A12,'détails investissements'!$A$26:$DE$43,K$3-VLOOKUP($A12,'détails investissements'!$A$71:$B$88,2,FALSE)+1,FALSE)="","",VLOOKUP($A12,'détails investissements'!$A$26:$DE$43,K$3-VLOOKUP($A12,'détails investissements'!$A$71:$B$88,2,FALSE)+1,FALSE)))&lt;&gt;"",HLOOKUP(IF(K$3-VLOOKUP($A12,'détails investissements'!$A$71:$B$88,2,FALSE)&lt;=0,"",IF(VLOOKUP($A12,'détails investissements'!$A$26:$DE$43,K$3-VLOOKUP($A12,'détails investissements'!$A$71:$B$88,2,FALSE)+1,FALSE)="","",VLOOKUP($A12,'détails investissements'!$A$26:$DE$43,K$3-VLOOKUP($A12,'détails investissements'!$A$71:$B$88,2,FALSE)+1,FALSE))),'détails investissements'!$U$6:$AB$7,2,FALSE),""),FALSE),"")</f>
        <v/>
      </c>
      <c r="L12" s="45" t="str">
        <f>IF(IF(IF(L$3-VLOOKUP($A12,'détails investissements'!$A$71:$B$88,2,FALSE)&lt;=0,"",IF(VLOOKUP($A12,'détails investissements'!$A$26:$DE$43,L$3-VLOOKUP($A12,'détails investissements'!$A$71:$B$88,2,FALSE)+1,FALSE)="","",VLOOKUP($A12,'détails investissements'!$A$26:$DE$43,L$3-VLOOKUP($A12,'détails investissements'!$A$71:$B$88,2,FALSE)+1,FALSE)))&lt;&gt;"",HLOOKUP(IF(L$3-VLOOKUP($A12,'détails investissements'!$A$71:$B$88,2,FALSE)&lt;=0,"",IF(VLOOKUP($A12,'détails investissements'!$A$26:$DE$43,L$3-VLOOKUP($A12,'détails investissements'!$A$71:$B$88,2,FALSE)+1,FALSE)="","",VLOOKUP($A12,'détails investissements'!$A$26:$DE$43,L$3-VLOOKUP($A12,'détails investissements'!$A$71:$B$88,2,FALSE)+1,FALSE))),'détails investissements'!$U$6:$AB$7,2,FALSE),"")&lt;&gt;"",VLOOKUP($A12,'détails investissements'!$A$7:$H$21,1+IF(IF(L$3-VLOOKUP($A12,'détails investissements'!$A$71:$B$88,2,FALSE)&lt;=0,"",IF(VLOOKUP($A12,'détails investissements'!$A$26:$DE$43,L$3-VLOOKUP($A12,'détails investissements'!$A$71:$B$88,2,FALSE)+1,FALSE)="","",VLOOKUP($A12,'détails investissements'!$A$26:$DE$43,L$3-VLOOKUP($A12,'détails investissements'!$A$71:$B$88,2,FALSE)+1,FALSE)))&lt;&gt;"",HLOOKUP(IF(L$3-VLOOKUP($A12,'détails investissements'!$A$71:$B$88,2,FALSE)&lt;=0,"",IF(VLOOKUP($A12,'détails investissements'!$A$26:$DE$43,L$3-VLOOKUP($A12,'détails investissements'!$A$71:$B$88,2,FALSE)+1,FALSE)="","",VLOOKUP($A12,'détails investissements'!$A$26:$DE$43,L$3-VLOOKUP($A12,'détails investissements'!$A$71:$B$88,2,FALSE)+1,FALSE))),'détails investissements'!$U$6:$AB$7,2,FALSE),""),FALSE),"")</f>
        <v/>
      </c>
      <c r="M12" s="45" t="str">
        <f>IF(IF(IF(M$3-VLOOKUP($A12,'détails investissements'!$A$71:$B$88,2,FALSE)&lt;=0,"",IF(VLOOKUP($A12,'détails investissements'!$A$26:$DE$43,M$3-VLOOKUP($A12,'détails investissements'!$A$71:$B$88,2,FALSE)+1,FALSE)="","",VLOOKUP($A12,'détails investissements'!$A$26:$DE$43,M$3-VLOOKUP($A12,'détails investissements'!$A$71:$B$88,2,FALSE)+1,FALSE)))&lt;&gt;"",HLOOKUP(IF(M$3-VLOOKUP($A12,'détails investissements'!$A$71:$B$88,2,FALSE)&lt;=0,"",IF(VLOOKUP($A12,'détails investissements'!$A$26:$DE$43,M$3-VLOOKUP($A12,'détails investissements'!$A$71:$B$88,2,FALSE)+1,FALSE)="","",VLOOKUP($A12,'détails investissements'!$A$26:$DE$43,M$3-VLOOKUP($A12,'détails investissements'!$A$71:$B$88,2,FALSE)+1,FALSE))),'détails investissements'!$U$6:$AB$7,2,FALSE),"")&lt;&gt;"",VLOOKUP($A12,'détails investissements'!$A$7:$H$21,1+IF(IF(M$3-VLOOKUP($A12,'détails investissements'!$A$71:$B$88,2,FALSE)&lt;=0,"",IF(VLOOKUP($A12,'détails investissements'!$A$26:$DE$43,M$3-VLOOKUP($A12,'détails investissements'!$A$71:$B$88,2,FALSE)+1,FALSE)="","",VLOOKUP($A12,'détails investissements'!$A$26:$DE$43,M$3-VLOOKUP($A12,'détails investissements'!$A$71:$B$88,2,FALSE)+1,FALSE)))&lt;&gt;"",HLOOKUP(IF(M$3-VLOOKUP($A12,'détails investissements'!$A$71:$B$88,2,FALSE)&lt;=0,"",IF(VLOOKUP($A12,'détails investissements'!$A$26:$DE$43,M$3-VLOOKUP($A12,'détails investissements'!$A$71:$B$88,2,FALSE)+1,FALSE)="","",VLOOKUP($A12,'détails investissements'!$A$26:$DE$43,M$3-VLOOKUP($A12,'détails investissements'!$A$71:$B$88,2,FALSE)+1,FALSE))),'détails investissements'!$U$6:$AB$7,2,FALSE),""),FALSE),"")</f>
        <v/>
      </c>
      <c r="N12" s="45" t="str">
        <f>IF(IF(IF(N$3-VLOOKUP($A12,'détails investissements'!$A$71:$B$88,2,FALSE)&lt;=0,"",IF(VLOOKUP($A12,'détails investissements'!$A$26:$DE$43,N$3-VLOOKUP($A12,'détails investissements'!$A$71:$B$88,2,FALSE)+1,FALSE)="","",VLOOKUP($A12,'détails investissements'!$A$26:$DE$43,N$3-VLOOKUP($A12,'détails investissements'!$A$71:$B$88,2,FALSE)+1,FALSE)))&lt;&gt;"",HLOOKUP(IF(N$3-VLOOKUP($A12,'détails investissements'!$A$71:$B$88,2,FALSE)&lt;=0,"",IF(VLOOKUP($A12,'détails investissements'!$A$26:$DE$43,N$3-VLOOKUP($A12,'détails investissements'!$A$71:$B$88,2,FALSE)+1,FALSE)="","",VLOOKUP($A12,'détails investissements'!$A$26:$DE$43,N$3-VLOOKUP($A12,'détails investissements'!$A$71:$B$88,2,FALSE)+1,FALSE))),'détails investissements'!$U$6:$AB$7,2,FALSE),"")&lt;&gt;"",VLOOKUP($A12,'détails investissements'!$A$7:$H$21,1+IF(IF(N$3-VLOOKUP($A12,'détails investissements'!$A$71:$B$88,2,FALSE)&lt;=0,"",IF(VLOOKUP($A12,'détails investissements'!$A$26:$DE$43,N$3-VLOOKUP($A12,'détails investissements'!$A$71:$B$88,2,FALSE)+1,FALSE)="","",VLOOKUP($A12,'détails investissements'!$A$26:$DE$43,N$3-VLOOKUP($A12,'détails investissements'!$A$71:$B$88,2,FALSE)+1,FALSE)))&lt;&gt;"",HLOOKUP(IF(N$3-VLOOKUP($A12,'détails investissements'!$A$71:$B$88,2,FALSE)&lt;=0,"",IF(VLOOKUP($A12,'détails investissements'!$A$26:$DE$43,N$3-VLOOKUP($A12,'détails investissements'!$A$71:$B$88,2,FALSE)+1,FALSE)="","",VLOOKUP($A12,'détails investissements'!$A$26:$DE$43,N$3-VLOOKUP($A12,'détails investissements'!$A$71:$B$88,2,FALSE)+1,FALSE))),'détails investissements'!$U$6:$AB$7,2,FALSE),""),FALSE),"")</f>
        <v/>
      </c>
      <c r="O12" s="45" t="str">
        <f>IF(IF(IF(O$3-VLOOKUP($A12,'détails investissements'!$A$71:$B$88,2,FALSE)&lt;=0,"",IF(VLOOKUP($A12,'détails investissements'!$A$26:$DE$43,O$3-VLOOKUP($A12,'détails investissements'!$A$71:$B$88,2,FALSE)+1,FALSE)="","",VLOOKUP($A12,'détails investissements'!$A$26:$DE$43,O$3-VLOOKUP($A12,'détails investissements'!$A$71:$B$88,2,FALSE)+1,FALSE)))&lt;&gt;"",HLOOKUP(IF(O$3-VLOOKUP($A12,'détails investissements'!$A$71:$B$88,2,FALSE)&lt;=0,"",IF(VLOOKUP($A12,'détails investissements'!$A$26:$DE$43,O$3-VLOOKUP($A12,'détails investissements'!$A$71:$B$88,2,FALSE)+1,FALSE)="","",VLOOKUP($A12,'détails investissements'!$A$26:$DE$43,O$3-VLOOKUP($A12,'détails investissements'!$A$71:$B$88,2,FALSE)+1,FALSE))),'détails investissements'!$U$6:$AB$7,2,FALSE),"")&lt;&gt;"",VLOOKUP($A12,'détails investissements'!$A$7:$H$21,1+IF(IF(O$3-VLOOKUP($A12,'détails investissements'!$A$71:$B$88,2,FALSE)&lt;=0,"",IF(VLOOKUP($A12,'détails investissements'!$A$26:$DE$43,O$3-VLOOKUP($A12,'détails investissements'!$A$71:$B$88,2,FALSE)+1,FALSE)="","",VLOOKUP($A12,'détails investissements'!$A$26:$DE$43,O$3-VLOOKUP($A12,'détails investissements'!$A$71:$B$88,2,FALSE)+1,FALSE)))&lt;&gt;"",HLOOKUP(IF(O$3-VLOOKUP($A12,'détails investissements'!$A$71:$B$88,2,FALSE)&lt;=0,"",IF(VLOOKUP($A12,'détails investissements'!$A$26:$DE$43,O$3-VLOOKUP($A12,'détails investissements'!$A$71:$B$88,2,FALSE)+1,FALSE)="","",VLOOKUP($A12,'détails investissements'!$A$26:$DE$43,O$3-VLOOKUP($A12,'détails investissements'!$A$71:$B$88,2,FALSE)+1,FALSE))),'détails investissements'!$U$6:$AB$7,2,FALSE),""),FALSE),"")</f>
        <v/>
      </c>
      <c r="P12" s="45" t="str">
        <f>IF(IF(IF(P$3-VLOOKUP($A12,'détails investissements'!$A$71:$B$88,2,FALSE)&lt;=0,"",IF(VLOOKUP($A12,'détails investissements'!$A$26:$DE$43,P$3-VLOOKUP($A12,'détails investissements'!$A$71:$B$88,2,FALSE)+1,FALSE)="","",VLOOKUP($A12,'détails investissements'!$A$26:$DE$43,P$3-VLOOKUP($A12,'détails investissements'!$A$71:$B$88,2,FALSE)+1,FALSE)))&lt;&gt;"",HLOOKUP(IF(P$3-VLOOKUP($A12,'détails investissements'!$A$71:$B$88,2,FALSE)&lt;=0,"",IF(VLOOKUP($A12,'détails investissements'!$A$26:$DE$43,P$3-VLOOKUP($A12,'détails investissements'!$A$71:$B$88,2,FALSE)+1,FALSE)="","",VLOOKUP($A12,'détails investissements'!$A$26:$DE$43,P$3-VLOOKUP($A12,'détails investissements'!$A$71:$B$88,2,FALSE)+1,FALSE))),'détails investissements'!$U$6:$AB$7,2,FALSE),"")&lt;&gt;"",VLOOKUP($A12,'détails investissements'!$A$7:$H$21,1+IF(IF(P$3-VLOOKUP($A12,'détails investissements'!$A$71:$B$88,2,FALSE)&lt;=0,"",IF(VLOOKUP($A12,'détails investissements'!$A$26:$DE$43,P$3-VLOOKUP($A12,'détails investissements'!$A$71:$B$88,2,FALSE)+1,FALSE)="","",VLOOKUP($A12,'détails investissements'!$A$26:$DE$43,P$3-VLOOKUP($A12,'détails investissements'!$A$71:$B$88,2,FALSE)+1,FALSE)))&lt;&gt;"",HLOOKUP(IF(P$3-VLOOKUP($A12,'détails investissements'!$A$71:$B$88,2,FALSE)&lt;=0,"",IF(VLOOKUP($A12,'détails investissements'!$A$26:$DE$43,P$3-VLOOKUP($A12,'détails investissements'!$A$71:$B$88,2,FALSE)+1,FALSE)="","",VLOOKUP($A12,'détails investissements'!$A$26:$DE$43,P$3-VLOOKUP($A12,'détails investissements'!$A$71:$B$88,2,FALSE)+1,FALSE))),'détails investissements'!$U$6:$AB$7,2,FALSE),""),FALSE),"")</f>
        <v/>
      </c>
      <c r="Q12" s="45" t="str">
        <f>IF(IF(IF(Q$3-VLOOKUP($A12,'détails investissements'!$A$71:$B$88,2,FALSE)&lt;=0,"",IF(VLOOKUP($A12,'détails investissements'!$A$26:$DE$43,Q$3-VLOOKUP($A12,'détails investissements'!$A$71:$B$88,2,FALSE)+1,FALSE)="","",VLOOKUP($A12,'détails investissements'!$A$26:$DE$43,Q$3-VLOOKUP($A12,'détails investissements'!$A$71:$B$88,2,FALSE)+1,FALSE)))&lt;&gt;"",HLOOKUP(IF(Q$3-VLOOKUP($A12,'détails investissements'!$A$71:$B$88,2,FALSE)&lt;=0,"",IF(VLOOKUP($A12,'détails investissements'!$A$26:$DE$43,Q$3-VLOOKUP($A12,'détails investissements'!$A$71:$B$88,2,FALSE)+1,FALSE)="","",VLOOKUP($A12,'détails investissements'!$A$26:$DE$43,Q$3-VLOOKUP($A12,'détails investissements'!$A$71:$B$88,2,FALSE)+1,FALSE))),'détails investissements'!$U$6:$AB$7,2,FALSE),"")&lt;&gt;"",VLOOKUP($A12,'détails investissements'!$A$7:$H$21,1+IF(IF(Q$3-VLOOKUP($A12,'détails investissements'!$A$71:$B$88,2,FALSE)&lt;=0,"",IF(VLOOKUP($A12,'détails investissements'!$A$26:$DE$43,Q$3-VLOOKUP($A12,'détails investissements'!$A$71:$B$88,2,FALSE)+1,FALSE)="","",VLOOKUP($A12,'détails investissements'!$A$26:$DE$43,Q$3-VLOOKUP($A12,'détails investissements'!$A$71:$B$88,2,FALSE)+1,FALSE)))&lt;&gt;"",HLOOKUP(IF(Q$3-VLOOKUP($A12,'détails investissements'!$A$71:$B$88,2,FALSE)&lt;=0,"",IF(VLOOKUP($A12,'détails investissements'!$A$26:$DE$43,Q$3-VLOOKUP($A12,'détails investissements'!$A$71:$B$88,2,FALSE)+1,FALSE)="","",VLOOKUP($A12,'détails investissements'!$A$26:$DE$43,Q$3-VLOOKUP($A12,'détails investissements'!$A$71:$B$88,2,FALSE)+1,FALSE))),'détails investissements'!$U$6:$AB$7,2,FALSE),""),FALSE),"")</f>
        <v/>
      </c>
      <c r="R12" s="45" t="str">
        <f>IF(IF(IF(R$3-VLOOKUP($A12,'détails investissements'!$A$71:$B$88,2,FALSE)&lt;=0,"",IF(VLOOKUP($A12,'détails investissements'!$A$26:$DE$43,R$3-VLOOKUP($A12,'détails investissements'!$A$71:$B$88,2,FALSE)+1,FALSE)="","",VLOOKUP($A12,'détails investissements'!$A$26:$DE$43,R$3-VLOOKUP($A12,'détails investissements'!$A$71:$B$88,2,FALSE)+1,FALSE)))&lt;&gt;"",HLOOKUP(IF(R$3-VLOOKUP($A12,'détails investissements'!$A$71:$B$88,2,FALSE)&lt;=0,"",IF(VLOOKUP($A12,'détails investissements'!$A$26:$DE$43,R$3-VLOOKUP($A12,'détails investissements'!$A$71:$B$88,2,FALSE)+1,FALSE)="","",VLOOKUP($A12,'détails investissements'!$A$26:$DE$43,R$3-VLOOKUP($A12,'détails investissements'!$A$71:$B$88,2,FALSE)+1,FALSE))),'détails investissements'!$U$6:$AB$7,2,FALSE),"")&lt;&gt;"",VLOOKUP($A12,'détails investissements'!$A$7:$H$21,1+IF(IF(R$3-VLOOKUP($A12,'détails investissements'!$A$71:$B$88,2,FALSE)&lt;=0,"",IF(VLOOKUP($A12,'détails investissements'!$A$26:$DE$43,R$3-VLOOKUP($A12,'détails investissements'!$A$71:$B$88,2,FALSE)+1,FALSE)="","",VLOOKUP($A12,'détails investissements'!$A$26:$DE$43,R$3-VLOOKUP($A12,'détails investissements'!$A$71:$B$88,2,FALSE)+1,FALSE)))&lt;&gt;"",HLOOKUP(IF(R$3-VLOOKUP($A12,'détails investissements'!$A$71:$B$88,2,FALSE)&lt;=0,"",IF(VLOOKUP($A12,'détails investissements'!$A$26:$DE$43,R$3-VLOOKUP($A12,'détails investissements'!$A$71:$B$88,2,FALSE)+1,FALSE)="","",VLOOKUP($A12,'détails investissements'!$A$26:$DE$43,R$3-VLOOKUP($A12,'détails investissements'!$A$71:$B$88,2,FALSE)+1,FALSE))),'détails investissements'!$U$6:$AB$7,2,FALSE),""),FALSE),"")</f>
        <v/>
      </c>
      <c r="S12" s="45">
        <f>IF(IF(IF(S$3-VLOOKUP($A12,'détails investissements'!$A$71:$B$88,2,FALSE)&lt;=0,"",IF(VLOOKUP($A12,'détails investissements'!$A$26:$DE$43,S$3-VLOOKUP($A12,'détails investissements'!$A$71:$B$88,2,FALSE)+1,FALSE)="","",VLOOKUP($A12,'détails investissements'!$A$26:$DE$43,S$3-VLOOKUP($A12,'détails investissements'!$A$71:$B$88,2,FALSE)+1,FALSE)))&lt;&gt;"",HLOOKUP(IF(S$3-VLOOKUP($A12,'détails investissements'!$A$71:$B$88,2,FALSE)&lt;=0,"",IF(VLOOKUP($A12,'détails investissements'!$A$26:$DE$43,S$3-VLOOKUP($A12,'détails investissements'!$A$71:$B$88,2,FALSE)+1,FALSE)="","",VLOOKUP($A12,'détails investissements'!$A$26:$DE$43,S$3-VLOOKUP($A12,'détails investissements'!$A$71:$B$88,2,FALSE)+1,FALSE))),'détails investissements'!$U$6:$AB$7,2,FALSE),"")&lt;&gt;"",VLOOKUP($A12,'détails investissements'!$A$7:$H$21,1+IF(IF(S$3-VLOOKUP($A12,'détails investissements'!$A$71:$B$88,2,FALSE)&lt;=0,"",IF(VLOOKUP($A12,'détails investissements'!$A$26:$DE$43,S$3-VLOOKUP($A12,'détails investissements'!$A$71:$B$88,2,FALSE)+1,FALSE)="","",VLOOKUP($A12,'détails investissements'!$A$26:$DE$43,S$3-VLOOKUP($A12,'détails investissements'!$A$71:$B$88,2,FALSE)+1,FALSE)))&lt;&gt;"",HLOOKUP(IF(S$3-VLOOKUP($A12,'détails investissements'!$A$71:$B$88,2,FALSE)&lt;=0,"",IF(VLOOKUP($A12,'détails investissements'!$A$26:$DE$43,S$3-VLOOKUP($A12,'détails investissements'!$A$71:$B$88,2,FALSE)+1,FALSE)="","",VLOOKUP($A12,'détails investissements'!$A$26:$DE$43,S$3-VLOOKUP($A12,'détails investissements'!$A$71:$B$88,2,FALSE)+1,FALSE))),'détails investissements'!$U$6:$AB$7,2,FALSE),""),FALSE),"")</f>
        <v>0.15</v>
      </c>
      <c r="T12" s="45">
        <f>IF(IF(IF(T$3-VLOOKUP($A12,'détails investissements'!$A$71:$B$88,2,FALSE)&lt;=0,"",IF(VLOOKUP($A12,'détails investissements'!$A$26:$DE$43,T$3-VLOOKUP($A12,'détails investissements'!$A$71:$B$88,2,FALSE)+1,FALSE)="","",VLOOKUP($A12,'détails investissements'!$A$26:$DE$43,T$3-VLOOKUP($A12,'détails investissements'!$A$71:$B$88,2,FALSE)+1,FALSE)))&lt;&gt;"",HLOOKUP(IF(T$3-VLOOKUP($A12,'détails investissements'!$A$71:$B$88,2,FALSE)&lt;=0,"",IF(VLOOKUP($A12,'détails investissements'!$A$26:$DE$43,T$3-VLOOKUP($A12,'détails investissements'!$A$71:$B$88,2,FALSE)+1,FALSE)="","",VLOOKUP($A12,'détails investissements'!$A$26:$DE$43,T$3-VLOOKUP($A12,'détails investissements'!$A$71:$B$88,2,FALSE)+1,FALSE))),'détails investissements'!$U$6:$AB$7,2,FALSE),"")&lt;&gt;"",VLOOKUP($A12,'détails investissements'!$A$7:$H$21,1+IF(IF(T$3-VLOOKUP($A12,'détails investissements'!$A$71:$B$88,2,FALSE)&lt;=0,"",IF(VLOOKUP($A12,'détails investissements'!$A$26:$DE$43,T$3-VLOOKUP($A12,'détails investissements'!$A$71:$B$88,2,FALSE)+1,FALSE)="","",VLOOKUP($A12,'détails investissements'!$A$26:$DE$43,T$3-VLOOKUP($A12,'détails investissements'!$A$71:$B$88,2,FALSE)+1,FALSE)))&lt;&gt;"",HLOOKUP(IF(T$3-VLOOKUP($A12,'détails investissements'!$A$71:$B$88,2,FALSE)&lt;=0,"",IF(VLOOKUP($A12,'détails investissements'!$A$26:$DE$43,T$3-VLOOKUP($A12,'détails investissements'!$A$71:$B$88,2,FALSE)+1,FALSE)="","",VLOOKUP($A12,'détails investissements'!$A$26:$DE$43,T$3-VLOOKUP($A12,'détails investissements'!$A$71:$B$88,2,FALSE)+1,FALSE))),'détails investissements'!$U$6:$AB$7,2,FALSE),""),FALSE),"")</f>
        <v>0.05</v>
      </c>
      <c r="U12" s="45" t="str">
        <f>IF(IF(IF(U$3-VLOOKUP($A12,'détails investissements'!$A$71:$B$88,2,FALSE)&lt;=0,"",IF(VLOOKUP($A12,'détails investissements'!$A$26:$DE$43,U$3-VLOOKUP($A12,'détails investissements'!$A$71:$B$88,2,FALSE)+1,FALSE)="","",VLOOKUP($A12,'détails investissements'!$A$26:$DE$43,U$3-VLOOKUP($A12,'détails investissements'!$A$71:$B$88,2,FALSE)+1,FALSE)))&lt;&gt;"",HLOOKUP(IF(U$3-VLOOKUP($A12,'détails investissements'!$A$71:$B$88,2,FALSE)&lt;=0,"",IF(VLOOKUP($A12,'détails investissements'!$A$26:$DE$43,U$3-VLOOKUP($A12,'détails investissements'!$A$71:$B$88,2,FALSE)+1,FALSE)="","",VLOOKUP($A12,'détails investissements'!$A$26:$DE$43,U$3-VLOOKUP($A12,'détails investissements'!$A$71:$B$88,2,FALSE)+1,FALSE))),'détails investissements'!$U$6:$AB$7,2,FALSE),"")&lt;&gt;"",VLOOKUP($A12,'détails investissements'!$A$7:$H$21,1+IF(IF(U$3-VLOOKUP($A12,'détails investissements'!$A$71:$B$88,2,FALSE)&lt;=0,"",IF(VLOOKUP($A12,'détails investissements'!$A$26:$DE$43,U$3-VLOOKUP($A12,'détails investissements'!$A$71:$B$88,2,FALSE)+1,FALSE)="","",VLOOKUP($A12,'détails investissements'!$A$26:$DE$43,U$3-VLOOKUP($A12,'détails investissements'!$A$71:$B$88,2,FALSE)+1,FALSE)))&lt;&gt;"",HLOOKUP(IF(U$3-VLOOKUP($A12,'détails investissements'!$A$71:$B$88,2,FALSE)&lt;=0,"",IF(VLOOKUP($A12,'détails investissements'!$A$26:$DE$43,U$3-VLOOKUP($A12,'détails investissements'!$A$71:$B$88,2,FALSE)+1,FALSE)="","",VLOOKUP($A12,'détails investissements'!$A$26:$DE$43,U$3-VLOOKUP($A12,'détails investissements'!$A$71:$B$88,2,FALSE)+1,FALSE))),'détails investissements'!$U$6:$AB$7,2,FALSE),""),FALSE),"")</f>
        <v/>
      </c>
      <c r="V12" s="45" t="str">
        <f>IF(IF(IF(V$3-VLOOKUP($A12,'détails investissements'!$A$71:$B$88,2,FALSE)&lt;=0,"",IF(VLOOKUP($A12,'détails investissements'!$A$26:$DE$43,V$3-VLOOKUP($A12,'détails investissements'!$A$71:$B$88,2,FALSE)+1,FALSE)="","",VLOOKUP($A12,'détails investissements'!$A$26:$DE$43,V$3-VLOOKUP($A12,'détails investissements'!$A$71:$B$88,2,FALSE)+1,FALSE)))&lt;&gt;"",HLOOKUP(IF(V$3-VLOOKUP($A12,'détails investissements'!$A$71:$B$88,2,FALSE)&lt;=0,"",IF(VLOOKUP($A12,'détails investissements'!$A$26:$DE$43,V$3-VLOOKUP($A12,'détails investissements'!$A$71:$B$88,2,FALSE)+1,FALSE)="","",VLOOKUP($A12,'détails investissements'!$A$26:$DE$43,V$3-VLOOKUP($A12,'détails investissements'!$A$71:$B$88,2,FALSE)+1,FALSE))),'détails investissements'!$U$6:$AB$7,2,FALSE),"")&lt;&gt;"",VLOOKUP($A12,'détails investissements'!$A$7:$H$21,1+IF(IF(V$3-VLOOKUP($A12,'détails investissements'!$A$71:$B$88,2,FALSE)&lt;=0,"",IF(VLOOKUP($A12,'détails investissements'!$A$26:$DE$43,V$3-VLOOKUP($A12,'détails investissements'!$A$71:$B$88,2,FALSE)+1,FALSE)="","",VLOOKUP($A12,'détails investissements'!$A$26:$DE$43,V$3-VLOOKUP($A12,'détails investissements'!$A$71:$B$88,2,FALSE)+1,FALSE)))&lt;&gt;"",HLOOKUP(IF(V$3-VLOOKUP($A12,'détails investissements'!$A$71:$B$88,2,FALSE)&lt;=0,"",IF(VLOOKUP($A12,'détails investissements'!$A$26:$DE$43,V$3-VLOOKUP($A12,'détails investissements'!$A$71:$B$88,2,FALSE)+1,FALSE)="","",VLOOKUP($A12,'détails investissements'!$A$26:$DE$43,V$3-VLOOKUP($A12,'détails investissements'!$A$71:$B$88,2,FALSE)+1,FALSE))),'détails investissements'!$U$6:$AB$7,2,FALSE),""),FALSE),"")</f>
        <v/>
      </c>
      <c r="W12" s="45" t="str">
        <f>IF(IF(IF(W$3-VLOOKUP($A12,'détails investissements'!$A$71:$B$88,2,FALSE)&lt;=0,"",IF(VLOOKUP($A12,'détails investissements'!$A$26:$DE$43,W$3-VLOOKUP($A12,'détails investissements'!$A$71:$B$88,2,FALSE)+1,FALSE)="","",VLOOKUP($A12,'détails investissements'!$A$26:$DE$43,W$3-VLOOKUP($A12,'détails investissements'!$A$71:$B$88,2,FALSE)+1,FALSE)))&lt;&gt;"",HLOOKUP(IF(W$3-VLOOKUP($A12,'détails investissements'!$A$71:$B$88,2,FALSE)&lt;=0,"",IF(VLOOKUP($A12,'détails investissements'!$A$26:$DE$43,W$3-VLOOKUP($A12,'détails investissements'!$A$71:$B$88,2,FALSE)+1,FALSE)="","",VLOOKUP($A12,'détails investissements'!$A$26:$DE$43,W$3-VLOOKUP($A12,'détails investissements'!$A$71:$B$88,2,FALSE)+1,FALSE))),'détails investissements'!$U$6:$AB$7,2,FALSE),"")&lt;&gt;"",VLOOKUP($A12,'détails investissements'!$A$7:$H$21,1+IF(IF(W$3-VLOOKUP($A12,'détails investissements'!$A$71:$B$88,2,FALSE)&lt;=0,"",IF(VLOOKUP($A12,'détails investissements'!$A$26:$DE$43,W$3-VLOOKUP($A12,'détails investissements'!$A$71:$B$88,2,FALSE)+1,FALSE)="","",VLOOKUP($A12,'détails investissements'!$A$26:$DE$43,W$3-VLOOKUP($A12,'détails investissements'!$A$71:$B$88,2,FALSE)+1,FALSE)))&lt;&gt;"",HLOOKUP(IF(W$3-VLOOKUP($A12,'détails investissements'!$A$71:$B$88,2,FALSE)&lt;=0,"",IF(VLOOKUP($A12,'détails investissements'!$A$26:$DE$43,W$3-VLOOKUP($A12,'détails investissements'!$A$71:$B$88,2,FALSE)+1,FALSE)="","",VLOOKUP($A12,'détails investissements'!$A$26:$DE$43,W$3-VLOOKUP($A12,'détails investissements'!$A$71:$B$88,2,FALSE)+1,FALSE))),'détails investissements'!$U$6:$AB$7,2,FALSE),""),FALSE),"")</f>
        <v/>
      </c>
      <c r="X12" s="45" t="str">
        <f>IF(IF(IF(X$3-VLOOKUP($A12,'détails investissements'!$A$71:$B$88,2,FALSE)&lt;=0,"",IF(VLOOKUP($A12,'détails investissements'!$A$26:$DE$43,X$3-VLOOKUP($A12,'détails investissements'!$A$71:$B$88,2,FALSE)+1,FALSE)="","",VLOOKUP($A12,'détails investissements'!$A$26:$DE$43,X$3-VLOOKUP($A12,'détails investissements'!$A$71:$B$88,2,FALSE)+1,FALSE)))&lt;&gt;"",HLOOKUP(IF(X$3-VLOOKUP($A12,'détails investissements'!$A$71:$B$88,2,FALSE)&lt;=0,"",IF(VLOOKUP($A12,'détails investissements'!$A$26:$DE$43,X$3-VLOOKUP($A12,'détails investissements'!$A$71:$B$88,2,FALSE)+1,FALSE)="","",VLOOKUP($A12,'détails investissements'!$A$26:$DE$43,X$3-VLOOKUP($A12,'détails investissements'!$A$71:$B$88,2,FALSE)+1,FALSE))),'détails investissements'!$U$6:$AB$7,2,FALSE),"")&lt;&gt;"",VLOOKUP($A12,'détails investissements'!$A$7:$H$21,1+IF(IF(X$3-VLOOKUP($A12,'détails investissements'!$A$71:$B$88,2,FALSE)&lt;=0,"",IF(VLOOKUP($A12,'détails investissements'!$A$26:$DE$43,X$3-VLOOKUP($A12,'détails investissements'!$A$71:$B$88,2,FALSE)+1,FALSE)="","",VLOOKUP($A12,'détails investissements'!$A$26:$DE$43,X$3-VLOOKUP($A12,'détails investissements'!$A$71:$B$88,2,FALSE)+1,FALSE)))&lt;&gt;"",HLOOKUP(IF(X$3-VLOOKUP($A12,'détails investissements'!$A$71:$B$88,2,FALSE)&lt;=0,"",IF(VLOOKUP($A12,'détails investissements'!$A$26:$DE$43,X$3-VLOOKUP($A12,'détails investissements'!$A$71:$B$88,2,FALSE)+1,FALSE)="","",VLOOKUP($A12,'détails investissements'!$A$26:$DE$43,X$3-VLOOKUP($A12,'détails investissements'!$A$71:$B$88,2,FALSE)+1,FALSE))),'détails investissements'!$U$6:$AB$7,2,FALSE),""),FALSE),"")</f>
        <v/>
      </c>
      <c r="Y12" s="45">
        <f>IF(IF(IF(Y$3-VLOOKUP($A12,'détails investissements'!$A$71:$B$88,2,FALSE)&lt;=0,"",IF(VLOOKUP($A12,'détails investissements'!$A$26:$DE$43,Y$3-VLOOKUP($A12,'détails investissements'!$A$71:$B$88,2,FALSE)+1,FALSE)="","",VLOOKUP($A12,'détails investissements'!$A$26:$DE$43,Y$3-VLOOKUP($A12,'détails investissements'!$A$71:$B$88,2,FALSE)+1,FALSE)))&lt;&gt;"",HLOOKUP(IF(Y$3-VLOOKUP($A12,'détails investissements'!$A$71:$B$88,2,FALSE)&lt;=0,"",IF(VLOOKUP($A12,'détails investissements'!$A$26:$DE$43,Y$3-VLOOKUP($A12,'détails investissements'!$A$71:$B$88,2,FALSE)+1,FALSE)="","",VLOOKUP($A12,'détails investissements'!$A$26:$DE$43,Y$3-VLOOKUP($A12,'détails investissements'!$A$71:$B$88,2,FALSE)+1,FALSE))),'détails investissements'!$U$6:$AB$7,2,FALSE),"")&lt;&gt;"",VLOOKUP($A12,'détails investissements'!$A$7:$H$21,1+IF(IF(Y$3-VLOOKUP($A12,'détails investissements'!$A$71:$B$88,2,FALSE)&lt;=0,"",IF(VLOOKUP($A12,'détails investissements'!$A$26:$DE$43,Y$3-VLOOKUP($A12,'détails investissements'!$A$71:$B$88,2,FALSE)+1,FALSE)="","",VLOOKUP($A12,'détails investissements'!$A$26:$DE$43,Y$3-VLOOKUP($A12,'détails investissements'!$A$71:$B$88,2,FALSE)+1,FALSE)))&lt;&gt;"",HLOOKUP(IF(Y$3-VLOOKUP($A12,'détails investissements'!$A$71:$B$88,2,FALSE)&lt;=0,"",IF(VLOOKUP($A12,'détails investissements'!$A$26:$DE$43,Y$3-VLOOKUP($A12,'détails investissements'!$A$71:$B$88,2,FALSE)+1,FALSE)="","",VLOOKUP($A12,'détails investissements'!$A$26:$DE$43,Y$3-VLOOKUP($A12,'détails investissements'!$A$71:$B$88,2,FALSE)+1,FALSE))),'détails investissements'!$U$6:$AB$7,2,FALSE),""),FALSE),"")</f>
        <v>0.15</v>
      </c>
      <c r="Z12" s="45" t="str">
        <f>IF(IF(IF(Z$3-VLOOKUP($A12,'détails investissements'!$A$71:$B$88,2,FALSE)&lt;=0,"",IF(VLOOKUP($A12,'détails investissements'!$A$26:$DE$43,Z$3-VLOOKUP($A12,'détails investissements'!$A$71:$B$88,2,FALSE)+1,FALSE)="","",VLOOKUP($A12,'détails investissements'!$A$26:$DE$43,Z$3-VLOOKUP($A12,'détails investissements'!$A$71:$B$88,2,FALSE)+1,FALSE)))&lt;&gt;"",HLOOKUP(IF(Z$3-VLOOKUP($A12,'détails investissements'!$A$71:$B$88,2,FALSE)&lt;=0,"",IF(VLOOKUP($A12,'détails investissements'!$A$26:$DE$43,Z$3-VLOOKUP($A12,'détails investissements'!$A$71:$B$88,2,FALSE)+1,FALSE)="","",VLOOKUP($A12,'détails investissements'!$A$26:$DE$43,Z$3-VLOOKUP($A12,'détails investissements'!$A$71:$B$88,2,FALSE)+1,FALSE))),'détails investissements'!$U$6:$AB$7,2,FALSE),"")&lt;&gt;"",VLOOKUP($A12,'détails investissements'!$A$7:$H$21,1+IF(IF(Z$3-VLOOKUP($A12,'détails investissements'!$A$71:$B$88,2,FALSE)&lt;=0,"",IF(VLOOKUP($A12,'détails investissements'!$A$26:$DE$43,Z$3-VLOOKUP($A12,'détails investissements'!$A$71:$B$88,2,FALSE)+1,FALSE)="","",VLOOKUP($A12,'détails investissements'!$A$26:$DE$43,Z$3-VLOOKUP($A12,'détails investissements'!$A$71:$B$88,2,FALSE)+1,FALSE)))&lt;&gt;"",HLOOKUP(IF(Z$3-VLOOKUP($A12,'détails investissements'!$A$71:$B$88,2,FALSE)&lt;=0,"",IF(VLOOKUP($A12,'détails investissements'!$A$26:$DE$43,Z$3-VLOOKUP($A12,'détails investissements'!$A$71:$B$88,2,FALSE)+1,FALSE)="","",VLOOKUP($A12,'détails investissements'!$A$26:$DE$43,Z$3-VLOOKUP($A12,'détails investissements'!$A$71:$B$88,2,FALSE)+1,FALSE))),'détails investissements'!$U$6:$AB$7,2,FALSE),""),FALSE),"")</f>
        <v/>
      </c>
      <c r="AA12" s="45">
        <f>IF(IF(IF(AA$3-VLOOKUP($A12,'détails investissements'!$A$71:$B$88,2,FALSE)&lt;=0,"",IF(VLOOKUP($A12,'détails investissements'!$A$26:$DE$43,AA$3-VLOOKUP($A12,'détails investissements'!$A$71:$B$88,2,FALSE)+1,FALSE)="","",VLOOKUP($A12,'détails investissements'!$A$26:$DE$43,AA$3-VLOOKUP($A12,'détails investissements'!$A$71:$B$88,2,FALSE)+1,FALSE)))&lt;&gt;"",HLOOKUP(IF(AA$3-VLOOKUP($A12,'détails investissements'!$A$71:$B$88,2,FALSE)&lt;=0,"",IF(VLOOKUP($A12,'détails investissements'!$A$26:$DE$43,AA$3-VLOOKUP($A12,'détails investissements'!$A$71:$B$88,2,FALSE)+1,FALSE)="","",VLOOKUP($A12,'détails investissements'!$A$26:$DE$43,AA$3-VLOOKUP($A12,'détails investissements'!$A$71:$B$88,2,FALSE)+1,FALSE))),'détails investissements'!$U$6:$AB$7,2,FALSE),"")&lt;&gt;"",VLOOKUP($A12,'détails investissements'!$A$7:$H$21,1+IF(IF(AA$3-VLOOKUP($A12,'détails investissements'!$A$71:$B$88,2,FALSE)&lt;=0,"",IF(VLOOKUP($A12,'détails investissements'!$A$26:$DE$43,AA$3-VLOOKUP($A12,'détails investissements'!$A$71:$B$88,2,FALSE)+1,FALSE)="","",VLOOKUP($A12,'détails investissements'!$A$26:$DE$43,AA$3-VLOOKUP($A12,'détails investissements'!$A$71:$B$88,2,FALSE)+1,FALSE)))&lt;&gt;"",HLOOKUP(IF(AA$3-VLOOKUP($A12,'détails investissements'!$A$71:$B$88,2,FALSE)&lt;=0,"",IF(VLOOKUP($A12,'détails investissements'!$A$26:$DE$43,AA$3-VLOOKUP($A12,'détails investissements'!$A$71:$B$88,2,FALSE)+1,FALSE)="","",VLOOKUP($A12,'détails investissements'!$A$26:$DE$43,AA$3-VLOOKUP($A12,'détails investissements'!$A$71:$B$88,2,FALSE)+1,FALSE))),'détails investissements'!$U$6:$AB$7,2,FALSE),""),FALSE),"")</f>
        <v>0.2</v>
      </c>
      <c r="AB12" s="45">
        <f>IF(IF(IF(AB$3-VLOOKUP($A12,'détails investissements'!$A$71:$B$88,2,FALSE)&lt;=0,"",IF(VLOOKUP($A12,'détails investissements'!$A$26:$DE$43,AB$3-VLOOKUP($A12,'détails investissements'!$A$71:$B$88,2,FALSE)+1,FALSE)="","",VLOOKUP($A12,'détails investissements'!$A$26:$DE$43,AB$3-VLOOKUP($A12,'détails investissements'!$A$71:$B$88,2,FALSE)+1,FALSE)))&lt;&gt;"",HLOOKUP(IF(AB$3-VLOOKUP($A12,'détails investissements'!$A$71:$B$88,2,FALSE)&lt;=0,"",IF(VLOOKUP($A12,'détails investissements'!$A$26:$DE$43,AB$3-VLOOKUP($A12,'détails investissements'!$A$71:$B$88,2,FALSE)+1,FALSE)="","",VLOOKUP($A12,'détails investissements'!$A$26:$DE$43,AB$3-VLOOKUP($A12,'détails investissements'!$A$71:$B$88,2,FALSE)+1,FALSE))),'détails investissements'!$U$6:$AB$7,2,FALSE),"")&lt;&gt;"",VLOOKUP($A12,'détails investissements'!$A$7:$H$21,1+IF(IF(AB$3-VLOOKUP($A12,'détails investissements'!$A$71:$B$88,2,FALSE)&lt;=0,"",IF(VLOOKUP($A12,'détails investissements'!$A$26:$DE$43,AB$3-VLOOKUP($A12,'détails investissements'!$A$71:$B$88,2,FALSE)+1,FALSE)="","",VLOOKUP($A12,'détails investissements'!$A$26:$DE$43,AB$3-VLOOKUP($A12,'détails investissements'!$A$71:$B$88,2,FALSE)+1,FALSE)))&lt;&gt;"",HLOOKUP(IF(AB$3-VLOOKUP($A12,'détails investissements'!$A$71:$B$88,2,FALSE)&lt;=0,"",IF(VLOOKUP($A12,'détails investissements'!$A$26:$DE$43,AB$3-VLOOKUP($A12,'détails investissements'!$A$71:$B$88,2,FALSE)+1,FALSE)="","",VLOOKUP($A12,'détails investissements'!$A$26:$DE$43,AB$3-VLOOKUP($A12,'détails investissements'!$A$71:$B$88,2,FALSE)+1,FALSE))),'détails investissements'!$U$6:$AB$7,2,FALSE),""),FALSE),"")</f>
        <v>0.25</v>
      </c>
      <c r="AC12" s="45" t="str">
        <f>IF(IF(IF(AC$3-VLOOKUP($A12,'détails investissements'!$A$71:$B$88,2,FALSE)&lt;=0,"",IF(VLOOKUP($A12,'détails investissements'!$A$26:$DE$43,AC$3-VLOOKUP($A12,'détails investissements'!$A$71:$B$88,2,FALSE)+1,FALSE)="","",VLOOKUP($A12,'détails investissements'!$A$26:$DE$43,AC$3-VLOOKUP($A12,'détails investissements'!$A$71:$B$88,2,FALSE)+1,FALSE)))&lt;&gt;"",HLOOKUP(IF(AC$3-VLOOKUP($A12,'détails investissements'!$A$71:$B$88,2,FALSE)&lt;=0,"",IF(VLOOKUP($A12,'détails investissements'!$A$26:$DE$43,AC$3-VLOOKUP($A12,'détails investissements'!$A$71:$B$88,2,FALSE)+1,FALSE)="","",VLOOKUP($A12,'détails investissements'!$A$26:$DE$43,AC$3-VLOOKUP($A12,'détails investissements'!$A$71:$B$88,2,FALSE)+1,FALSE))),'détails investissements'!$U$6:$AB$7,2,FALSE),"")&lt;&gt;"",VLOOKUP($A12,'détails investissements'!$A$7:$H$21,1+IF(IF(AC$3-VLOOKUP($A12,'détails investissements'!$A$71:$B$88,2,FALSE)&lt;=0,"",IF(VLOOKUP($A12,'détails investissements'!$A$26:$DE$43,AC$3-VLOOKUP($A12,'détails investissements'!$A$71:$B$88,2,FALSE)+1,FALSE)="","",VLOOKUP($A12,'détails investissements'!$A$26:$DE$43,AC$3-VLOOKUP($A12,'détails investissements'!$A$71:$B$88,2,FALSE)+1,FALSE)))&lt;&gt;"",HLOOKUP(IF(AC$3-VLOOKUP($A12,'détails investissements'!$A$71:$B$88,2,FALSE)&lt;=0,"",IF(VLOOKUP($A12,'détails investissements'!$A$26:$DE$43,AC$3-VLOOKUP($A12,'détails investissements'!$A$71:$B$88,2,FALSE)+1,FALSE)="","",VLOOKUP($A12,'détails investissements'!$A$26:$DE$43,AC$3-VLOOKUP($A12,'détails investissements'!$A$71:$B$88,2,FALSE)+1,FALSE))),'détails investissements'!$U$6:$AB$7,2,FALSE),""),FALSE),"")</f>
        <v/>
      </c>
      <c r="AD12" s="45">
        <f>IF(IF(IF(AD$3-VLOOKUP($A12,'détails investissements'!$A$71:$B$88,2,FALSE)&lt;=0,"",IF(VLOOKUP($A12,'détails investissements'!$A$26:$DE$43,AD$3-VLOOKUP($A12,'détails investissements'!$A$71:$B$88,2,FALSE)+1,FALSE)="","",VLOOKUP($A12,'détails investissements'!$A$26:$DE$43,AD$3-VLOOKUP($A12,'détails investissements'!$A$71:$B$88,2,FALSE)+1,FALSE)))&lt;&gt;"",HLOOKUP(IF(AD$3-VLOOKUP($A12,'détails investissements'!$A$71:$B$88,2,FALSE)&lt;=0,"",IF(VLOOKUP($A12,'détails investissements'!$A$26:$DE$43,AD$3-VLOOKUP($A12,'détails investissements'!$A$71:$B$88,2,FALSE)+1,FALSE)="","",VLOOKUP($A12,'détails investissements'!$A$26:$DE$43,AD$3-VLOOKUP($A12,'détails investissements'!$A$71:$B$88,2,FALSE)+1,FALSE))),'détails investissements'!$U$6:$AB$7,2,FALSE),"")&lt;&gt;"",VLOOKUP($A12,'détails investissements'!$A$7:$H$21,1+IF(IF(AD$3-VLOOKUP($A12,'détails investissements'!$A$71:$B$88,2,FALSE)&lt;=0,"",IF(VLOOKUP($A12,'détails investissements'!$A$26:$DE$43,AD$3-VLOOKUP($A12,'détails investissements'!$A$71:$B$88,2,FALSE)+1,FALSE)="","",VLOOKUP($A12,'détails investissements'!$A$26:$DE$43,AD$3-VLOOKUP($A12,'détails investissements'!$A$71:$B$88,2,FALSE)+1,FALSE)))&lt;&gt;"",HLOOKUP(IF(AD$3-VLOOKUP($A12,'détails investissements'!$A$71:$B$88,2,FALSE)&lt;=0,"",IF(VLOOKUP($A12,'détails investissements'!$A$26:$DE$43,AD$3-VLOOKUP($A12,'détails investissements'!$A$71:$B$88,2,FALSE)+1,FALSE)="","",VLOOKUP($A12,'détails investissements'!$A$26:$DE$43,AD$3-VLOOKUP($A12,'détails investissements'!$A$71:$B$88,2,FALSE)+1,FALSE))),'détails investissements'!$U$6:$AB$7,2,FALSE),""),FALSE),"")</f>
        <v>0.15</v>
      </c>
      <c r="AE12" s="45" t="str">
        <f>IF(IF(IF(AE$3-VLOOKUP($A12,'détails investissements'!$A$71:$B$88,2,FALSE)&lt;=0,"",IF(VLOOKUP($A12,'détails investissements'!$A$26:$DE$43,AE$3-VLOOKUP($A12,'détails investissements'!$A$71:$B$88,2,FALSE)+1,FALSE)="","",VLOOKUP($A12,'détails investissements'!$A$26:$DE$43,AE$3-VLOOKUP($A12,'détails investissements'!$A$71:$B$88,2,FALSE)+1,FALSE)))&lt;&gt;"",HLOOKUP(IF(AE$3-VLOOKUP($A12,'détails investissements'!$A$71:$B$88,2,FALSE)&lt;=0,"",IF(VLOOKUP($A12,'détails investissements'!$A$26:$DE$43,AE$3-VLOOKUP($A12,'détails investissements'!$A$71:$B$88,2,FALSE)+1,FALSE)="","",VLOOKUP($A12,'détails investissements'!$A$26:$DE$43,AE$3-VLOOKUP($A12,'détails investissements'!$A$71:$B$88,2,FALSE)+1,FALSE))),'détails investissements'!$U$6:$AB$7,2,FALSE),"")&lt;&gt;"",VLOOKUP($A12,'détails investissements'!$A$7:$H$21,1+IF(IF(AE$3-VLOOKUP($A12,'détails investissements'!$A$71:$B$88,2,FALSE)&lt;=0,"",IF(VLOOKUP($A12,'détails investissements'!$A$26:$DE$43,AE$3-VLOOKUP($A12,'détails investissements'!$A$71:$B$88,2,FALSE)+1,FALSE)="","",VLOOKUP($A12,'détails investissements'!$A$26:$DE$43,AE$3-VLOOKUP($A12,'détails investissements'!$A$71:$B$88,2,FALSE)+1,FALSE)))&lt;&gt;"",HLOOKUP(IF(AE$3-VLOOKUP($A12,'détails investissements'!$A$71:$B$88,2,FALSE)&lt;=0,"",IF(VLOOKUP($A12,'détails investissements'!$A$26:$DE$43,AE$3-VLOOKUP($A12,'détails investissements'!$A$71:$B$88,2,FALSE)+1,FALSE)="","",VLOOKUP($A12,'détails investissements'!$A$26:$DE$43,AE$3-VLOOKUP($A12,'détails investissements'!$A$71:$B$88,2,FALSE)+1,FALSE))),'détails investissements'!$U$6:$AB$7,2,FALSE),""),FALSE),"")</f>
        <v/>
      </c>
      <c r="AF12" s="45" t="str">
        <f>IF(IF(IF(AF$3-VLOOKUP($A12,'détails investissements'!$A$71:$B$88,2,FALSE)&lt;=0,"",IF(VLOOKUP($A12,'détails investissements'!$A$26:$DE$43,AF$3-VLOOKUP($A12,'détails investissements'!$A$71:$B$88,2,FALSE)+1,FALSE)="","",VLOOKUP($A12,'détails investissements'!$A$26:$DE$43,AF$3-VLOOKUP($A12,'détails investissements'!$A$71:$B$88,2,FALSE)+1,FALSE)))&lt;&gt;"",HLOOKUP(IF(AF$3-VLOOKUP($A12,'détails investissements'!$A$71:$B$88,2,FALSE)&lt;=0,"",IF(VLOOKUP($A12,'détails investissements'!$A$26:$DE$43,AF$3-VLOOKUP($A12,'détails investissements'!$A$71:$B$88,2,FALSE)+1,FALSE)="","",VLOOKUP($A12,'détails investissements'!$A$26:$DE$43,AF$3-VLOOKUP($A12,'détails investissements'!$A$71:$B$88,2,FALSE)+1,FALSE))),'détails investissements'!$U$6:$AB$7,2,FALSE),"")&lt;&gt;"",VLOOKUP($A12,'détails investissements'!$A$7:$H$21,1+IF(IF(AF$3-VLOOKUP($A12,'détails investissements'!$A$71:$B$88,2,FALSE)&lt;=0,"",IF(VLOOKUP($A12,'détails investissements'!$A$26:$DE$43,AF$3-VLOOKUP($A12,'détails investissements'!$A$71:$B$88,2,FALSE)+1,FALSE)="","",VLOOKUP($A12,'détails investissements'!$A$26:$DE$43,AF$3-VLOOKUP($A12,'détails investissements'!$A$71:$B$88,2,FALSE)+1,FALSE)))&lt;&gt;"",HLOOKUP(IF(AF$3-VLOOKUP($A12,'détails investissements'!$A$71:$B$88,2,FALSE)&lt;=0,"",IF(VLOOKUP($A12,'détails investissements'!$A$26:$DE$43,AF$3-VLOOKUP($A12,'détails investissements'!$A$71:$B$88,2,FALSE)+1,FALSE)="","",VLOOKUP($A12,'détails investissements'!$A$26:$DE$43,AF$3-VLOOKUP($A12,'détails investissements'!$A$71:$B$88,2,FALSE)+1,FALSE))),'détails investissements'!$U$6:$AB$7,2,FALSE),""),FALSE),"")</f>
        <v/>
      </c>
      <c r="AG12" s="45" t="str">
        <f>IF(IF(IF(AG$3-VLOOKUP($A12,'détails investissements'!$A$71:$B$88,2,FALSE)&lt;=0,"",IF(VLOOKUP($A12,'détails investissements'!$A$26:$DE$43,AG$3-VLOOKUP($A12,'détails investissements'!$A$71:$B$88,2,FALSE)+1,FALSE)="","",VLOOKUP($A12,'détails investissements'!$A$26:$DE$43,AG$3-VLOOKUP($A12,'détails investissements'!$A$71:$B$88,2,FALSE)+1,FALSE)))&lt;&gt;"",HLOOKUP(IF(AG$3-VLOOKUP($A12,'détails investissements'!$A$71:$B$88,2,FALSE)&lt;=0,"",IF(VLOOKUP($A12,'détails investissements'!$A$26:$DE$43,AG$3-VLOOKUP($A12,'détails investissements'!$A$71:$B$88,2,FALSE)+1,FALSE)="","",VLOOKUP($A12,'détails investissements'!$A$26:$DE$43,AG$3-VLOOKUP($A12,'détails investissements'!$A$71:$B$88,2,FALSE)+1,FALSE))),'détails investissements'!$U$6:$AB$7,2,FALSE),"")&lt;&gt;"",VLOOKUP($A12,'détails investissements'!$A$7:$H$21,1+IF(IF(AG$3-VLOOKUP($A12,'détails investissements'!$A$71:$B$88,2,FALSE)&lt;=0,"",IF(VLOOKUP($A12,'détails investissements'!$A$26:$DE$43,AG$3-VLOOKUP($A12,'détails investissements'!$A$71:$B$88,2,FALSE)+1,FALSE)="","",VLOOKUP($A12,'détails investissements'!$A$26:$DE$43,AG$3-VLOOKUP($A12,'détails investissements'!$A$71:$B$88,2,FALSE)+1,FALSE)))&lt;&gt;"",HLOOKUP(IF(AG$3-VLOOKUP($A12,'détails investissements'!$A$71:$B$88,2,FALSE)&lt;=0,"",IF(VLOOKUP($A12,'détails investissements'!$A$26:$DE$43,AG$3-VLOOKUP($A12,'détails investissements'!$A$71:$B$88,2,FALSE)+1,FALSE)="","",VLOOKUP($A12,'détails investissements'!$A$26:$DE$43,AG$3-VLOOKUP($A12,'détails investissements'!$A$71:$B$88,2,FALSE)+1,FALSE))),'détails investissements'!$U$6:$AB$7,2,FALSE),""),FALSE),"")</f>
        <v/>
      </c>
      <c r="AH12" s="45" t="str">
        <f>IF(IF(IF(AH$3-VLOOKUP($A12,'détails investissements'!$A$71:$B$88,2,FALSE)&lt;=0,"",IF(VLOOKUP($A12,'détails investissements'!$A$26:$DE$43,AH$3-VLOOKUP($A12,'détails investissements'!$A$71:$B$88,2,FALSE)+1,FALSE)="","",VLOOKUP($A12,'détails investissements'!$A$26:$DE$43,AH$3-VLOOKUP($A12,'détails investissements'!$A$71:$B$88,2,FALSE)+1,FALSE)))&lt;&gt;"",HLOOKUP(IF(AH$3-VLOOKUP($A12,'détails investissements'!$A$71:$B$88,2,FALSE)&lt;=0,"",IF(VLOOKUP($A12,'détails investissements'!$A$26:$DE$43,AH$3-VLOOKUP($A12,'détails investissements'!$A$71:$B$88,2,FALSE)+1,FALSE)="","",VLOOKUP($A12,'détails investissements'!$A$26:$DE$43,AH$3-VLOOKUP($A12,'détails investissements'!$A$71:$B$88,2,FALSE)+1,FALSE))),'détails investissements'!$U$6:$AB$7,2,FALSE),"")&lt;&gt;"",VLOOKUP($A12,'détails investissements'!$A$7:$H$21,1+IF(IF(AH$3-VLOOKUP($A12,'détails investissements'!$A$71:$B$88,2,FALSE)&lt;=0,"",IF(VLOOKUP($A12,'détails investissements'!$A$26:$DE$43,AH$3-VLOOKUP($A12,'détails investissements'!$A$71:$B$88,2,FALSE)+1,FALSE)="","",VLOOKUP($A12,'détails investissements'!$A$26:$DE$43,AH$3-VLOOKUP($A12,'détails investissements'!$A$71:$B$88,2,FALSE)+1,FALSE)))&lt;&gt;"",HLOOKUP(IF(AH$3-VLOOKUP($A12,'détails investissements'!$A$71:$B$88,2,FALSE)&lt;=0,"",IF(VLOOKUP($A12,'détails investissements'!$A$26:$DE$43,AH$3-VLOOKUP($A12,'détails investissements'!$A$71:$B$88,2,FALSE)+1,FALSE)="","",VLOOKUP($A12,'détails investissements'!$A$26:$DE$43,AH$3-VLOOKUP($A12,'détails investissements'!$A$71:$B$88,2,FALSE)+1,FALSE))),'détails investissements'!$U$6:$AB$7,2,FALSE),""),FALSE),"")</f>
        <v/>
      </c>
      <c r="AI12" s="45" t="str">
        <f>IF(IF(IF(AI$3-VLOOKUP($A12,'détails investissements'!$A$71:$B$88,2,FALSE)&lt;=0,"",IF(VLOOKUP($A12,'détails investissements'!$A$26:$DE$43,AI$3-VLOOKUP($A12,'détails investissements'!$A$71:$B$88,2,FALSE)+1,FALSE)="","",VLOOKUP($A12,'détails investissements'!$A$26:$DE$43,AI$3-VLOOKUP($A12,'détails investissements'!$A$71:$B$88,2,FALSE)+1,FALSE)))&lt;&gt;"",HLOOKUP(IF(AI$3-VLOOKUP($A12,'détails investissements'!$A$71:$B$88,2,FALSE)&lt;=0,"",IF(VLOOKUP($A12,'détails investissements'!$A$26:$DE$43,AI$3-VLOOKUP($A12,'détails investissements'!$A$71:$B$88,2,FALSE)+1,FALSE)="","",VLOOKUP($A12,'détails investissements'!$A$26:$DE$43,AI$3-VLOOKUP($A12,'détails investissements'!$A$71:$B$88,2,FALSE)+1,FALSE))),'détails investissements'!$U$6:$AB$7,2,FALSE),"")&lt;&gt;"",VLOOKUP($A12,'détails investissements'!$A$7:$H$21,1+IF(IF(AI$3-VLOOKUP($A12,'détails investissements'!$A$71:$B$88,2,FALSE)&lt;=0,"",IF(VLOOKUP($A12,'détails investissements'!$A$26:$DE$43,AI$3-VLOOKUP($A12,'détails investissements'!$A$71:$B$88,2,FALSE)+1,FALSE)="","",VLOOKUP($A12,'détails investissements'!$A$26:$DE$43,AI$3-VLOOKUP($A12,'détails investissements'!$A$71:$B$88,2,FALSE)+1,FALSE)))&lt;&gt;"",HLOOKUP(IF(AI$3-VLOOKUP($A12,'détails investissements'!$A$71:$B$88,2,FALSE)&lt;=0,"",IF(VLOOKUP($A12,'détails investissements'!$A$26:$DE$43,AI$3-VLOOKUP($A12,'détails investissements'!$A$71:$B$88,2,FALSE)+1,FALSE)="","",VLOOKUP($A12,'détails investissements'!$A$26:$DE$43,AI$3-VLOOKUP($A12,'détails investissements'!$A$71:$B$88,2,FALSE)+1,FALSE))),'détails investissements'!$U$6:$AB$7,2,FALSE),""),FALSE),"")</f>
        <v/>
      </c>
      <c r="AJ12" s="45" t="str">
        <f>IF(IF(IF(AJ$3-VLOOKUP($A12,'détails investissements'!$A$71:$B$88,2,FALSE)&lt;=0,"",IF(VLOOKUP($A12,'détails investissements'!$A$26:$DE$43,AJ$3-VLOOKUP($A12,'détails investissements'!$A$71:$B$88,2,FALSE)+1,FALSE)="","",VLOOKUP($A12,'détails investissements'!$A$26:$DE$43,AJ$3-VLOOKUP($A12,'détails investissements'!$A$71:$B$88,2,FALSE)+1,FALSE)))&lt;&gt;"",HLOOKUP(IF(AJ$3-VLOOKUP($A12,'détails investissements'!$A$71:$B$88,2,FALSE)&lt;=0,"",IF(VLOOKUP($A12,'détails investissements'!$A$26:$DE$43,AJ$3-VLOOKUP($A12,'détails investissements'!$A$71:$B$88,2,FALSE)+1,FALSE)="","",VLOOKUP($A12,'détails investissements'!$A$26:$DE$43,AJ$3-VLOOKUP($A12,'détails investissements'!$A$71:$B$88,2,FALSE)+1,FALSE))),'détails investissements'!$U$6:$AB$7,2,FALSE),"")&lt;&gt;"",VLOOKUP($A12,'détails investissements'!$A$7:$H$21,1+IF(IF(AJ$3-VLOOKUP($A12,'détails investissements'!$A$71:$B$88,2,FALSE)&lt;=0,"",IF(VLOOKUP($A12,'détails investissements'!$A$26:$DE$43,AJ$3-VLOOKUP($A12,'détails investissements'!$A$71:$B$88,2,FALSE)+1,FALSE)="","",VLOOKUP($A12,'détails investissements'!$A$26:$DE$43,AJ$3-VLOOKUP($A12,'détails investissements'!$A$71:$B$88,2,FALSE)+1,FALSE)))&lt;&gt;"",HLOOKUP(IF(AJ$3-VLOOKUP($A12,'détails investissements'!$A$71:$B$88,2,FALSE)&lt;=0,"",IF(VLOOKUP($A12,'détails investissements'!$A$26:$DE$43,AJ$3-VLOOKUP($A12,'détails investissements'!$A$71:$B$88,2,FALSE)+1,FALSE)="","",VLOOKUP($A12,'détails investissements'!$A$26:$DE$43,AJ$3-VLOOKUP($A12,'détails investissements'!$A$71:$B$88,2,FALSE)+1,FALSE))),'détails investissements'!$U$6:$AB$7,2,FALSE),""),FALSE),"")</f>
        <v/>
      </c>
      <c r="AK12" s="45" t="str">
        <f>IF(IF(IF(AK$3-VLOOKUP($A12,'détails investissements'!$A$71:$B$88,2,FALSE)&lt;=0,"",IF(VLOOKUP($A12,'détails investissements'!$A$26:$DE$43,AK$3-VLOOKUP($A12,'détails investissements'!$A$71:$B$88,2,FALSE)+1,FALSE)="","",VLOOKUP($A12,'détails investissements'!$A$26:$DE$43,AK$3-VLOOKUP($A12,'détails investissements'!$A$71:$B$88,2,FALSE)+1,FALSE)))&lt;&gt;"",HLOOKUP(IF(AK$3-VLOOKUP($A12,'détails investissements'!$A$71:$B$88,2,FALSE)&lt;=0,"",IF(VLOOKUP($A12,'détails investissements'!$A$26:$DE$43,AK$3-VLOOKUP($A12,'détails investissements'!$A$71:$B$88,2,FALSE)+1,FALSE)="","",VLOOKUP($A12,'détails investissements'!$A$26:$DE$43,AK$3-VLOOKUP($A12,'détails investissements'!$A$71:$B$88,2,FALSE)+1,FALSE))),'détails investissements'!$U$6:$AB$7,2,FALSE),"")&lt;&gt;"",VLOOKUP($A12,'détails investissements'!$A$7:$H$21,1+IF(IF(AK$3-VLOOKUP($A12,'détails investissements'!$A$71:$B$88,2,FALSE)&lt;=0,"",IF(VLOOKUP($A12,'détails investissements'!$A$26:$DE$43,AK$3-VLOOKUP($A12,'détails investissements'!$A$71:$B$88,2,FALSE)+1,FALSE)="","",VLOOKUP($A12,'détails investissements'!$A$26:$DE$43,AK$3-VLOOKUP($A12,'détails investissements'!$A$71:$B$88,2,FALSE)+1,FALSE)))&lt;&gt;"",HLOOKUP(IF(AK$3-VLOOKUP($A12,'détails investissements'!$A$71:$B$88,2,FALSE)&lt;=0,"",IF(VLOOKUP($A12,'détails investissements'!$A$26:$DE$43,AK$3-VLOOKUP($A12,'détails investissements'!$A$71:$B$88,2,FALSE)+1,FALSE)="","",VLOOKUP($A12,'détails investissements'!$A$26:$DE$43,AK$3-VLOOKUP($A12,'détails investissements'!$A$71:$B$88,2,FALSE)+1,FALSE))),'détails investissements'!$U$6:$AB$7,2,FALSE),""),FALSE),"")</f>
        <v/>
      </c>
      <c r="AL12" s="45" t="str">
        <f>IF(IF(IF(AL$3-VLOOKUP($A12,'détails investissements'!$A$71:$B$88,2,FALSE)&lt;=0,"",IF(VLOOKUP($A12,'détails investissements'!$A$26:$DE$43,AL$3-VLOOKUP($A12,'détails investissements'!$A$71:$B$88,2,FALSE)+1,FALSE)="","",VLOOKUP($A12,'détails investissements'!$A$26:$DE$43,AL$3-VLOOKUP($A12,'détails investissements'!$A$71:$B$88,2,FALSE)+1,FALSE)))&lt;&gt;"",HLOOKUP(IF(AL$3-VLOOKUP($A12,'détails investissements'!$A$71:$B$88,2,FALSE)&lt;=0,"",IF(VLOOKUP($A12,'détails investissements'!$A$26:$DE$43,AL$3-VLOOKUP($A12,'détails investissements'!$A$71:$B$88,2,FALSE)+1,FALSE)="","",VLOOKUP($A12,'détails investissements'!$A$26:$DE$43,AL$3-VLOOKUP($A12,'détails investissements'!$A$71:$B$88,2,FALSE)+1,FALSE))),'détails investissements'!$U$6:$AB$7,2,FALSE),"")&lt;&gt;"",VLOOKUP($A12,'détails investissements'!$A$7:$H$21,1+IF(IF(AL$3-VLOOKUP($A12,'détails investissements'!$A$71:$B$88,2,FALSE)&lt;=0,"",IF(VLOOKUP($A12,'détails investissements'!$A$26:$DE$43,AL$3-VLOOKUP($A12,'détails investissements'!$A$71:$B$88,2,FALSE)+1,FALSE)="","",VLOOKUP($A12,'détails investissements'!$A$26:$DE$43,AL$3-VLOOKUP($A12,'détails investissements'!$A$71:$B$88,2,FALSE)+1,FALSE)))&lt;&gt;"",HLOOKUP(IF(AL$3-VLOOKUP($A12,'détails investissements'!$A$71:$B$88,2,FALSE)&lt;=0,"",IF(VLOOKUP($A12,'détails investissements'!$A$26:$DE$43,AL$3-VLOOKUP($A12,'détails investissements'!$A$71:$B$88,2,FALSE)+1,FALSE)="","",VLOOKUP($A12,'détails investissements'!$A$26:$DE$43,AL$3-VLOOKUP($A12,'détails investissements'!$A$71:$B$88,2,FALSE)+1,FALSE))),'détails investissements'!$U$6:$AB$7,2,FALSE),""),FALSE),"")</f>
        <v/>
      </c>
      <c r="AM12" s="45" t="str">
        <f>IF(IF(IF(AM$3-VLOOKUP($A12,'détails investissements'!$A$71:$B$88,2,FALSE)&lt;=0,"",IF(VLOOKUP($A12,'détails investissements'!$A$26:$DE$43,AM$3-VLOOKUP($A12,'détails investissements'!$A$71:$B$88,2,FALSE)+1,FALSE)="","",VLOOKUP($A12,'détails investissements'!$A$26:$DE$43,AM$3-VLOOKUP($A12,'détails investissements'!$A$71:$B$88,2,FALSE)+1,FALSE)))&lt;&gt;"",HLOOKUP(IF(AM$3-VLOOKUP($A12,'détails investissements'!$A$71:$B$88,2,FALSE)&lt;=0,"",IF(VLOOKUP($A12,'détails investissements'!$A$26:$DE$43,AM$3-VLOOKUP($A12,'détails investissements'!$A$71:$B$88,2,FALSE)+1,FALSE)="","",VLOOKUP($A12,'détails investissements'!$A$26:$DE$43,AM$3-VLOOKUP($A12,'détails investissements'!$A$71:$B$88,2,FALSE)+1,FALSE))),'détails investissements'!$U$6:$AB$7,2,FALSE),"")&lt;&gt;"",VLOOKUP($A12,'détails investissements'!$A$7:$H$21,1+IF(IF(AM$3-VLOOKUP($A12,'détails investissements'!$A$71:$B$88,2,FALSE)&lt;=0,"",IF(VLOOKUP($A12,'détails investissements'!$A$26:$DE$43,AM$3-VLOOKUP($A12,'détails investissements'!$A$71:$B$88,2,FALSE)+1,FALSE)="","",VLOOKUP($A12,'détails investissements'!$A$26:$DE$43,AM$3-VLOOKUP($A12,'détails investissements'!$A$71:$B$88,2,FALSE)+1,FALSE)))&lt;&gt;"",HLOOKUP(IF(AM$3-VLOOKUP($A12,'détails investissements'!$A$71:$B$88,2,FALSE)&lt;=0,"",IF(VLOOKUP($A12,'détails investissements'!$A$26:$DE$43,AM$3-VLOOKUP($A12,'détails investissements'!$A$71:$B$88,2,FALSE)+1,FALSE)="","",VLOOKUP($A12,'détails investissements'!$A$26:$DE$43,AM$3-VLOOKUP($A12,'détails investissements'!$A$71:$B$88,2,FALSE)+1,FALSE))),'détails investissements'!$U$6:$AB$7,2,FALSE),""),FALSE),"")</f>
        <v/>
      </c>
      <c r="AN12" s="45" t="str">
        <f>IF(IF(IF(AN$3-VLOOKUP($A12,'détails investissements'!$A$71:$B$88,2,FALSE)&lt;=0,"",IF(VLOOKUP($A12,'détails investissements'!$A$26:$DE$43,AN$3-VLOOKUP($A12,'détails investissements'!$A$71:$B$88,2,FALSE)+1,FALSE)="","",VLOOKUP($A12,'détails investissements'!$A$26:$DE$43,AN$3-VLOOKUP($A12,'détails investissements'!$A$71:$B$88,2,FALSE)+1,FALSE)))&lt;&gt;"",HLOOKUP(IF(AN$3-VLOOKUP($A12,'détails investissements'!$A$71:$B$88,2,FALSE)&lt;=0,"",IF(VLOOKUP($A12,'détails investissements'!$A$26:$DE$43,AN$3-VLOOKUP($A12,'détails investissements'!$A$71:$B$88,2,FALSE)+1,FALSE)="","",VLOOKUP($A12,'détails investissements'!$A$26:$DE$43,AN$3-VLOOKUP($A12,'détails investissements'!$A$71:$B$88,2,FALSE)+1,FALSE))),'détails investissements'!$U$6:$AB$7,2,FALSE),"")&lt;&gt;"",VLOOKUP($A12,'détails investissements'!$A$7:$H$21,1+IF(IF(AN$3-VLOOKUP($A12,'détails investissements'!$A$71:$B$88,2,FALSE)&lt;=0,"",IF(VLOOKUP($A12,'détails investissements'!$A$26:$DE$43,AN$3-VLOOKUP($A12,'détails investissements'!$A$71:$B$88,2,FALSE)+1,FALSE)="","",VLOOKUP($A12,'détails investissements'!$A$26:$DE$43,AN$3-VLOOKUP($A12,'détails investissements'!$A$71:$B$88,2,FALSE)+1,FALSE)))&lt;&gt;"",HLOOKUP(IF(AN$3-VLOOKUP($A12,'détails investissements'!$A$71:$B$88,2,FALSE)&lt;=0,"",IF(VLOOKUP($A12,'détails investissements'!$A$26:$DE$43,AN$3-VLOOKUP($A12,'détails investissements'!$A$71:$B$88,2,FALSE)+1,FALSE)="","",VLOOKUP($A12,'détails investissements'!$A$26:$DE$43,AN$3-VLOOKUP($A12,'détails investissements'!$A$71:$B$88,2,FALSE)+1,FALSE))),'détails investissements'!$U$6:$AB$7,2,FALSE),""),FALSE),"")</f>
        <v/>
      </c>
      <c r="AO12" s="45" t="str">
        <f>IF(IF(IF(AO$3-VLOOKUP($A12,'détails investissements'!$A$71:$B$88,2,FALSE)&lt;=0,"",IF(VLOOKUP($A12,'détails investissements'!$A$26:$DE$43,AO$3-VLOOKUP($A12,'détails investissements'!$A$71:$B$88,2,FALSE)+1,FALSE)="","",VLOOKUP($A12,'détails investissements'!$A$26:$DE$43,AO$3-VLOOKUP($A12,'détails investissements'!$A$71:$B$88,2,FALSE)+1,FALSE)))&lt;&gt;"",HLOOKUP(IF(AO$3-VLOOKUP($A12,'détails investissements'!$A$71:$B$88,2,FALSE)&lt;=0,"",IF(VLOOKUP($A12,'détails investissements'!$A$26:$DE$43,AO$3-VLOOKUP($A12,'détails investissements'!$A$71:$B$88,2,FALSE)+1,FALSE)="","",VLOOKUP($A12,'détails investissements'!$A$26:$DE$43,AO$3-VLOOKUP($A12,'détails investissements'!$A$71:$B$88,2,FALSE)+1,FALSE))),'détails investissements'!$U$6:$AB$7,2,FALSE),"")&lt;&gt;"",VLOOKUP($A12,'détails investissements'!$A$7:$H$21,1+IF(IF(AO$3-VLOOKUP($A12,'détails investissements'!$A$71:$B$88,2,FALSE)&lt;=0,"",IF(VLOOKUP($A12,'détails investissements'!$A$26:$DE$43,AO$3-VLOOKUP($A12,'détails investissements'!$A$71:$B$88,2,FALSE)+1,FALSE)="","",VLOOKUP($A12,'détails investissements'!$A$26:$DE$43,AO$3-VLOOKUP($A12,'détails investissements'!$A$71:$B$88,2,FALSE)+1,FALSE)))&lt;&gt;"",HLOOKUP(IF(AO$3-VLOOKUP($A12,'détails investissements'!$A$71:$B$88,2,FALSE)&lt;=0,"",IF(VLOOKUP($A12,'détails investissements'!$A$26:$DE$43,AO$3-VLOOKUP($A12,'détails investissements'!$A$71:$B$88,2,FALSE)+1,FALSE)="","",VLOOKUP($A12,'détails investissements'!$A$26:$DE$43,AO$3-VLOOKUP($A12,'détails investissements'!$A$71:$B$88,2,FALSE)+1,FALSE))),'détails investissements'!$U$6:$AB$7,2,FALSE),""),FALSE),"")</f>
        <v/>
      </c>
      <c r="AP12" s="45">
        <f>IF(IF(IF(AP$3-VLOOKUP($A12,'détails investissements'!$A$71:$B$88,2,FALSE)&lt;=0,"",IF(VLOOKUP($A12,'détails investissements'!$A$26:$DE$43,AP$3-VLOOKUP($A12,'détails investissements'!$A$71:$B$88,2,FALSE)+1,FALSE)="","",VLOOKUP($A12,'détails investissements'!$A$26:$DE$43,AP$3-VLOOKUP($A12,'détails investissements'!$A$71:$B$88,2,FALSE)+1,FALSE)))&lt;&gt;"",HLOOKUP(IF(AP$3-VLOOKUP($A12,'détails investissements'!$A$71:$B$88,2,FALSE)&lt;=0,"",IF(VLOOKUP($A12,'détails investissements'!$A$26:$DE$43,AP$3-VLOOKUP($A12,'détails investissements'!$A$71:$B$88,2,FALSE)+1,FALSE)="","",VLOOKUP($A12,'détails investissements'!$A$26:$DE$43,AP$3-VLOOKUP($A12,'détails investissements'!$A$71:$B$88,2,FALSE)+1,FALSE))),'détails investissements'!$U$6:$AB$7,2,FALSE),"")&lt;&gt;"",VLOOKUP($A12,'détails investissements'!$A$7:$H$21,1+IF(IF(AP$3-VLOOKUP($A12,'détails investissements'!$A$71:$B$88,2,FALSE)&lt;=0,"",IF(VLOOKUP($A12,'détails investissements'!$A$26:$DE$43,AP$3-VLOOKUP($A12,'détails investissements'!$A$71:$B$88,2,FALSE)+1,FALSE)="","",VLOOKUP($A12,'détails investissements'!$A$26:$DE$43,AP$3-VLOOKUP($A12,'détails investissements'!$A$71:$B$88,2,FALSE)+1,FALSE)))&lt;&gt;"",HLOOKUP(IF(AP$3-VLOOKUP($A12,'détails investissements'!$A$71:$B$88,2,FALSE)&lt;=0,"",IF(VLOOKUP($A12,'détails investissements'!$A$26:$DE$43,AP$3-VLOOKUP($A12,'détails investissements'!$A$71:$B$88,2,FALSE)+1,FALSE)="","",VLOOKUP($A12,'détails investissements'!$A$26:$DE$43,AP$3-VLOOKUP($A12,'détails investissements'!$A$71:$B$88,2,FALSE)+1,FALSE))),'détails investissements'!$U$6:$AB$7,2,FALSE),""),FALSE),"")</f>
        <v>0.05</v>
      </c>
      <c r="AQ12" s="45" t="str">
        <f>IF(IF(IF(AQ$3-VLOOKUP($A12,'détails investissements'!$A$71:$B$88,2,FALSE)&lt;=0,"",IF(VLOOKUP($A12,'détails investissements'!$A$26:$DE$43,AQ$3-VLOOKUP($A12,'détails investissements'!$A$71:$B$88,2,FALSE)+1,FALSE)="","",VLOOKUP($A12,'détails investissements'!$A$26:$DE$43,AQ$3-VLOOKUP($A12,'détails investissements'!$A$71:$B$88,2,FALSE)+1,FALSE)))&lt;&gt;"",HLOOKUP(IF(AQ$3-VLOOKUP($A12,'détails investissements'!$A$71:$B$88,2,FALSE)&lt;=0,"",IF(VLOOKUP($A12,'détails investissements'!$A$26:$DE$43,AQ$3-VLOOKUP($A12,'détails investissements'!$A$71:$B$88,2,FALSE)+1,FALSE)="","",VLOOKUP($A12,'détails investissements'!$A$26:$DE$43,AQ$3-VLOOKUP($A12,'détails investissements'!$A$71:$B$88,2,FALSE)+1,FALSE))),'détails investissements'!$U$6:$AB$7,2,FALSE),"")&lt;&gt;"",VLOOKUP($A12,'détails investissements'!$A$7:$H$21,1+IF(IF(AQ$3-VLOOKUP($A12,'détails investissements'!$A$71:$B$88,2,FALSE)&lt;=0,"",IF(VLOOKUP($A12,'détails investissements'!$A$26:$DE$43,AQ$3-VLOOKUP($A12,'détails investissements'!$A$71:$B$88,2,FALSE)+1,FALSE)="","",VLOOKUP($A12,'détails investissements'!$A$26:$DE$43,AQ$3-VLOOKUP($A12,'détails investissements'!$A$71:$B$88,2,FALSE)+1,FALSE)))&lt;&gt;"",HLOOKUP(IF(AQ$3-VLOOKUP($A12,'détails investissements'!$A$71:$B$88,2,FALSE)&lt;=0,"",IF(VLOOKUP($A12,'détails investissements'!$A$26:$DE$43,AQ$3-VLOOKUP($A12,'détails investissements'!$A$71:$B$88,2,FALSE)+1,FALSE)="","",VLOOKUP($A12,'détails investissements'!$A$26:$DE$43,AQ$3-VLOOKUP($A12,'détails investissements'!$A$71:$B$88,2,FALSE)+1,FALSE))),'détails investissements'!$U$6:$AB$7,2,FALSE),""),FALSE),"")</f>
        <v/>
      </c>
      <c r="AR12" s="45" t="str">
        <f>IF(IF(IF(AR$3-VLOOKUP($A12,'détails investissements'!$A$71:$B$88,2,FALSE)&lt;=0,"",IF(VLOOKUP($A12,'détails investissements'!$A$26:$DE$43,AR$3-VLOOKUP($A12,'détails investissements'!$A$71:$B$88,2,FALSE)+1,FALSE)="","",VLOOKUP($A12,'détails investissements'!$A$26:$DE$43,AR$3-VLOOKUP($A12,'détails investissements'!$A$71:$B$88,2,FALSE)+1,FALSE)))&lt;&gt;"",HLOOKUP(IF(AR$3-VLOOKUP($A12,'détails investissements'!$A$71:$B$88,2,FALSE)&lt;=0,"",IF(VLOOKUP($A12,'détails investissements'!$A$26:$DE$43,AR$3-VLOOKUP($A12,'détails investissements'!$A$71:$B$88,2,FALSE)+1,FALSE)="","",VLOOKUP($A12,'détails investissements'!$A$26:$DE$43,AR$3-VLOOKUP($A12,'détails investissements'!$A$71:$B$88,2,FALSE)+1,FALSE))),'détails investissements'!$U$6:$AB$7,2,FALSE),"")&lt;&gt;"",VLOOKUP($A12,'détails investissements'!$A$7:$H$21,1+IF(IF(AR$3-VLOOKUP($A12,'détails investissements'!$A$71:$B$88,2,FALSE)&lt;=0,"",IF(VLOOKUP($A12,'détails investissements'!$A$26:$DE$43,AR$3-VLOOKUP($A12,'détails investissements'!$A$71:$B$88,2,FALSE)+1,FALSE)="","",VLOOKUP($A12,'détails investissements'!$A$26:$DE$43,AR$3-VLOOKUP($A12,'détails investissements'!$A$71:$B$88,2,FALSE)+1,FALSE)))&lt;&gt;"",HLOOKUP(IF(AR$3-VLOOKUP($A12,'détails investissements'!$A$71:$B$88,2,FALSE)&lt;=0,"",IF(VLOOKUP($A12,'détails investissements'!$A$26:$DE$43,AR$3-VLOOKUP($A12,'détails investissements'!$A$71:$B$88,2,FALSE)+1,FALSE)="","",VLOOKUP($A12,'détails investissements'!$A$26:$DE$43,AR$3-VLOOKUP($A12,'détails investissements'!$A$71:$B$88,2,FALSE)+1,FALSE))),'détails investissements'!$U$6:$AB$7,2,FALSE),""),FALSE),"")</f>
        <v/>
      </c>
      <c r="AS12" s="45" t="str">
        <f>IF(IF(IF(AS$3-VLOOKUP($A12,'détails investissements'!$A$71:$B$88,2,FALSE)&lt;=0,"",IF(VLOOKUP($A12,'détails investissements'!$A$26:$DE$43,AS$3-VLOOKUP($A12,'détails investissements'!$A$71:$B$88,2,FALSE)+1,FALSE)="","",VLOOKUP($A12,'détails investissements'!$A$26:$DE$43,AS$3-VLOOKUP($A12,'détails investissements'!$A$71:$B$88,2,FALSE)+1,FALSE)))&lt;&gt;"",HLOOKUP(IF(AS$3-VLOOKUP($A12,'détails investissements'!$A$71:$B$88,2,FALSE)&lt;=0,"",IF(VLOOKUP($A12,'détails investissements'!$A$26:$DE$43,AS$3-VLOOKUP($A12,'détails investissements'!$A$71:$B$88,2,FALSE)+1,FALSE)="","",VLOOKUP($A12,'détails investissements'!$A$26:$DE$43,AS$3-VLOOKUP($A12,'détails investissements'!$A$71:$B$88,2,FALSE)+1,FALSE))),'détails investissements'!$U$6:$AB$7,2,FALSE),"")&lt;&gt;"",VLOOKUP($A12,'détails investissements'!$A$7:$H$21,1+IF(IF(AS$3-VLOOKUP($A12,'détails investissements'!$A$71:$B$88,2,FALSE)&lt;=0,"",IF(VLOOKUP($A12,'détails investissements'!$A$26:$DE$43,AS$3-VLOOKUP($A12,'détails investissements'!$A$71:$B$88,2,FALSE)+1,FALSE)="","",VLOOKUP($A12,'détails investissements'!$A$26:$DE$43,AS$3-VLOOKUP($A12,'détails investissements'!$A$71:$B$88,2,FALSE)+1,FALSE)))&lt;&gt;"",HLOOKUP(IF(AS$3-VLOOKUP($A12,'détails investissements'!$A$71:$B$88,2,FALSE)&lt;=0,"",IF(VLOOKUP($A12,'détails investissements'!$A$26:$DE$43,AS$3-VLOOKUP($A12,'détails investissements'!$A$71:$B$88,2,FALSE)+1,FALSE)="","",VLOOKUP($A12,'détails investissements'!$A$26:$DE$43,AS$3-VLOOKUP($A12,'détails investissements'!$A$71:$B$88,2,FALSE)+1,FALSE))),'détails investissements'!$U$6:$AB$7,2,FALSE),""),FALSE),"")</f>
        <v/>
      </c>
      <c r="AT12" s="45" t="str">
        <f>IF(IF(IF(AT$3-VLOOKUP($A12,'détails investissements'!$A$71:$B$88,2,FALSE)&lt;=0,"",IF(VLOOKUP($A12,'détails investissements'!$A$26:$DE$43,AT$3-VLOOKUP($A12,'détails investissements'!$A$71:$B$88,2,FALSE)+1,FALSE)="","",VLOOKUP($A12,'détails investissements'!$A$26:$DE$43,AT$3-VLOOKUP($A12,'détails investissements'!$A$71:$B$88,2,FALSE)+1,FALSE)))&lt;&gt;"",HLOOKUP(IF(AT$3-VLOOKUP($A12,'détails investissements'!$A$71:$B$88,2,FALSE)&lt;=0,"",IF(VLOOKUP($A12,'détails investissements'!$A$26:$DE$43,AT$3-VLOOKUP($A12,'détails investissements'!$A$71:$B$88,2,FALSE)+1,FALSE)="","",VLOOKUP($A12,'détails investissements'!$A$26:$DE$43,AT$3-VLOOKUP($A12,'détails investissements'!$A$71:$B$88,2,FALSE)+1,FALSE))),'détails investissements'!$U$6:$AB$7,2,FALSE),"")&lt;&gt;"",VLOOKUP($A12,'détails investissements'!$A$7:$H$21,1+IF(IF(AT$3-VLOOKUP($A12,'détails investissements'!$A$71:$B$88,2,FALSE)&lt;=0,"",IF(VLOOKUP($A12,'détails investissements'!$A$26:$DE$43,AT$3-VLOOKUP($A12,'détails investissements'!$A$71:$B$88,2,FALSE)+1,FALSE)="","",VLOOKUP($A12,'détails investissements'!$A$26:$DE$43,AT$3-VLOOKUP($A12,'détails investissements'!$A$71:$B$88,2,FALSE)+1,FALSE)))&lt;&gt;"",HLOOKUP(IF(AT$3-VLOOKUP($A12,'détails investissements'!$A$71:$B$88,2,FALSE)&lt;=0,"",IF(VLOOKUP($A12,'détails investissements'!$A$26:$DE$43,AT$3-VLOOKUP($A12,'détails investissements'!$A$71:$B$88,2,FALSE)+1,FALSE)="","",VLOOKUP($A12,'détails investissements'!$A$26:$DE$43,AT$3-VLOOKUP($A12,'détails investissements'!$A$71:$B$88,2,FALSE)+1,FALSE))),'détails investissements'!$U$6:$AB$7,2,FALSE),""),FALSE),"")</f>
        <v/>
      </c>
      <c r="AU12" s="45" t="str">
        <f>IF(IF(IF(AU$3-VLOOKUP($A12,'détails investissements'!$A$71:$B$88,2,FALSE)&lt;=0,"",IF(VLOOKUP($A12,'détails investissements'!$A$26:$DE$43,AU$3-VLOOKUP($A12,'détails investissements'!$A$71:$B$88,2,FALSE)+1,FALSE)="","",VLOOKUP($A12,'détails investissements'!$A$26:$DE$43,AU$3-VLOOKUP($A12,'détails investissements'!$A$71:$B$88,2,FALSE)+1,FALSE)))&lt;&gt;"",HLOOKUP(IF(AU$3-VLOOKUP($A12,'détails investissements'!$A$71:$B$88,2,FALSE)&lt;=0,"",IF(VLOOKUP($A12,'détails investissements'!$A$26:$DE$43,AU$3-VLOOKUP($A12,'détails investissements'!$A$71:$B$88,2,FALSE)+1,FALSE)="","",VLOOKUP($A12,'détails investissements'!$A$26:$DE$43,AU$3-VLOOKUP($A12,'détails investissements'!$A$71:$B$88,2,FALSE)+1,FALSE))),'détails investissements'!$U$6:$AB$7,2,FALSE),"")&lt;&gt;"",VLOOKUP($A12,'détails investissements'!$A$7:$H$21,1+IF(IF(AU$3-VLOOKUP($A12,'détails investissements'!$A$71:$B$88,2,FALSE)&lt;=0,"",IF(VLOOKUP($A12,'détails investissements'!$A$26:$DE$43,AU$3-VLOOKUP($A12,'détails investissements'!$A$71:$B$88,2,FALSE)+1,FALSE)="","",VLOOKUP($A12,'détails investissements'!$A$26:$DE$43,AU$3-VLOOKUP($A12,'détails investissements'!$A$71:$B$88,2,FALSE)+1,FALSE)))&lt;&gt;"",HLOOKUP(IF(AU$3-VLOOKUP($A12,'détails investissements'!$A$71:$B$88,2,FALSE)&lt;=0,"",IF(VLOOKUP($A12,'détails investissements'!$A$26:$DE$43,AU$3-VLOOKUP($A12,'détails investissements'!$A$71:$B$88,2,FALSE)+1,FALSE)="","",VLOOKUP($A12,'détails investissements'!$A$26:$DE$43,AU$3-VLOOKUP($A12,'détails investissements'!$A$71:$B$88,2,FALSE)+1,FALSE))),'détails investissements'!$U$6:$AB$7,2,FALSE),""),FALSE),"")</f>
        <v/>
      </c>
      <c r="AV12" s="45" t="str">
        <f>IF(IF(IF(AV$3-VLOOKUP($A12,'détails investissements'!$A$71:$B$88,2,FALSE)&lt;=0,"",IF(VLOOKUP($A12,'détails investissements'!$A$26:$DE$43,AV$3-VLOOKUP($A12,'détails investissements'!$A$71:$B$88,2,FALSE)+1,FALSE)="","",VLOOKUP($A12,'détails investissements'!$A$26:$DE$43,AV$3-VLOOKUP($A12,'détails investissements'!$A$71:$B$88,2,FALSE)+1,FALSE)))&lt;&gt;"",HLOOKUP(IF(AV$3-VLOOKUP($A12,'détails investissements'!$A$71:$B$88,2,FALSE)&lt;=0,"",IF(VLOOKUP($A12,'détails investissements'!$A$26:$DE$43,AV$3-VLOOKUP($A12,'détails investissements'!$A$71:$B$88,2,FALSE)+1,FALSE)="","",VLOOKUP($A12,'détails investissements'!$A$26:$DE$43,AV$3-VLOOKUP($A12,'détails investissements'!$A$71:$B$88,2,FALSE)+1,FALSE))),'détails investissements'!$U$6:$AB$7,2,FALSE),"")&lt;&gt;"",VLOOKUP($A12,'détails investissements'!$A$7:$H$21,1+IF(IF(AV$3-VLOOKUP($A12,'détails investissements'!$A$71:$B$88,2,FALSE)&lt;=0,"",IF(VLOOKUP($A12,'détails investissements'!$A$26:$DE$43,AV$3-VLOOKUP($A12,'détails investissements'!$A$71:$B$88,2,FALSE)+1,FALSE)="","",VLOOKUP($A12,'détails investissements'!$A$26:$DE$43,AV$3-VLOOKUP($A12,'détails investissements'!$A$71:$B$88,2,FALSE)+1,FALSE)))&lt;&gt;"",HLOOKUP(IF(AV$3-VLOOKUP($A12,'détails investissements'!$A$71:$B$88,2,FALSE)&lt;=0,"",IF(VLOOKUP($A12,'détails investissements'!$A$26:$DE$43,AV$3-VLOOKUP($A12,'détails investissements'!$A$71:$B$88,2,FALSE)+1,FALSE)="","",VLOOKUP($A12,'détails investissements'!$A$26:$DE$43,AV$3-VLOOKUP($A12,'détails investissements'!$A$71:$B$88,2,FALSE)+1,FALSE))),'détails investissements'!$U$6:$AB$7,2,FALSE),""),FALSE),"")</f>
        <v/>
      </c>
      <c r="AW12" s="45" t="str">
        <f>IF(IF(IF(AW$3-VLOOKUP($A12,'détails investissements'!$A$71:$B$88,2,FALSE)&lt;=0,"",IF(VLOOKUP($A12,'détails investissements'!$A$26:$DE$43,AW$3-VLOOKUP($A12,'détails investissements'!$A$71:$B$88,2,FALSE)+1,FALSE)="","",VLOOKUP($A12,'détails investissements'!$A$26:$DE$43,AW$3-VLOOKUP($A12,'détails investissements'!$A$71:$B$88,2,FALSE)+1,FALSE)))&lt;&gt;"",HLOOKUP(IF(AW$3-VLOOKUP($A12,'détails investissements'!$A$71:$B$88,2,FALSE)&lt;=0,"",IF(VLOOKUP($A12,'détails investissements'!$A$26:$DE$43,AW$3-VLOOKUP($A12,'détails investissements'!$A$71:$B$88,2,FALSE)+1,FALSE)="","",VLOOKUP($A12,'détails investissements'!$A$26:$DE$43,AW$3-VLOOKUP($A12,'détails investissements'!$A$71:$B$88,2,FALSE)+1,FALSE))),'détails investissements'!$U$6:$AB$7,2,FALSE),"")&lt;&gt;"",VLOOKUP($A12,'détails investissements'!$A$7:$H$21,1+IF(IF(AW$3-VLOOKUP($A12,'détails investissements'!$A$71:$B$88,2,FALSE)&lt;=0,"",IF(VLOOKUP($A12,'détails investissements'!$A$26:$DE$43,AW$3-VLOOKUP($A12,'détails investissements'!$A$71:$B$88,2,FALSE)+1,FALSE)="","",VLOOKUP($A12,'détails investissements'!$A$26:$DE$43,AW$3-VLOOKUP($A12,'détails investissements'!$A$71:$B$88,2,FALSE)+1,FALSE)))&lt;&gt;"",HLOOKUP(IF(AW$3-VLOOKUP($A12,'détails investissements'!$A$71:$B$88,2,FALSE)&lt;=0,"",IF(VLOOKUP($A12,'détails investissements'!$A$26:$DE$43,AW$3-VLOOKUP($A12,'détails investissements'!$A$71:$B$88,2,FALSE)+1,FALSE)="","",VLOOKUP($A12,'détails investissements'!$A$26:$DE$43,AW$3-VLOOKUP($A12,'détails investissements'!$A$71:$B$88,2,FALSE)+1,FALSE))),'détails investissements'!$U$6:$AB$7,2,FALSE),""),FALSE),"")</f>
        <v/>
      </c>
      <c r="AX12" s="45" t="str">
        <f>IF(IF(IF(AX$3-VLOOKUP($A12,'détails investissements'!$A$71:$B$88,2,FALSE)&lt;=0,"",IF(VLOOKUP($A12,'détails investissements'!$A$26:$DE$43,AX$3-VLOOKUP($A12,'détails investissements'!$A$71:$B$88,2,FALSE)+1,FALSE)="","",VLOOKUP($A12,'détails investissements'!$A$26:$DE$43,AX$3-VLOOKUP($A12,'détails investissements'!$A$71:$B$88,2,FALSE)+1,FALSE)))&lt;&gt;"",HLOOKUP(IF(AX$3-VLOOKUP($A12,'détails investissements'!$A$71:$B$88,2,FALSE)&lt;=0,"",IF(VLOOKUP($A12,'détails investissements'!$A$26:$DE$43,AX$3-VLOOKUP($A12,'détails investissements'!$A$71:$B$88,2,FALSE)+1,FALSE)="","",VLOOKUP($A12,'détails investissements'!$A$26:$DE$43,AX$3-VLOOKUP($A12,'détails investissements'!$A$71:$B$88,2,FALSE)+1,FALSE))),'détails investissements'!$U$6:$AB$7,2,FALSE),"")&lt;&gt;"",VLOOKUP($A12,'détails investissements'!$A$7:$H$21,1+IF(IF(AX$3-VLOOKUP($A12,'détails investissements'!$A$71:$B$88,2,FALSE)&lt;=0,"",IF(VLOOKUP($A12,'détails investissements'!$A$26:$DE$43,AX$3-VLOOKUP($A12,'détails investissements'!$A$71:$B$88,2,FALSE)+1,FALSE)="","",VLOOKUP($A12,'détails investissements'!$A$26:$DE$43,AX$3-VLOOKUP($A12,'détails investissements'!$A$71:$B$88,2,FALSE)+1,FALSE)))&lt;&gt;"",HLOOKUP(IF(AX$3-VLOOKUP($A12,'détails investissements'!$A$71:$B$88,2,FALSE)&lt;=0,"",IF(VLOOKUP($A12,'détails investissements'!$A$26:$DE$43,AX$3-VLOOKUP($A12,'détails investissements'!$A$71:$B$88,2,FALSE)+1,FALSE)="","",VLOOKUP($A12,'détails investissements'!$A$26:$DE$43,AX$3-VLOOKUP($A12,'détails investissements'!$A$71:$B$88,2,FALSE)+1,FALSE))),'détails investissements'!$U$6:$AB$7,2,FALSE),""),FALSE),"")</f>
        <v/>
      </c>
      <c r="AY12" s="45" t="str">
        <f>IF(IF(IF(AY$3-VLOOKUP($A12,'détails investissements'!$A$71:$B$88,2,FALSE)&lt;=0,"",IF(VLOOKUP($A12,'détails investissements'!$A$26:$DE$43,AY$3-VLOOKUP($A12,'détails investissements'!$A$71:$B$88,2,FALSE)+1,FALSE)="","",VLOOKUP($A12,'détails investissements'!$A$26:$DE$43,AY$3-VLOOKUP($A12,'détails investissements'!$A$71:$B$88,2,FALSE)+1,FALSE)))&lt;&gt;"",HLOOKUP(IF(AY$3-VLOOKUP($A12,'détails investissements'!$A$71:$B$88,2,FALSE)&lt;=0,"",IF(VLOOKUP($A12,'détails investissements'!$A$26:$DE$43,AY$3-VLOOKUP($A12,'détails investissements'!$A$71:$B$88,2,FALSE)+1,FALSE)="","",VLOOKUP($A12,'détails investissements'!$A$26:$DE$43,AY$3-VLOOKUP($A12,'détails investissements'!$A$71:$B$88,2,FALSE)+1,FALSE))),'détails investissements'!$U$6:$AB$7,2,FALSE),"")&lt;&gt;"",VLOOKUP($A12,'détails investissements'!$A$7:$H$21,1+IF(IF(AY$3-VLOOKUP($A12,'détails investissements'!$A$71:$B$88,2,FALSE)&lt;=0,"",IF(VLOOKUP($A12,'détails investissements'!$A$26:$DE$43,AY$3-VLOOKUP($A12,'détails investissements'!$A$71:$B$88,2,FALSE)+1,FALSE)="","",VLOOKUP($A12,'détails investissements'!$A$26:$DE$43,AY$3-VLOOKUP($A12,'détails investissements'!$A$71:$B$88,2,FALSE)+1,FALSE)))&lt;&gt;"",HLOOKUP(IF(AY$3-VLOOKUP($A12,'détails investissements'!$A$71:$B$88,2,FALSE)&lt;=0,"",IF(VLOOKUP($A12,'détails investissements'!$A$26:$DE$43,AY$3-VLOOKUP($A12,'détails investissements'!$A$71:$B$88,2,FALSE)+1,FALSE)="","",VLOOKUP($A12,'détails investissements'!$A$26:$DE$43,AY$3-VLOOKUP($A12,'détails investissements'!$A$71:$B$88,2,FALSE)+1,FALSE))),'détails investissements'!$U$6:$AB$7,2,FALSE),""),FALSE),"")</f>
        <v/>
      </c>
      <c r="AZ12" s="45" t="str">
        <f>IF(IF(IF(AZ$3-VLOOKUP($A12,'détails investissements'!$A$71:$B$88,2,FALSE)&lt;=0,"",IF(VLOOKUP($A12,'détails investissements'!$A$26:$DE$43,AZ$3-VLOOKUP($A12,'détails investissements'!$A$71:$B$88,2,FALSE)+1,FALSE)="","",VLOOKUP($A12,'détails investissements'!$A$26:$DE$43,AZ$3-VLOOKUP($A12,'détails investissements'!$A$71:$B$88,2,FALSE)+1,FALSE)))&lt;&gt;"",HLOOKUP(IF(AZ$3-VLOOKUP($A12,'détails investissements'!$A$71:$B$88,2,FALSE)&lt;=0,"",IF(VLOOKUP($A12,'détails investissements'!$A$26:$DE$43,AZ$3-VLOOKUP($A12,'détails investissements'!$A$71:$B$88,2,FALSE)+1,FALSE)="","",VLOOKUP($A12,'détails investissements'!$A$26:$DE$43,AZ$3-VLOOKUP($A12,'détails investissements'!$A$71:$B$88,2,FALSE)+1,FALSE))),'détails investissements'!$U$6:$AB$7,2,FALSE),"")&lt;&gt;"",VLOOKUP($A12,'détails investissements'!$A$7:$H$21,1+IF(IF(AZ$3-VLOOKUP($A12,'détails investissements'!$A$71:$B$88,2,FALSE)&lt;=0,"",IF(VLOOKUP($A12,'détails investissements'!$A$26:$DE$43,AZ$3-VLOOKUP($A12,'détails investissements'!$A$71:$B$88,2,FALSE)+1,FALSE)="","",VLOOKUP($A12,'détails investissements'!$A$26:$DE$43,AZ$3-VLOOKUP($A12,'détails investissements'!$A$71:$B$88,2,FALSE)+1,FALSE)))&lt;&gt;"",HLOOKUP(IF(AZ$3-VLOOKUP($A12,'détails investissements'!$A$71:$B$88,2,FALSE)&lt;=0,"",IF(VLOOKUP($A12,'détails investissements'!$A$26:$DE$43,AZ$3-VLOOKUP($A12,'détails investissements'!$A$71:$B$88,2,FALSE)+1,FALSE)="","",VLOOKUP($A12,'détails investissements'!$A$26:$DE$43,AZ$3-VLOOKUP($A12,'détails investissements'!$A$71:$B$88,2,FALSE)+1,FALSE))),'détails investissements'!$U$6:$AB$7,2,FALSE),""),FALSE),"")</f>
        <v/>
      </c>
      <c r="BA12" s="45" t="str">
        <f>IF(IF(IF(BA$3-VLOOKUP($A12,'détails investissements'!$A$71:$B$88,2,FALSE)&lt;=0,"",IF(VLOOKUP($A12,'détails investissements'!$A$26:$DE$43,BA$3-VLOOKUP($A12,'détails investissements'!$A$71:$B$88,2,FALSE)+1,FALSE)="","",VLOOKUP($A12,'détails investissements'!$A$26:$DE$43,BA$3-VLOOKUP($A12,'détails investissements'!$A$71:$B$88,2,FALSE)+1,FALSE)))&lt;&gt;"",HLOOKUP(IF(BA$3-VLOOKUP($A12,'détails investissements'!$A$71:$B$88,2,FALSE)&lt;=0,"",IF(VLOOKUP($A12,'détails investissements'!$A$26:$DE$43,BA$3-VLOOKUP($A12,'détails investissements'!$A$71:$B$88,2,FALSE)+1,FALSE)="","",VLOOKUP($A12,'détails investissements'!$A$26:$DE$43,BA$3-VLOOKUP($A12,'détails investissements'!$A$71:$B$88,2,FALSE)+1,FALSE))),'détails investissements'!$U$6:$AB$7,2,FALSE),"")&lt;&gt;"",VLOOKUP($A12,'détails investissements'!$A$7:$H$21,1+IF(IF(BA$3-VLOOKUP($A12,'détails investissements'!$A$71:$B$88,2,FALSE)&lt;=0,"",IF(VLOOKUP($A12,'détails investissements'!$A$26:$DE$43,BA$3-VLOOKUP($A12,'détails investissements'!$A$71:$B$88,2,FALSE)+1,FALSE)="","",VLOOKUP($A12,'détails investissements'!$A$26:$DE$43,BA$3-VLOOKUP($A12,'détails investissements'!$A$71:$B$88,2,FALSE)+1,FALSE)))&lt;&gt;"",HLOOKUP(IF(BA$3-VLOOKUP($A12,'détails investissements'!$A$71:$B$88,2,FALSE)&lt;=0,"",IF(VLOOKUP($A12,'détails investissements'!$A$26:$DE$43,BA$3-VLOOKUP($A12,'détails investissements'!$A$71:$B$88,2,FALSE)+1,FALSE)="","",VLOOKUP($A12,'détails investissements'!$A$26:$DE$43,BA$3-VLOOKUP($A12,'détails investissements'!$A$71:$B$88,2,FALSE)+1,FALSE))),'détails investissements'!$U$6:$AB$7,2,FALSE),""),FALSE),"")</f>
        <v/>
      </c>
      <c r="BB12" s="45" t="str">
        <f>IF(IF(IF(BB$3-VLOOKUP($A12,'détails investissements'!$A$71:$B$88,2,FALSE)&lt;=0,"",IF(VLOOKUP($A12,'détails investissements'!$A$26:$DE$43,BB$3-VLOOKUP($A12,'détails investissements'!$A$71:$B$88,2,FALSE)+1,FALSE)="","",VLOOKUP($A12,'détails investissements'!$A$26:$DE$43,BB$3-VLOOKUP($A12,'détails investissements'!$A$71:$B$88,2,FALSE)+1,FALSE)))&lt;&gt;"",HLOOKUP(IF(BB$3-VLOOKUP($A12,'détails investissements'!$A$71:$B$88,2,FALSE)&lt;=0,"",IF(VLOOKUP($A12,'détails investissements'!$A$26:$DE$43,BB$3-VLOOKUP($A12,'détails investissements'!$A$71:$B$88,2,FALSE)+1,FALSE)="","",VLOOKUP($A12,'détails investissements'!$A$26:$DE$43,BB$3-VLOOKUP($A12,'détails investissements'!$A$71:$B$88,2,FALSE)+1,FALSE))),'détails investissements'!$U$6:$AB$7,2,FALSE),"")&lt;&gt;"",VLOOKUP($A12,'détails investissements'!$A$7:$H$21,1+IF(IF(BB$3-VLOOKUP($A12,'détails investissements'!$A$71:$B$88,2,FALSE)&lt;=0,"",IF(VLOOKUP($A12,'détails investissements'!$A$26:$DE$43,BB$3-VLOOKUP($A12,'détails investissements'!$A$71:$B$88,2,FALSE)+1,FALSE)="","",VLOOKUP($A12,'détails investissements'!$A$26:$DE$43,BB$3-VLOOKUP($A12,'détails investissements'!$A$71:$B$88,2,FALSE)+1,FALSE)))&lt;&gt;"",HLOOKUP(IF(BB$3-VLOOKUP($A12,'détails investissements'!$A$71:$B$88,2,FALSE)&lt;=0,"",IF(VLOOKUP($A12,'détails investissements'!$A$26:$DE$43,BB$3-VLOOKUP($A12,'détails investissements'!$A$71:$B$88,2,FALSE)+1,FALSE)="","",VLOOKUP($A12,'détails investissements'!$A$26:$DE$43,BB$3-VLOOKUP($A12,'détails investissements'!$A$71:$B$88,2,FALSE)+1,FALSE))),'détails investissements'!$U$6:$AB$7,2,FALSE),""),FALSE),"")</f>
        <v/>
      </c>
      <c r="BC12" s="45" t="str">
        <f>IF(IF(IF(BC$3-VLOOKUP($A12,'détails investissements'!$A$71:$B$88,2,FALSE)&lt;=0,"",IF(VLOOKUP($A12,'détails investissements'!$A$26:$DE$43,BC$3-VLOOKUP($A12,'détails investissements'!$A$71:$B$88,2,FALSE)+1,FALSE)="","",VLOOKUP($A12,'détails investissements'!$A$26:$DE$43,BC$3-VLOOKUP($A12,'détails investissements'!$A$71:$B$88,2,FALSE)+1,FALSE)))&lt;&gt;"",HLOOKUP(IF(BC$3-VLOOKUP($A12,'détails investissements'!$A$71:$B$88,2,FALSE)&lt;=0,"",IF(VLOOKUP($A12,'détails investissements'!$A$26:$DE$43,BC$3-VLOOKUP($A12,'détails investissements'!$A$71:$B$88,2,FALSE)+1,FALSE)="","",VLOOKUP($A12,'détails investissements'!$A$26:$DE$43,BC$3-VLOOKUP($A12,'détails investissements'!$A$71:$B$88,2,FALSE)+1,FALSE))),'détails investissements'!$U$6:$AB$7,2,FALSE),"")&lt;&gt;"",VLOOKUP($A12,'détails investissements'!$A$7:$H$21,1+IF(IF(BC$3-VLOOKUP($A12,'détails investissements'!$A$71:$B$88,2,FALSE)&lt;=0,"",IF(VLOOKUP($A12,'détails investissements'!$A$26:$DE$43,BC$3-VLOOKUP($A12,'détails investissements'!$A$71:$B$88,2,FALSE)+1,FALSE)="","",VLOOKUP($A12,'détails investissements'!$A$26:$DE$43,BC$3-VLOOKUP($A12,'détails investissements'!$A$71:$B$88,2,FALSE)+1,FALSE)))&lt;&gt;"",HLOOKUP(IF(BC$3-VLOOKUP($A12,'détails investissements'!$A$71:$B$88,2,FALSE)&lt;=0,"",IF(VLOOKUP($A12,'détails investissements'!$A$26:$DE$43,BC$3-VLOOKUP($A12,'détails investissements'!$A$71:$B$88,2,FALSE)+1,FALSE)="","",VLOOKUP($A12,'détails investissements'!$A$26:$DE$43,BC$3-VLOOKUP($A12,'détails investissements'!$A$71:$B$88,2,FALSE)+1,FALSE))),'détails investissements'!$U$6:$AB$7,2,FALSE),""),FALSE),"")</f>
        <v/>
      </c>
      <c r="BD12" s="45" t="str">
        <f>IF(IF(IF(BD$3-VLOOKUP($A12,'détails investissements'!$A$71:$B$88,2,FALSE)&lt;=0,"",IF(VLOOKUP($A12,'détails investissements'!$A$26:$DE$43,BD$3-VLOOKUP($A12,'détails investissements'!$A$71:$B$88,2,FALSE)+1,FALSE)="","",VLOOKUP($A12,'détails investissements'!$A$26:$DE$43,BD$3-VLOOKUP($A12,'détails investissements'!$A$71:$B$88,2,FALSE)+1,FALSE)))&lt;&gt;"",HLOOKUP(IF(BD$3-VLOOKUP($A12,'détails investissements'!$A$71:$B$88,2,FALSE)&lt;=0,"",IF(VLOOKUP($A12,'détails investissements'!$A$26:$DE$43,BD$3-VLOOKUP($A12,'détails investissements'!$A$71:$B$88,2,FALSE)+1,FALSE)="","",VLOOKUP($A12,'détails investissements'!$A$26:$DE$43,BD$3-VLOOKUP($A12,'détails investissements'!$A$71:$B$88,2,FALSE)+1,FALSE))),'détails investissements'!$U$6:$AB$7,2,FALSE),"")&lt;&gt;"",VLOOKUP($A12,'détails investissements'!$A$7:$H$21,1+IF(IF(BD$3-VLOOKUP($A12,'détails investissements'!$A$71:$B$88,2,FALSE)&lt;=0,"",IF(VLOOKUP($A12,'détails investissements'!$A$26:$DE$43,BD$3-VLOOKUP($A12,'détails investissements'!$A$71:$B$88,2,FALSE)+1,FALSE)="","",VLOOKUP($A12,'détails investissements'!$A$26:$DE$43,BD$3-VLOOKUP($A12,'détails investissements'!$A$71:$B$88,2,FALSE)+1,FALSE)))&lt;&gt;"",HLOOKUP(IF(BD$3-VLOOKUP($A12,'détails investissements'!$A$71:$B$88,2,FALSE)&lt;=0,"",IF(VLOOKUP($A12,'détails investissements'!$A$26:$DE$43,BD$3-VLOOKUP($A12,'détails investissements'!$A$71:$B$88,2,FALSE)+1,FALSE)="","",VLOOKUP($A12,'détails investissements'!$A$26:$DE$43,BD$3-VLOOKUP($A12,'détails investissements'!$A$71:$B$88,2,FALSE)+1,FALSE))),'détails investissements'!$U$6:$AB$7,2,FALSE),""),FALSE),"")</f>
        <v/>
      </c>
      <c r="BE12" s="45" t="str">
        <f>IF(IF(IF(BE$3-VLOOKUP($A12,'détails investissements'!$A$71:$B$88,2,FALSE)&lt;=0,"",IF(VLOOKUP($A12,'détails investissements'!$A$26:$DE$43,BE$3-VLOOKUP($A12,'détails investissements'!$A$71:$B$88,2,FALSE)+1,FALSE)="","",VLOOKUP($A12,'détails investissements'!$A$26:$DE$43,BE$3-VLOOKUP($A12,'détails investissements'!$A$71:$B$88,2,FALSE)+1,FALSE)))&lt;&gt;"",HLOOKUP(IF(BE$3-VLOOKUP($A12,'détails investissements'!$A$71:$B$88,2,FALSE)&lt;=0,"",IF(VLOOKUP($A12,'détails investissements'!$A$26:$DE$43,BE$3-VLOOKUP($A12,'détails investissements'!$A$71:$B$88,2,FALSE)+1,FALSE)="","",VLOOKUP($A12,'détails investissements'!$A$26:$DE$43,BE$3-VLOOKUP($A12,'détails investissements'!$A$71:$B$88,2,FALSE)+1,FALSE))),'détails investissements'!$U$6:$AB$7,2,FALSE),"")&lt;&gt;"",VLOOKUP($A12,'détails investissements'!$A$7:$H$21,1+IF(IF(BE$3-VLOOKUP($A12,'détails investissements'!$A$71:$B$88,2,FALSE)&lt;=0,"",IF(VLOOKUP($A12,'détails investissements'!$A$26:$DE$43,BE$3-VLOOKUP($A12,'détails investissements'!$A$71:$B$88,2,FALSE)+1,FALSE)="","",VLOOKUP($A12,'détails investissements'!$A$26:$DE$43,BE$3-VLOOKUP($A12,'détails investissements'!$A$71:$B$88,2,FALSE)+1,FALSE)))&lt;&gt;"",HLOOKUP(IF(BE$3-VLOOKUP($A12,'détails investissements'!$A$71:$B$88,2,FALSE)&lt;=0,"",IF(VLOOKUP($A12,'détails investissements'!$A$26:$DE$43,BE$3-VLOOKUP($A12,'détails investissements'!$A$71:$B$88,2,FALSE)+1,FALSE)="","",VLOOKUP($A12,'détails investissements'!$A$26:$DE$43,BE$3-VLOOKUP($A12,'détails investissements'!$A$71:$B$88,2,FALSE)+1,FALSE))),'détails investissements'!$U$6:$AB$7,2,FALSE),""),FALSE),"")</f>
        <v/>
      </c>
      <c r="BF12" s="45" t="str">
        <f>IF(IF(IF(BF$3-VLOOKUP($A12,'détails investissements'!$A$71:$B$88,2,FALSE)&lt;=0,"",IF(VLOOKUP($A12,'détails investissements'!$A$26:$DE$43,BF$3-VLOOKUP($A12,'détails investissements'!$A$71:$B$88,2,FALSE)+1,FALSE)="","",VLOOKUP($A12,'détails investissements'!$A$26:$DE$43,BF$3-VLOOKUP($A12,'détails investissements'!$A$71:$B$88,2,FALSE)+1,FALSE)))&lt;&gt;"",HLOOKUP(IF(BF$3-VLOOKUP($A12,'détails investissements'!$A$71:$B$88,2,FALSE)&lt;=0,"",IF(VLOOKUP($A12,'détails investissements'!$A$26:$DE$43,BF$3-VLOOKUP($A12,'détails investissements'!$A$71:$B$88,2,FALSE)+1,FALSE)="","",VLOOKUP($A12,'détails investissements'!$A$26:$DE$43,BF$3-VLOOKUP($A12,'détails investissements'!$A$71:$B$88,2,FALSE)+1,FALSE))),'détails investissements'!$U$6:$AB$7,2,FALSE),"")&lt;&gt;"",VLOOKUP($A12,'détails investissements'!$A$7:$H$21,1+IF(IF(BF$3-VLOOKUP($A12,'détails investissements'!$A$71:$B$88,2,FALSE)&lt;=0,"",IF(VLOOKUP($A12,'détails investissements'!$A$26:$DE$43,BF$3-VLOOKUP($A12,'détails investissements'!$A$71:$B$88,2,FALSE)+1,FALSE)="","",VLOOKUP($A12,'détails investissements'!$A$26:$DE$43,BF$3-VLOOKUP($A12,'détails investissements'!$A$71:$B$88,2,FALSE)+1,FALSE)))&lt;&gt;"",HLOOKUP(IF(BF$3-VLOOKUP($A12,'détails investissements'!$A$71:$B$88,2,FALSE)&lt;=0,"",IF(VLOOKUP($A12,'détails investissements'!$A$26:$DE$43,BF$3-VLOOKUP($A12,'détails investissements'!$A$71:$B$88,2,FALSE)+1,FALSE)="","",VLOOKUP($A12,'détails investissements'!$A$26:$DE$43,BF$3-VLOOKUP($A12,'détails investissements'!$A$71:$B$88,2,FALSE)+1,FALSE))),'détails investissements'!$U$6:$AB$7,2,FALSE),""),FALSE),"")</f>
        <v/>
      </c>
      <c r="BG12" s="45" t="str">
        <f>IF(IF(IF(BG$3-VLOOKUP($A12,'détails investissements'!$A$71:$B$88,2,FALSE)&lt;=0,"",IF(VLOOKUP($A12,'détails investissements'!$A$26:$DE$43,BG$3-VLOOKUP($A12,'détails investissements'!$A$71:$B$88,2,FALSE)+1,FALSE)="","",VLOOKUP($A12,'détails investissements'!$A$26:$DE$43,BG$3-VLOOKUP($A12,'détails investissements'!$A$71:$B$88,2,FALSE)+1,FALSE)))&lt;&gt;"",HLOOKUP(IF(BG$3-VLOOKUP($A12,'détails investissements'!$A$71:$B$88,2,FALSE)&lt;=0,"",IF(VLOOKUP($A12,'détails investissements'!$A$26:$DE$43,BG$3-VLOOKUP($A12,'détails investissements'!$A$71:$B$88,2,FALSE)+1,FALSE)="","",VLOOKUP($A12,'détails investissements'!$A$26:$DE$43,BG$3-VLOOKUP($A12,'détails investissements'!$A$71:$B$88,2,FALSE)+1,FALSE))),'détails investissements'!$U$6:$AB$7,2,FALSE),"")&lt;&gt;"",VLOOKUP($A12,'détails investissements'!$A$7:$H$21,1+IF(IF(BG$3-VLOOKUP($A12,'détails investissements'!$A$71:$B$88,2,FALSE)&lt;=0,"",IF(VLOOKUP($A12,'détails investissements'!$A$26:$DE$43,BG$3-VLOOKUP($A12,'détails investissements'!$A$71:$B$88,2,FALSE)+1,FALSE)="","",VLOOKUP($A12,'détails investissements'!$A$26:$DE$43,BG$3-VLOOKUP($A12,'détails investissements'!$A$71:$B$88,2,FALSE)+1,FALSE)))&lt;&gt;"",HLOOKUP(IF(BG$3-VLOOKUP($A12,'détails investissements'!$A$71:$B$88,2,FALSE)&lt;=0,"",IF(VLOOKUP($A12,'détails investissements'!$A$26:$DE$43,BG$3-VLOOKUP($A12,'détails investissements'!$A$71:$B$88,2,FALSE)+1,FALSE)="","",VLOOKUP($A12,'détails investissements'!$A$26:$DE$43,BG$3-VLOOKUP($A12,'détails investissements'!$A$71:$B$88,2,FALSE)+1,FALSE))),'détails investissements'!$U$6:$AB$7,2,FALSE),""),FALSE),"")</f>
        <v/>
      </c>
      <c r="BH12" s="45" t="str">
        <f>IF(IF(IF(BH$3-VLOOKUP($A12,'détails investissements'!$A$71:$B$88,2,FALSE)&lt;=0,"",IF(VLOOKUP($A12,'détails investissements'!$A$26:$DE$43,BH$3-VLOOKUP($A12,'détails investissements'!$A$71:$B$88,2,FALSE)+1,FALSE)="","",VLOOKUP($A12,'détails investissements'!$A$26:$DE$43,BH$3-VLOOKUP($A12,'détails investissements'!$A$71:$B$88,2,FALSE)+1,FALSE)))&lt;&gt;"",HLOOKUP(IF(BH$3-VLOOKUP($A12,'détails investissements'!$A$71:$B$88,2,FALSE)&lt;=0,"",IF(VLOOKUP($A12,'détails investissements'!$A$26:$DE$43,BH$3-VLOOKUP($A12,'détails investissements'!$A$71:$B$88,2,FALSE)+1,FALSE)="","",VLOOKUP($A12,'détails investissements'!$A$26:$DE$43,BH$3-VLOOKUP($A12,'détails investissements'!$A$71:$B$88,2,FALSE)+1,FALSE))),'détails investissements'!$U$6:$AB$7,2,FALSE),"")&lt;&gt;"",VLOOKUP($A12,'détails investissements'!$A$7:$H$21,1+IF(IF(BH$3-VLOOKUP($A12,'détails investissements'!$A$71:$B$88,2,FALSE)&lt;=0,"",IF(VLOOKUP($A12,'détails investissements'!$A$26:$DE$43,BH$3-VLOOKUP($A12,'détails investissements'!$A$71:$B$88,2,FALSE)+1,FALSE)="","",VLOOKUP($A12,'détails investissements'!$A$26:$DE$43,BH$3-VLOOKUP($A12,'détails investissements'!$A$71:$B$88,2,FALSE)+1,FALSE)))&lt;&gt;"",HLOOKUP(IF(BH$3-VLOOKUP($A12,'détails investissements'!$A$71:$B$88,2,FALSE)&lt;=0,"",IF(VLOOKUP($A12,'détails investissements'!$A$26:$DE$43,BH$3-VLOOKUP($A12,'détails investissements'!$A$71:$B$88,2,FALSE)+1,FALSE)="","",VLOOKUP($A12,'détails investissements'!$A$26:$DE$43,BH$3-VLOOKUP($A12,'détails investissements'!$A$71:$B$88,2,FALSE)+1,FALSE))),'détails investissements'!$U$6:$AB$7,2,FALSE),""),FALSE),"")</f>
        <v/>
      </c>
      <c r="BI12" s="45" t="str">
        <f>IF(IF(IF(BI$3-VLOOKUP($A12,'détails investissements'!$A$71:$B$88,2,FALSE)&lt;=0,"",IF(VLOOKUP($A12,'détails investissements'!$A$26:$DE$43,BI$3-VLOOKUP($A12,'détails investissements'!$A$71:$B$88,2,FALSE)+1,FALSE)="","",VLOOKUP($A12,'détails investissements'!$A$26:$DE$43,BI$3-VLOOKUP($A12,'détails investissements'!$A$71:$B$88,2,FALSE)+1,FALSE)))&lt;&gt;"",HLOOKUP(IF(BI$3-VLOOKUP($A12,'détails investissements'!$A$71:$B$88,2,FALSE)&lt;=0,"",IF(VLOOKUP($A12,'détails investissements'!$A$26:$DE$43,BI$3-VLOOKUP($A12,'détails investissements'!$A$71:$B$88,2,FALSE)+1,FALSE)="","",VLOOKUP($A12,'détails investissements'!$A$26:$DE$43,BI$3-VLOOKUP($A12,'détails investissements'!$A$71:$B$88,2,FALSE)+1,FALSE))),'détails investissements'!$U$6:$AB$7,2,FALSE),"")&lt;&gt;"",VLOOKUP($A12,'détails investissements'!$A$7:$H$21,1+IF(IF(BI$3-VLOOKUP($A12,'détails investissements'!$A$71:$B$88,2,FALSE)&lt;=0,"",IF(VLOOKUP($A12,'détails investissements'!$A$26:$DE$43,BI$3-VLOOKUP($A12,'détails investissements'!$A$71:$B$88,2,FALSE)+1,FALSE)="","",VLOOKUP($A12,'détails investissements'!$A$26:$DE$43,BI$3-VLOOKUP($A12,'détails investissements'!$A$71:$B$88,2,FALSE)+1,FALSE)))&lt;&gt;"",HLOOKUP(IF(BI$3-VLOOKUP($A12,'détails investissements'!$A$71:$B$88,2,FALSE)&lt;=0,"",IF(VLOOKUP($A12,'détails investissements'!$A$26:$DE$43,BI$3-VLOOKUP($A12,'détails investissements'!$A$71:$B$88,2,FALSE)+1,FALSE)="","",VLOOKUP($A12,'détails investissements'!$A$26:$DE$43,BI$3-VLOOKUP($A12,'détails investissements'!$A$71:$B$88,2,FALSE)+1,FALSE))),'détails investissements'!$U$6:$AB$7,2,FALSE),""),FALSE),"")</f>
        <v/>
      </c>
      <c r="BJ12" s="45" t="str">
        <f>IF(IF(IF(BJ$3-VLOOKUP($A12,'détails investissements'!$A$71:$B$88,2,FALSE)&lt;=0,"",IF(VLOOKUP($A12,'détails investissements'!$A$26:$DE$43,BJ$3-VLOOKUP($A12,'détails investissements'!$A$71:$B$88,2,FALSE)+1,FALSE)="","",VLOOKUP($A12,'détails investissements'!$A$26:$DE$43,BJ$3-VLOOKUP($A12,'détails investissements'!$A$71:$B$88,2,FALSE)+1,FALSE)))&lt;&gt;"",HLOOKUP(IF(BJ$3-VLOOKUP($A12,'détails investissements'!$A$71:$B$88,2,FALSE)&lt;=0,"",IF(VLOOKUP($A12,'détails investissements'!$A$26:$DE$43,BJ$3-VLOOKUP($A12,'détails investissements'!$A$71:$B$88,2,FALSE)+1,FALSE)="","",VLOOKUP($A12,'détails investissements'!$A$26:$DE$43,BJ$3-VLOOKUP($A12,'détails investissements'!$A$71:$B$88,2,FALSE)+1,FALSE))),'détails investissements'!$U$6:$AB$7,2,FALSE),"")&lt;&gt;"",VLOOKUP($A12,'détails investissements'!$A$7:$H$21,1+IF(IF(BJ$3-VLOOKUP($A12,'détails investissements'!$A$71:$B$88,2,FALSE)&lt;=0,"",IF(VLOOKUP($A12,'détails investissements'!$A$26:$DE$43,BJ$3-VLOOKUP($A12,'détails investissements'!$A$71:$B$88,2,FALSE)+1,FALSE)="","",VLOOKUP($A12,'détails investissements'!$A$26:$DE$43,BJ$3-VLOOKUP($A12,'détails investissements'!$A$71:$B$88,2,FALSE)+1,FALSE)))&lt;&gt;"",HLOOKUP(IF(BJ$3-VLOOKUP($A12,'détails investissements'!$A$71:$B$88,2,FALSE)&lt;=0,"",IF(VLOOKUP($A12,'détails investissements'!$A$26:$DE$43,BJ$3-VLOOKUP($A12,'détails investissements'!$A$71:$B$88,2,FALSE)+1,FALSE)="","",VLOOKUP($A12,'détails investissements'!$A$26:$DE$43,BJ$3-VLOOKUP($A12,'détails investissements'!$A$71:$B$88,2,FALSE)+1,FALSE))),'détails investissements'!$U$6:$AB$7,2,FALSE),""),FALSE),"")</f>
        <v/>
      </c>
      <c r="BK12" s="45" t="str">
        <f>IF(IF(IF(BK$3-VLOOKUP($A12,'détails investissements'!$A$71:$B$88,2,FALSE)&lt;=0,"",IF(VLOOKUP($A12,'détails investissements'!$A$26:$DE$43,BK$3-VLOOKUP($A12,'détails investissements'!$A$71:$B$88,2,FALSE)+1,FALSE)="","",VLOOKUP($A12,'détails investissements'!$A$26:$DE$43,BK$3-VLOOKUP($A12,'détails investissements'!$A$71:$B$88,2,FALSE)+1,FALSE)))&lt;&gt;"",HLOOKUP(IF(BK$3-VLOOKUP($A12,'détails investissements'!$A$71:$B$88,2,FALSE)&lt;=0,"",IF(VLOOKUP($A12,'détails investissements'!$A$26:$DE$43,BK$3-VLOOKUP($A12,'détails investissements'!$A$71:$B$88,2,FALSE)+1,FALSE)="","",VLOOKUP($A12,'détails investissements'!$A$26:$DE$43,BK$3-VLOOKUP($A12,'détails investissements'!$A$71:$B$88,2,FALSE)+1,FALSE))),'détails investissements'!$U$6:$AB$7,2,FALSE),"")&lt;&gt;"",VLOOKUP($A12,'détails investissements'!$A$7:$H$21,1+IF(IF(BK$3-VLOOKUP($A12,'détails investissements'!$A$71:$B$88,2,FALSE)&lt;=0,"",IF(VLOOKUP($A12,'détails investissements'!$A$26:$DE$43,BK$3-VLOOKUP($A12,'détails investissements'!$A$71:$B$88,2,FALSE)+1,FALSE)="","",VLOOKUP($A12,'détails investissements'!$A$26:$DE$43,BK$3-VLOOKUP($A12,'détails investissements'!$A$71:$B$88,2,FALSE)+1,FALSE)))&lt;&gt;"",HLOOKUP(IF(BK$3-VLOOKUP($A12,'détails investissements'!$A$71:$B$88,2,FALSE)&lt;=0,"",IF(VLOOKUP($A12,'détails investissements'!$A$26:$DE$43,BK$3-VLOOKUP($A12,'détails investissements'!$A$71:$B$88,2,FALSE)+1,FALSE)="","",VLOOKUP($A12,'détails investissements'!$A$26:$DE$43,BK$3-VLOOKUP($A12,'détails investissements'!$A$71:$B$88,2,FALSE)+1,FALSE))),'détails investissements'!$U$6:$AB$7,2,FALSE),""),FALSE),"")</f>
        <v/>
      </c>
      <c r="BL12" s="45" t="str">
        <f>IF(IF(IF(BL$3-VLOOKUP($A12,'détails investissements'!$A$71:$B$88,2,FALSE)&lt;=0,"",IF(VLOOKUP($A12,'détails investissements'!$A$26:$DE$43,BL$3-VLOOKUP($A12,'détails investissements'!$A$71:$B$88,2,FALSE)+1,FALSE)="","",VLOOKUP($A12,'détails investissements'!$A$26:$DE$43,BL$3-VLOOKUP($A12,'détails investissements'!$A$71:$B$88,2,FALSE)+1,FALSE)))&lt;&gt;"",HLOOKUP(IF(BL$3-VLOOKUP($A12,'détails investissements'!$A$71:$B$88,2,FALSE)&lt;=0,"",IF(VLOOKUP($A12,'détails investissements'!$A$26:$DE$43,BL$3-VLOOKUP($A12,'détails investissements'!$A$71:$B$88,2,FALSE)+1,FALSE)="","",VLOOKUP($A12,'détails investissements'!$A$26:$DE$43,BL$3-VLOOKUP($A12,'détails investissements'!$A$71:$B$88,2,FALSE)+1,FALSE))),'détails investissements'!$U$6:$AB$7,2,FALSE),"")&lt;&gt;"",VLOOKUP($A12,'détails investissements'!$A$7:$H$21,1+IF(IF(BL$3-VLOOKUP($A12,'détails investissements'!$A$71:$B$88,2,FALSE)&lt;=0,"",IF(VLOOKUP($A12,'détails investissements'!$A$26:$DE$43,BL$3-VLOOKUP($A12,'détails investissements'!$A$71:$B$88,2,FALSE)+1,FALSE)="","",VLOOKUP($A12,'détails investissements'!$A$26:$DE$43,BL$3-VLOOKUP($A12,'détails investissements'!$A$71:$B$88,2,FALSE)+1,FALSE)))&lt;&gt;"",HLOOKUP(IF(BL$3-VLOOKUP($A12,'détails investissements'!$A$71:$B$88,2,FALSE)&lt;=0,"",IF(VLOOKUP($A12,'détails investissements'!$A$26:$DE$43,BL$3-VLOOKUP($A12,'détails investissements'!$A$71:$B$88,2,FALSE)+1,FALSE)="","",VLOOKUP($A12,'détails investissements'!$A$26:$DE$43,BL$3-VLOOKUP($A12,'détails investissements'!$A$71:$B$88,2,FALSE)+1,FALSE))),'détails investissements'!$U$6:$AB$7,2,FALSE),""),FALSE),"")</f>
        <v/>
      </c>
      <c r="BM12" s="45" t="str">
        <f>IF(IF(IF(BM$3-VLOOKUP($A12,'détails investissements'!$A$71:$B$88,2,FALSE)&lt;=0,"",IF(VLOOKUP($A12,'détails investissements'!$A$26:$DE$43,BM$3-VLOOKUP($A12,'détails investissements'!$A$71:$B$88,2,FALSE)+1,FALSE)="","",VLOOKUP($A12,'détails investissements'!$A$26:$DE$43,BM$3-VLOOKUP($A12,'détails investissements'!$A$71:$B$88,2,FALSE)+1,FALSE)))&lt;&gt;"",HLOOKUP(IF(BM$3-VLOOKUP($A12,'détails investissements'!$A$71:$B$88,2,FALSE)&lt;=0,"",IF(VLOOKUP($A12,'détails investissements'!$A$26:$DE$43,BM$3-VLOOKUP($A12,'détails investissements'!$A$71:$B$88,2,FALSE)+1,FALSE)="","",VLOOKUP($A12,'détails investissements'!$A$26:$DE$43,BM$3-VLOOKUP($A12,'détails investissements'!$A$71:$B$88,2,FALSE)+1,FALSE))),'détails investissements'!$U$6:$AB$7,2,FALSE),"")&lt;&gt;"",VLOOKUP($A12,'détails investissements'!$A$7:$H$21,1+IF(IF(BM$3-VLOOKUP($A12,'détails investissements'!$A$71:$B$88,2,FALSE)&lt;=0,"",IF(VLOOKUP($A12,'détails investissements'!$A$26:$DE$43,BM$3-VLOOKUP($A12,'détails investissements'!$A$71:$B$88,2,FALSE)+1,FALSE)="","",VLOOKUP($A12,'détails investissements'!$A$26:$DE$43,BM$3-VLOOKUP($A12,'détails investissements'!$A$71:$B$88,2,FALSE)+1,FALSE)))&lt;&gt;"",HLOOKUP(IF(BM$3-VLOOKUP($A12,'détails investissements'!$A$71:$B$88,2,FALSE)&lt;=0,"",IF(VLOOKUP($A12,'détails investissements'!$A$26:$DE$43,BM$3-VLOOKUP($A12,'détails investissements'!$A$71:$B$88,2,FALSE)+1,FALSE)="","",VLOOKUP($A12,'détails investissements'!$A$26:$DE$43,BM$3-VLOOKUP($A12,'détails investissements'!$A$71:$B$88,2,FALSE)+1,FALSE))),'détails investissements'!$U$6:$AB$7,2,FALSE),""),FALSE),"")</f>
        <v/>
      </c>
      <c r="BN12" s="45" t="str">
        <f>IF(IF(IF(BN$3-VLOOKUP($A12,'détails investissements'!$A$71:$B$88,2,FALSE)&lt;=0,"",IF(VLOOKUP($A12,'détails investissements'!$A$26:$DE$43,BN$3-VLOOKUP($A12,'détails investissements'!$A$71:$B$88,2,FALSE)+1,FALSE)="","",VLOOKUP($A12,'détails investissements'!$A$26:$DE$43,BN$3-VLOOKUP($A12,'détails investissements'!$A$71:$B$88,2,FALSE)+1,FALSE)))&lt;&gt;"",HLOOKUP(IF(BN$3-VLOOKUP($A12,'détails investissements'!$A$71:$B$88,2,FALSE)&lt;=0,"",IF(VLOOKUP($A12,'détails investissements'!$A$26:$DE$43,BN$3-VLOOKUP($A12,'détails investissements'!$A$71:$B$88,2,FALSE)+1,FALSE)="","",VLOOKUP($A12,'détails investissements'!$A$26:$DE$43,BN$3-VLOOKUP($A12,'détails investissements'!$A$71:$B$88,2,FALSE)+1,FALSE))),'détails investissements'!$U$6:$AB$7,2,FALSE),"")&lt;&gt;"",VLOOKUP($A12,'détails investissements'!$A$7:$H$21,1+IF(IF(BN$3-VLOOKUP($A12,'détails investissements'!$A$71:$B$88,2,FALSE)&lt;=0,"",IF(VLOOKUP($A12,'détails investissements'!$A$26:$DE$43,BN$3-VLOOKUP($A12,'détails investissements'!$A$71:$B$88,2,FALSE)+1,FALSE)="","",VLOOKUP($A12,'détails investissements'!$A$26:$DE$43,BN$3-VLOOKUP($A12,'détails investissements'!$A$71:$B$88,2,FALSE)+1,FALSE)))&lt;&gt;"",HLOOKUP(IF(BN$3-VLOOKUP($A12,'détails investissements'!$A$71:$B$88,2,FALSE)&lt;=0,"",IF(VLOOKUP($A12,'détails investissements'!$A$26:$DE$43,BN$3-VLOOKUP($A12,'détails investissements'!$A$71:$B$88,2,FALSE)+1,FALSE)="","",VLOOKUP($A12,'détails investissements'!$A$26:$DE$43,BN$3-VLOOKUP($A12,'détails investissements'!$A$71:$B$88,2,FALSE)+1,FALSE))),'détails investissements'!$U$6:$AB$7,2,FALSE),""),FALSE),"")</f>
        <v/>
      </c>
      <c r="BO12" s="45" t="str">
        <f>IF(IF(IF(BO$3-VLOOKUP($A12,'détails investissements'!$A$71:$B$88,2,FALSE)&lt;=0,"",IF(VLOOKUP($A12,'détails investissements'!$A$26:$DE$43,BO$3-VLOOKUP($A12,'détails investissements'!$A$71:$B$88,2,FALSE)+1,FALSE)="","",VLOOKUP($A12,'détails investissements'!$A$26:$DE$43,BO$3-VLOOKUP($A12,'détails investissements'!$A$71:$B$88,2,FALSE)+1,FALSE)))&lt;&gt;"",HLOOKUP(IF(BO$3-VLOOKUP($A12,'détails investissements'!$A$71:$B$88,2,FALSE)&lt;=0,"",IF(VLOOKUP($A12,'détails investissements'!$A$26:$DE$43,BO$3-VLOOKUP($A12,'détails investissements'!$A$71:$B$88,2,FALSE)+1,FALSE)="","",VLOOKUP($A12,'détails investissements'!$A$26:$DE$43,BO$3-VLOOKUP($A12,'détails investissements'!$A$71:$B$88,2,FALSE)+1,FALSE))),'détails investissements'!$U$6:$AB$7,2,FALSE),"")&lt;&gt;"",VLOOKUP($A12,'détails investissements'!$A$7:$H$21,1+IF(IF(BO$3-VLOOKUP($A12,'détails investissements'!$A$71:$B$88,2,FALSE)&lt;=0,"",IF(VLOOKUP($A12,'détails investissements'!$A$26:$DE$43,BO$3-VLOOKUP($A12,'détails investissements'!$A$71:$B$88,2,FALSE)+1,FALSE)="","",VLOOKUP($A12,'détails investissements'!$A$26:$DE$43,BO$3-VLOOKUP($A12,'détails investissements'!$A$71:$B$88,2,FALSE)+1,FALSE)))&lt;&gt;"",HLOOKUP(IF(BO$3-VLOOKUP($A12,'détails investissements'!$A$71:$B$88,2,FALSE)&lt;=0,"",IF(VLOOKUP($A12,'détails investissements'!$A$26:$DE$43,BO$3-VLOOKUP($A12,'détails investissements'!$A$71:$B$88,2,FALSE)+1,FALSE)="","",VLOOKUP($A12,'détails investissements'!$A$26:$DE$43,BO$3-VLOOKUP($A12,'détails investissements'!$A$71:$B$88,2,FALSE)+1,FALSE))),'détails investissements'!$U$6:$AB$7,2,FALSE),""),FALSE),"")</f>
        <v/>
      </c>
      <c r="BP12" s="45" t="str">
        <f>IF(IF(IF(BP$3-VLOOKUP($A12,'détails investissements'!$A$71:$B$88,2,FALSE)&lt;=0,"",IF(VLOOKUP($A12,'détails investissements'!$A$26:$DE$43,BP$3-VLOOKUP($A12,'détails investissements'!$A$71:$B$88,2,FALSE)+1,FALSE)="","",VLOOKUP($A12,'détails investissements'!$A$26:$DE$43,BP$3-VLOOKUP($A12,'détails investissements'!$A$71:$B$88,2,FALSE)+1,FALSE)))&lt;&gt;"",HLOOKUP(IF(BP$3-VLOOKUP($A12,'détails investissements'!$A$71:$B$88,2,FALSE)&lt;=0,"",IF(VLOOKUP($A12,'détails investissements'!$A$26:$DE$43,BP$3-VLOOKUP($A12,'détails investissements'!$A$71:$B$88,2,FALSE)+1,FALSE)="","",VLOOKUP($A12,'détails investissements'!$A$26:$DE$43,BP$3-VLOOKUP($A12,'détails investissements'!$A$71:$B$88,2,FALSE)+1,FALSE))),'détails investissements'!$U$6:$AB$7,2,FALSE),"")&lt;&gt;"",VLOOKUP($A12,'détails investissements'!$A$7:$H$21,1+IF(IF(BP$3-VLOOKUP($A12,'détails investissements'!$A$71:$B$88,2,FALSE)&lt;=0,"",IF(VLOOKUP($A12,'détails investissements'!$A$26:$DE$43,BP$3-VLOOKUP($A12,'détails investissements'!$A$71:$B$88,2,FALSE)+1,FALSE)="","",VLOOKUP($A12,'détails investissements'!$A$26:$DE$43,BP$3-VLOOKUP($A12,'détails investissements'!$A$71:$B$88,2,FALSE)+1,FALSE)))&lt;&gt;"",HLOOKUP(IF(BP$3-VLOOKUP($A12,'détails investissements'!$A$71:$B$88,2,FALSE)&lt;=0,"",IF(VLOOKUP($A12,'détails investissements'!$A$26:$DE$43,BP$3-VLOOKUP($A12,'détails investissements'!$A$71:$B$88,2,FALSE)+1,FALSE)="","",VLOOKUP($A12,'détails investissements'!$A$26:$DE$43,BP$3-VLOOKUP($A12,'détails investissements'!$A$71:$B$88,2,FALSE)+1,FALSE))),'détails investissements'!$U$6:$AB$7,2,FALSE),""),FALSE),"")</f>
        <v/>
      </c>
      <c r="BQ12" s="45" t="str">
        <f>IF(IF(IF(BQ$3-VLOOKUP($A12,'détails investissements'!$A$71:$B$88,2,FALSE)&lt;=0,"",IF(VLOOKUP($A12,'détails investissements'!$A$26:$DE$43,BQ$3-VLOOKUP($A12,'détails investissements'!$A$71:$B$88,2,FALSE)+1,FALSE)="","",VLOOKUP($A12,'détails investissements'!$A$26:$DE$43,BQ$3-VLOOKUP($A12,'détails investissements'!$A$71:$B$88,2,FALSE)+1,FALSE)))&lt;&gt;"",HLOOKUP(IF(BQ$3-VLOOKUP($A12,'détails investissements'!$A$71:$B$88,2,FALSE)&lt;=0,"",IF(VLOOKUP($A12,'détails investissements'!$A$26:$DE$43,BQ$3-VLOOKUP($A12,'détails investissements'!$A$71:$B$88,2,FALSE)+1,FALSE)="","",VLOOKUP($A12,'détails investissements'!$A$26:$DE$43,BQ$3-VLOOKUP($A12,'détails investissements'!$A$71:$B$88,2,FALSE)+1,FALSE))),'détails investissements'!$U$6:$AB$7,2,FALSE),"")&lt;&gt;"",VLOOKUP($A12,'détails investissements'!$A$7:$H$21,1+IF(IF(BQ$3-VLOOKUP($A12,'détails investissements'!$A$71:$B$88,2,FALSE)&lt;=0,"",IF(VLOOKUP($A12,'détails investissements'!$A$26:$DE$43,BQ$3-VLOOKUP($A12,'détails investissements'!$A$71:$B$88,2,FALSE)+1,FALSE)="","",VLOOKUP($A12,'détails investissements'!$A$26:$DE$43,BQ$3-VLOOKUP($A12,'détails investissements'!$A$71:$B$88,2,FALSE)+1,FALSE)))&lt;&gt;"",HLOOKUP(IF(BQ$3-VLOOKUP($A12,'détails investissements'!$A$71:$B$88,2,FALSE)&lt;=0,"",IF(VLOOKUP($A12,'détails investissements'!$A$26:$DE$43,BQ$3-VLOOKUP($A12,'détails investissements'!$A$71:$B$88,2,FALSE)+1,FALSE)="","",VLOOKUP($A12,'détails investissements'!$A$26:$DE$43,BQ$3-VLOOKUP($A12,'détails investissements'!$A$71:$B$88,2,FALSE)+1,FALSE))),'détails investissements'!$U$6:$AB$7,2,FALSE),""),FALSE),"")</f>
        <v/>
      </c>
      <c r="BR12" s="45" t="str">
        <f>IF(IF(IF(BR$3-VLOOKUP($A12,'détails investissements'!$A$71:$B$88,2,FALSE)&lt;=0,"",IF(VLOOKUP($A12,'détails investissements'!$A$26:$DE$43,BR$3-VLOOKUP($A12,'détails investissements'!$A$71:$B$88,2,FALSE)+1,FALSE)="","",VLOOKUP($A12,'détails investissements'!$A$26:$DE$43,BR$3-VLOOKUP($A12,'détails investissements'!$A$71:$B$88,2,FALSE)+1,FALSE)))&lt;&gt;"",HLOOKUP(IF(BR$3-VLOOKUP($A12,'détails investissements'!$A$71:$B$88,2,FALSE)&lt;=0,"",IF(VLOOKUP($A12,'détails investissements'!$A$26:$DE$43,BR$3-VLOOKUP($A12,'détails investissements'!$A$71:$B$88,2,FALSE)+1,FALSE)="","",VLOOKUP($A12,'détails investissements'!$A$26:$DE$43,BR$3-VLOOKUP($A12,'détails investissements'!$A$71:$B$88,2,FALSE)+1,FALSE))),'détails investissements'!$U$6:$AB$7,2,FALSE),"")&lt;&gt;"",VLOOKUP($A12,'détails investissements'!$A$7:$H$21,1+IF(IF(BR$3-VLOOKUP($A12,'détails investissements'!$A$71:$B$88,2,FALSE)&lt;=0,"",IF(VLOOKUP($A12,'détails investissements'!$A$26:$DE$43,BR$3-VLOOKUP($A12,'détails investissements'!$A$71:$B$88,2,FALSE)+1,FALSE)="","",VLOOKUP($A12,'détails investissements'!$A$26:$DE$43,BR$3-VLOOKUP($A12,'détails investissements'!$A$71:$B$88,2,FALSE)+1,FALSE)))&lt;&gt;"",HLOOKUP(IF(BR$3-VLOOKUP($A12,'détails investissements'!$A$71:$B$88,2,FALSE)&lt;=0,"",IF(VLOOKUP($A12,'détails investissements'!$A$26:$DE$43,BR$3-VLOOKUP($A12,'détails investissements'!$A$71:$B$88,2,FALSE)+1,FALSE)="","",VLOOKUP($A12,'détails investissements'!$A$26:$DE$43,BR$3-VLOOKUP($A12,'détails investissements'!$A$71:$B$88,2,FALSE)+1,FALSE))),'détails investissements'!$U$6:$AB$7,2,FALSE),""),FALSE),"")</f>
        <v/>
      </c>
      <c r="BS12" s="45" t="str">
        <f>IF(IF(IF(BS$3-VLOOKUP($A12,'détails investissements'!$A$71:$B$88,2,FALSE)&lt;=0,"",IF(VLOOKUP($A12,'détails investissements'!$A$26:$DE$43,BS$3-VLOOKUP($A12,'détails investissements'!$A$71:$B$88,2,FALSE)+1,FALSE)="","",VLOOKUP($A12,'détails investissements'!$A$26:$DE$43,BS$3-VLOOKUP($A12,'détails investissements'!$A$71:$B$88,2,FALSE)+1,FALSE)))&lt;&gt;"",HLOOKUP(IF(BS$3-VLOOKUP($A12,'détails investissements'!$A$71:$B$88,2,FALSE)&lt;=0,"",IF(VLOOKUP($A12,'détails investissements'!$A$26:$DE$43,BS$3-VLOOKUP($A12,'détails investissements'!$A$71:$B$88,2,FALSE)+1,FALSE)="","",VLOOKUP($A12,'détails investissements'!$A$26:$DE$43,BS$3-VLOOKUP($A12,'détails investissements'!$A$71:$B$88,2,FALSE)+1,FALSE))),'détails investissements'!$U$6:$AB$7,2,FALSE),"")&lt;&gt;"",VLOOKUP($A12,'détails investissements'!$A$7:$H$21,1+IF(IF(BS$3-VLOOKUP($A12,'détails investissements'!$A$71:$B$88,2,FALSE)&lt;=0,"",IF(VLOOKUP($A12,'détails investissements'!$A$26:$DE$43,BS$3-VLOOKUP($A12,'détails investissements'!$A$71:$B$88,2,FALSE)+1,FALSE)="","",VLOOKUP($A12,'détails investissements'!$A$26:$DE$43,BS$3-VLOOKUP($A12,'détails investissements'!$A$71:$B$88,2,FALSE)+1,FALSE)))&lt;&gt;"",HLOOKUP(IF(BS$3-VLOOKUP($A12,'détails investissements'!$A$71:$B$88,2,FALSE)&lt;=0,"",IF(VLOOKUP($A12,'détails investissements'!$A$26:$DE$43,BS$3-VLOOKUP($A12,'détails investissements'!$A$71:$B$88,2,FALSE)+1,FALSE)="","",VLOOKUP($A12,'détails investissements'!$A$26:$DE$43,BS$3-VLOOKUP($A12,'détails investissements'!$A$71:$B$88,2,FALSE)+1,FALSE))),'détails investissements'!$U$6:$AB$7,2,FALSE),""),FALSE),"")</f>
        <v/>
      </c>
      <c r="BT12" s="45" t="str">
        <f>IF(IF(IF(BT$3-VLOOKUP($A12,'détails investissements'!$A$71:$B$88,2,FALSE)&lt;=0,"",IF(VLOOKUP($A12,'détails investissements'!$A$26:$DE$43,BT$3-VLOOKUP($A12,'détails investissements'!$A$71:$B$88,2,FALSE)+1,FALSE)="","",VLOOKUP($A12,'détails investissements'!$A$26:$DE$43,BT$3-VLOOKUP($A12,'détails investissements'!$A$71:$B$88,2,FALSE)+1,FALSE)))&lt;&gt;"",HLOOKUP(IF(BT$3-VLOOKUP($A12,'détails investissements'!$A$71:$B$88,2,FALSE)&lt;=0,"",IF(VLOOKUP($A12,'détails investissements'!$A$26:$DE$43,BT$3-VLOOKUP($A12,'détails investissements'!$A$71:$B$88,2,FALSE)+1,FALSE)="","",VLOOKUP($A12,'détails investissements'!$A$26:$DE$43,BT$3-VLOOKUP($A12,'détails investissements'!$A$71:$B$88,2,FALSE)+1,FALSE))),'détails investissements'!$U$6:$AB$7,2,FALSE),"")&lt;&gt;"",VLOOKUP($A12,'détails investissements'!$A$7:$H$21,1+IF(IF(BT$3-VLOOKUP($A12,'détails investissements'!$A$71:$B$88,2,FALSE)&lt;=0,"",IF(VLOOKUP($A12,'détails investissements'!$A$26:$DE$43,BT$3-VLOOKUP($A12,'détails investissements'!$A$71:$B$88,2,FALSE)+1,FALSE)="","",VLOOKUP($A12,'détails investissements'!$A$26:$DE$43,BT$3-VLOOKUP($A12,'détails investissements'!$A$71:$B$88,2,FALSE)+1,FALSE)))&lt;&gt;"",HLOOKUP(IF(BT$3-VLOOKUP($A12,'détails investissements'!$A$71:$B$88,2,FALSE)&lt;=0,"",IF(VLOOKUP($A12,'détails investissements'!$A$26:$DE$43,BT$3-VLOOKUP($A12,'détails investissements'!$A$71:$B$88,2,FALSE)+1,FALSE)="","",VLOOKUP($A12,'détails investissements'!$A$26:$DE$43,BT$3-VLOOKUP($A12,'détails investissements'!$A$71:$B$88,2,FALSE)+1,FALSE))),'détails investissements'!$U$6:$AB$7,2,FALSE),""),FALSE),"")</f>
        <v/>
      </c>
      <c r="BU12" s="45" t="str">
        <f>IF(IF(IF(BU$3-VLOOKUP($A12,'détails investissements'!$A$71:$B$88,2,FALSE)&lt;=0,"",IF(VLOOKUP($A12,'détails investissements'!$A$26:$DE$43,BU$3-VLOOKUP($A12,'détails investissements'!$A$71:$B$88,2,FALSE)+1,FALSE)="","",VLOOKUP($A12,'détails investissements'!$A$26:$DE$43,BU$3-VLOOKUP($A12,'détails investissements'!$A$71:$B$88,2,FALSE)+1,FALSE)))&lt;&gt;"",HLOOKUP(IF(BU$3-VLOOKUP($A12,'détails investissements'!$A$71:$B$88,2,FALSE)&lt;=0,"",IF(VLOOKUP($A12,'détails investissements'!$A$26:$DE$43,BU$3-VLOOKUP($A12,'détails investissements'!$A$71:$B$88,2,FALSE)+1,FALSE)="","",VLOOKUP($A12,'détails investissements'!$A$26:$DE$43,BU$3-VLOOKUP($A12,'détails investissements'!$A$71:$B$88,2,FALSE)+1,FALSE))),'détails investissements'!$U$6:$AB$7,2,FALSE),"")&lt;&gt;"",VLOOKUP($A12,'détails investissements'!$A$7:$H$21,1+IF(IF(BU$3-VLOOKUP($A12,'détails investissements'!$A$71:$B$88,2,FALSE)&lt;=0,"",IF(VLOOKUP($A12,'détails investissements'!$A$26:$DE$43,BU$3-VLOOKUP($A12,'détails investissements'!$A$71:$B$88,2,FALSE)+1,FALSE)="","",VLOOKUP($A12,'détails investissements'!$A$26:$DE$43,BU$3-VLOOKUP($A12,'détails investissements'!$A$71:$B$88,2,FALSE)+1,FALSE)))&lt;&gt;"",HLOOKUP(IF(BU$3-VLOOKUP($A12,'détails investissements'!$A$71:$B$88,2,FALSE)&lt;=0,"",IF(VLOOKUP($A12,'détails investissements'!$A$26:$DE$43,BU$3-VLOOKUP($A12,'détails investissements'!$A$71:$B$88,2,FALSE)+1,FALSE)="","",VLOOKUP($A12,'détails investissements'!$A$26:$DE$43,BU$3-VLOOKUP($A12,'détails investissements'!$A$71:$B$88,2,FALSE)+1,FALSE))),'détails investissements'!$U$6:$AB$7,2,FALSE),""),FALSE),"")</f>
        <v/>
      </c>
      <c r="BV12" s="45" t="str">
        <f>IF(IF(IF(BV$3-VLOOKUP($A12,'détails investissements'!$A$71:$B$88,2,FALSE)&lt;=0,"",IF(VLOOKUP($A12,'détails investissements'!$A$26:$DE$43,BV$3-VLOOKUP($A12,'détails investissements'!$A$71:$B$88,2,FALSE)+1,FALSE)="","",VLOOKUP($A12,'détails investissements'!$A$26:$DE$43,BV$3-VLOOKUP($A12,'détails investissements'!$A$71:$B$88,2,FALSE)+1,FALSE)))&lt;&gt;"",HLOOKUP(IF(BV$3-VLOOKUP($A12,'détails investissements'!$A$71:$B$88,2,FALSE)&lt;=0,"",IF(VLOOKUP($A12,'détails investissements'!$A$26:$DE$43,BV$3-VLOOKUP($A12,'détails investissements'!$A$71:$B$88,2,FALSE)+1,FALSE)="","",VLOOKUP($A12,'détails investissements'!$A$26:$DE$43,BV$3-VLOOKUP($A12,'détails investissements'!$A$71:$B$88,2,FALSE)+1,FALSE))),'détails investissements'!$U$6:$AB$7,2,FALSE),"")&lt;&gt;"",VLOOKUP($A12,'détails investissements'!$A$7:$H$21,1+IF(IF(BV$3-VLOOKUP($A12,'détails investissements'!$A$71:$B$88,2,FALSE)&lt;=0,"",IF(VLOOKUP($A12,'détails investissements'!$A$26:$DE$43,BV$3-VLOOKUP($A12,'détails investissements'!$A$71:$B$88,2,FALSE)+1,FALSE)="","",VLOOKUP($A12,'détails investissements'!$A$26:$DE$43,BV$3-VLOOKUP($A12,'détails investissements'!$A$71:$B$88,2,FALSE)+1,FALSE)))&lt;&gt;"",HLOOKUP(IF(BV$3-VLOOKUP($A12,'détails investissements'!$A$71:$B$88,2,FALSE)&lt;=0,"",IF(VLOOKUP($A12,'détails investissements'!$A$26:$DE$43,BV$3-VLOOKUP($A12,'détails investissements'!$A$71:$B$88,2,FALSE)+1,FALSE)="","",VLOOKUP($A12,'détails investissements'!$A$26:$DE$43,BV$3-VLOOKUP($A12,'détails investissements'!$A$71:$B$88,2,FALSE)+1,FALSE))),'détails investissements'!$U$6:$AB$7,2,FALSE),""),FALSE),"")</f>
        <v/>
      </c>
      <c r="BW12" s="45" t="str">
        <f>IF(IF(IF(BW$3-VLOOKUP($A12,'détails investissements'!$A$71:$B$88,2,FALSE)&lt;=0,"",IF(VLOOKUP($A12,'détails investissements'!$A$26:$DE$43,BW$3-VLOOKUP($A12,'détails investissements'!$A$71:$B$88,2,FALSE)+1,FALSE)="","",VLOOKUP($A12,'détails investissements'!$A$26:$DE$43,BW$3-VLOOKUP($A12,'détails investissements'!$A$71:$B$88,2,FALSE)+1,FALSE)))&lt;&gt;"",HLOOKUP(IF(BW$3-VLOOKUP($A12,'détails investissements'!$A$71:$B$88,2,FALSE)&lt;=0,"",IF(VLOOKUP($A12,'détails investissements'!$A$26:$DE$43,BW$3-VLOOKUP($A12,'détails investissements'!$A$71:$B$88,2,FALSE)+1,FALSE)="","",VLOOKUP($A12,'détails investissements'!$A$26:$DE$43,BW$3-VLOOKUP($A12,'détails investissements'!$A$71:$B$88,2,FALSE)+1,FALSE))),'détails investissements'!$U$6:$AB$7,2,FALSE),"")&lt;&gt;"",VLOOKUP($A12,'détails investissements'!$A$7:$H$21,1+IF(IF(BW$3-VLOOKUP($A12,'détails investissements'!$A$71:$B$88,2,FALSE)&lt;=0,"",IF(VLOOKUP($A12,'détails investissements'!$A$26:$DE$43,BW$3-VLOOKUP($A12,'détails investissements'!$A$71:$B$88,2,FALSE)+1,FALSE)="","",VLOOKUP($A12,'détails investissements'!$A$26:$DE$43,BW$3-VLOOKUP($A12,'détails investissements'!$A$71:$B$88,2,FALSE)+1,FALSE)))&lt;&gt;"",HLOOKUP(IF(BW$3-VLOOKUP($A12,'détails investissements'!$A$71:$B$88,2,FALSE)&lt;=0,"",IF(VLOOKUP($A12,'détails investissements'!$A$26:$DE$43,BW$3-VLOOKUP($A12,'détails investissements'!$A$71:$B$88,2,FALSE)+1,FALSE)="","",VLOOKUP($A12,'détails investissements'!$A$26:$DE$43,BW$3-VLOOKUP($A12,'détails investissements'!$A$71:$B$88,2,FALSE)+1,FALSE))),'détails investissements'!$U$6:$AB$7,2,FALSE),""),FALSE),"")</f>
        <v/>
      </c>
      <c r="BX12" s="45" t="str">
        <f>IF(IF(IF(BX$3-VLOOKUP($A12,'détails investissements'!$A$71:$B$88,2,FALSE)&lt;=0,"",IF(VLOOKUP($A12,'détails investissements'!$A$26:$DE$43,BX$3-VLOOKUP($A12,'détails investissements'!$A$71:$B$88,2,FALSE)+1,FALSE)="","",VLOOKUP($A12,'détails investissements'!$A$26:$DE$43,BX$3-VLOOKUP($A12,'détails investissements'!$A$71:$B$88,2,FALSE)+1,FALSE)))&lt;&gt;"",HLOOKUP(IF(BX$3-VLOOKUP($A12,'détails investissements'!$A$71:$B$88,2,FALSE)&lt;=0,"",IF(VLOOKUP($A12,'détails investissements'!$A$26:$DE$43,BX$3-VLOOKUP($A12,'détails investissements'!$A$71:$B$88,2,FALSE)+1,FALSE)="","",VLOOKUP($A12,'détails investissements'!$A$26:$DE$43,BX$3-VLOOKUP($A12,'détails investissements'!$A$71:$B$88,2,FALSE)+1,FALSE))),'détails investissements'!$U$6:$AB$7,2,FALSE),"")&lt;&gt;"",VLOOKUP($A12,'détails investissements'!$A$7:$H$21,1+IF(IF(BX$3-VLOOKUP($A12,'détails investissements'!$A$71:$B$88,2,FALSE)&lt;=0,"",IF(VLOOKUP($A12,'détails investissements'!$A$26:$DE$43,BX$3-VLOOKUP($A12,'détails investissements'!$A$71:$B$88,2,FALSE)+1,FALSE)="","",VLOOKUP($A12,'détails investissements'!$A$26:$DE$43,BX$3-VLOOKUP($A12,'détails investissements'!$A$71:$B$88,2,FALSE)+1,FALSE)))&lt;&gt;"",HLOOKUP(IF(BX$3-VLOOKUP($A12,'détails investissements'!$A$71:$B$88,2,FALSE)&lt;=0,"",IF(VLOOKUP($A12,'détails investissements'!$A$26:$DE$43,BX$3-VLOOKUP($A12,'détails investissements'!$A$71:$B$88,2,FALSE)+1,FALSE)="","",VLOOKUP($A12,'détails investissements'!$A$26:$DE$43,BX$3-VLOOKUP($A12,'détails investissements'!$A$71:$B$88,2,FALSE)+1,FALSE))),'détails investissements'!$U$6:$AB$7,2,FALSE),""),FALSE),"")</f>
        <v/>
      </c>
      <c r="BY12" s="45" t="str">
        <f>IF(IF(IF(BY$3-VLOOKUP($A12,'détails investissements'!$A$71:$B$88,2,FALSE)&lt;=0,"",IF(VLOOKUP($A12,'détails investissements'!$A$26:$DE$43,BY$3-VLOOKUP($A12,'détails investissements'!$A$71:$B$88,2,FALSE)+1,FALSE)="","",VLOOKUP($A12,'détails investissements'!$A$26:$DE$43,BY$3-VLOOKUP($A12,'détails investissements'!$A$71:$B$88,2,FALSE)+1,FALSE)))&lt;&gt;"",HLOOKUP(IF(BY$3-VLOOKUP($A12,'détails investissements'!$A$71:$B$88,2,FALSE)&lt;=0,"",IF(VLOOKUP($A12,'détails investissements'!$A$26:$DE$43,BY$3-VLOOKUP($A12,'détails investissements'!$A$71:$B$88,2,FALSE)+1,FALSE)="","",VLOOKUP($A12,'détails investissements'!$A$26:$DE$43,BY$3-VLOOKUP($A12,'détails investissements'!$A$71:$B$88,2,FALSE)+1,FALSE))),'détails investissements'!$U$6:$AB$7,2,FALSE),"")&lt;&gt;"",VLOOKUP($A12,'détails investissements'!$A$7:$H$21,1+IF(IF(BY$3-VLOOKUP($A12,'détails investissements'!$A$71:$B$88,2,FALSE)&lt;=0,"",IF(VLOOKUP($A12,'détails investissements'!$A$26:$DE$43,BY$3-VLOOKUP($A12,'détails investissements'!$A$71:$B$88,2,FALSE)+1,FALSE)="","",VLOOKUP($A12,'détails investissements'!$A$26:$DE$43,BY$3-VLOOKUP($A12,'détails investissements'!$A$71:$B$88,2,FALSE)+1,FALSE)))&lt;&gt;"",HLOOKUP(IF(BY$3-VLOOKUP($A12,'détails investissements'!$A$71:$B$88,2,FALSE)&lt;=0,"",IF(VLOOKUP($A12,'détails investissements'!$A$26:$DE$43,BY$3-VLOOKUP($A12,'détails investissements'!$A$71:$B$88,2,FALSE)+1,FALSE)="","",VLOOKUP($A12,'détails investissements'!$A$26:$DE$43,BY$3-VLOOKUP($A12,'détails investissements'!$A$71:$B$88,2,FALSE)+1,FALSE))),'détails investissements'!$U$6:$AB$7,2,FALSE),""),FALSE),"")</f>
        <v/>
      </c>
      <c r="BZ12" s="45" t="str">
        <f>IF(IF(IF(BZ$3-VLOOKUP($A12,'détails investissements'!$A$71:$B$88,2,FALSE)&lt;=0,"",IF(VLOOKUP($A12,'détails investissements'!$A$26:$DE$43,BZ$3-VLOOKUP($A12,'détails investissements'!$A$71:$B$88,2,FALSE)+1,FALSE)="","",VLOOKUP($A12,'détails investissements'!$A$26:$DE$43,BZ$3-VLOOKUP($A12,'détails investissements'!$A$71:$B$88,2,FALSE)+1,FALSE)))&lt;&gt;"",HLOOKUP(IF(BZ$3-VLOOKUP($A12,'détails investissements'!$A$71:$B$88,2,FALSE)&lt;=0,"",IF(VLOOKUP($A12,'détails investissements'!$A$26:$DE$43,BZ$3-VLOOKUP($A12,'détails investissements'!$A$71:$B$88,2,FALSE)+1,FALSE)="","",VLOOKUP($A12,'détails investissements'!$A$26:$DE$43,BZ$3-VLOOKUP($A12,'détails investissements'!$A$71:$B$88,2,FALSE)+1,FALSE))),'détails investissements'!$U$6:$AB$7,2,FALSE),"")&lt;&gt;"",VLOOKUP($A12,'détails investissements'!$A$7:$H$21,1+IF(IF(BZ$3-VLOOKUP($A12,'détails investissements'!$A$71:$B$88,2,FALSE)&lt;=0,"",IF(VLOOKUP($A12,'détails investissements'!$A$26:$DE$43,BZ$3-VLOOKUP($A12,'détails investissements'!$A$71:$B$88,2,FALSE)+1,FALSE)="","",VLOOKUP($A12,'détails investissements'!$A$26:$DE$43,BZ$3-VLOOKUP($A12,'détails investissements'!$A$71:$B$88,2,FALSE)+1,FALSE)))&lt;&gt;"",HLOOKUP(IF(BZ$3-VLOOKUP($A12,'détails investissements'!$A$71:$B$88,2,FALSE)&lt;=0,"",IF(VLOOKUP($A12,'détails investissements'!$A$26:$DE$43,BZ$3-VLOOKUP($A12,'détails investissements'!$A$71:$B$88,2,FALSE)+1,FALSE)="","",VLOOKUP($A12,'détails investissements'!$A$26:$DE$43,BZ$3-VLOOKUP($A12,'détails investissements'!$A$71:$B$88,2,FALSE)+1,FALSE))),'détails investissements'!$U$6:$AB$7,2,FALSE),""),FALSE),"")</f>
        <v/>
      </c>
      <c r="CA12" s="45" t="str">
        <f>IF(IF(IF(CA$3-VLOOKUP($A12,'détails investissements'!$A$71:$B$88,2,FALSE)&lt;=0,"",IF(VLOOKUP($A12,'détails investissements'!$A$26:$DE$43,CA$3-VLOOKUP($A12,'détails investissements'!$A$71:$B$88,2,FALSE)+1,FALSE)="","",VLOOKUP($A12,'détails investissements'!$A$26:$DE$43,CA$3-VLOOKUP($A12,'détails investissements'!$A$71:$B$88,2,FALSE)+1,FALSE)))&lt;&gt;"",HLOOKUP(IF(CA$3-VLOOKUP($A12,'détails investissements'!$A$71:$B$88,2,FALSE)&lt;=0,"",IF(VLOOKUP($A12,'détails investissements'!$A$26:$DE$43,CA$3-VLOOKUP($A12,'détails investissements'!$A$71:$B$88,2,FALSE)+1,FALSE)="","",VLOOKUP($A12,'détails investissements'!$A$26:$DE$43,CA$3-VLOOKUP($A12,'détails investissements'!$A$71:$B$88,2,FALSE)+1,FALSE))),'détails investissements'!$U$6:$AB$7,2,FALSE),"")&lt;&gt;"",VLOOKUP($A12,'détails investissements'!$A$7:$H$21,1+IF(IF(CA$3-VLOOKUP($A12,'détails investissements'!$A$71:$B$88,2,FALSE)&lt;=0,"",IF(VLOOKUP($A12,'détails investissements'!$A$26:$DE$43,CA$3-VLOOKUP($A12,'détails investissements'!$A$71:$B$88,2,FALSE)+1,FALSE)="","",VLOOKUP($A12,'détails investissements'!$A$26:$DE$43,CA$3-VLOOKUP($A12,'détails investissements'!$A$71:$B$88,2,FALSE)+1,FALSE)))&lt;&gt;"",HLOOKUP(IF(CA$3-VLOOKUP($A12,'détails investissements'!$A$71:$B$88,2,FALSE)&lt;=0,"",IF(VLOOKUP($A12,'détails investissements'!$A$26:$DE$43,CA$3-VLOOKUP($A12,'détails investissements'!$A$71:$B$88,2,FALSE)+1,FALSE)="","",VLOOKUP($A12,'détails investissements'!$A$26:$DE$43,CA$3-VLOOKUP($A12,'détails investissements'!$A$71:$B$88,2,FALSE)+1,FALSE))),'détails investissements'!$U$6:$AB$7,2,FALSE),""),FALSE),"")</f>
        <v/>
      </c>
      <c r="CB12" s="45" t="str">
        <f>IF(IF(IF(CB$3-VLOOKUP($A12,'détails investissements'!$A$71:$B$88,2,FALSE)&lt;=0,"",IF(VLOOKUP($A12,'détails investissements'!$A$26:$DE$43,CB$3-VLOOKUP($A12,'détails investissements'!$A$71:$B$88,2,FALSE)+1,FALSE)="","",VLOOKUP($A12,'détails investissements'!$A$26:$DE$43,CB$3-VLOOKUP($A12,'détails investissements'!$A$71:$B$88,2,FALSE)+1,FALSE)))&lt;&gt;"",HLOOKUP(IF(CB$3-VLOOKUP($A12,'détails investissements'!$A$71:$B$88,2,FALSE)&lt;=0,"",IF(VLOOKUP($A12,'détails investissements'!$A$26:$DE$43,CB$3-VLOOKUP($A12,'détails investissements'!$A$71:$B$88,2,FALSE)+1,FALSE)="","",VLOOKUP($A12,'détails investissements'!$A$26:$DE$43,CB$3-VLOOKUP($A12,'détails investissements'!$A$71:$B$88,2,FALSE)+1,FALSE))),'détails investissements'!$U$6:$AB$7,2,FALSE),"")&lt;&gt;"",VLOOKUP($A12,'détails investissements'!$A$7:$H$21,1+IF(IF(CB$3-VLOOKUP($A12,'détails investissements'!$A$71:$B$88,2,FALSE)&lt;=0,"",IF(VLOOKUP($A12,'détails investissements'!$A$26:$DE$43,CB$3-VLOOKUP($A12,'détails investissements'!$A$71:$B$88,2,FALSE)+1,FALSE)="","",VLOOKUP($A12,'détails investissements'!$A$26:$DE$43,CB$3-VLOOKUP($A12,'détails investissements'!$A$71:$B$88,2,FALSE)+1,FALSE)))&lt;&gt;"",HLOOKUP(IF(CB$3-VLOOKUP($A12,'détails investissements'!$A$71:$B$88,2,FALSE)&lt;=0,"",IF(VLOOKUP($A12,'détails investissements'!$A$26:$DE$43,CB$3-VLOOKUP($A12,'détails investissements'!$A$71:$B$88,2,FALSE)+1,FALSE)="","",VLOOKUP($A12,'détails investissements'!$A$26:$DE$43,CB$3-VLOOKUP($A12,'détails investissements'!$A$71:$B$88,2,FALSE)+1,FALSE))),'détails investissements'!$U$6:$AB$7,2,FALSE),""),FALSE),"")</f>
        <v/>
      </c>
      <c r="CC12" s="45" t="str">
        <f>IF(IF(IF(CC$3-VLOOKUP($A12,'détails investissements'!$A$71:$B$88,2,FALSE)&lt;=0,"",IF(VLOOKUP($A12,'détails investissements'!$A$26:$DE$43,CC$3-VLOOKUP($A12,'détails investissements'!$A$71:$B$88,2,FALSE)+1,FALSE)="","",VLOOKUP($A12,'détails investissements'!$A$26:$DE$43,CC$3-VLOOKUP($A12,'détails investissements'!$A$71:$B$88,2,FALSE)+1,FALSE)))&lt;&gt;"",HLOOKUP(IF(CC$3-VLOOKUP($A12,'détails investissements'!$A$71:$B$88,2,FALSE)&lt;=0,"",IF(VLOOKUP($A12,'détails investissements'!$A$26:$DE$43,CC$3-VLOOKUP($A12,'détails investissements'!$A$71:$B$88,2,FALSE)+1,FALSE)="","",VLOOKUP($A12,'détails investissements'!$A$26:$DE$43,CC$3-VLOOKUP($A12,'détails investissements'!$A$71:$B$88,2,FALSE)+1,FALSE))),'détails investissements'!$U$6:$AB$7,2,FALSE),"")&lt;&gt;"",VLOOKUP($A12,'détails investissements'!$A$7:$H$21,1+IF(IF(CC$3-VLOOKUP($A12,'détails investissements'!$A$71:$B$88,2,FALSE)&lt;=0,"",IF(VLOOKUP($A12,'détails investissements'!$A$26:$DE$43,CC$3-VLOOKUP($A12,'détails investissements'!$A$71:$B$88,2,FALSE)+1,FALSE)="","",VLOOKUP($A12,'détails investissements'!$A$26:$DE$43,CC$3-VLOOKUP($A12,'détails investissements'!$A$71:$B$88,2,FALSE)+1,FALSE)))&lt;&gt;"",HLOOKUP(IF(CC$3-VLOOKUP($A12,'détails investissements'!$A$71:$B$88,2,FALSE)&lt;=0,"",IF(VLOOKUP($A12,'détails investissements'!$A$26:$DE$43,CC$3-VLOOKUP($A12,'détails investissements'!$A$71:$B$88,2,FALSE)+1,FALSE)="","",VLOOKUP($A12,'détails investissements'!$A$26:$DE$43,CC$3-VLOOKUP($A12,'détails investissements'!$A$71:$B$88,2,FALSE)+1,FALSE))),'détails investissements'!$U$6:$AB$7,2,FALSE),""),FALSE),"")</f>
        <v/>
      </c>
      <c r="CD12" s="45" t="str">
        <f>IF(IF(IF(CD$3-VLOOKUP($A12,'détails investissements'!$A$71:$B$88,2,FALSE)&lt;=0,"",IF(VLOOKUP($A12,'détails investissements'!$A$26:$DE$43,CD$3-VLOOKUP($A12,'détails investissements'!$A$71:$B$88,2,FALSE)+1,FALSE)="","",VLOOKUP($A12,'détails investissements'!$A$26:$DE$43,CD$3-VLOOKUP($A12,'détails investissements'!$A$71:$B$88,2,FALSE)+1,FALSE)))&lt;&gt;"",HLOOKUP(IF(CD$3-VLOOKUP($A12,'détails investissements'!$A$71:$B$88,2,FALSE)&lt;=0,"",IF(VLOOKUP($A12,'détails investissements'!$A$26:$DE$43,CD$3-VLOOKUP($A12,'détails investissements'!$A$71:$B$88,2,FALSE)+1,FALSE)="","",VLOOKUP($A12,'détails investissements'!$A$26:$DE$43,CD$3-VLOOKUP($A12,'détails investissements'!$A$71:$B$88,2,FALSE)+1,FALSE))),'détails investissements'!$U$6:$AB$7,2,FALSE),"")&lt;&gt;"",VLOOKUP($A12,'détails investissements'!$A$7:$H$21,1+IF(IF(CD$3-VLOOKUP($A12,'détails investissements'!$A$71:$B$88,2,FALSE)&lt;=0,"",IF(VLOOKUP($A12,'détails investissements'!$A$26:$DE$43,CD$3-VLOOKUP($A12,'détails investissements'!$A$71:$B$88,2,FALSE)+1,FALSE)="","",VLOOKUP($A12,'détails investissements'!$A$26:$DE$43,CD$3-VLOOKUP($A12,'détails investissements'!$A$71:$B$88,2,FALSE)+1,FALSE)))&lt;&gt;"",HLOOKUP(IF(CD$3-VLOOKUP($A12,'détails investissements'!$A$71:$B$88,2,FALSE)&lt;=0,"",IF(VLOOKUP($A12,'détails investissements'!$A$26:$DE$43,CD$3-VLOOKUP($A12,'détails investissements'!$A$71:$B$88,2,FALSE)+1,FALSE)="","",VLOOKUP($A12,'détails investissements'!$A$26:$DE$43,CD$3-VLOOKUP($A12,'détails investissements'!$A$71:$B$88,2,FALSE)+1,FALSE))),'détails investissements'!$U$6:$AB$7,2,FALSE),""),FALSE),"")</f>
        <v/>
      </c>
      <c r="CE12" s="45" t="str">
        <f>IF(IF(IF(CE$3-VLOOKUP($A12,'détails investissements'!$A$71:$B$88,2,FALSE)&lt;=0,"",IF(VLOOKUP($A12,'détails investissements'!$A$26:$DE$43,CE$3-VLOOKUP($A12,'détails investissements'!$A$71:$B$88,2,FALSE)+1,FALSE)="","",VLOOKUP($A12,'détails investissements'!$A$26:$DE$43,CE$3-VLOOKUP($A12,'détails investissements'!$A$71:$B$88,2,FALSE)+1,FALSE)))&lt;&gt;"",HLOOKUP(IF(CE$3-VLOOKUP($A12,'détails investissements'!$A$71:$B$88,2,FALSE)&lt;=0,"",IF(VLOOKUP($A12,'détails investissements'!$A$26:$DE$43,CE$3-VLOOKUP($A12,'détails investissements'!$A$71:$B$88,2,FALSE)+1,FALSE)="","",VLOOKUP($A12,'détails investissements'!$A$26:$DE$43,CE$3-VLOOKUP($A12,'détails investissements'!$A$71:$B$88,2,FALSE)+1,FALSE))),'détails investissements'!$U$6:$AB$7,2,FALSE),"")&lt;&gt;"",VLOOKUP($A12,'détails investissements'!$A$7:$H$21,1+IF(IF(CE$3-VLOOKUP($A12,'détails investissements'!$A$71:$B$88,2,FALSE)&lt;=0,"",IF(VLOOKUP($A12,'détails investissements'!$A$26:$DE$43,CE$3-VLOOKUP($A12,'détails investissements'!$A$71:$B$88,2,FALSE)+1,FALSE)="","",VLOOKUP($A12,'détails investissements'!$A$26:$DE$43,CE$3-VLOOKUP($A12,'détails investissements'!$A$71:$B$88,2,FALSE)+1,FALSE)))&lt;&gt;"",HLOOKUP(IF(CE$3-VLOOKUP($A12,'détails investissements'!$A$71:$B$88,2,FALSE)&lt;=0,"",IF(VLOOKUP($A12,'détails investissements'!$A$26:$DE$43,CE$3-VLOOKUP($A12,'détails investissements'!$A$71:$B$88,2,FALSE)+1,FALSE)="","",VLOOKUP($A12,'détails investissements'!$A$26:$DE$43,CE$3-VLOOKUP($A12,'détails investissements'!$A$71:$B$88,2,FALSE)+1,FALSE))),'détails investissements'!$U$6:$AB$7,2,FALSE),""),FALSE),"")</f>
        <v/>
      </c>
      <c r="CF12" s="45" t="str">
        <f>IF(IF(IF(CF$3-VLOOKUP($A12,'détails investissements'!$A$71:$B$88,2,FALSE)&lt;=0,"",IF(VLOOKUP($A12,'détails investissements'!$A$26:$DE$43,CF$3-VLOOKUP($A12,'détails investissements'!$A$71:$B$88,2,FALSE)+1,FALSE)="","",VLOOKUP($A12,'détails investissements'!$A$26:$DE$43,CF$3-VLOOKUP($A12,'détails investissements'!$A$71:$B$88,2,FALSE)+1,FALSE)))&lt;&gt;"",HLOOKUP(IF(CF$3-VLOOKUP($A12,'détails investissements'!$A$71:$B$88,2,FALSE)&lt;=0,"",IF(VLOOKUP($A12,'détails investissements'!$A$26:$DE$43,CF$3-VLOOKUP($A12,'détails investissements'!$A$71:$B$88,2,FALSE)+1,FALSE)="","",VLOOKUP($A12,'détails investissements'!$A$26:$DE$43,CF$3-VLOOKUP($A12,'détails investissements'!$A$71:$B$88,2,FALSE)+1,FALSE))),'détails investissements'!$U$6:$AB$7,2,FALSE),"")&lt;&gt;"",VLOOKUP($A12,'détails investissements'!$A$7:$H$21,1+IF(IF(CF$3-VLOOKUP($A12,'détails investissements'!$A$71:$B$88,2,FALSE)&lt;=0,"",IF(VLOOKUP($A12,'détails investissements'!$A$26:$DE$43,CF$3-VLOOKUP($A12,'détails investissements'!$A$71:$B$88,2,FALSE)+1,FALSE)="","",VLOOKUP($A12,'détails investissements'!$A$26:$DE$43,CF$3-VLOOKUP($A12,'détails investissements'!$A$71:$B$88,2,FALSE)+1,FALSE)))&lt;&gt;"",HLOOKUP(IF(CF$3-VLOOKUP($A12,'détails investissements'!$A$71:$B$88,2,FALSE)&lt;=0,"",IF(VLOOKUP($A12,'détails investissements'!$A$26:$DE$43,CF$3-VLOOKUP($A12,'détails investissements'!$A$71:$B$88,2,FALSE)+1,FALSE)="","",VLOOKUP($A12,'détails investissements'!$A$26:$DE$43,CF$3-VLOOKUP($A12,'détails investissements'!$A$71:$B$88,2,FALSE)+1,FALSE))),'détails investissements'!$U$6:$AB$7,2,FALSE),""),FALSE),"")</f>
        <v/>
      </c>
      <c r="CG12" s="45" t="str">
        <f>IF(IF(IF(CG$3-VLOOKUP($A12,'détails investissements'!$A$71:$B$88,2,FALSE)&lt;=0,"",IF(VLOOKUP($A12,'détails investissements'!$A$26:$DE$43,CG$3-VLOOKUP($A12,'détails investissements'!$A$71:$B$88,2,FALSE)+1,FALSE)="","",VLOOKUP($A12,'détails investissements'!$A$26:$DE$43,CG$3-VLOOKUP($A12,'détails investissements'!$A$71:$B$88,2,FALSE)+1,FALSE)))&lt;&gt;"",HLOOKUP(IF(CG$3-VLOOKUP($A12,'détails investissements'!$A$71:$B$88,2,FALSE)&lt;=0,"",IF(VLOOKUP($A12,'détails investissements'!$A$26:$DE$43,CG$3-VLOOKUP($A12,'détails investissements'!$A$71:$B$88,2,FALSE)+1,FALSE)="","",VLOOKUP($A12,'détails investissements'!$A$26:$DE$43,CG$3-VLOOKUP($A12,'détails investissements'!$A$71:$B$88,2,FALSE)+1,FALSE))),'détails investissements'!$U$6:$AB$7,2,FALSE),"")&lt;&gt;"",VLOOKUP($A12,'détails investissements'!$A$7:$H$21,1+IF(IF(CG$3-VLOOKUP($A12,'détails investissements'!$A$71:$B$88,2,FALSE)&lt;=0,"",IF(VLOOKUP($A12,'détails investissements'!$A$26:$DE$43,CG$3-VLOOKUP($A12,'détails investissements'!$A$71:$B$88,2,FALSE)+1,FALSE)="","",VLOOKUP($A12,'détails investissements'!$A$26:$DE$43,CG$3-VLOOKUP($A12,'détails investissements'!$A$71:$B$88,2,FALSE)+1,FALSE)))&lt;&gt;"",HLOOKUP(IF(CG$3-VLOOKUP($A12,'détails investissements'!$A$71:$B$88,2,FALSE)&lt;=0,"",IF(VLOOKUP($A12,'détails investissements'!$A$26:$DE$43,CG$3-VLOOKUP($A12,'détails investissements'!$A$71:$B$88,2,FALSE)+1,FALSE)="","",VLOOKUP($A12,'détails investissements'!$A$26:$DE$43,CG$3-VLOOKUP($A12,'détails investissements'!$A$71:$B$88,2,FALSE)+1,FALSE))),'détails investissements'!$U$6:$AB$7,2,FALSE),""),FALSE),"")</f>
        <v/>
      </c>
      <c r="CH12" s="45" t="str">
        <f>IF(IF(IF(CH$3-VLOOKUP($A12,'détails investissements'!$A$71:$B$88,2,FALSE)&lt;=0,"",IF(VLOOKUP($A12,'détails investissements'!$A$26:$DE$43,CH$3-VLOOKUP($A12,'détails investissements'!$A$71:$B$88,2,FALSE)+1,FALSE)="","",VLOOKUP($A12,'détails investissements'!$A$26:$DE$43,CH$3-VLOOKUP($A12,'détails investissements'!$A$71:$B$88,2,FALSE)+1,FALSE)))&lt;&gt;"",HLOOKUP(IF(CH$3-VLOOKUP($A12,'détails investissements'!$A$71:$B$88,2,FALSE)&lt;=0,"",IF(VLOOKUP($A12,'détails investissements'!$A$26:$DE$43,CH$3-VLOOKUP($A12,'détails investissements'!$A$71:$B$88,2,FALSE)+1,FALSE)="","",VLOOKUP($A12,'détails investissements'!$A$26:$DE$43,CH$3-VLOOKUP($A12,'détails investissements'!$A$71:$B$88,2,FALSE)+1,FALSE))),'détails investissements'!$U$6:$AB$7,2,FALSE),"")&lt;&gt;"",VLOOKUP($A12,'détails investissements'!$A$7:$H$21,1+IF(IF(CH$3-VLOOKUP($A12,'détails investissements'!$A$71:$B$88,2,FALSE)&lt;=0,"",IF(VLOOKUP($A12,'détails investissements'!$A$26:$DE$43,CH$3-VLOOKUP($A12,'détails investissements'!$A$71:$B$88,2,FALSE)+1,FALSE)="","",VLOOKUP($A12,'détails investissements'!$A$26:$DE$43,CH$3-VLOOKUP($A12,'détails investissements'!$A$71:$B$88,2,FALSE)+1,FALSE)))&lt;&gt;"",HLOOKUP(IF(CH$3-VLOOKUP($A12,'détails investissements'!$A$71:$B$88,2,FALSE)&lt;=0,"",IF(VLOOKUP($A12,'détails investissements'!$A$26:$DE$43,CH$3-VLOOKUP($A12,'détails investissements'!$A$71:$B$88,2,FALSE)+1,FALSE)="","",VLOOKUP($A12,'détails investissements'!$A$26:$DE$43,CH$3-VLOOKUP($A12,'détails investissements'!$A$71:$B$88,2,FALSE)+1,FALSE))),'détails investissements'!$U$6:$AB$7,2,FALSE),""),FALSE),"")</f>
        <v/>
      </c>
      <c r="CI12" s="45" t="str">
        <f>IF(IF(IF(CI$3-VLOOKUP($A12,'détails investissements'!$A$71:$B$88,2,FALSE)&lt;=0,"",IF(VLOOKUP($A12,'détails investissements'!$A$26:$DE$43,CI$3-VLOOKUP($A12,'détails investissements'!$A$71:$B$88,2,FALSE)+1,FALSE)="","",VLOOKUP($A12,'détails investissements'!$A$26:$DE$43,CI$3-VLOOKUP($A12,'détails investissements'!$A$71:$B$88,2,FALSE)+1,FALSE)))&lt;&gt;"",HLOOKUP(IF(CI$3-VLOOKUP($A12,'détails investissements'!$A$71:$B$88,2,FALSE)&lt;=0,"",IF(VLOOKUP($A12,'détails investissements'!$A$26:$DE$43,CI$3-VLOOKUP($A12,'détails investissements'!$A$71:$B$88,2,FALSE)+1,FALSE)="","",VLOOKUP($A12,'détails investissements'!$A$26:$DE$43,CI$3-VLOOKUP($A12,'détails investissements'!$A$71:$B$88,2,FALSE)+1,FALSE))),'détails investissements'!$U$6:$AB$7,2,FALSE),"")&lt;&gt;"",VLOOKUP($A12,'détails investissements'!$A$7:$H$21,1+IF(IF(CI$3-VLOOKUP($A12,'détails investissements'!$A$71:$B$88,2,FALSE)&lt;=0,"",IF(VLOOKUP($A12,'détails investissements'!$A$26:$DE$43,CI$3-VLOOKUP($A12,'détails investissements'!$A$71:$B$88,2,FALSE)+1,FALSE)="","",VLOOKUP($A12,'détails investissements'!$A$26:$DE$43,CI$3-VLOOKUP($A12,'détails investissements'!$A$71:$B$88,2,FALSE)+1,FALSE)))&lt;&gt;"",HLOOKUP(IF(CI$3-VLOOKUP($A12,'détails investissements'!$A$71:$B$88,2,FALSE)&lt;=0,"",IF(VLOOKUP($A12,'détails investissements'!$A$26:$DE$43,CI$3-VLOOKUP($A12,'détails investissements'!$A$71:$B$88,2,FALSE)+1,FALSE)="","",VLOOKUP($A12,'détails investissements'!$A$26:$DE$43,CI$3-VLOOKUP($A12,'détails investissements'!$A$71:$B$88,2,FALSE)+1,FALSE))),'détails investissements'!$U$6:$AB$7,2,FALSE),""),FALSE),"")</f>
        <v/>
      </c>
      <c r="CJ12" s="45" t="str">
        <f>IF(IF(IF(CJ$3-VLOOKUP($A12,'détails investissements'!$A$71:$B$88,2,FALSE)&lt;=0,"",IF(VLOOKUP($A12,'détails investissements'!$A$26:$DE$43,CJ$3-VLOOKUP($A12,'détails investissements'!$A$71:$B$88,2,FALSE)+1,FALSE)="","",VLOOKUP($A12,'détails investissements'!$A$26:$DE$43,CJ$3-VLOOKUP($A12,'détails investissements'!$A$71:$B$88,2,FALSE)+1,FALSE)))&lt;&gt;"",HLOOKUP(IF(CJ$3-VLOOKUP($A12,'détails investissements'!$A$71:$B$88,2,FALSE)&lt;=0,"",IF(VLOOKUP($A12,'détails investissements'!$A$26:$DE$43,CJ$3-VLOOKUP($A12,'détails investissements'!$A$71:$B$88,2,FALSE)+1,FALSE)="","",VLOOKUP($A12,'détails investissements'!$A$26:$DE$43,CJ$3-VLOOKUP($A12,'détails investissements'!$A$71:$B$88,2,FALSE)+1,FALSE))),'détails investissements'!$U$6:$AB$7,2,FALSE),"")&lt;&gt;"",VLOOKUP($A12,'détails investissements'!$A$7:$H$21,1+IF(IF(CJ$3-VLOOKUP($A12,'détails investissements'!$A$71:$B$88,2,FALSE)&lt;=0,"",IF(VLOOKUP($A12,'détails investissements'!$A$26:$DE$43,CJ$3-VLOOKUP($A12,'détails investissements'!$A$71:$B$88,2,FALSE)+1,FALSE)="","",VLOOKUP($A12,'détails investissements'!$A$26:$DE$43,CJ$3-VLOOKUP($A12,'détails investissements'!$A$71:$B$88,2,FALSE)+1,FALSE)))&lt;&gt;"",HLOOKUP(IF(CJ$3-VLOOKUP($A12,'détails investissements'!$A$71:$B$88,2,FALSE)&lt;=0,"",IF(VLOOKUP($A12,'détails investissements'!$A$26:$DE$43,CJ$3-VLOOKUP($A12,'détails investissements'!$A$71:$B$88,2,FALSE)+1,FALSE)="","",VLOOKUP($A12,'détails investissements'!$A$26:$DE$43,CJ$3-VLOOKUP($A12,'détails investissements'!$A$71:$B$88,2,FALSE)+1,FALSE))),'détails investissements'!$U$6:$AB$7,2,FALSE),""),FALSE),"")</f>
        <v/>
      </c>
      <c r="CK12" s="45" t="str">
        <f>IF(IF(IF(CK$3-VLOOKUP($A12,'détails investissements'!$A$71:$B$88,2,FALSE)&lt;=0,"",IF(VLOOKUP($A12,'détails investissements'!$A$26:$DE$43,CK$3-VLOOKUP($A12,'détails investissements'!$A$71:$B$88,2,FALSE)+1,FALSE)="","",VLOOKUP($A12,'détails investissements'!$A$26:$DE$43,CK$3-VLOOKUP($A12,'détails investissements'!$A$71:$B$88,2,FALSE)+1,FALSE)))&lt;&gt;"",HLOOKUP(IF(CK$3-VLOOKUP($A12,'détails investissements'!$A$71:$B$88,2,FALSE)&lt;=0,"",IF(VLOOKUP($A12,'détails investissements'!$A$26:$DE$43,CK$3-VLOOKUP($A12,'détails investissements'!$A$71:$B$88,2,FALSE)+1,FALSE)="","",VLOOKUP($A12,'détails investissements'!$A$26:$DE$43,CK$3-VLOOKUP($A12,'détails investissements'!$A$71:$B$88,2,FALSE)+1,FALSE))),'détails investissements'!$U$6:$AB$7,2,FALSE),"")&lt;&gt;"",VLOOKUP($A12,'détails investissements'!$A$7:$H$21,1+IF(IF(CK$3-VLOOKUP($A12,'détails investissements'!$A$71:$B$88,2,FALSE)&lt;=0,"",IF(VLOOKUP($A12,'détails investissements'!$A$26:$DE$43,CK$3-VLOOKUP($A12,'détails investissements'!$A$71:$B$88,2,FALSE)+1,FALSE)="","",VLOOKUP($A12,'détails investissements'!$A$26:$DE$43,CK$3-VLOOKUP($A12,'détails investissements'!$A$71:$B$88,2,FALSE)+1,FALSE)))&lt;&gt;"",HLOOKUP(IF(CK$3-VLOOKUP($A12,'détails investissements'!$A$71:$B$88,2,FALSE)&lt;=0,"",IF(VLOOKUP($A12,'détails investissements'!$A$26:$DE$43,CK$3-VLOOKUP($A12,'détails investissements'!$A$71:$B$88,2,FALSE)+1,FALSE)="","",VLOOKUP($A12,'détails investissements'!$A$26:$DE$43,CK$3-VLOOKUP($A12,'détails investissements'!$A$71:$B$88,2,FALSE)+1,FALSE))),'détails investissements'!$U$6:$AB$7,2,FALSE),""),FALSE),"")</f>
        <v/>
      </c>
      <c r="CL12" s="45" t="str">
        <f>IF(IF(IF(CL$3-VLOOKUP($A12,'détails investissements'!$A$71:$B$88,2,FALSE)&lt;=0,"",IF(VLOOKUP($A12,'détails investissements'!$A$26:$DE$43,CL$3-VLOOKUP($A12,'détails investissements'!$A$71:$B$88,2,FALSE)+1,FALSE)="","",VLOOKUP($A12,'détails investissements'!$A$26:$DE$43,CL$3-VLOOKUP($A12,'détails investissements'!$A$71:$B$88,2,FALSE)+1,FALSE)))&lt;&gt;"",HLOOKUP(IF(CL$3-VLOOKUP($A12,'détails investissements'!$A$71:$B$88,2,FALSE)&lt;=0,"",IF(VLOOKUP($A12,'détails investissements'!$A$26:$DE$43,CL$3-VLOOKUP($A12,'détails investissements'!$A$71:$B$88,2,FALSE)+1,FALSE)="","",VLOOKUP($A12,'détails investissements'!$A$26:$DE$43,CL$3-VLOOKUP($A12,'détails investissements'!$A$71:$B$88,2,FALSE)+1,FALSE))),'détails investissements'!$U$6:$AB$7,2,FALSE),"")&lt;&gt;"",VLOOKUP($A12,'détails investissements'!$A$7:$H$21,1+IF(IF(CL$3-VLOOKUP($A12,'détails investissements'!$A$71:$B$88,2,FALSE)&lt;=0,"",IF(VLOOKUP($A12,'détails investissements'!$A$26:$DE$43,CL$3-VLOOKUP($A12,'détails investissements'!$A$71:$B$88,2,FALSE)+1,FALSE)="","",VLOOKUP($A12,'détails investissements'!$A$26:$DE$43,CL$3-VLOOKUP($A12,'détails investissements'!$A$71:$B$88,2,FALSE)+1,FALSE)))&lt;&gt;"",HLOOKUP(IF(CL$3-VLOOKUP($A12,'détails investissements'!$A$71:$B$88,2,FALSE)&lt;=0,"",IF(VLOOKUP($A12,'détails investissements'!$A$26:$DE$43,CL$3-VLOOKUP($A12,'détails investissements'!$A$71:$B$88,2,FALSE)+1,FALSE)="","",VLOOKUP($A12,'détails investissements'!$A$26:$DE$43,CL$3-VLOOKUP($A12,'détails investissements'!$A$71:$B$88,2,FALSE)+1,FALSE))),'détails investissements'!$U$6:$AB$7,2,FALSE),""),FALSE),"")</f>
        <v/>
      </c>
      <c r="CM12" s="45" t="str">
        <f>IF(IF(IF(CM$3-VLOOKUP($A12,'détails investissements'!$A$71:$B$88,2,FALSE)&lt;=0,"",IF(VLOOKUP($A12,'détails investissements'!$A$26:$DE$43,CM$3-VLOOKUP($A12,'détails investissements'!$A$71:$B$88,2,FALSE)+1,FALSE)="","",VLOOKUP($A12,'détails investissements'!$A$26:$DE$43,CM$3-VLOOKUP($A12,'détails investissements'!$A$71:$B$88,2,FALSE)+1,FALSE)))&lt;&gt;"",HLOOKUP(IF(CM$3-VLOOKUP($A12,'détails investissements'!$A$71:$B$88,2,FALSE)&lt;=0,"",IF(VLOOKUP($A12,'détails investissements'!$A$26:$DE$43,CM$3-VLOOKUP($A12,'détails investissements'!$A$71:$B$88,2,FALSE)+1,FALSE)="","",VLOOKUP($A12,'détails investissements'!$A$26:$DE$43,CM$3-VLOOKUP($A12,'détails investissements'!$A$71:$B$88,2,FALSE)+1,FALSE))),'détails investissements'!$U$6:$AB$7,2,FALSE),"")&lt;&gt;"",VLOOKUP($A12,'détails investissements'!$A$7:$H$21,1+IF(IF(CM$3-VLOOKUP($A12,'détails investissements'!$A$71:$B$88,2,FALSE)&lt;=0,"",IF(VLOOKUP($A12,'détails investissements'!$A$26:$DE$43,CM$3-VLOOKUP($A12,'détails investissements'!$A$71:$B$88,2,FALSE)+1,FALSE)="","",VLOOKUP($A12,'détails investissements'!$A$26:$DE$43,CM$3-VLOOKUP($A12,'détails investissements'!$A$71:$B$88,2,FALSE)+1,FALSE)))&lt;&gt;"",HLOOKUP(IF(CM$3-VLOOKUP($A12,'détails investissements'!$A$71:$B$88,2,FALSE)&lt;=0,"",IF(VLOOKUP($A12,'détails investissements'!$A$26:$DE$43,CM$3-VLOOKUP($A12,'détails investissements'!$A$71:$B$88,2,FALSE)+1,FALSE)="","",VLOOKUP($A12,'détails investissements'!$A$26:$DE$43,CM$3-VLOOKUP($A12,'détails investissements'!$A$71:$B$88,2,FALSE)+1,FALSE))),'détails investissements'!$U$6:$AB$7,2,FALSE),""),FALSE),"")</f>
        <v/>
      </c>
      <c r="CN12" s="45" t="str">
        <f>IF(IF(IF(CN$3-VLOOKUP($A12,'détails investissements'!$A$71:$B$88,2,FALSE)&lt;=0,"",IF(VLOOKUP($A12,'détails investissements'!$A$26:$DE$43,CN$3-VLOOKUP($A12,'détails investissements'!$A$71:$B$88,2,FALSE)+1,FALSE)="","",VLOOKUP($A12,'détails investissements'!$A$26:$DE$43,CN$3-VLOOKUP($A12,'détails investissements'!$A$71:$B$88,2,FALSE)+1,FALSE)))&lt;&gt;"",HLOOKUP(IF(CN$3-VLOOKUP($A12,'détails investissements'!$A$71:$B$88,2,FALSE)&lt;=0,"",IF(VLOOKUP($A12,'détails investissements'!$A$26:$DE$43,CN$3-VLOOKUP($A12,'détails investissements'!$A$71:$B$88,2,FALSE)+1,FALSE)="","",VLOOKUP($A12,'détails investissements'!$A$26:$DE$43,CN$3-VLOOKUP($A12,'détails investissements'!$A$71:$B$88,2,FALSE)+1,FALSE))),'détails investissements'!$U$6:$AB$7,2,FALSE),"")&lt;&gt;"",VLOOKUP($A12,'détails investissements'!$A$7:$H$21,1+IF(IF(CN$3-VLOOKUP($A12,'détails investissements'!$A$71:$B$88,2,FALSE)&lt;=0,"",IF(VLOOKUP($A12,'détails investissements'!$A$26:$DE$43,CN$3-VLOOKUP($A12,'détails investissements'!$A$71:$B$88,2,FALSE)+1,FALSE)="","",VLOOKUP($A12,'détails investissements'!$A$26:$DE$43,CN$3-VLOOKUP($A12,'détails investissements'!$A$71:$B$88,2,FALSE)+1,FALSE)))&lt;&gt;"",HLOOKUP(IF(CN$3-VLOOKUP($A12,'détails investissements'!$A$71:$B$88,2,FALSE)&lt;=0,"",IF(VLOOKUP($A12,'détails investissements'!$A$26:$DE$43,CN$3-VLOOKUP($A12,'détails investissements'!$A$71:$B$88,2,FALSE)+1,FALSE)="","",VLOOKUP($A12,'détails investissements'!$A$26:$DE$43,CN$3-VLOOKUP($A12,'détails investissements'!$A$71:$B$88,2,FALSE)+1,FALSE))),'détails investissements'!$U$6:$AB$7,2,FALSE),""),FALSE),"")</f>
        <v/>
      </c>
      <c r="CO12" s="45" t="str">
        <f>IF(IF(IF(CO$3-VLOOKUP($A12,'détails investissements'!$A$71:$B$88,2,FALSE)&lt;=0,"",IF(VLOOKUP($A12,'détails investissements'!$A$26:$DE$43,CO$3-VLOOKUP($A12,'détails investissements'!$A$71:$B$88,2,FALSE)+1,FALSE)="","",VLOOKUP($A12,'détails investissements'!$A$26:$DE$43,CO$3-VLOOKUP($A12,'détails investissements'!$A$71:$B$88,2,FALSE)+1,FALSE)))&lt;&gt;"",HLOOKUP(IF(CO$3-VLOOKUP($A12,'détails investissements'!$A$71:$B$88,2,FALSE)&lt;=0,"",IF(VLOOKUP($A12,'détails investissements'!$A$26:$DE$43,CO$3-VLOOKUP($A12,'détails investissements'!$A$71:$B$88,2,FALSE)+1,FALSE)="","",VLOOKUP($A12,'détails investissements'!$A$26:$DE$43,CO$3-VLOOKUP($A12,'détails investissements'!$A$71:$B$88,2,FALSE)+1,FALSE))),'détails investissements'!$U$6:$AB$7,2,FALSE),"")&lt;&gt;"",VLOOKUP($A12,'détails investissements'!$A$7:$H$21,1+IF(IF(CO$3-VLOOKUP($A12,'détails investissements'!$A$71:$B$88,2,FALSE)&lt;=0,"",IF(VLOOKUP($A12,'détails investissements'!$A$26:$DE$43,CO$3-VLOOKUP($A12,'détails investissements'!$A$71:$B$88,2,FALSE)+1,FALSE)="","",VLOOKUP($A12,'détails investissements'!$A$26:$DE$43,CO$3-VLOOKUP($A12,'détails investissements'!$A$71:$B$88,2,FALSE)+1,FALSE)))&lt;&gt;"",HLOOKUP(IF(CO$3-VLOOKUP($A12,'détails investissements'!$A$71:$B$88,2,FALSE)&lt;=0,"",IF(VLOOKUP($A12,'détails investissements'!$A$26:$DE$43,CO$3-VLOOKUP($A12,'détails investissements'!$A$71:$B$88,2,FALSE)+1,FALSE)="","",VLOOKUP($A12,'détails investissements'!$A$26:$DE$43,CO$3-VLOOKUP($A12,'détails investissements'!$A$71:$B$88,2,FALSE)+1,FALSE))),'détails investissements'!$U$6:$AB$7,2,FALSE),""),FALSE),"")</f>
        <v/>
      </c>
      <c r="CP12" s="45" t="str">
        <f>IF(IF(IF(CP$3-VLOOKUP($A12,'détails investissements'!$A$71:$B$88,2,FALSE)&lt;=0,"",IF(VLOOKUP($A12,'détails investissements'!$A$26:$DE$43,CP$3-VLOOKUP($A12,'détails investissements'!$A$71:$B$88,2,FALSE)+1,FALSE)="","",VLOOKUP($A12,'détails investissements'!$A$26:$DE$43,CP$3-VLOOKUP($A12,'détails investissements'!$A$71:$B$88,2,FALSE)+1,FALSE)))&lt;&gt;"",HLOOKUP(IF(CP$3-VLOOKUP($A12,'détails investissements'!$A$71:$B$88,2,FALSE)&lt;=0,"",IF(VLOOKUP($A12,'détails investissements'!$A$26:$DE$43,CP$3-VLOOKUP($A12,'détails investissements'!$A$71:$B$88,2,FALSE)+1,FALSE)="","",VLOOKUP($A12,'détails investissements'!$A$26:$DE$43,CP$3-VLOOKUP($A12,'détails investissements'!$A$71:$B$88,2,FALSE)+1,FALSE))),'détails investissements'!$U$6:$AB$7,2,FALSE),"")&lt;&gt;"",VLOOKUP($A12,'détails investissements'!$A$7:$H$21,1+IF(IF(CP$3-VLOOKUP($A12,'détails investissements'!$A$71:$B$88,2,FALSE)&lt;=0,"",IF(VLOOKUP($A12,'détails investissements'!$A$26:$DE$43,CP$3-VLOOKUP($A12,'détails investissements'!$A$71:$B$88,2,FALSE)+1,FALSE)="","",VLOOKUP($A12,'détails investissements'!$A$26:$DE$43,CP$3-VLOOKUP($A12,'détails investissements'!$A$71:$B$88,2,FALSE)+1,FALSE)))&lt;&gt;"",HLOOKUP(IF(CP$3-VLOOKUP($A12,'détails investissements'!$A$71:$B$88,2,FALSE)&lt;=0,"",IF(VLOOKUP($A12,'détails investissements'!$A$26:$DE$43,CP$3-VLOOKUP($A12,'détails investissements'!$A$71:$B$88,2,FALSE)+1,FALSE)="","",VLOOKUP($A12,'détails investissements'!$A$26:$DE$43,CP$3-VLOOKUP($A12,'détails investissements'!$A$71:$B$88,2,FALSE)+1,FALSE))),'détails investissements'!$U$6:$AB$7,2,FALSE),""),FALSE),"")</f>
        <v/>
      </c>
      <c r="CQ12" s="45" t="str">
        <f>IF(IF(IF(CQ$3-VLOOKUP($A12,'détails investissements'!$A$71:$B$88,2,FALSE)&lt;=0,"",IF(VLOOKUP($A12,'détails investissements'!$A$26:$DE$43,CQ$3-VLOOKUP($A12,'détails investissements'!$A$71:$B$88,2,FALSE)+1,FALSE)="","",VLOOKUP($A12,'détails investissements'!$A$26:$DE$43,CQ$3-VLOOKUP($A12,'détails investissements'!$A$71:$B$88,2,FALSE)+1,FALSE)))&lt;&gt;"",HLOOKUP(IF(CQ$3-VLOOKUP($A12,'détails investissements'!$A$71:$B$88,2,FALSE)&lt;=0,"",IF(VLOOKUP($A12,'détails investissements'!$A$26:$DE$43,CQ$3-VLOOKUP($A12,'détails investissements'!$A$71:$B$88,2,FALSE)+1,FALSE)="","",VLOOKUP($A12,'détails investissements'!$A$26:$DE$43,CQ$3-VLOOKUP($A12,'détails investissements'!$A$71:$B$88,2,FALSE)+1,FALSE))),'détails investissements'!$U$6:$AB$7,2,FALSE),"")&lt;&gt;"",VLOOKUP($A12,'détails investissements'!$A$7:$H$21,1+IF(IF(CQ$3-VLOOKUP($A12,'détails investissements'!$A$71:$B$88,2,FALSE)&lt;=0,"",IF(VLOOKUP($A12,'détails investissements'!$A$26:$DE$43,CQ$3-VLOOKUP($A12,'détails investissements'!$A$71:$B$88,2,FALSE)+1,FALSE)="","",VLOOKUP($A12,'détails investissements'!$A$26:$DE$43,CQ$3-VLOOKUP($A12,'détails investissements'!$A$71:$B$88,2,FALSE)+1,FALSE)))&lt;&gt;"",HLOOKUP(IF(CQ$3-VLOOKUP($A12,'détails investissements'!$A$71:$B$88,2,FALSE)&lt;=0,"",IF(VLOOKUP($A12,'détails investissements'!$A$26:$DE$43,CQ$3-VLOOKUP($A12,'détails investissements'!$A$71:$B$88,2,FALSE)+1,FALSE)="","",VLOOKUP($A12,'détails investissements'!$A$26:$DE$43,CQ$3-VLOOKUP($A12,'détails investissements'!$A$71:$B$88,2,FALSE)+1,FALSE))),'détails investissements'!$U$6:$AB$7,2,FALSE),""),FALSE),"")</f>
        <v/>
      </c>
      <c r="CR12" s="45" t="str">
        <f>IF(IF(IF(CR$3-VLOOKUP($A12,'détails investissements'!$A$71:$B$88,2,FALSE)&lt;=0,"",IF(VLOOKUP($A12,'détails investissements'!$A$26:$DE$43,CR$3-VLOOKUP($A12,'détails investissements'!$A$71:$B$88,2,FALSE)+1,FALSE)="","",VLOOKUP($A12,'détails investissements'!$A$26:$DE$43,CR$3-VLOOKUP($A12,'détails investissements'!$A$71:$B$88,2,FALSE)+1,FALSE)))&lt;&gt;"",HLOOKUP(IF(CR$3-VLOOKUP($A12,'détails investissements'!$A$71:$B$88,2,FALSE)&lt;=0,"",IF(VLOOKUP($A12,'détails investissements'!$A$26:$DE$43,CR$3-VLOOKUP($A12,'détails investissements'!$A$71:$B$88,2,FALSE)+1,FALSE)="","",VLOOKUP($A12,'détails investissements'!$A$26:$DE$43,CR$3-VLOOKUP($A12,'détails investissements'!$A$71:$B$88,2,FALSE)+1,FALSE))),'détails investissements'!$U$6:$AB$7,2,FALSE),"")&lt;&gt;"",VLOOKUP($A12,'détails investissements'!$A$7:$H$21,1+IF(IF(CR$3-VLOOKUP($A12,'détails investissements'!$A$71:$B$88,2,FALSE)&lt;=0,"",IF(VLOOKUP($A12,'détails investissements'!$A$26:$DE$43,CR$3-VLOOKUP($A12,'détails investissements'!$A$71:$B$88,2,FALSE)+1,FALSE)="","",VLOOKUP($A12,'détails investissements'!$A$26:$DE$43,CR$3-VLOOKUP($A12,'détails investissements'!$A$71:$B$88,2,FALSE)+1,FALSE)))&lt;&gt;"",HLOOKUP(IF(CR$3-VLOOKUP($A12,'détails investissements'!$A$71:$B$88,2,FALSE)&lt;=0,"",IF(VLOOKUP($A12,'détails investissements'!$A$26:$DE$43,CR$3-VLOOKUP($A12,'détails investissements'!$A$71:$B$88,2,FALSE)+1,FALSE)="","",VLOOKUP($A12,'détails investissements'!$A$26:$DE$43,CR$3-VLOOKUP($A12,'détails investissements'!$A$71:$B$88,2,FALSE)+1,FALSE))),'détails investissements'!$U$6:$AB$7,2,FALSE),""),FALSE),"")</f>
        <v/>
      </c>
      <c r="CS12" s="45" t="str">
        <f>IF(IF(IF(CS$3-VLOOKUP($A12,'détails investissements'!$A$71:$B$88,2,FALSE)&lt;=0,"",IF(VLOOKUP($A12,'détails investissements'!$A$26:$DE$43,CS$3-VLOOKUP($A12,'détails investissements'!$A$71:$B$88,2,FALSE)+1,FALSE)="","",VLOOKUP($A12,'détails investissements'!$A$26:$DE$43,CS$3-VLOOKUP($A12,'détails investissements'!$A$71:$B$88,2,FALSE)+1,FALSE)))&lt;&gt;"",HLOOKUP(IF(CS$3-VLOOKUP($A12,'détails investissements'!$A$71:$B$88,2,FALSE)&lt;=0,"",IF(VLOOKUP($A12,'détails investissements'!$A$26:$DE$43,CS$3-VLOOKUP($A12,'détails investissements'!$A$71:$B$88,2,FALSE)+1,FALSE)="","",VLOOKUP($A12,'détails investissements'!$A$26:$DE$43,CS$3-VLOOKUP($A12,'détails investissements'!$A$71:$B$88,2,FALSE)+1,FALSE))),'détails investissements'!$U$6:$AB$7,2,FALSE),"")&lt;&gt;"",VLOOKUP($A12,'détails investissements'!$A$7:$H$21,1+IF(IF(CS$3-VLOOKUP($A12,'détails investissements'!$A$71:$B$88,2,FALSE)&lt;=0,"",IF(VLOOKUP($A12,'détails investissements'!$A$26:$DE$43,CS$3-VLOOKUP($A12,'détails investissements'!$A$71:$B$88,2,FALSE)+1,FALSE)="","",VLOOKUP($A12,'détails investissements'!$A$26:$DE$43,CS$3-VLOOKUP($A12,'détails investissements'!$A$71:$B$88,2,FALSE)+1,FALSE)))&lt;&gt;"",HLOOKUP(IF(CS$3-VLOOKUP($A12,'détails investissements'!$A$71:$B$88,2,FALSE)&lt;=0,"",IF(VLOOKUP($A12,'détails investissements'!$A$26:$DE$43,CS$3-VLOOKUP($A12,'détails investissements'!$A$71:$B$88,2,FALSE)+1,FALSE)="","",VLOOKUP($A12,'détails investissements'!$A$26:$DE$43,CS$3-VLOOKUP($A12,'détails investissements'!$A$71:$B$88,2,FALSE)+1,FALSE))),'détails investissements'!$U$6:$AB$7,2,FALSE),""),FALSE),"")</f>
        <v/>
      </c>
      <c r="CT12" s="45" t="str">
        <f>IF(IF(IF(CT$3-VLOOKUP($A12,'détails investissements'!$A$71:$B$88,2,FALSE)&lt;=0,"",IF(VLOOKUP($A12,'détails investissements'!$A$26:$DE$43,CT$3-VLOOKUP($A12,'détails investissements'!$A$71:$B$88,2,FALSE)+1,FALSE)="","",VLOOKUP($A12,'détails investissements'!$A$26:$DE$43,CT$3-VLOOKUP($A12,'détails investissements'!$A$71:$B$88,2,FALSE)+1,FALSE)))&lt;&gt;"",HLOOKUP(IF(CT$3-VLOOKUP($A12,'détails investissements'!$A$71:$B$88,2,FALSE)&lt;=0,"",IF(VLOOKUP($A12,'détails investissements'!$A$26:$DE$43,CT$3-VLOOKUP($A12,'détails investissements'!$A$71:$B$88,2,FALSE)+1,FALSE)="","",VLOOKUP($A12,'détails investissements'!$A$26:$DE$43,CT$3-VLOOKUP($A12,'détails investissements'!$A$71:$B$88,2,FALSE)+1,FALSE))),'détails investissements'!$U$6:$AB$7,2,FALSE),"")&lt;&gt;"",VLOOKUP($A12,'détails investissements'!$A$7:$H$21,1+IF(IF(CT$3-VLOOKUP($A12,'détails investissements'!$A$71:$B$88,2,FALSE)&lt;=0,"",IF(VLOOKUP($A12,'détails investissements'!$A$26:$DE$43,CT$3-VLOOKUP($A12,'détails investissements'!$A$71:$B$88,2,FALSE)+1,FALSE)="","",VLOOKUP($A12,'détails investissements'!$A$26:$DE$43,CT$3-VLOOKUP($A12,'détails investissements'!$A$71:$B$88,2,FALSE)+1,FALSE)))&lt;&gt;"",HLOOKUP(IF(CT$3-VLOOKUP($A12,'détails investissements'!$A$71:$B$88,2,FALSE)&lt;=0,"",IF(VLOOKUP($A12,'détails investissements'!$A$26:$DE$43,CT$3-VLOOKUP($A12,'détails investissements'!$A$71:$B$88,2,FALSE)+1,FALSE)="","",VLOOKUP($A12,'détails investissements'!$A$26:$DE$43,CT$3-VLOOKUP($A12,'détails investissements'!$A$71:$B$88,2,FALSE)+1,FALSE))),'détails investissements'!$U$6:$AB$7,2,FALSE),""),FALSE),"")</f>
        <v/>
      </c>
      <c r="CU12" s="45" t="str">
        <f>IF(IF(IF(CU$3-VLOOKUP($A12,'détails investissements'!$A$71:$B$88,2,FALSE)&lt;=0,"",IF(VLOOKUP($A12,'détails investissements'!$A$26:$DE$43,CU$3-VLOOKUP($A12,'détails investissements'!$A$71:$B$88,2,FALSE)+1,FALSE)="","",VLOOKUP($A12,'détails investissements'!$A$26:$DE$43,CU$3-VLOOKUP($A12,'détails investissements'!$A$71:$B$88,2,FALSE)+1,FALSE)))&lt;&gt;"",HLOOKUP(IF(CU$3-VLOOKUP($A12,'détails investissements'!$A$71:$B$88,2,FALSE)&lt;=0,"",IF(VLOOKUP($A12,'détails investissements'!$A$26:$DE$43,CU$3-VLOOKUP($A12,'détails investissements'!$A$71:$B$88,2,FALSE)+1,FALSE)="","",VLOOKUP($A12,'détails investissements'!$A$26:$DE$43,CU$3-VLOOKUP($A12,'détails investissements'!$A$71:$B$88,2,FALSE)+1,FALSE))),'détails investissements'!$U$6:$AB$7,2,FALSE),"")&lt;&gt;"",VLOOKUP($A12,'détails investissements'!$A$7:$H$21,1+IF(IF(CU$3-VLOOKUP($A12,'détails investissements'!$A$71:$B$88,2,FALSE)&lt;=0,"",IF(VLOOKUP($A12,'détails investissements'!$A$26:$DE$43,CU$3-VLOOKUP($A12,'détails investissements'!$A$71:$B$88,2,FALSE)+1,FALSE)="","",VLOOKUP($A12,'détails investissements'!$A$26:$DE$43,CU$3-VLOOKUP($A12,'détails investissements'!$A$71:$B$88,2,FALSE)+1,FALSE)))&lt;&gt;"",HLOOKUP(IF(CU$3-VLOOKUP($A12,'détails investissements'!$A$71:$B$88,2,FALSE)&lt;=0,"",IF(VLOOKUP($A12,'détails investissements'!$A$26:$DE$43,CU$3-VLOOKUP($A12,'détails investissements'!$A$71:$B$88,2,FALSE)+1,FALSE)="","",VLOOKUP($A12,'détails investissements'!$A$26:$DE$43,CU$3-VLOOKUP($A12,'détails investissements'!$A$71:$B$88,2,FALSE)+1,FALSE))),'détails investissements'!$U$6:$AB$7,2,FALSE),""),FALSE),"")</f>
        <v/>
      </c>
      <c r="CV12" s="45" t="str">
        <f>IF(IF(IF(CV$3-VLOOKUP($A12,'détails investissements'!$A$71:$B$88,2,FALSE)&lt;=0,"",IF(VLOOKUP($A12,'détails investissements'!$A$26:$DE$43,CV$3-VLOOKUP($A12,'détails investissements'!$A$71:$B$88,2,FALSE)+1,FALSE)="","",VLOOKUP($A12,'détails investissements'!$A$26:$DE$43,CV$3-VLOOKUP($A12,'détails investissements'!$A$71:$B$88,2,FALSE)+1,FALSE)))&lt;&gt;"",HLOOKUP(IF(CV$3-VLOOKUP($A12,'détails investissements'!$A$71:$B$88,2,FALSE)&lt;=0,"",IF(VLOOKUP($A12,'détails investissements'!$A$26:$DE$43,CV$3-VLOOKUP($A12,'détails investissements'!$A$71:$B$88,2,FALSE)+1,FALSE)="","",VLOOKUP($A12,'détails investissements'!$A$26:$DE$43,CV$3-VLOOKUP($A12,'détails investissements'!$A$71:$B$88,2,FALSE)+1,FALSE))),'détails investissements'!$U$6:$AB$7,2,FALSE),"")&lt;&gt;"",VLOOKUP($A12,'détails investissements'!$A$7:$H$21,1+IF(IF(CV$3-VLOOKUP($A12,'détails investissements'!$A$71:$B$88,2,FALSE)&lt;=0,"",IF(VLOOKUP($A12,'détails investissements'!$A$26:$DE$43,CV$3-VLOOKUP($A12,'détails investissements'!$A$71:$B$88,2,FALSE)+1,FALSE)="","",VLOOKUP($A12,'détails investissements'!$A$26:$DE$43,CV$3-VLOOKUP($A12,'détails investissements'!$A$71:$B$88,2,FALSE)+1,FALSE)))&lt;&gt;"",HLOOKUP(IF(CV$3-VLOOKUP($A12,'détails investissements'!$A$71:$B$88,2,FALSE)&lt;=0,"",IF(VLOOKUP($A12,'détails investissements'!$A$26:$DE$43,CV$3-VLOOKUP($A12,'détails investissements'!$A$71:$B$88,2,FALSE)+1,FALSE)="","",VLOOKUP($A12,'détails investissements'!$A$26:$DE$43,CV$3-VLOOKUP($A12,'détails investissements'!$A$71:$B$88,2,FALSE)+1,FALSE))),'détails investissements'!$U$6:$AB$7,2,FALSE),""),FALSE),"")</f>
        <v/>
      </c>
      <c r="CW12" s="45" t="str">
        <f>IF(IF(IF(CW$3-VLOOKUP($A12,'détails investissements'!$A$71:$B$88,2,FALSE)&lt;=0,"",IF(VLOOKUP($A12,'détails investissements'!$A$26:$DE$43,CW$3-VLOOKUP($A12,'détails investissements'!$A$71:$B$88,2,FALSE)+1,FALSE)="","",VLOOKUP($A12,'détails investissements'!$A$26:$DE$43,CW$3-VLOOKUP($A12,'détails investissements'!$A$71:$B$88,2,FALSE)+1,FALSE)))&lt;&gt;"",HLOOKUP(IF(CW$3-VLOOKUP($A12,'détails investissements'!$A$71:$B$88,2,FALSE)&lt;=0,"",IF(VLOOKUP($A12,'détails investissements'!$A$26:$DE$43,CW$3-VLOOKUP($A12,'détails investissements'!$A$71:$B$88,2,FALSE)+1,FALSE)="","",VLOOKUP($A12,'détails investissements'!$A$26:$DE$43,CW$3-VLOOKUP($A12,'détails investissements'!$A$71:$B$88,2,FALSE)+1,FALSE))),'détails investissements'!$U$6:$AB$7,2,FALSE),"")&lt;&gt;"",VLOOKUP($A12,'détails investissements'!$A$7:$H$21,1+IF(IF(CW$3-VLOOKUP($A12,'détails investissements'!$A$71:$B$88,2,FALSE)&lt;=0,"",IF(VLOOKUP($A12,'détails investissements'!$A$26:$DE$43,CW$3-VLOOKUP($A12,'détails investissements'!$A$71:$B$88,2,FALSE)+1,FALSE)="","",VLOOKUP($A12,'détails investissements'!$A$26:$DE$43,CW$3-VLOOKUP($A12,'détails investissements'!$A$71:$B$88,2,FALSE)+1,FALSE)))&lt;&gt;"",HLOOKUP(IF(CW$3-VLOOKUP($A12,'détails investissements'!$A$71:$B$88,2,FALSE)&lt;=0,"",IF(VLOOKUP($A12,'détails investissements'!$A$26:$DE$43,CW$3-VLOOKUP($A12,'détails investissements'!$A$71:$B$88,2,FALSE)+1,FALSE)="","",VLOOKUP($A12,'détails investissements'!$A$26:$DE$43,CW$3-VLOOKUP($A12,'détails investissements'!$A$71:$B$88,2,FALSE)+1,FALSE))),'détails investissements'!$U$6:$AB$7,2,FALSE),""),FALSE),"")</f>
        <v/>
      </c>
      <c r="CX12" s="45" t="str">
        <f>IF(IF(IF(CX$3-VLOOKUP($A12,'détails investissements'!$A$71:$B$88,2,FALSE)&lt;=0,"",IF(VLOOKUP($A12,'détails investissements'!$A$26:$DE$43,CX$3-VLOOKUP($A12,'détails investissements'!$A$71:$B$88,2,FALSE)+1,FALSE)="","",VLOOKUP($A12,'détails investissements'!$A$26:$DE$43,CX$3-VLOOKUP($A12,'détails investissements'!$A$71:$B$88,2,FALSE)+1,FALSE)))&lt;&gt;"",HLOOKUP(IF(CX$3-VLOOKUP($A12,'détails investissements'!$A$71:$B$88,2,FALSE)&lt;=0,"",IF(VLOOKUP($A12,'détails investissements'!$A$26:$DE$43,CX$3-VLOOKUP($A12,'détails investissements'!$A$71:$B$88,2,FALSE)+1,FALSE)="","",VLOOKUP($A12,'détails investissements'!$A$26:$DE$43,CX$3-VLOOKUP($A12,'détails investissements'!$A$71:$B$88,2,FALSE)+1,FALSE))),'détails investissements'!$U$6:$AB$7,2,FALSE),"")&lt;&gt;"",VLOOKUP($A12,'détails investissements'!$A$7:$H$21,1+IF(IF(CX$3-VLOOKUP($A12,'détails investissements'!$A$71:$B$88,2,FALSE)&lt;=0,"",IF(VLOOKUP($A12,'détails investissements'!$A$26:$DE$43,CX$3-VLOOKUP($A12,'détails investissements'!$A$71:$B$88,2,FALSE)+1,FALSE)="","",VLOOKUP($A12,'détails investissements'!$A$26:$DE$43,CX$3-VLOOKUP($A12,'détails investissements'!$A$71:$B$88,2,FALSE)+1,FALSE)))&lt;&gt;"",HLOOKUP(IF(CX$3-VLOOKUP($A12,'détails investissements'!$A$71:$B$88,2,FALSE)&lt;=0,"",IF(VLOOKUP($A12,'détails investissements'!$A$26:$DE$43,CX$3-VLOOKUP($A12,'détails investissements'!$A$71:$B$88,2,FALSE)+1,FALSE)="","",VLOOKUP($A12,'détails investissements'!$A$26:$DE$43,CX$3-VLOOKUP($A12,'détails investissements'!$A$71:$B$88,2,FALSE)+1,FALSE))),'détails investissements'!$U$6:$AB$7,2,FALSE),""),FALSE),"")</f>
        <v/>
      </c>
      <c r="CY12" s="45" t="str">
        <f>IF(IF(IF(CY$3-VLOOKUP($A12,'détails investissements'!$A$71:$B$88,2,FALSE)&lt;=0,"",IF(VLOOKUP($A12,'détails investissements'!$A$26:$DE$43,CY$3-VLOOKUP($A12,'détails investissements'!$A$71:$B$88,2,FALSE)+1,FALSE)="","",VLOOKUP($A12,'détails investissements'!$A$26:$DE$43,CY$3-VLOOKUP($A12,'détails investissements'!$A$71:$B$88,2,FALSE)+1,FALSE)))&lt;&gt;"",HLOOKUP(IF(CY$3-VLOOKUP($A12,'détails investissements'!$A$71:$B$88,2,FALSE)&lt;=0,"",IF(VLOOKUP($A12,'détails investissements'!$A$26:$DE$43,CY$3-VLOOKUP($A12,'détails investissements'!$A$71:$B$88,2,FALSE)+1,FALSE)="","",VLOOKUP($A12,'détails investissements'!$A$26:$DE$43,CY$3-VLOOKUP($A12,'détails investissements'!$A$71:$B$88,2,FALSE)+1,FALSE))),'détails investissements'!$U$6:$AB$7,2,FALSE),"")&lt;&gt;"",VLOOKUP($A12,'détails investissements'!$A$7:$H$21,1+IF(IF(CY$3-VLOOKUP($A12,'détails investissements'!$A$71:$B$88,2,FALSE)&lt;=0,"",IF(VLOOKUP($A12,'détails investissements'!$A$26:$DE$43,CY$3-VLOOKUP($A12,'détails investissements'!$A$71:$B$88,2,FALSE)+1,FALSE)="","",VLOOKUP($A12,'détails investissements'!$A$26:$DE$43,CY$3-VLOOKUP($A12,'détails investissements'!$A$71:$B$88,2,FALSE)+1,FALSE)))&lt;&gt;"",HLOOKUP(IF(CY$3-VLOOKUP($A12,'détails investissements'!$A$71:$B$88,2,FALSE)&lt;=0,"",IF(VLOOKUP($A12,'détails investissements'!$A$26:$DE$43,CY$3-VLOOKUP($A12,'détails investissements'!$A$71:$B$88,2,FALSE)+1,FALSE)="","",VLOOKUP($A12,'détails investissements'!$A$26:$DE$43,CY$3-VLOOKUP($A12,'détails investissements'!$A$71:$B$88,2,FALSE)+1,FALSE))),'détails investissements'!$U$6:$AB$7,2,FALSE),""),FALSE),"")</f>
        <v/>
      </c>
      <c r="CZ12" s="45" t="str">
        <f>IF(IF(IF(CZ$3-VLOOKUP($A12,'détails investissements'!$A$71:$B$88,2,FALSE)&lt;=0,"",IF(VLOOKUP($A12,'détails investissements'!$A$26:$DE$43,CZ$3-VLOOKUP($A12,'détails investissements'!$A$71:$B$88,2,FALSE)+1,FALSE)="","",VLOOKUP($A12,'détails investissements'!$A$26:$DE$43,CZ$3-VLOOKUP($A12,'détails investissements'!$A$71:$B$88,2,FALSE)+1,FALSE)))&lt;&gt;"",HLOOKUP(IF(CZ$3-VLOOKUP($A12,'détails investissements'!$A$71:$B$88,2,FALSE)&lt;=0,"",IF(VLOOKUP($A12,'détails investissements'!$A$26:$DE$43,CZ$3-VLOOKUP($A12,'détails investissements'!$A$71:$B$88,2,FALSE)+1,FALSE)="","",VLOOKUP($A12,'détails investissements'!$A$26:$DE$43,CZ$3-VLOOKUP($A12,'détails investissements'!$A$71:$B$88,2,FALSE)+1,FALSE))),'détails investissements'!$U$6:$AB$7,2,FALSE),"")&lt;&gt;"",VLOOKUP($A12,'détails investissements'!$A$7:$H$21,1+IF(IF(CZ$3-VLOOKUP($A12,'détails investissements'!$A$71:$B$88,2,FALSE)&lt;=0,"",IF(VLOOKUP($A12,'détails investissements'!$A$26:$DE$43,CZ$3-VLOOKUP($A12,'détails investissements'!$A$71:$B$88,2,FALSE)+1,FALSE)="","",VLOOKUP($A12,'détails investissements'!$A$26:$DE$43,CZ$3-VLOOKUP($A12,'détails investissements'!$A$71:$B$88,2,FALSE)+1,FALSE)))&lt;&gt;"",HLOOKUP(IF(CZ$3-VLOOKUP($A12,'détails investissements'!$A$71:$B$88,2,FALSE)&lt;=0,"",IF(VLOOKUP($A12,'détails investissements'!$A$26:$DE$43,CZ$3-VLOOKUP($A12,'détails investissements'!$A$71:$B$88,2,FALSE)+1,FALSE)="","",VLOOKUP($A12,'détails investissements'!$A$26:$DE$43,CZ$3-VLOOKUP($A12,'détails investissements'!$A$71:$B$88,2,FALSE)+1,FALSE))),'détails investissements'!$U$6:$AB$7,2,FALSE),""),FALSE),"")</f>
        <v/>
      </c>
      <c r="DA12" s="45" t="str">
        <f>IF(IF(IF(DA$3-VLOOKUP($A12,'détails investissements'!$A$71:$B$88,2,FALSE)&lt;=0,"",IF(VLOOKUP($A12,'détails investissements'!$A$26:$DE$43,DA$3-VLOOKUP($A12,'détails investissements'!$A$71:$B$88,2,FALSE)+1,FALSE)="","",VLOOKUP($A12,'détails investissements'!$A$26:$DE$43,DA$3-VLOOKUP($A12,'détails investissements'!$A$71:$B$88,2,FALSE)+1,FALSE)))&lt;&gt;"",HLOOKUP(IF(DA$3-VLOOKUP($A12,'détails investissements'!$A$71:$B$88,2,FALSE)&lt;=0,"",IF(VLOOKUP($A12,'détails investissements'!$A$26:$DE$43,DA$3-VLOOKUP($A12,'détails investissements'!$A$71:$B$88,2,FALSE)+1,FALSE)="","",VLOOKUP($A12,'détails investissements'!$A$26:$DE$43,DA$3-VLOOKUP($A12,'détails investissements'!$A$71:$B$88,2,FALSE)+1,FALSE))),'détails investissements'!$U$6:$AB$7,2,FALSE),"")&lt;&gt;"",VLOOKUP($A12,'détails investissements'!$A$7:$H$21,1+IF(IF(DA$3-VLOOKUP($A12,'détails investissements'!$A$71:$B$88,2,FALSE)&lt;=0,"",IF(VLOOKUP($A12,'détails investissements'!$A$26:$DE$43,DA$3-VLOOKUP($A12,'détails investissements'!$A$71:$B$88,2,FALSE)+1,FALSE)="","",VLOOKUP($A12,'détails investissements'!$A$26:$DE$43,DA$3-VLOOKUP($A12,'détails investissements'!$A$71:$B$88,2,FALSE)+1,FALSE)))&lt;&gt;"",HLOOKUP(IF(DA$3-VLOOKUP($A12,'détails investissements'!$A$71:$B$88,2,FALSE)&lt;=0,"",IF(VLOOKUP($A12,'détails investissements'!$A$26:$DE$43,DA$3-VLOOKUP($A12,'détails investissements'!$A$71:$B$88,2,FALSE)+1,FALSE)="","",VLOOKUP($A12,'détails investissements'!$A$26:$DE$43,DA$3-VLOOKUP($A12,'détails investissements'!$A$71:$B$88,2,FALSE)+1,FALSE))),'détails investissements'!$U$6:$AB$7,2,FALSE),""),FALSE),"")</f>
        <v/>
      </c>
      <c r="DB12" s="45" t="str">
        <f>IF(IF(IF(DB$3-VLOOKUP($A12,'détails investissements'!$A$71:$B$88,2,FALSE)&lt;=0,"",IF(VLOOKUP($A12,'détails investissements'!$A$26:$DE$43,DB$3-VLOOKUP($A12,'détails investissements'!$A$71:$B$88,2,FALSE)+1,FALSE)="","",VLOOKUP($A12,'détails investissements'!$A$26:$DE$43,DB$3-VLOOKUP($A12,'détails investissements'!$A$71:$B$88,2,FALSE)+1,FALSE)))&lt;&gt;"",HLOOKUP(IF(DB$3-VLOOKUP($A12,'détails investissements'!$A$71:$B$88,2,FALSE)&lt;=0,"",IF(VLOOKUP($A12,'détails investissements'!$A$26:$DE$43,DB$3-VLOOKUP($A12,'détails investissements'!$A$71:$B$88,2,FALSE)+1,FALSE)="","",VLOOKUP($A12,'détails investissements'!$A$26:$DE$43,DB$3-VLOOKUP($A12,'détails investissements'!$A$71:$B$88,2,FALSE)+1,FALSE))),'détails investissements'!$U$6:$AB$7,2,FALSE),"")&lt;&gt;"",VLOOKUP($A12,'détails investissements'!$A$7:$H$21,1+IF(IF(DB$3-VLOOKUP($A12,'détails investissements'!$A$71:$B$88,2,FALSE)&lt;=0,"",IF(VLOOKUP($A12,'détails investissements'!$A$26:$DE$43,DB$3-VLOOKUP($A12,'détails investissements'!$A$71:$B$88,2,FALSE)+1,FALSE)="","",VLOOKUP($A12,'détails investissements'!$A$26:$DE$43,DB$3-VLOOKUP($A12,'détails investissements'!$A$71:$B$88,2,FALSE)+1,FALSE)))&lt;&gt;"",HLOOKUP(IF(DB$3-VLOOKUP($A12,'détails investissements'!$A$71:$B$88,2,FALSE)&lt;=0,"",IF(VLOOKUP($A12,'détails investissements'!$A$26:$DE$43,DB$3-VLOOKUP($A12,'détails investissements'!$A$71:$B$88,2,FALSE)+1,FALSE)="","",VLOOKUP($A12,'détails investissements'!$A$26:$DE$43,DB$3-VLOOKUP($A12,'détails investissements'!$A$71:$B$88,2,FALSE)+1,FALSE))),'détails investissements'!$U$6:$AB$7,2,FALSE),""),FALSE),"")</f>
        <v/>
      </c>
      <c r="DC12" s="45" t="str">
        <f>IF(IF(IF(DC$3-VLOOKUP($A12,'détails investissements'!$A$71:$B$88,2,FALSE)&lt;=0,"",IF(VLOOKUP($A12,'détails investissements'!$A$26:$DE$43,DC$3-VLOOKUP($A12,'détails investissements'!$A$71:$B$88,2,FALSE)+1,FALSE)="","",VLOOKUP($A12,'détails investissements'!$A$26:$DE$43,DC$3-VLOOKUP($A12,'détails investissements'!$A$71:$B$88,2,FALSE)+1,FALSE)))&lt;&gt;"",HLOOKUP(IF(DC$3-VLOOKUP($A12,'détails investissements'!$A$71:$B$88,2,FALSE)&lt;=0,"",IF(VLOOKUP($A12,'détails investissements'!$A$26:$DE$43,DC$3-VLOOKUP($A12,'détails investissements'!$A$71:$B$88,2,FALSE)+1,FALSE)="","",VLOOKUP($A12,'détails investissements'!$A$26:$DE$43,DC$3-VLOOKUP($A12,'détails investissements'!$A$71:$B$88,2,FALSE)+1,FALSE))),'détails investissements'!$U$6:$AB$7,2,FALSE),"")&lt;&gt;"",VLOOKUP($A12,'détails investissements'!$A$7:$H$21,1+IF(IF(DC$3-VLOOKUP($A12,'détails investissements'!$A$71:$B$88,2,FALSE)&lt;=0,"",IF(VLOOKUP($A12,'détails investissements'!$A$26:$DE$43,DC$3-VLOOKUP($A12,'détails investissements'!$A$71:$B$88,2,FALSE)+1,FALSE)="","",VLOOKUP($A12,'détails investissements'!$A$26:$DE$43,DC$3-VLOOKUP($A12,'détails investissements'!$A$71:$B$88,2,FALSE)+1,FALSE)))&lt;&gt;"",HLOOKUP(IF(DC$3-VLOOKUP($A12,'détails investissements'!$A$71:$B$88,2,FALSE)&lt;=0,"",IF(VLOOKUP($A12,'détails investissements'!$A$26:$DE$43,DC$3-VLOOKUP($A12,'détails investissements'!$A$71:$B$88,2,FALSE)+1,FALSE)="","",VLOOKUP($A12,'détails investissements'!$A$26:$DE$43,DC$3-VLOOKUP($A12,'détails investissements'!$A$71:$B$88,2,FALSE)+1,FALSE))),'détails investissements'!$U$6:$AB$7,2,FALSE),""),FALSE),"")</f>
        <v/>
      </c>
      <c r="DD12" s="45" t="str">
        <f>IF(IF(IF(DD$3-VLOOKUP($A12,'détails investissements'!$A$71:$B$88,2,FALSE)&lt;=0,"",IF(VLOOKUP($A12,'détails investissements'!$A$26:$DE$43,DD$3-VLOOKUP($A12,'détails investissements'!$A$71:$B$88,2,FALSE)+1,FALSE)="","",VLOOKUP($A12,'détails investissements'!$A$26:$DE$43,DD$3-VLOOKUP($A12,'détails investissements'!$A$71:$B$88,2,FALSE)+1,FALSE)))&lt;&gt;"",HLOOKUP(IF(DD$3-VLOOKUP($A12,'détails investissements'!$A$71:$B$88,2,FALSE)&lt;=0,"",IF(VLOOKUP($A12,'détails investissements'!$A$26:$DE$43,DD$3-VLOOKUP($A12,'détails investissements'!$A$71:$B$88,2,FALSE)+1,FALSE)="","",VLOOKUP($A12,'détails investissements'!$A$26:$DE$43,DD$3-VLOOKUP($A12,'détails investissements'!$A$71:$B$88,2,FALSE)+1,FALSE))),'détails investissements'!$U$6:$AB$7,2,FALSE),"")&lt;&gt;"",VLOOKUP($A12,'détails investissements'!$A$7:$H$21,1+IF(IF(DD$3-VLOOKUP($A12,'détails investissements'!$A$71:$B$88,2,FALSE)&lt;=0,"",IF(VLOOKUP($A12,'détails investissements'!$A$26:$DE$43,DD$3-VLOOKUP($A12,'détails investissements'!$A$71:$B$88,2,FALSE)+1,FALSE)="","",VLOOKUP($A12,'détails investissements'!$A$26:$DE$43,DD$3-VLOOKUP($A12,'détails investissements'!$A$71:$B$88,2,FALSE)+1,FALSE)))&lt;&gt;"",HLOOKUP(IF(DD$3-VLOOKUP($A12,'détails investissements'!$A$71:$B$88,2,FALSE)&lt;=0,"",IF(VLOOKUP($A12,'détails investissements'!$A$26:$DE$43,DD$3-VLOOKUP($A12,'détails investissements'!$A$71:$B$88,2,FALSE)+1,FALSE)="","",VLOOKUP($A12,'détails investissements'!$A$26:$DE$43,DD$3-VLOOKUP($A12,'détails investissements'!$A$71:$B$88,2,FALSE)+1,FALSE))),'détails investissements'!$U$6:$AB$7,2,FALSE),""),FALSE),"")</f>
        <v/>
      </c>
      <c r="DE12" s="45" t="str">
        <f>IF(IF(IF(DE$3-VLOOKUP($A12,'détails investissements'!$A$71:$B$88,2,FALSE)&lt;=0,"",IF(VLOOKUP($A12,'détails investissements'!$A$26:$DE$43,DE$3-VLOOKUP($A12,'détails investissements'!$A$71:$B$88,2,FALSE)+1,FALSE)="","",VLOOKUP($A12,'détails investissements'!$A$26:$DE$43,DE$3-VLOOKUP($A12,'détails investissements'!$A$71:$B$88,2,FALSE)+1,FALSE)))&lt;&gt;"",HLOOKUP(IF(DE$3-VLOOKUP($A12,'détails investissements'!$A$71:$B$88,2,FALSE)&lt;=0,"",IF(VLOOKUP($A12,'détails investissements'!$A$26:$DE$43,DE$3-VLOOKUP($A12,'détails investissements'!$A$71:$B$88,2,FALSE)+1,FALSE)="","",VLOOKUP($A12,'détails investissements'!$A$26:$DE$43,DE$3-VLOOKUP($A12,'détails investissements'!$A$71:$B$88,2,FALSE)+1,FALSE))),'détails investissements'!$U$6:$AB$7,2,FALSE),"")&lt;&gt;"",VLOOKUP($A12,'détails investissements'!$A$7:$H$21,1+IF(IF(DE$3-VLOOKUP($A12,'détails investissements'!$A$71:$B$88,2,FALSE)&lt;=0,"",IF(VLOOKUP($A12,'détails investissements'!$A$26:$DE$43,DE$3-VLOOKUP($A12,'détails investissements'!$A$71:$B$88,2,FALSE)+1,FALSE)="","",VLOOKUP($A12,'détails investissements'!$A$26:$DE$43,DE$3-VLOOKUP($A12,'détails investissements'!$A$71:$B$88,2,FALSE)+1,FALSE)))&lt;&gt;"",HLOOKUP(IF(DE$3-VLOOKUP($A12,'détails investissements'!$A$71:$B$88,2,FALSE)&lt;=0,"",IF(VLOOKUP($A12,'détails investissements'!$A$26:$DE$43,DE$3-VLOOKUP($A12,'détails investissements'!$A$71:$B$88,2,FALSE)+1,FALSE)="","",VLOOKUP($A12,'détails investissements'!$A$26:$DE$43,DE$3-VLOOKUP($A12,'détails investissements'!$A$71:$B$88,2,FALSE)+1,FALSE))),'détails investissements'!$U$6:$AB$7,2,FALSE),""),FALSE),"")</f>
        <v/>
      </c>
      <c r="DF12" s="45" t="str">
        <f>IF(IF(IF(DF$3-VLOOKUP($A12,'détails investissements'!$A$71:$B$88,2,FALSE)&lt;=0,"",IF(VLOOKUP($A12,'détails investissements'!$A$26:$DE$43,DF$3-VLOOKUP($A12,'détails investissements'!$A$71:$B$88,2,FALSE)+1,FALSE)="","",VLOOKUP($A12,'détails investissements'!$A$26:$DE$43,DF$3-VLOOKUP($A12,'détails investissements'!$A$71:$B$88,2,FALSE)+1,FALSE)))&lt;&gt;"",HLOOKUP(IF(DF$3-VLOOKUP($A12,'détails investissements'!$A$71:$B$88,2,FALSE)&lt;=0,"",IF(VLOOKUP($A12,'détails investissements'!$A$26:$DE$43,DF$3-VLOOKUP($A12,'détails investissements'!$A$71:$B$88,2,FALSE)+1,FALSE)="","",VLOOKUP($A12,'détails investissements'!$A$26:$DE$43,DF$3-VLOOKUP($A12,'détails investissements'!$A$71:$B$88,2,FALSE)+1,FALSE))),'détails investissements'!$U$6:$AB$7,2,FALSE),"")&lt;&gt;"",VLOOKUP($A12,'détails investissements'!$A$7:$H$21,1+IF(IF(DF$3-VLOOKUP($A12,'détails investissements'!$A$71:$B$88,2,FALSE)&lt;=0,"",IF(VLOOKUP($A12,'détails investissements'!$A$26:$DE$43,DF$3-VLOOKUP($A12,'détails investissements'!$A$71:$B$88,2,FALSE)+1,FALSE)="","",VLOOKUP($A12,'détails investissements'!$A$26:$DE$43,DF$3-VLOOKUP($A12,'détails investissements'!$A$71:$B$88,2,FALSE)+1,FALSE)))&lt;&gt;"",HLOOKUP(IF(DF$3-VLOOKUP($A12,'détails investissements'!$A$71:$B$88,2,FALSE)&lt;=0,"",IF(VLOOKUP($A12,'détails investissements'!$A$26:$DE$43,DF$3-VLOOKUP($A12,'détails investissements'!$A$71:$B$88,2,FALSE)+1,FALSE)="","",VLOOKUP($A12,'détails investissements'!$A$26:$DE$43,DF$3-VLOOKUP($A12,'détails investissements'!$A$71:$B$88,2,FALSE)+1,FALSE))),'détails investissements'!$U$6:$AB$7,2,FALSE),""),FALSE),"")</f>
        <v/>
      </c>
      <c r="DG12">
        <f t="shared" si="0"/>
        <v>1</v>
      </c>
    </row>
    <row r="13" spans="1:111" x14ac:dyDescent="0.2">
      <c r="A13" s="15" t="str">
        <f>'[4]Données investissements'!A33</f>
        <v>Unité de pesage et briquetage :</v>
      </c>
      <c r="B13" s="23">
        <f>'détails investissements'!B101</f>
        <v>2.95</v>
      </c>
      <c r="C13" s="45" t="str">
        <f>IF(IF(IF(C$3-VLOOKUP($A13,'détails investissements'!$A$71:$B$88,2,FALSE)&lt;=0,"",IF(VLOOKUP($A13,'détails investissements'!$A$26:$DE$43,C$3-VLOOKUP($A13,'détails investissements'!$A$71:$B$88,2,FALSE)+1,FALSE)="","",VLOOKUP($A13,'détails investissements'!$A$26:$DE$43,C$3-VLOOKUP($A13,'détails investissements'!$A$71:$B$88,2,FALSE)+1,FALSE)))&lt;&gt;"",HLOOKUP(IF(C$3-VLOOKUP($A13,'détails investissements'!$A$71:$B$88,2,FALSE)&lt;=0,"",IF(VLOOKUP($A13,'détails investissements'!$A$26:$DE$43,C$3-VLOOKUP($A13,'détails investissements'!$A$71:$B$88,2,FALSE)+1,FALSE)="","",VLOOKUP($A13,'détails investissements'!$A$26:$DE$43,C$3-VLOOKUP($A13,'détails investissements'!$A$71:$B$88,2,FALSE)+1,FALSE))),'détails investissements'!$U$6:$AB$7,2,FALSE),"")&lt;&gt;"",VLOOKUP($A13,'détails investissements'!$A$7:$H$21,1+IF(IF(C$3-VLOOKUP($A13,'détails investissements'!$A$71:$B$88,2,FALSE)&lt;=0,"",IF(VLOOKUP($A13,'détails investissements'!$A$26:$DE$43,C$3-VLOOKUP($A13,'détails investissements'!$A$71:$B$88,2,FALSE)+1,FALSE)="","",VLOOKUP($A13,'détails investissements'!$A$26:$DE$43,C$3-VLOOKUP($A13,'détails investissements'!$A$71:$B$88,2,FALSE)+1,FALSE)))&lt;&gt;"",HLOOKUP(IF(C$3-VLOOKUP($A13,'détails investissements'!$A$71:$B$88,2,FALSE)&lt;=0,"",IF(VLOOKUP($A13,'détails investissements'!$A$26:$DE$43,C$3-VLOOKUP($A13,'détails investissements'!$A$71:$B$88,2,FALSE)+1,FALSE)="","",VLOOKUP($A13,'détails investissements'!$A$26:$DE$43,C$3-VLOOKUP($A13,'détails investissements'!$A$71:$B$88,2,FALSE)+1,FALSE))),'détails investissements'!$U$6:$AB$7,2,FALSE),""),FALSE),"")</f>
        <v/>
      </c>
      <c r="D13" s="45" t="str">
        <f>IF(IF(IF(D$3-VLOOKUP($A13,'détails investissements'!$A$71:$B$88,2,FALSE)&lt;=0,"",IF(VLOOKUP($A13,'détails investissements'!$A$26:$DE$43,D$3-VLOOKUP($A13,'détails investissements'!$A$71:$B$88,2,FALSE)+1,FALSE)="","",VLOOKUP($A13,'détails investissements'!$A$26:$DE$43,D$3-VLOOKUP($A13,'détails investissements'!$A$71:$B$88,2,FALSE)+1,FALSE)))&lt;&gt;"",HLOOKUP(IF(D$3-VLOOKUP($A13,'détails investissements'!$A$71:$B$88,2,FALSE)&lt;=0,"",IF(VLOOKUP($A13,'détails investissements'!$A$26:$DE$43,D$3-VLOOKUP($A13,'détails investissements'!$A$71:$B$88,2,FALSE)+1,FALSE)="","",VLOOKUP($A13,'détails investissements'!$A$26:$DE$43,D$3-VLOOKUP($A13,'détails investissements'!$A$71:$B$88,2,FALSE)+1,FALSE))),'détails investissements'!$U$6:$AB$7,2,FALSE),"")&lt;&gt;"",VLOOKUP($A13,'détails investissements'!$A$7:$H$21,1+IF(IF(D$3-VLOOKUP($A13,'détails investissements'!$A$71:$B$88,2,FALSE)&lt;=0,"",IF(VLOOKUP($A13,'détails investissements'!$A$26:$DE$43,D$3-VLOOKUP($A13,'détails investissements'!$A$71:$B$88,2,FALSE)+1,FALSE)="","",VLOOKUP($A13,'détails investissements'!$A$26:$DE$43,D$3-VLOOKUP($A13,'détails investissements'!$A$71:$B$88,2,FALSE)+1,FALSE)))&lt;&gt;"",HLOOKUP(IF(D$3-VLOOKUP($A13,'détails investissements'!$A$71:$B$88,2,FALSE)&lt;=0,"",IF(VLOOKUP($A13,'détails investissements'!$A$26:$DE$43,D$3-VLOOKUP($A13,'détails investissements'!$A$71:$B$88,2,FALSE)+1,FALSE)="","",VLOOKUP($A13,'détails investissements'!$A$26:$DE$43,D$3-VLOOKUP($A13,'détails investissements'!$A$71:$B$88,2,FALSE)+1,FALSE))),'détails investissements'!$U$6:$AB$7,2,FALSE),""),FALSE),"")</f>
        <v/>
      </c>
      <c r="E13" s="45" t="str">
        <f>IF(IF(IF(E$3-VLOOKUP($A13,'détails investissements'!$A$71:$B$88,2,FALSE)&lt;=0,"",IF(VLOOKUP($A13,'détails investissements'!$A$26:$DE$43,E$3-VLOOKUP($A13,'détails investissements'!$A$71:$B$88,2,FALSE)+1,FALSE)="","",VLOOKUP($A13,'détails investissements'!$A$26:$DE$43,E$3-VLOOKUP($A13,'détails investissements'!$A$71:$B$88,2,FALSE)+1,FALSE)))&lt;&gt;"",HLOOKUP(IF(E$3-VLOOKUP($A13,'détails investissements'!$A$71:$B$88,2,FALSE)&lt;=0,"",IF(VLOOKUP($A13,'détails investissements'!$A$26:$DE$43,E$3-VLOOKUP($A13,'détails investissements'!$A$71:$B$88,2,FALSE)+1,FALSE)="","",VLOOKUP($A13,'détails investissements'!$A$26:$DE$43,E$3-VLOOKUP($A13,'détails investissements'!$A$71:$B$88,2,FALSE)+1,FALSE))),'détails investissements'!$U$6:$AB$7,2,FALSE),"")&lt;&gt;"",VLOOKUP($A13,'détails investissements'!$A$7:$H$21,1+IF(IF(E$3-VLOOKUP($A13,'détails investissements'!$A$71:$B$88,2,FALSE)&lt;=0,"",IF(VLOOKUP($A13,'détails investissements'!$A$26:$DE$43,E$3-VLOOKUP($A13,'détails investissements'!$A$71:$B$88,2,FALSE)+1,FALSE)="","",VLOOKUP($A13,'détails investissements'!$A$26:$DE$43,E$3-VLOOKUP($A13,'détails investissements'!$A$71:$B$88,2,FALSE)+1,FALSE)))&lt;&gt;"",HLOOKUP(IF(E$3-VLOOKUP($A13,'détails investissements'!$A$71:$B$88,2,FALSE)&lt;=0,"",IF(VLOOKUP($A13,'détails investissements'!$A$26:$DE$43,E$3-VLOOKUP($A13,'détails investissements'!$A$71:$B$88,2,FALSE)+1,FALSE)="","",VLOOKUP($A13,'détails investissements'!$A$26:$DE$43,E$3-VLOOKUP($A13,'détails investissements'!$A$71:$B$88,2,FALSE)+1,FALSE))),'détails investissements'!$U$6:$AB$7,2,FALSE),""),FALSE),"")</f>
        <v/>
      </c>
      <c r="F13" s="45" t="str">
        <f>IF(IF(IF(F$3-VLOOKUP($A13,'détails investissements'!$A$71:$B$88,2,FALSE)&lt;=0,"",IF(VLOOKUP($A13,'détails investissements'!$A$26:$DE$43,F$3-VLOOKUP($A13,'détails investissements'!$A$71:$B$88,2,FALSE)+1,FALSE)="","",VLOOKUP($A13,'détails investissements'!$A$26:$DE$43,F$3-VLOOKUP($A13,'détails investissements'!$A$71:$B$88,2,FALSE)+1,FALSE)))&lt;&gt;"",HLOOKUP(IF(F$3-VLOOKUP($A13,'détails investissements'!$A$71:$B$88,2,FALSE)&lt;=0,"",IF(VLOOKUP($A13,'détails investissements'!$A$26:$DE$43,F$3-VLOOKUP($A13,'détails investissements'!$A$71:$B$88,2,FALSE)+1,FALSE)="","",VLOOKUP($A13,'détails investissements'!$A$26:$DE$43,F$3-VLOOKUP($A13,'détails investissements'!$A$71:$B$88,2,FALSE)+1,FALSE))),'détails investissements'!$U$6:$AB$7,2,FALSE),"")&lt;&gt;"",VLOOKUP($A13,'détails investissements'!$A$7:$H$21,1+IF(IF(F$3-VLOOKUP($A13,'détails investissements'!$A$71:$B$88,2,FALSE)&lt;=0,"",IF(VLOOKUP($A13,'détails investissements'!$A$26:$DE$43,F$3-VLOOKUP($A13,'détails investissements'!$A$71:$B$88,2,FALSE)+1,FALSE)="","",VLOOKUP($A13,'détails investissements'!$A$26:$DE$43,F$3-VLOOKUP($A13,'détails investissements'!$A$71:$B$88,2,FALSE)+1,FALSE)))&lt;&gt;"",HLOOKUP(IF(F$3-VLOOKUP($A13,'détails investissements'!$A$71:$B$88,2,FALSE)&lt;=0,"",IF(VLOOKUP($A13,'détails investissements'!$A$26:$DE$43,F$3-VLOOKUP($A13,'détails investissements'!$A$71:$B$88,2,FALSE)+1,FALSE)="","",VLOOKUP($A13,'détails investissements'!$A$26:$DE$43,F$3-VLOOKUP($A13,'détails investissements'!$A$71:$B$88,2,FALSE)+1,FALSE))),'détails investissements'!$U$6:$AB$7,2,FALSE),""),FALSE),"")</f>
        <v/>
      </c>
      <c r="G13" s="45" t="str">
        <f>IF(IF(IF(G$3-VLOOKUP($A13,'détails investissements'!$A$71:$B$88,2,FALSE)&lt;=0,"",IF(VLOOKUP($A13,'détails investissements'!$A$26:$DE$43,G$3-VLOOKUP($A13,'détails investissements'!$A$71:$B$88,2,FALSE)+1,FALSE)="","",VLOOKUP($A13,'détails investissements'!$A$26:$DE$43,G$3-VLOOKUP($A13,'détails investissements'!$A$71:$B$88,2,FALSE)+1,FALSE)))&lt;&gt;"",HLOOKUP(IF(G$3-VLOOKUP($A13,'détails investissements'!$A$71:$B$88,2,FALSE)&lt;=0,"",IF(VLOOKUP($A13,'détails investissements'!$A$26:$DE$43,G$3-VLOOKUP($A13,'détails investissements'!$A$71:$B$88,2,FALSE)+1,FALSE)="","",VLOOKUP($A13,'détails investissements'!$A$26:$DE$43,G$3-VLOOKUP($A13,'détails investissements'!$A$71:$B$88,2,FALSE)+1,FALSE))),'détails investissements'!$U$6:$AB$7,2,FALSE),"")&lt;&gt;"",VLOOKUP($A13,'détails investissements'!$A$7:$H$21,1+IF(IF(G$3-VLOOKUP($A13,'détails investissements'!$A$71:$B$88,2,FALSE)&lt;=0,"",IF(VLOOKUP($A13,'détails investissements'!$A$26:$DE$43,G$3-VLOOKUP($A13,'détails investissements'!$A$71:$B$88,2,FALSE)+1,FALSE)="","",VLOOKUP($A13,'détails investissements'!$A$26:$DE$43,G$3-VLOOKUP($A13,'détails investissements'!$A$71:$B$88,2,FALSE)+1,FALSE)))&lt;&gt;"",HLOOKUP(IF(G$3-VLOOKUP($A13,'détails investissements'!$A$71:$B$88,2,FALSE)&lt;=0,"",IF(VLOOKUP($A13,'détails investissements'!$A$26:$DE$43,G$3-VLOOKUP($A13,'détails investissements'!$A$71:$B$88,2,FALSE)+1,FALSE)="","",VLOOKUP($A13,'détails investissements'!$A$26:$DE$43,G$3-VLOOKUP($A13,'détails investissements'!$A$71:$B$88,2,FALSE)+1,FALSE))),'détails investissements'!$U$6:$AB$7,2,FALSE),""),FALSE),"")</f>
        <v/>
      </c>
      <c r="H13" s="45" t="str">
        <f>IF(IF(IF(H$3-VLOOKUP($A13,'détails investissements'!$A$71:$B$88,2,FALSE)&lt;=0,"",IF(VLOOKUP($A13,'détails investissements'!$A$26:$DE$43,H$3-VLOOKUP($A13,'détails investissements'!$A$71:$B$88,2,FALSE)+1,FALSE)="","",VLOOKUP($A13,'détails investissements'!$A$26:$DE$43,H$3-VLOOKUP($A13,'détails investissements'!$A$71:$B$88,2,FALSE)+1,FALSE)))&lt;&gt;"",HLOOKUP(IF(H$3-VLOOKUP($A13,'détails investissements'!$A$71:$B$88,2,FALSE)&lt;=0,"",IF(VLOOKUP($A13,'détails investissements'!$A$26:$DE$43,H$3-VLOOKUP($A13,'détails investissements'!$A$71:$B$88,2,FALSE)+1,FALSE)="","",VLOOKUP($A13,'détails investissements'!$A$26:$DE$43,H$3-VLOOKUP($A13,'détails investissements'!$A$71:$B$88,2,FALSE)+1,FALSE))),'détails investissements'!$U$6:$AB$7,2,FALSE),"")&lt;&gt;"",VLOOKUP($A13,'détails investissements'!$A$7:$H$21,1+IF(IF(H$3-VLOOKUP($A13,'détails investissements'!$A$71:$B$88,2,FALSE)&lt;=0,"",IF(VLOOKUP($A13,'détails investissements'!$A$26:$DE$43,H$3-VLOOKUP($A13,'détails investissements'!$A$71:$B$88,2,FALSE)+1,FALSE)="","",VLOOKUP($A13,'détails investissements'!$A$26:$DE$43,H$3-VLOOKUP($A13,'détails investissements'!$A$71:$B$88,2,FALSE)+1,FALSE)))&lt;&gt;"",HLOOKUP(IF(H$3-VLOOKUP($A13,'détails investissements'!$A$71:$B$88,2,FALSE)&lt;=0,"",IF(VLOOKUP($A13,'détails investissements'!$A$26:$DE$43,H$3-VLOOKUP($A13,'détails investissements'!$A$71:$B$88,2,FALSE)+1,FALSE)="","",VLOOKUP($A13,'détails investissements'!$A$26:$DE$43,H$3-VLOOKUP($A13,'détails investissements'!$A$71:$B$88,2,FALSE)+1,FALSE))),'détails investissements'!$U$6:$AB$7,2,FALSE),""),FALSE),"")</f>
        <v/>
      </c>
      <c r="I13" s="45" t="str">
        <f>IF(IF(IF(I$3-VLOOKUP($A13,'détails investissements'!$A$71:$B$88,2,FALSE)&lt;=0,"",IF(VLOOKUP($A13,'détails investissements'!$A$26:$DE$43,I$3-VLOOKUP($A13,'détails investissements'!$A$71:$B$88,2,FALSE)+1,FALSE)="","",VLOOKUP($A13,'détails investissements'!$A$26:$DE$43,I$3-VLOOKUP($A13,'détails investissements'!$A$71:$B$88,2,FALSE)+1,FALSE)))&lt;&gt;"",HLOOKUP(IF(I$3-VLOOKUP($A13,'détails investissements'!$A$71:$B$88,2,FALSE)&lt;=0,"",IF(VLOOKUP($A13,'détails investissements'!$A$26:$DE$43,I$3-VLOOKUP($A13,'détails investissements'!$A$71:$B$88,2,FALSE)+1,FALSE)="","",VLOOKUP($A13,'détails investissements'!$A$26:$DE$43,I$3-VLOOKUP($A13,'détails investissements'!$A$71:$B$88,2,FALSE)+1,FALSE))),'détails investissements'!$U$6:$AB$7,2,FALSE),"")&lt;&gt;"",VLOOKUP($A13,'détails investissements'!$A$7:$H$21,1+IF(IF(I$3-VLOOKUP($A13,'détails investissements'!$A$71:$B$88,2,FALSE)&lt;=0,"",IF(VLOOKUP($A13,'détails investissements'!$A$26:$DE$43,I$3-VLOOKUP($A13,'détails investissements'!$A$71:$B$88,2,FALSE)+1,FALSE)="","",VLOOKUP($A13,'détails investissements'!$A$26:$DE$43,I$3-VLOOKUP($A13,'détails investissements'!$A$71:$B$88,2,FALSE)+1,FALSE)))&lt;&gt;"",HLOOKUP(IF(I$3-VLOOKUP($A13,'détails investissements'!$A$71:$B$88,2,FALSE)&lt;=0,"",IF(VLOOKUP($A13,'détails investissements'!$A$26:$DE$43,I$3-VLOOKUP($A13,'détails investissements'!$A$71:$B$88,2,FALSE)+1,FALSE)="","",VLOOKUP($A13,'détails investissements'!$A$26:$DE$43,I$3-VLOOKUP($A13,'détails investissements'!$A$71:$B$88,2,FALSE)+1,FALSE))),'détails investissements'!$U$6:$AB$7,2,FALSE),""),FALSE),"")</f>
        <v/>
      </c>
      <c r="J13" s="45" t="str">
        <f>IF(IF(IF(J$3-VLOOKUP($A13,'détails investissements'!$A$71:$B$88,2,FALSE)&lt;=0,"",IF(VLOOKUP($A13,'détails investissements'!$A$26:$DE$43,J$3-VLOOKUP($A13,'détails investissements'!$A$71:$B$88,2,FALSE)+1,FALSE)="","",VLOOKUP($A13,'détails investissements'!$A$26:$DE$43,J$3-VLOOKUP($A13,'détails investissements'!$A$71:$B$88,2,FALSE)+1,FALSE)))&lt;&gt;"",HLOOKUP(IF(J$3-VLOOKUP($A13,'détails investissements'!$A$71:$B$88,2,FALSE)&lt;=0,"",IF(VLOOKUP($A13,'détails investissements'!$A$26:$DE$43,J$3-VLOOKUP($A13,'détails investissements'!$A$71:$B$88,2,FALSE)+1,FALSE)="","",VLOOKUP($A13,'détails investissements'!$A$26:$DE$43,J$3-VLOOKUP($A13,'détails investissements'!$A$71:$B$88,2,FALSE)+1,FALSE))),'détails investissements'!$U$6:$AB$7,2,FALSE),"")&lt;&gt;"",VLOOKUP($A13,'détails investissements'!$A$7:$H$21,1+IF(IF(J$3-VLOOKUP($A13,'détails investissements'!$A$71:$B$88,2,FALSE)&lt;=0,"",IF(VLOOKUP($A13,'détails investissements'!$A$26:$DE$43,J$3-VLOOKUP($A13,'détails investissements'!$A$71:$B$88,2,FALSE)+1,FALSE)="","",VLOOKUP($A13,'détails investissements'!$A$26:$DE$43,J$3-VLOOKUP($A13,'détails investissements'!$A$71:$B$88,2,FALSE)+1,FALSE)))&lt;&gt;"",HLOOKUP(IF(J$3-VLOOKUP($A13,'détails investissements'!$A$71:$B$88,2,FALSE)&lt;=0,"",IF(VLOOKUP($A13,'détails investissements'!$A$26:$DE$43,J$3-VLOOKUP($A13,'détails investissements'!$A$71:$B$88,2,FALSE)+1,FALSE)="","",VLOOKUP($A13,'détails investissements'!$A$26:$DE$43,J$3-VLOOKUP($A13,'détails investissements'!$A$71:$B$88,2,FALSE)+1,FALSE))),'détails investissements'!$U$6:$AB$7,2,FALSE),""),FALSE),"")</f>
        <v/>
      </c>
      <c r="K13" s="45" t="str">
        <f>IF(IF(IF(K$3-VLOOKUP($A13,'détails investissements'!$A$71:$B$88,2,FALSE)&lt;=0,"",IF(VLOOKUP($A13,'détails investissements'!$A$26:$DE$43,K$3-VLOOKUP($A13,'détails investissements'!$A$71:$B$88,2,FALSE)+1,FALSE)="","",VLOOKUP($A13,'détails investissements'!$A$26:$DE$43,K$3-VLOOKUP($A13,'détails investissements'!$A$71:$B$88,2,FALSE)+1,FALSE)))&lt;&gt;"",HLOOKUP(IF(K$3-VLOOKUP($A13,'détails investissements'!$A$71:$B$88,2,FALSE)&lt;=0,"",IF(VLOOKUP($A13,'détails investissements'!$A$26:$DE$43,K$3-VLOOKUP($A13,'détails investissements'!$A$71:$B$88,2,FALSE)+1,FALSE)="","",VLOOKUP($A13,'détails investissements'!$A$26:$DE$43,K$3-VLOOKUP($A13,'détails investissements'!$A$71:$B$88,2,FALSE)+1,FALSE))),'détails investissements'!$U$6:$AB$7,2,FALSE),"")&lt;&gt;"",VLOOKUP($A13,'détails investissements'!$A$7:$H$21,1+IF(IF(K$3-VLOOKUP($A13,'détails investissements'!$A$71:$B$88,2,FALSE)&lt;=0,"",IF(VLOOKUP($A13,'détails investissements'!$A$26:$DE$43,K$3-VLOOKUP($A13,'détails investissements'!$A$71:$B$88,2,FALSE)+1,FALSE)="","",VLOOKUP($A13,'détails investissements'!$A$26:$DE$43,K$3-VLOOKUP($A13,'détails investissements'!$A$71:$B$88,2,FALSE)+1,FALSE)))&lt;&gt;"",HLOOKUP(IF(K$3-VLOOKUP($A13,'détails investissements'!$A$71:$B$88,2,FALSE)&lt;=0,"",IF(VLOOKUP($A13,'détails investissements'!$A$26:$DE$43,K$3-VLOOKUP($A13,'détails investissements'!$A$71:$B$88,2,FALSE)+1,FALSE)="","",VLOOKUP($A13,'détails investissements'!$A$26:$DE$43,K$3-VLOOKUP($A13,'détails investissements'!$A$71:$B$88,2,FALSE)+1,FALSE))),'détails investissements'!$U$6:$AB$7,2,FALSE),""),FALSE),"")</f>
        <v/>
      </c>
      <c r="L13" s="45" t="str">
        <f>IF(IF(IF(L$3-VLOOKUP($A13,'détails investissements'!$A$71:$B$88,2,FALSE)&lt;=0,"",IF(VLOOKUP($A13,'détails investissements'!$A$26:$DE$43,L$3-VLOOKUP($A13,'détails investissements'!$A$71:$B$88,2,FALSE)+1,FALSE)="","",VLOOKUP($A13,'détails investissements'!$A$26:$DE$43,L$3-VLOOKUP($A13,'détails investissements'!$A$71:$B$88,2,FALSE)+1,FALSE)))&lt;&gt;"",HLOOKUP(IF(L$3-VLOOKUP($A13,'détails investissements'!$A$71:$B$88,2,FALSE)&lt;=0,"",IF(VLOOKUP($A13,'détails investissements'!$A$26:$DE$43,L$3-VLOOKUP($A13,'détails investissements'!$A$71:$B$88,2,FALSE)+1,FALSE)="","",VLOOKUP($A13,'détails investissements'!$A$26:$DE$43,L$3-VLOOKUP($A13,'détails investissements'!$A$71:$B$88,2,FALSE)+1,FALSE))),'détails investissements'!$U$6:$AB$7,2,FALSE),"")&lt;&gt;"",VLOOKUP($A13,'détails investissements'!$A$7:$H$21,1+IF(IF(L$3-VLOOKUP($A13,'détails investissements'!$A$71:$B$88,2,FALSE)&lt;=0,"",IF(VLOOKUP($A13,'détails investissements'!$A$26:$DE$43,L$3-VLOOKUP($A13,'détails investissements'!$A$71:$B$88,2,FALSE)+1,FALSE)="","",VLOOKUP($A13,'détails investissements'!$A$26:$DE$43,L$3-VLOOKUP($A13,'détails investissements'!$A$71:$B$88,2,FALSE)+1,FALSE)))&lt;&gt;"",HLOOKUP(IF(L$3-VLOOKUP($A13,'détails investissements'!$A$71:$B$88,2,FALSE)&lt;=0,"",IF(VLOOKUP($A13,'détails investissements'!$A$26:$DE$43,L$3-VLOOKUP($A13,'détails investissements'!$A$71:$B$88,2,FALSE)+1,FALSE)="","",VLOOKUP($A13,'détails investissements'!$A$26:$DE$43,L$3-VLOOKUP($A13,'détails investissements'!$A$71:$B$88,2,FALSE)+1,FALSE))),'détails investissements'!$U$6:$AB$7,2,FALSE),""),FALSE),"")</f>
        <v/>
      </c>
      <c r="M13" s="45" t="str">
        <f>IF(IF(IF(M$3-VLOOKUP($A13,'détails investissements'!$A$71:$B$88,2,FALSE)&lt;=0,"",IF(VLOOKUP($A13,'détails investissements'!$A$26:$DE$43,M$3-VLOOKUP($A13,'détails investissements'!$A$71:$B$88,2,FALSE)+1,FALSE)="","",VLOOKUP($A13,'détails investissements'!$A$26:$DE$43,M$3-VLOOKUP($A13,'détails investissements'!$A$71:$B$88,2,FALSE)+1,FALSE)))&lt;&gt;"",HLOOKUP(IF(M$3-VLOOKUP($A13,'détails investissements'!$A$71:$B$88,2,FALSE)&lt;=0,"",IF(VLOOKUP($A13,'détails investissements'!$A$26:$DE$43,M$3-VLOOKUP($A13,'détails investissements'!$A$71:$B$88,2,FALSE)+1,FALSE)="","",VLOOKUP($A13,'détails investissements'!$A$26:$DE$43,M$3-VLOOKUP($A13,'détails investissements'!$A$71:$B$88,2,FALSE)+1,FALSE))),'détails investissements'!$U$6:$AB$7,2,FALSE),"")&lt;&gt;"",VLOOKUP($A13,'détails investissements'!$A$7:$H$21,1+IF(IF(M$3-VLOOKUP($A13,'détails investissements'!$A$71:$B$88,2,FALSE)&lt;=0,"",IF(VLOOKUP($A13,'détails investissements'!$A$26:$DE$43,M$3-VLOOKUP($A13,'détails investissements'!$A$71:$B$88,2,FALSE)+1,FALSE)="","",VLOOKUP($A13,'détails investissements'!$A$26:$DE$43,M$3-VLOOKUP($A13,'détails investissements'!$A$71:$B$88,2,FALSE)+1,FALSE)))&lt;&gt;"",HLOOKUP(IF(M$3-VLOOKUP($A13,'détails investissements'!$A$71:$B$88,2,FALSE)&lt;=0,"",IF(VLOOKUP($A13,'détails investissements'!$A$26:$DE$43,M$3-VLOOKUP($A13,'détails investissements'!$A$71:$B$88,2,FALSE)+1,FALSE)="","",VLOOKUP($A13,'détails investissements'!$A$26:$DE$43,M$3-VLOOKUP($A13,'détails investissements'!$A$71:$B$88,2,FALSE)+1,FALSE))),'détails investissements'!$U$6:$AB$7,2,FALSE),""),FALSE),"")</f>
        <v/>
      </c>
      <c r="N13" s="45" t="str">
        <f>IF(IF(IF(N$3-VLOOKUP($A13,'détails investissements'!$A$71:$B$88,2,FALSE)&lt;=0,"",IF(VLOOKUP($A13,'détails investissements'!$A$26:$DE$43,N$3-VLOOKUP($A13,'détails investissements'!$A$71:$B$88,2,FALSE)+1,FALSE)="","",VLOOKUP($A13,'détails investissements'!$A$26:$DE$43,N$3-VLOOKUP($A13,'détails investissements'!$A$71:$B$88,2,FALSE)+1,FALSE)))&lt;&gt;"",HLOOKUP(IF(N$3-VLOOKUP($A13,'détails investissements'!$A$71:$B$88,2,FALSE)&lt;=0,"",IF(VLOOKUP($A13,'détails investissements'!$A$26:$DE$43,N$3-VLOOKUP($A13,'détails investissements'!$A$71:$B$88,2,FALSE)+1,FALSE)="","",VLOOKUP($A13,'détails investissements'!$A$26:$DE$43,N$3-VLOOKUP($A13,'détails investissements'!$A$71:$B$88,2,FALSE)+1,FALSE))),'détails investissements'!$U$6:$AB$7,2,FALSE),"")&lt;&gt;"",VLOOKUP($A13,'détails investissements'!$A$7:$H$21,1+IF(IF(N$3-VLOOKUP($A13,'détails investissements'!$A$71:$B$88,2,FALSE)&lt;=0,"",IF(VLOOKUP($A13,'détails investissements'!$A$26:$DE$43,N$3-VLOOKUP($A13,'détails investissements'!$A$71:$B$88,2,FALSE)+1,FALSE)="","",VLOOKUP($A13,'détails investissements'!$A$26:$DE$43,N$3-VLOOKUP($A13,'détails investissements'!$A$71:$B$88,2,FALSE)+1,FALSE)))&lt;&gt;"",HLOOKUP(IF(N$3-VLOOKUP($A13,'détails investissements'!$A$71:$B$88,2,FALSE)&lt;=0,"",IF(VLOOKUP($A13,'détails investissements'!$A$26:$DE$43,N$3-VLOOKUP($A13,'détails investissements'!$A$71:$B$88,2,FALSE)+1,FALSE)="","",VLOOKUP($A13,'détails investissements'!$A$26:$DE$43,N$3-VLOOKUP($A13,'détails investissements'!$A$71:$B$88,2,FALSE)+1,FALSE))),'détails investissements'!$U$6:$AB$7,2,FALSE),""),FALSE),"")</f>
        <v/>
      </c>
      <c r="O13" s="45">
        <f>IF(IF(IF(O$3-VLOOKUP($A13,'détails investissements'!$A$71:$B$88,2,FALSE)&lt;=0,"",IF(VLOOKUP($A13,'détails investissements'!$A$26:$DE$43,O$3-VLOOKUP($A13,'détails investissements'!$A$71:$B$88,2,FALSE)+1,FALSE)="","",VLOOKUP($A13,'détails investissements'!$A$26:$DE$43,O$3-VLOOKUP($A13,'détails investissements'!$A$71:$B$88,2,FALSE)+1,FALSE)))&lt;&gt;"",HLOOKUP(IF(O$3-VLOOKUP($A13,'détails investissements'!$A$71:$B$88,2,FALSE)&lt;=0,"",IF(VLOOKUP($A13,'détails investissements'!$A$26:$DE$43,O$3-VLOOKUP($A13,'détails investissements'!$A$71:$B$88,2,FALSE)+1,FALSE)="","",VLOOKUP($A13,'détails investissements'!$A$26:$DE$43,O$3-VLOOKUP($A13,'détails investissements'!$A$71:$B$88,2,FALSE)+1,FALSE))),'détails investissements'!$U$6:$AB$7,2,FALSE),"")&lt;&gt;"",VLOOKUP($A13,'détails investissements'!$A$7:$H$21,1+IF(IF(O$3-VLOOKUP($A13,'détails investissements'!$A$71:$B$88,2,FALSE)&lt;=0,"",IF(VLOOKUP($A13,'détails investissements'!$A$26:$DE$43,O$3-VLOOKUP($A13,'détails investissements'!$A$71:$B$88,2,FALSE)+1,FALSE)="","",VLOOKUP($A13,'détails investissements'!$A$26:$DE$43,O$3-VLOOKUP($A13,'détails investissements'!$A$71:$B$88,2,FALSE)+1,FALSE)))&lt;&gt;"",HLOOKUP(IF(O$3-VLOOKUP($A13,'détails investissements'!$A$71:$B$88,2,FALSE)&lt;=0,"",IF(VLOOKUP($A13,'détails investissements'!$A$26:$DE$43,O$3-VLOOKUP($A13,'détails investissements'!$A$71:$B$88,2,FALSE)+1,FALSE)="","",VLOOKUP($A13,'détails investissements'!$A$26:$DE$43,O$3-VLOOKUP($A13,'détails investissements'!$A$71:$B$88,2,FALSE)+1,FALSE))),'détails investissements'!$U$6:$AB$7,2,FALSE),""),FALSE),"")</f>
        <v>0.15</v>
      </c>
      <c r="P13" s="45" t="str">
        <f>IF(IF(IF(P$3-VLOOKUP($A13,'détails investissements'!$A$71:$B$88,2,FALSE)&lt;=0,"",IF(VLOOKUP($A13,'détails investissements'!$A$26:$DE$43,P$3-VLOOKUP($A13,'détails investissements'!$A$71:$B$88,2,FALSE)+1,FALSE)="","",VLOOKUP($A13,'détails investissements'!$A$26:$DE$43,P$3-VLOOKUP($A13,'détails investissements'!$A$71:$B$88,2,FALSE)+1,FALSE)))&lt;&gt;"",HLOOKUP(IF(P$3-VLOOKUP($A13,'détails investissements'!$A$71:$B$88,2,FALSE)&lt;=0,"",IF(VLOOKUP($A13,'détails investissements'!$A$26:$DE$43,P$3-VLOOKUP($A13,'détails investissements'!$A$71:$B$88,2,FALSE)+1,FALSE)="","",VLOOKUP($A13,'détails investissements'!$A$26:$DE$43,P$3-VLOOKUP($A13,'détails investissements'!$A$71:$B$88,2,FALSE)+1,FALSE))),'détails investissements'!$U$6:$AB$7,2,FALSE),"")&lt;&gt;"",VLOOKUP($A13,'détails investissements'!$A$7:$H$21,1+IF(IF(P$3-VLOOKUP($A13,'détails investissements'!$A$71:$B$88,2,FALSE)&lt;=0,"",IF(VLOOKUP($A13,'détails investissements'!$A$26:$DE$43,P$3-VLOOKUP($A13,'détails investissements'!$A$71:$B$88,2,FALSE)+1,FALSE)="","",VLOOKUP($A13,'détails investissements'!$A$26:$DE$43,P$3-VLOOKUP($A13,'détails investissements'!$A$71:$B$88,2,FALSE)+1,FALSE)))&lt;&gt;"",HLOOKUP(IF(P$3-VLOOKUP($A13,'détails investissements'!$A$71:$B$88,2,FALSE)&lt;=0,"",IF(VLOOKUP($A13,'détails investissements'!$A$26:$DE$43,P$3-VLOOKUP($A13,'détails investissements'!$A$71:$B$88,2,FALSE)+1,FALSE)="","",VLOOKUP($A13,'détails investissements'!$A$26:$DE$43,P$3-VLOOKUP($A13,'détails investissements'!$A$71:$B$88,2,FALSE)+1,FALSE))),'détails investissements'!$U$6:$AB$7,2,FALSE),""),FALSE),"")</f>
        <v/>
      </c>
      <c r="Q13" s="45">
        <f>IF(IF(IF(Q$3-VLOOKUP($A13,'détails investissements'!$A$71:$B$88,2,FALSE)&lt;=0,"",IF(VLOOKUP($A13,'détails investissements'!$A$26:$DE$43,Q$3-VLOOKUP($A13,'détails investissements'!$A$71:$B$88,2,FALSE)+1,FALSE)="","",VLOOKUP($A13,'détails investissements'!$A$26:$DE$43,Q$3-VLOOKUP($A13,'détails investissements'!$A$71:$B$88,2,FALSE)+1,FALSE)))&lt;&gt;"",HLOOKUP(IF(Q$3-VLOOKUP($A13,'détails investissements'!$A$71:$B$88,2,FALSE)&lt;=0,"",IF(VLOOKUP($A13,'détails investissements'!$A$26:$DE$43,Q$3-VLOOKUP($A13,'détails investissements'!$A$71:$B$88,2,FALSE)+1,FALSE)="","",VLOOKUP($A13,'détails investissements'!$A$26:$DE$43,Q$3-VLOOKUP($A13,'détails investissements'!$A$71:$B$88,2,FALSE)+1,FALSE))),'détails investissements'!$U$6:$AB$7,2,FALSE),"")&lt;&gt;"",VLOOKUP($A13,'détails investissements'!$A$7:$H$21,1+IF(IF(Q$3-VLOOKUP($A13,'détails investissements'!$A$71:$B$88,2,FALSE)&lt;=0,"",IF(VLOOKUP($A13,'détails investissements'!$A$26:$DE$43,Q$3-VLOOKUP($A13,'détails investissements'!$A$71:$B$88,2,FALSE)+1,FALSE)="","",VLOOKUP($A13,'détails investissements'!$A$26:$DE$43,Q$3-VLOOKUP($A13,'détails investissements'!$A$71:$B$88,2,FALSE)+1,FALSE)))&lt;&gt;"",HLOOKUP(IF(Q$3-VLOOKUP($A13,'détails investissements'!$A$71:$B$88,2,FALSE)&lt;=0,"",IF(VLOOKUP($A13,'détails investissements'!$A$26:$DE$43,Q$3-VLOOKUP($A13,'détails investissements'!$A$71:$B$88,2,FALSE)+1,FALSE)="","",VLOOKUP($A13,'détails investissements'!$A$26:$DE$43,Q$3-VLOOKUP($A13,'détails investissements'!$A$71:$B$88,2,FALSE)+1,FALSE))),'détails investissements'!$U$6:$AB$7,2,FALSE),""),FALSE),"")</f>
        <v>0.1</v>
      </c>
      <c r="R13" s="45" t="str">
        <f>IF(IF(IF(R$3-VLOOKUP($A13,'détails investissements'!$A$71:$B$88,2,FALSE)&lt;=0,"",IF(VLOOKUP($A13,'détails investissements'!$A$26:$DE$43,R$3-VLOOKUP($A13,'détails investissements'!$A$71:$B$88,2,FALSE)+1,FALSE)="","",VLOOKUP($A13,'détails investissements'!$A$26:$DE$43,R$3-VLOOKUP($A13,'détails investissements'!$A$71:$B$88,2,FALSE)+1,FALSE)))&lt;&gt;"",HLOOKUP(IF(R$3-VLOOKUP($A13,'détails investissements'!$A$71:$B$88,2,FALSE)&lt;=0,"",IF(VLOOKUP($A13,'détails investissements'!$A$26:$DE$43,R$3-VLOOKUP($A13,'détails investissements'!$A$71:$B$88,2,FALSE)+1,FALSE)="","",VLOOKUP($A13,'détails investissements'!$A$26:$DE$43,R$3-VLOOKUP($A13,'détails investissements'!$A$71:$B$88,2,FALSE)+1,FALSE))),'détails investissements'!$U$6:$AB$7,2,FALSE),"")&lt;&gt;"",VLOOKUP($A13,'détails investissements'!$A$7:$H$21,1+IF(IF(R$3-VLOOKUP($A13,'détails investissements'!$A$71:$B$88,2,FALSE)&lt;=0,"",IF(VLOOKUP($A13,'détails investissements'!$A$26:$DE$43,R$3-VLOOKUP($A13,'détails investissements'!$A$71:$B$88,2,FALSE)+1,FALSE)="","",VLOOKUP($A13,'détails investissements'!$A$26:$DE$43,R$3-VLOOKUP($A13,'détails investissements'!$A$71:$B$88,2,FALSE)+1,FALSE)))&lt;&gt;"",HLOOKUP(IF(R$3-VLOOKUP($A13,'détails investissements'!$A$71:$B$88,2,FALSE)&lt;=0,"",IF(VLOOKUP($A13,'détails investissements'!$A$26:$DE$43,R$3-VLOOKUP($A13,'détails investissements'!$A$71:$B$88,2,FALSE)+1,FALSE)="","",VLOOKUP($A13,'détails investissements'!$A$26:$DE$43,R$3-VLOOKUP($A13,'détails investissements'!$A$71:$B$88,2,FALSE)+1,FALSE))),'détails investissements'!$U$6:$AB$7,2,FALSE),""),FALSE),"")</f>
        <v/>
      </c>
      <c r="S13" s="45" t="str">
        <f>IF(IF(IF(S$3-VLOOKUP($A13,'détails investissements'!$A$71:$B$88,2,FALSE)&lt;=0,"",IF(VLOOKUP($A13,'détails investissements'!$A$26:$DE$43,S$3-VLOOKUP($A13,'détails investissements'!$A$71:$B$88,2,FALSE)+1,FALSE)="","",VLOOKUP($A13,'détails investissements'!$A$26:$DE$43,S$3-VLOOKUP($A13,'détails investissements'!$A$71:$B$88,2,FALSE)+1,FALSE)))&lt;&gt;"",HLOOKUP(IF(S$3-VLOOKUP($A13,'détails investissements'!$A$71:$B$88,2,FALSE)&lt;=0,"",IF(VLOOKUP($A13,'détails investissements'!$A$26:$DE$43,S$3-VLOOKUP($A13,'détails investissements'!$A$71:$B$88,2,FALSE)+1,FALSE)="","",VLOOKUP($A13,'détails investissements'!$A$26:$DE$43,S$3-VLOOKUP($A13,'détails investissements'!$A$71:$B$88,2,FALSE)+1,FALSE))),'détails investissements'!$U$6:$AB$7,2,FALSE),"")&lt;&gt;"",VLOOKUP($A13,'détails investissements'!$A$7:$H$21,1+IF(IF(S$3-VLOOKUP($A13,'détails investissements'!$A$71:$B$88,2,FALSE)&lt;=0,"",IF(VLOOKUP($A13,'détails investissements'!$A$26:$DE$43,S$3-VLOOKUP($A13,'détails investissements'!$A$71:$B$88,2,FALSE)+1,FALSE)="","",VLOOKUP($A13,'détails investissements'!$A$26:$DE$43,S$3-VLOOKUP($A13,'détails investissements'!$A$71:$B$88,2,FALSE)+1,FALSE)))&lt;&gt;"",HLOOKUP(IF(S$3-VLOOKUP($A13,'détails investissements'!$A$71:$B$88,2,FALSE)&lt;=0,"",IF(VLOOKUP($A13,'détails investissements'!$A$26:$DE$43,S$3-VLOOKUP($A13,'détails investissements'!$A$71:$B$88,2,FALSE)+1,FALSE)="","",VLOOKUP($A13,'détails investissements'!$A$26:$DE$43,S$3-VLOOKUP($A13,'détails investissements'!$A$71:$B$88,2,FALSE)+1,FALSE))),'détails investissements'!$U$6:$AB$7,2,FALSE),""),FALSE),"")</f>
        <v/>
      </c>
      <c r="T13" s="45" t="str">
        <f>IF(IF(IF(T$3-VLOOKUP($A13,'détails investissements'!$A$71:$B$88,2,FALSE)&lt;=0,"",IF(VLOOKUP($A13,'détails investissements'!$A$26:$DE$43,T$3-VLOOKUP($A13,'détails investissements'!$A$71:$B$88,2,FALSE)+1,FALSE)="","",VLOOKUP($A13,'détails investissements'!$A$26:$DE$43,T$3-VLOOKUP($A13,'détails investissements'!$A$71:$B$88,2,FALSE)+1,FALSE)))&lt;&gt;"",HLOOKUP(IF(T$3-VLOOKUP($A13,'détails investissements'!$A$71:$B$88,2,FALSE)&lt;=0,"",IF(VLOOKUP($A13,'détails investissements'!$A$26:$DE$43,T$3-VLOOKUP($A13,'détails investissements'!$A$71:$B$88,2,FALSE)+1,FALSE)="","",VLOOKUP($A13,'détails investissements'!$A$26:$DE$43,T$3-VLOOKUP($A13,'détails investissements'!$A$71:$B$88,2,FALSE)+1,FALSE))),'détails investissements'!$U$6:$AB$7,2,FALSE),"")&lt;&gt;"",VLOOKUP($A13,'détails investissements'!$A$7:$H$21,1+IF(IF(T$3-VLOOKUP($A13,'détails investissements'!$A$71:$B$88,2,FALSE)&lt;=0,"",IF(VLOOKUP($A13,'détails investissements'!$A$26:$DE$43,T$3-VLOOKUP($A13,'détails investissements'!$A$71:$B$88,2,FALSE)+1,FALSE)="","",VLOOKUP($A13,'détails investissements'!$A$26:$DE$43,T$3-VLOOKUP($A13,'détails investissements'!$A$71:$B$88,2,FALSE)+1,FALSE)))&lt;&gt;"",HLOOKUP(IF(T$3-VLOOKUP($A13,'détails investissements'!$A$71:$B$88,2,FALSE)&lt;=0,"",IF(VLOOKUP($A13,'détails investissements'!$A$26:$DE$43,T$3-VLOOKUP($A13,'détails investissements'!$A$71:$B$88,2,FALSE)+1,FALSE)="","",VLOOKUP($A13,'détails investissements'!$A$26:$DE$43,T$3-VLOOKUP($A13,'détails investissements'!$A$71:$B$88,2,FALSE)+1,FALSE))),'détails investissements'!$U$6:$AB$7,2,FALSE),""),FALSE),"")</f>
        <v/>
      </c>
      <c r="U13" s="45">
        <f>IF(IF(IF(U$3-VLOOKUP($A13,'détails investissements'!$A$71:$B$88,2,FALSE)&lt;=0,"",IF(VLOOKUP($A13,'détails investissements'!$A$26:$DE$43,U$3-VLOOKUP($A13,'détails investissements'!$A$71:$B$88,2,FALSE)+1,FALSE)="","",VLOOKUP($A13,'détails investissements'!$A$26:$DE$43,U$3-VLOOKUP($A13,'détails investissements'!$A$71:$B$88,2,FALSE)+1,FALSE)))&lt;&gt;"",HLOOKUP(IF(U$3-VLOOKUP($A13,'détails investissements'!$A$71:$B$88,2,FALSE)&lt;=0,"",IF(VLOOKUP($A13,'détails investissements'!$A$26:$DE$43,U$3-VLOOKUP($A13,'détails investissements'!$A$71:$B$88,2,FALSE)+1,FALSE)="","",VLOOKUP($A13,'détails investissements'!$A$26:$DE$43,U$3-VLOOKUP($A13,'détails investissements'!$A$71:$B$88,2,FALSE)+1,FALSE))),'détails investissements'!$U$6:$AB$7,2,FALSE),"")&lt;&gt;"",VLOOKUP($A13,'détails investissements'!$A$7:$H$21,1+IF(IF(U$3-VLOOKUP($A13,'détails investissements'!$A$71:$B$88,2,FALSE)&lt;=0,"",IF(VLOOKUP($A13,'détails investissements'!$A$26:$DE$43,U$3-VLOOKUP($A13,'détails investissements'!$A$71:$B$88,2,FALSE)+1,FALSE)="","",VLOOKUP($A13,'détails investissements'!$A$26:$DE$43,U$3-VLOOKUP($A13,'détails investissements'!$A$71:$B$88,2,FALSE)+1,FALSE)))&lt;&gt;"",HLOOKUP(IF(U$3-VLOOKUP($A13,'détails investissements'!$A$71:$B$88,2,FALSE)&lt;=0,"",IF(VLOOKUP($A13,'détails investissements'!$A$26:$DE$43,U$3-VLOOKUP($A13,'détails investissements'!$A$71:$B$88,2,FALSE)+1,FALSE)="","",VLOOKUP($A13,'détails investissements'!$A$26:$DE$43,U$3-VLOOKUP($A13,'détails investissements'!$A$71:$B$88,2,FALSE)+1,FALSE))),'détails investissements'!$U$6:$AB$7,2,FALSE),""),FALSE),"")</f>
        <v>0.2</v>
      </c>
      <c r="V13" s="45" t="str">
        <f>IF(IF(IF(V$3-VLOOKUP($A13,'détails investissements'!$A$71:$B$88,2,FALSE)&lt;=0,"",IF(VLOOKUP($A13,'détails investissements'!$A$26:$DE$43,V$3-VLOOKUP($A13,'détails investissements'!$A$71:$B$88,2,FALSE)+1,FALSE)="","",VLOOKUP($A13,'détails investissements'!$A$26:$DE$43,V$3-VLOOKUP($A13,'détails investissements'!$A$71:$B$88,2,FALSE)+1,FALSE)))&lt;&gt;"",HLOOKUP(IF(V$3-VLOOKUP($A13,'détails investissements'!$A$71:$B$88,2,FALSE)&lt;=0,"",IF(VLOOKUP($A13,'détails investissements'!$A$26:$DE$43,V$3-VLOOKUP($A13,'détails investissements'!$A$71:$B$88,2,FALSE)+1,FALSE)="","",VLOOKUP($A13,'détails investissements'!$A$26:$DE$43,V$3-VLOOKUP($A13,'détails investissements'!$A$71:$B$88,2,FALSE)+1,FALSE))),'détails investissements'!$U$6:$AB$7,2,FALSE),"")&lt;&gt;"",VLOOKUP($A13,'détails investissements'!$A$7:$H$21,1+IF(IF(V$3-VLOOKUP($A13,'détails investissements'!$A$71:$B$88,2,FALSE)&lt;=0,"",IF(VLOOKUP($A13,'détails investissements'!$A$26:$DE$43,V$3-VLOOKUP($A13,'détails investissements'!$A$71:$B$88,2,FALSE)+1,FALSE)="","",VLOOKUP($A13,'détails investissements'!$A$26:$DE$43,V$3-VLOOKUP($A13,'détails investissements'!$A$71:$B$88,2,FALSE)+1,FALSE)))&lt;&gt;"",HLOOKUP(IF(V$3-VLOOKUP($A13,'détails investissements'!$A$71:$B$88,2,FALSE)&lt;=0,"",IF(VLOOKUP($A13,'détails investissements'!$A$26:$DE$43,V$3-VLOOKUP($A13,'détails investissements'!$A$71:$B$88,2,FALSE)+1,FALSE)="","",VLOOKUP($A13,'détails investissements'!$A$26:$DE$43,V$3-VLOOKUP($A13,'détails investissements'!$A$71:$B$88,2,FALSE)+1,FALSE))),'détails investissements'!$U$6:$AB$7,2,FALSE),""),FALSE),"")</f>
        <v/>
      </c>
      <c r="W13" s="45">
        <f>IF(IF(IF(W$3-VLOOKUP($A13,'détails investissements'!$A$71:$B$88,2,FALSE)&lt;=0,"",IF(VLOOKUP($A13,'détails investissements'!$A$26:$DE$43,W$3-VLOOKUP($A13,'détails investissements'!$A$71:$B$88,2,FALSE)+1,FALSE)="","",VLOOKUP($A13,'détails investissements'!$A$26:$DE$43,W$3-VLOOKUP($A13,'détails investissements'!$A$71:$B$88,2,FALSE)+1,FALSE)))&lt;&gt;"",HLOOKUP(IF(W$3-VLOOKUP($A13,'détails investissements'!$A$71:$B$88,2,FALSE)&lt;=0,"",IF(VLOOKUP($A13,'détails investissements'!$A$26:$DE$43,W$3-VLOOKUP($A13,'détails investissements'!$A$71:$B$88,2,FALSE)+1,FALSE)="","",VLOOKUP($A13,'détails investissements'!$A$26:$DE$43,W$3-VLOOKUP($A13,'détails investissements'!$A$71:$B$88,2,FALSE)+1,FALSE))),'détails investissements'!$U$6:$AB$7,2,FALSE),"")&lt;&gt;"",VLOOKUP($A13,'détails investissements'!$A$7:$H$21,1+IF(IF(W$3-VLOOKUP($A13,'détails investissements'!$A$71:$B$88,2,FALSE)&lt;=0,"",IF(VLOOKUP($A13,'détails investissements'!$A$26:$DE$43,W$3-VLOOKUP($A13,'détails investissements'!$A$71:$B$88,2,FALSE)+1,FALSE)="","",VLOOKUP($A13,'détails investissements'!$A$26:$DE$43,W$3-VLOOKUP($A13,'détails investissements'!$A$71:$B$88,2,FALSE)+1,FALSE)))&lt;&gt;"",HLOOKUP(IF(W$3-VLOOKUP($A13,'détails investissements'!$A$71:$B$88,2,FALSE)&lt;=0,"",IF(VLOOKUP($A13,'détails investissements'!$A$26:$DE$43,W$3-VLOOKUP($A13,'détails investissements'!$A$71:$B$88,2,FALSE)+1,FALSE)="","",VLOOKUP($A13,'détails investissements'!$A$26:$DE$43,W$3-VLOOKUP($A13,'détails investissements'!$A$71:$B$88,2,FALSE)+1,FALSE))),'détails investissements'!$U$6:$AB$7,2,FALSE),""),FALSE),"")</f>
        <v>0.15</v>
      </c>
      <c r="X13" s="45" t="str">
        <f>IF(IF(IF(X$3-VLOOKUP($A13,'détails investissements'!$A$71:$B$88,2,FALSE)&lt;=0,"",IF(VLOOKUP($A13,'détails investissements'!$A$26:$DE$43,X$3-VLOOKUP($A13,'détails investissements'!$A$71:$B$88,2,FALSE)+1,FALSE)="","",VLOOKUP($A13,'détails investissements'!$A$26:$DE$43,X$3-VLOOKUP($A13,'détails investissements'!$A$71:$B$88,2,FALSE)+1,FALSE)))&lt;&gt;"",HLOOKUP(IF(X$3-VLOOKUP($A13,'détails investissements'!$A$71:$B$88,2,FALSE)&lt;=0,"",IF(VLOOKUP($A13,'détails investissements'!$A$26:$DE$43,X$3-VLOOKUP($A13,'détails investissements'!$A$71:$B$88,2,FALSE)+1,FALSE)="","",VLOOKUP($A13,'détails investissements'!$A$26:$DE$43,X$3-VLOOKUP($A13,'détails investissements'!$A$71:$B$88,2,FALSE)+1,FALSE))),'détails investissements'!$U$6:$AB$7,2,FALSE),"")&lt;&gt;"",VLOOKUP($A13,'détails investissements'!$A$7:$H$21,1+IF(IF(X$3-VLOOKUP($A13,'détails investissements'!$A$71:$B$88,2,FALSE)&lt;=0,"",IF(VLOOKUP($A13,'détails investissements'!$A$26:$DE$43,X$3-VLOOKUP($A13,'détails investissements'!$A$71:$B$88,2,FALSE)+1,FALSE)="","",VLOOKUP($A13,'détails investissements'!$A$26:$DE$43,X$3-VLOOKUP($A13,'détails investissements'!$A$71:$B$88,2,FALSE)+1,FALSE)))&lt;&gt;"",HLOOKUP(IF(X$3-VLOOKUP($A13,'détails investissements'!$A$71:$B$88,2,FALSE)&lt;=0,"",IF(VLOOKUP($A13,'détails investissements'!$A$26:$DE$43,X$3-VLOOKUP($A13,'détails investissements'!$A$71:$B$88,2,FALSE)+1,FALSE)="","",VLOOKUP($A13,'détails investissements'!$A$26:$DE$43,X$3-VLOOKUP($A13,'détails investissements'!$A$71:$B$88,2,FALSE)+1,FALSE))),'détails investissements'!$U$6:$AB$7,2,FALSE),""),FALSE),"")</f>
        <v/>
      </c>
      <c r="Y13" s="45">
        <f>IF(IF(IF(Y$3-VLOOKUP($A13,'détails investissements'!$A$71:$B$88,2,FALSE)&lt;=0,"",IF(VLOOKUP($A13,'détails investissements'!$A$26:$DE$43,Y$3-VLOOKUP($A13,'détails investissements'!$A$71:$B$88,2,FALSE)+1,FALSE)="","",VLOOKUP($A13,'détails investissements'!$A$26:$DE$43,Y$3-VLOOKUP($A13,'détails investissements'!$A$71:$B$88,2,FALSE)+1,FALSE)))&lt;&gt;"",HLOOKUP(IF(Y$3-VLOOKUP($A13,'détails investissements'!$A$71:$B$88,2,FALSE)&lt;=0,"",IF(VLOOKUP($A13,'détails investissements'!$A$26:$DE$43,Y$3-VLOOKUP($A13,'détails investissements'!$A$71:$B$88,2,FALSE)+1,FALSE)="","",VLOOKUP($A13,'détails investissements'!$A$26:$DE$43,Y$3-VLOOKUP($A13,'détails investissements'!$A$71:$B$88,2,FALSE)+1,FALSE))),'détails investissements'!$U$6:$AB$7,2,FALSE),"")&lt;&gt;"",VLOOKUP($A13,'détails investissements'!$A$7:$H$21,1+IF(IF(Y$3-VLOOKUP($A13,'détails investissements'!$A$71:$B$88,2,FALSE)&lt;=0,"",IF(VLOOKUP($A13,'détails investissements'!$A$26:$DE$43,Y$3-VLOOKUP($A13,'détails investissements'!$A$71:$B$88,2,FALSE)+1,FALSE)="","",VLOOKUP($A13,'détails investissements'!$A$26:$DE$43,Y$3-VLOOKUP($A13,'détails investissements'!$A$71:$B$88,2,FALSE)+1,FALSE)))&lt;&gt;"",HLOOKUP(IF(Y$3-VLOOKUP($A13,'détails investissements'!$A$71:$B$88,2,FALSE)&lt;=0,"",IF(VLOOKUP($A13,'détails investissements'!$A$26:$DE$43,Y$3-VLOOKUP($A13,'détails investissements'!$A$71:$B$88,2,FALSE)+1,FALSE)="","",VLOOKUP($A13,'détails investissements'!$A$26:$DE$43,Y$3-VLOOKUP($A13,'détails investissements'!$A$71:$B$88,2,FALSE)+1,FALSE))),'détails investissements'!$U$6:$AB$7,2,FALSE),""),FALSE),"")</f>
        <v>0.2</v>
      </c>
      <c r="Z13" s="45" t="str">
        <f>IF(IF(IF(Z$3-VLOOKUP($A13,'détails investissements'!$A$71:$B$88,2,FALSE)&lt;=0,"",IF(VLOOKUP($A13,'détails investissements'!$A$26:$DE$43,Z$3-VLOOKUP($A13,'détails investissements'!$A$71:$B$88,2,FALSE)+1,FALSE)="","",VLOOKUP($A13,'détails investissements'!$A$26:$DE$43,Z$3-VLOOKUP($A13,'détails investissements'!$A$71:$B$88,2,FALSE)+1,FALSE)))&lt;&gt;"",HLOOKUP(IF(Z$3-VLOOKUP($A13,'détails investissements'!$A$71:$B$88,2,FALSE)&lt;=0,"",IF(VLOOKUP($A13,'détails investissements'!$A$26:$DE$43,Z$3-VLOOKUP($A13,'détails investissements'!$A$71:$B$88,2,FALSE)+1,FALSE)="","",VLOOKUP($A13,'détails investissements'!$A$26:$DE$43,Z$3-VLOOKUP($A13,'détails investissements'!$A$71:$B$88,2,FALSE)+1,FALSE))),'détails investissements'!$U$6:$AB$7,2,FALSE),"")&lt;&gt;"",VLOOKUP($A13,'détails investissements'!$A$7:$H$21,1+IF(IF(Z$3-VLOOKUP($A13,'détails investissements'!$A$71:$B$88,2,FALSE)&lt;=0,"",IF(VLOOKUP($A13,'détails investissements'!$A$26:$DE$43,Z$3-VLOOKUP($A13,'détails investissements'!$A$71:$B$88,2,FALSE)+1,FALSE)="","",VLOOKUP($A13,'détails investissements'!$A$26:$DE$43,Z$3-VLOOKUP($A13,'détails investissements'!$A$71:$B$88,2,FALSE)+1,FALSE)))&lt;&gt;"",HLOOKUP(IF(Z$3-VLOOKUP($A13,'détails investissements'!$A$71:$B$88,2,FALSE)&lt;=0,"",IF(VLOOKUP($A13,'détails investissements'!$A$26:$DE$43,Z$3-VLOOKUP($A13,'détails investissements'!$A$71:$B$88,2,FALSE)+1,FALSE)="","",VLOOKUP($A13,'détails investissements'!$A$26:$DE$43,Z$3-VLOOKUP($A13,'détails investissements'!$A$71:$B$88,2,FALSE)+1,FALSE))),'détails investissements'!$U$6:$AB$7,2,FALSE),""),FALSE),"")</f>
        <v/>
      </c>
      <c r="AA13" s="45">
        <f>IF(IF(IF(AA$3-VLOOKUP($A13,'détails investissements'!$A$71:$B$88,2,FALSE)&lt;=0,"",IF(VLOOKUP($A13,'détails investissements'!$A$26:$DE$43,AA$3-VLOOKUP($A13,'détails investissements'!$A$71:$B$88,2,FALSE)+1,FALSE)="","",VLOOKUP($A13,'détails investissements'!$A$26:$DE$43,AA$3-VLOOKUP($A13,'détails investissements'!$A$71:$B$88,2,FALSE)+1,FALSE)))&lt;&gt;"",HLOOKUP(IF(AA$3-VLOOKUP($A13,'détails investissements'!$A$71:$B$88,2,FALSE)&lt;=0,"",IF(VLOOKUP($A13,'détails investissements'!$A$26:$DE$43,AA$3-VLOOKUP($A13,'détails investissements'!$A$71:$B$88,2,FALSE)+1,FALSE)="","",VLOOKUP($A13,'détails investissements'!$A$26:$DE$43,AA$3-VLOOKUP($A13,'détails investissements'!$A$71:$B$88,2,FALSE)+1,FALSE))),'détails investissements'!$U$6:$AB$7,2,FALSE),"")&lt;&gt;"",VLOOKUP($A13,'détails investissements'!$A$7:$H$21,1+IF(IF(AA$3-VLOOKUP($A13,'détails investissements'!$A$71:$B$88,2,FALSE)&lt;=0,"",IF(VLOOKUP($A13,'détails investissements'!$A$26:$DE$43,AA$3-VLOOKUP($A13,'détails investissements'!$A$71:$B$88,2,FALSE)+1,FALSE)="","",VLOOKUP($A13,'détails investissements'!$A$26:$DE$43,AA$3-VLOOKUP($A13,'détails investissements'!$A$71:$B$88,2,FALSE)+1,FALSE)))&lt;&gt;"",HLOOKUP(IF(AA$3-VLOOKUP($A13,'détails investissements'!$A$71:$B$88,2,FALSE)&lt;=0,"",IF(VLOOKUP($A13,'détails investissements'!$A$26:$DE$43,AA$3-VLOOKUP($A13,'détails investissements'!$A$71:$B$88,2,FALSE)+1,FALSE)="","",VLOOKUP($A13,'détails investissements'!$A$26:$DE$43,AA$3-VLOOKUP($A13,'détails investissements'!$A$71:$B$88,2,FALSE)+1,FALSE))),'détails investissements'!$U$6:$AB$7,2,FALSE),""),FALSE),"")</f>
        <v>0.15</v>
      </c>
      <c r="AB13" s="45" t="str">
        <f>IF(IF(IF(AB$3-VLOOKUP($A13,'détails investissements'!$A$71:$B$88,2,FALSE)&lt;=0,"",IF(VLOOKUP($A13,'détails investissements'!$A$26:$DE$43,AB$3-VLOOKUP($A13,'détails investissements'!$A$71:$B$88,2,FALSE)+1,FALSE)="","",VLOOKUP($A13,'détails investissements'!$A$26:$DE$43,AB$3-VLOOKUP($A13,'détails investissements'!$A$71:$B$88,2,FALSE)+1,FALSE)))&lt;&gt;"",HLOOKUP(IF(AB$3-VLOOKUP($A13,'détails investissements'!$A$71:$B$88,2,FALSE)&lt;=0,"",IF(VLOOKUP($A13,'détails investissements'!$A$26:$DE$43,AB$3-VLOOKUP($A13,'détails investissements'!$A$71:$B$88,2,FALSE)+1,FALSE)="","",VLOOKUP($A13,'détails investissements'!$A$26:$DE$43,AB$3-VLOOKUP($A13,'détails investissements'!$A$71:$B$88,2,FALSE)+1,FALSE))),'détails investissements'!$U$6:$AB$7,2,FALSE),"")&lt;&gt;"",VLOOKUP($A13,'détails investissements'!$A$7:$H$21,1+IF(IF(AB$3-VLOOKUP($A13,'détails investissements'!$A$71:$B$88,2,FALSE)&lt;=0,"",IF(VLOOKUP($A13,'détails investissements'!$A$26:$DE$43,AB$3-VLOOKUP($A13,'détails investissements'!$A$71:$B$88,2,FALSE)+1,FALSE)="","",VLOOKUP($A13,'détails investissements'!$A$26:$DE$43,AB$3-VLOOKUP($A13,'détails investissements'!$A$71:$B$88,2,FALSE)+1,FALSE)))&lt;&gt;"",HLOOKUP(IF(AB$3-VLOOKUP($A13,'détails investissements'!$A$71:$B$88,2,FALSE)&lt;=0,"",IF(VLOOKUP($A13,'détails investissements'!$A$26:$DE$43,AB$3-VLOOKUP($A13,'détails investissements'!$A$71:$B$88,2,FALSE)+1,FALSE)="","",VLOOKUP($A13,'détails investissements'!$A$26:$DE$43,AB$3-VLOOKUP($A13,'détails investissements'!$A$71:$B$88,2,FALSE)+1,FALSE))),'détails investissements'!$U$6:$AB$7,2,FALSE),""),FALSE),"")</f>
        <v/>
      </c>
      <c r="AC13" s="45" t="str">
        <f>IF(IF(IF(AC$3-VLOOKUP($A13,'détails investissements'!$A$71:$B$88,2,FALSE)&lt;=0,"",IF(VLOOKUP($A13,'détails investissements'!$A$26:$DE$43,AC$3-VLOOKUP($A13,'détails investissements'!$A$71:$B$88,2,FALSE)+1,FALSE)="","",VLOOKUP($A13,'détails investissements'!$A$26:$DE$43,AC$3-VLOOKUP($A13,'détails investissements'!$A$71:$B$88,2,FALSE)+1,FALSE)))&lt;&gt;"",HLOOKUP(IF(AC$3-VLOOKUP($A13,'détails investissements'!$A$71:$B$88,2,FALSE)&lt;=0,"",IF(VLOOKUP($A13,'détails investissements'!$A$26:$DE$43,AC$3-VLOOKUP($A13,'détails investissements'!$A$71:$B$88,2,FALSE)+1,FALSE)="","",VLOOKUP($A13,'détails investissements'!$A$26:$DE$43,AC$3-VLOOKUP($A13,'détails investissements'!$A$71:$B$88,2,FALSE)+1,FALSE))),'détails investissements'!$U$6:$AB$7,2,FALSE),"")&lt;&gt;"",VLOOKUP($A13,'détails investissements'!$A$7:$H$21,1+IF(IF(AC$3-VLOOKUP($A13,'détails investissements'!$A$71:$B$88,2,FALSE)&lt;=0,"",IF(VLOOKUP($A13,'détails investissements'!$A$26:$DE$43,AC$3-VLOOKUP($A13,'détails investissements'!$A$71:$B$88,2,FALSE)+1,FALSE)="","",VLOOKUP($A13,'détails investissements'!$A$26:$DE$43,AC$3-VLOOKUP($A13,'détails investissements'!$A$71:$B$88,2,FALSE)+1,FALSE)))&lt;&gt;"",HLOOKUP(IF(AC$3-VLOOKUP($A13,'détails investissements'!$A$71:$B$88,2,FALSE)&lt;=0,"",IF(VLOOKUP($A13,'détails investissements'!$A$26:$DE$43,AC$3-VLOOKUP($A13,'détails investissements'!$A$71:$B$88,2,FALSE)+1,FALSE)="","",VLOOKUP($A13,'détails investissements'!$A$26:$DE$43,AC$3-VLOOKUP($A13,'détails investissements'!$A$71:$B$88,2,FALSE)+1,FALSE))),'détails investissements'!$U$6:$AB$7,2,FALSE),""),FALSE),"")</f>
        <v/>
      </c>
      <c r="AD13" s="45" t="str">
        <f>IF(IF(IF(AD$3-VLOOKUP($A13,'détails investissements'!$A$71:$B$88,2,FALSE)&lt;=0,"",IF(VLOOKUP($A13,'détails investissements'!$A$26:$DE$43,AD$3-VLOOKUP($A13,'détails investissements'!$A$71:$B$88,2,FALSE)+1,FALSE)="","",VLOOKUP($A13,'détails investissements'!$A$26:$DE$43,AD$3-VLOOKUP($A13,'détails investissements'!$A$71:$B$88,2,FALSE)+1,FALSE)))&lt;&gt;"",HLOOKUP(IF(AD$3-VLOOKUP($A13,'détails investissements'!$A$71:$B$88,2,FALSE)&lt;=0,"",IF(VLOOKUP($A13,'détails investissements'!$A$26:$DE$43,AD$3-VLOOKUP($A13,'détails investissements'!$A$71:$B$88,2,FALSE)+1,FALSE)="","",VLOOKUP($A13,'détails investissements'!$A$26:$DE$43,AD$3-VLOOKUP($A13,'détails investissements'!$A$71:$B$88,2,FALSE)+1,FALSE))),'détails investissements'!$U$6:$AB$7,2,FALSE),"")&lt;&gt;"",VLOOKUP($A13,'détails investissements'!$A$7:$H$21,1+IF(IF(AD$3-VLOOKUP($A13,'détails investissements'!$A$71:$B$88,2,FALSE)&lt;=0,"",IF(VLOOKUP($A13,'détails investissements'!$A$26:$DE$43,AD$3-VLOOKUP($A13,'détails investissements'!$A$71:$B$88,2,FALSE)+1,FALSE)="","",VLOOKUP($A13,'détails investissements'!$A$26:$DE$43,AD$3-VLOOKUP($A13,'détails investissements'!$A$71:$B$88,2,FALSE)+1,FALSE)))&lt;&gt;"",HLOOKUP(IF(AD$3-VLOOKUP($A13,'détails investissements'!$A$71:$B$88,2,FALSE)&lt;=0,"",IF(VLOOKUP($A13,'détails investissements'!$A$26:$DE$43,AD$3-VLOOKUP($A13,'détails investissements'!$A$71:$B$88,2,FALSE)+1,FALSE)="","",VLOOKUP($A13,'détails investissements'!$A$26:$DE$43,AD$3-VLOOKUP($A13,'détails investissements'!$A$71:$B$88,2,FALSE)+1,FALSE))),'détails investissements'!$U$6:$AB$7,2,FALSE),""),FALSE),"")</f>
        <v/>
      </c>
      <c r="AE13" s="45" t="str">
        <f>IF(IF(IF(AE$3-VLOOKUP($A13,'détails investissements'!$A$71:$B$88,2,FALSE)&lt;=0,"",IF(VLOOKUP($A13,'détails investissements'!$A$26:$DE$43,AE$3-VLOOKUP($A13,'détails investissements'!$A$71:$B$88,2,FALSE)+1,FALSE)="","",VLOOKUP($A13,'détails investissements'!$A$26:$DE$43,AE$3-VLOOKUP($A13,'détails investissements'!$A$71:$B$88,2,FALSE)+1,FALSE)))&lt;&gt;"",HLOOKUP(IF(AE$3-VLOOKUP($A13,'détails investissements'!$A$71:$B$88,2,FALSE)&lt;=0,"",IF(VLOOKUP($A13,'détails investissements'!$A$26:$DE$43,AE$3-VLOOKUP($A13,'détails investissements'!$A$71:$B$88,2,FALSE)+1,FALSE)="","",VLOOKUP($A13,'détails investissements'!$A$26:$DE$43,AE$3-VLOOKUP($A13,'détails investissements'!$A$71:$B$88,2,FALSE)+1,FALSE))),'détails investissements'!$U$6:$AB$7,2,FALSE),"")&lt;&gt;"",VLOOKUP($A13,'détails investissements'!$A$7:$H$21,1+IF(IF(AE$3-VLOOKUP($A13,'détails investissements'!$A$71:$B$88,2,FALSE)&lt;=0,"",IF(VLOOKUP($A13,'détails investissements'!$A$26:$DE$43,AE$3-VLOOKUP($A13,'détails investissements'!$A$71:$B$88,2,FALSE)+1,FALSE)="","",VLOOKUP($A13,'détails investissements'!$A$26:$DE$43,AE$3-VLOOKUP($A13,'détails investissements'!$A$71:$B$88,2,FALSE)+1,FALSE)))&lt;&gt;"",HLOOKUP(IF(AE$3-VLOOKUP($A13,'détails investissements'!$A$71:$B$88,2,FALSE)&lt;=0,"",IF(VLOOKUP($A13,'détails investissements'!$A$26:$DE$43,AE$3-VLOOKUP($A13,'détails investissements'!$A$71:$B$88,2,FALSE)+1,FALSE)="","",VLOOKUP($A13,'détails investissements'!$A$26:$DE$43,AE$3-VLOOKUP($A13,'détails investissements'!$A$71:$B$88,2,FALSE)+1,FALSE))),'détails investissements'!$U$6:$AB$7,2,FALSE),""),FALSE),"")</f>
        <v/>
      </c>
      <c r="AF13" s="45" t="str">
        <f>IF(IF(IF(AF$3-VLOOKUP($A13,'détails investissements'!$A$71:$B$88,2,FALSE)&lt;=0,"",IF(VLOOKUP($A13,'détails investissements'!$A$26:$DE$43,AF$3-VLOOKUP($A13,'détails investissements'!$A$71:$B$88,2,FALSE)+1,FALSE)="","",VLOOKUP($A13,'détails investissements'!$A$26:$DE$43,AF$3-VLOOKUP($A13,'détails investissements'!$A$71:$B$88,2,FALSE)+1,FALSE)))&lt;&gt;"",HLOOKUP(IF(AF$3-VLOOKUP($A13,'détails investissements'!$A$71:$B$88,2,FALSE)&lt;=0,"",IF(VLOOKUP($A13,'détails investissements'!$A$26:$DE$43,AF$3-VLOOKUP($A13,'détails investissements'!$A$71:$B$88,2,FALSE)+1,FALSE)="","",VLOOKUP($A13,'détails investissements'!$A$26:$DE$43,AF$3-VLOOKUP($A13,'détails investissements'!$A$71:$B$88,2,FALSE)+1,FALSE))),'détails investissements'!$U$6:$AB$7,2,FALSE),"")&lt;&gt;"",VLOOKUP($A13,'détails investissements'!$A$7:$H$21,1+IF(IF(AF$3-VLOOKUP($A13,'détails investissements'!$A$71:$B$88,2,FALSE)&lt;=0,"",IF(VLOOKUP($A13,'détails investissements'!$A$26:$DE$43,AF$3-VLOOKUP($A13,'détails investissements'!$A$71:$B$88,2,FALSE)+1,FALSE)="","",VLOOKUP($A13,'détails investissements'!$A$26:$DE$43,AF$3-VLOOKUP($A13,'détails investissements'!$A$71:$B$88,2,FALSE)+1,FALSE)))&lt;&gt;"",HLOOKUP(IF(AF$3-VLOOKUP($A13,'détails investissements'!$A$71:$B$88,2,FALSE)&lt;=0,"",IF(VLOOKUP($A13,'détails investissements'!$A$26:$DE$43,AF$3-VLOOKUP($A13,'détails investissements'!$A$71:$B$88,2,FALSE)+1,FALSE)="","",VLOOKUP($A13,'détails investissements'!$A$26:$DE$43,AF$3-VLOOKUP($A13,'détails investissements'!$A$71:$B$88,2,FALSE)+1,FALSE))),'détails investissements'!$U$6:$AB$7,2,FALSE),""),FALSE),"")</f>
        <v/>
      </c>
      <c r="AG13" s="45" t="str">
        <f>IF(IF(IF(AG$3-VLOOKUP($A13,'détails investissements'!$A$71:$B$88,2,FALSE)&lt;=0,"",IF(VLOOKUP($A13,'détails investissements'!$A$26:$DE$43,AG$3-VLOOKUP($A13,'détails investissements'!$A$71:$B$88,2,FALSE)+1,FALSE)="","",VLOOKUP($A13,'détails investissements'!$A$26:$DE$43,AG$3-VLOOKUP($A13,'détails investissements'!$A$71:$B$88,2,FALSE)+1,FALSE)))&lt;&gt;"",HLOOKUP(IF(AG$3-VLOOKUP($A13,'détails investissements'!$A$71:$B$88,2,FALSE)&lt;=0,"",IF(VLOOKUP($A13,'détails investissements'!$A$26:$DE$43,AG$3-VLOOKUP($A13,'détails investissements'!$A$71:$B$88,2,FALSE)+1,FALSE)="","",VLOOKUP($A13,'détails investissements'!$A$26:$DE$43,AG$3-VLOOKUP($A13,'détails investissements'!$A$71:$B$88,2,FALSE)+1,FALSE))),'détails investissements'!$U$6:$AB$7,2,FALSE),"")&lt;&gt;"",VLOOKUP($A13,'détails investissements'!$A$7:$H$21,1+IF(IF(AG$3-VLOOKUP($A13,'détails investissements'!$A$71:$B$88,2,FALSE)&lt;=0,"",IF(VLOOKUP($A13,'détails investissements'!$A$26:$DE$43,AG$3-VLOOKUP($A13,'détails investissements'!$A$71:$B$88,2,FALSE)+1,FALSE)="","",VLOOKUP($A13,'détails investissements'!$A$26:$DE$43,AG$3-VLOOKUP($A13,'détails investissements'!$A$71:$B$88,2,FALSE)+1,FALSE)))&lt;&gt;"",HLOOKUP(IF(AG$3-VLOOKUP($A13,'détails investissements'!$A$71:$B$88,2,FALSE)&lt;=0,"",IF(VLOOKUP($A13,'détails investissements'!$A$26:$DE$43,AG$3-VLOOKUP($A13,'détails investissements'!$A$71:$B$88,2,FALSE)+1,FALSE)="","",VLOOKUP($A13,'détails investissements'!$A$26:$DE$43,AG$3-VLOOKUP($A13,'détails investissements'!$A$71:$B$88,2,FALSE)+1,FALSE))),'détails investissements'!$U$6:$AB$7,2,FALSE),""),FALSE),"")</f>
        <v/>
      </c>
      <c r="AH13" s="45" t="str">
        <f>IF(IF(IF(AH$3-VLOOKUP($A13,'détails investissements'!$A$71:$B$88,2,FALSE)&lt;=0,"",IF(VLOOKUP($A13,'détails investissements'!$A$26:$DE$43,AH$3-VLOOKUP($A13,'détails investissements'!$A$71:$B$88,2,FALSE)+1,FALSE)="","",VLOOKUP($A13,'détails investissements'!$A$26:$DE$43,AH$3-VLOOKUP($A13,'détails investissements'!$A$71:$B$88,2,FALSE)+1,FALSE)))&lt;&gt;"",HLOOKUP(IF(AH$3-VLOOKUP($A13,'détails investissements'!$A$71:$B$88,2,FALSE)&lt;=0,"",IF(VLOOKUP($A13,'détails investissements'!$A$26:$DE$43,AH$3-VLOOKUP($A13,'détails investissements'!$A$71:$B$88,2,FALSE)+1,FALSE)="","",VLOOKUP($A13,'détails investissements'!$A$26:$DE$43,AH$3-VLOOKUP($A13,'détails investissements'!$A$71:$B$88,2,FALSE)+1,FALSE))),'détails investissements'!$U$6:$AB$7,2,FALSE),"")&lt;&gt;"",VLOOKUP($A13,'détails investissements'!$A$7:$H$21,1+IF(IF(AH$3-VLOOKUP($A13,'détails investissements'!$A$71:$B$88,2,FALSE)&lt;=0,"",IF(VLOOKUP($A13,'détails investissements'!$A$26:$DE$43,AH$3-VLOOKUP($A13,'détails investissements'!$A$71:$B$88,2,FALSE)+1,FALSE)="","",VLOOKUP($A13,'détails investissements'!$A$26:$DE$43,AH$3-VLOOKUP($A13,'détails investissements'!$A$71:$B$88,2,FALSE)+1,FALSE)))&lt;&gt;"",HLOOKUP(IF(AH$3-VLOOKUP($A13,'détails investissements'!$A$71:$B$88,2,FALSE)&lt;=0,"",IF(VLOOKUP($A13,'détails investissements'!$A$26:$DE$43,AH$3-VLOOKUP($A13,'détails investissements'!$A$71:$B$88,2,FALSE)+1,FALSE)="","",VLOOKUP($A13,'détails investissements'!$A$26:$DE$43,AH$3-VLOOKUP($A13,'détails investissements'!$A$71:$B$88,2,FALSE)+1,FALSE))),'détails investissements'!$U$6:$AB$7,2,FALSE),""),FALSE),"")</f>
        <v/>
      </c>
      <c r="AI13" s="45" t="str">
        <f>IF(IF(IF(AI$3-VLOOKUP($A13,'détails investissements'!$A$71:$B$88,2,FALSE)&lt;=0,"",IF(VLOOKUP($A13,'détails investissements'!$A$26:$DE$43,AI$3-VLOOKUP($A13,'détails investissements'!$A$71:$B$88,2,FALSE)+1,FALSE)="","",VLOOKUP($A13,'détails investissements'!$A$26:$DE$43,AI$3-VLOOKUP($A13,'détails investissements'!$A$71:$B$88,2,FALSE)+1,FALSE)))&lt;&gt;"",HLOOKUP(IF(AI$3-VLOOKUP($A13,'détails investissements'!$A$71:$B$88,2,FALSE)&lt;=0,"",IF(VLOOKUP($A13,'détails investissements'!$A$26:$DE$43,AI$3-VLOOKUP($A13,'détails investissements'!$A$71:$B$88,2,FALSE)+1,FALSE)="","",VLOOKUP($A13,'détails investissements'!$A$26:$DE$43,AI$3-VLOOKUP($A13,'détails investissements'!$A$71:$B$88,2,FALSE)+1,FALSE))),'détails investissements'!$U$6:$AB$7,2,FALSE),"")&lt;&gt;"",VLOOKUP($A13,'détails investissements'!$A$7:$H$21,1+IF(IF(AI$3-VLOOKUP($A13,'détails investissements'!$A$71:$B$88,2,FALSE)&lt;=0,"",IF(VLOOKUP($A13,'détails investissements'!$A$26:$DE$43,AI$3-VLOOKUP($A13,'détails investissements'!$A$71:$B$88,2,FALSE)+1,FALSE)="","",VLOOKUP($A13,'détails investissements'!$A$26:$DE$43,AI$3-VLOOKUP($A13,'détails investissements'!$A$71:$B$88,2,FALSE)+1,FALSE)))&lt;&gt;"",HLOOKUP(IF(AI$3-VLOOKUP($A13,'détails investissements'!$A$71:$B$88,2,FALSE)&lt;=0,"",IF(VLOOKUP($A13,'détails investissements'!$A$26:$DE$43,AI$3-VLOOKUP($A13,'détails investissements'!$A$71:$B$88,2,FALSE)+1,FALSE)="","",VLOOKUP($A13,'détails investissements'!$A$26:$DE$43,AI$3-VLOOKUP($A13,'détails investissements'!$A$71:$B$88,2,FALSE)+1,FALSE))),'détails investissements'!$U$6:$AB$7,2,FALSE),""),FALSE),"")</f>
        <v/>
      </c>
      <c r="AJ13" s="45" t="str">
        <f>IF(IF(IF(AJ$3-VLOOKUP($A13,'détails investissements'!$A$71:$B$88,2,FALSE)&lt;=0,"",IF(VLOOKUP($A13,'détails investissements'!$A$26:$DE$43,AJ$3-VLOOKUP($A13,'détails investissements'!$A$71:$B$88,2,FALSE)+1,FALSE)="","",VLOOKUP($A13,'détails investissements'!$A$26:$DE$43,AJ$3-VLOOKUP($A13,'détails investissements'!$A$71:$B$88,2,FALSE)+1,FALSE)))&lt;&gt;"",HLOOKUP(IF(AJ$3-VLOOKUP($A13,'détails investissements'!$A$71:$B$88,2,FALSE)&lt;=0,"",IF(VLOOKUP($A13,'détails investissements'!$A$26:$DE$43,AJ$3-VLOOKUP($A13,'détails investissements'!$A$71:$B$88,2,FALSE)+1,FALSE)="","",VLOOKUP($A13,'détails investissements'!$A$26:$DE$43,AJ$3-VLOOKUP($A13,'détails investissements'!$A$71:$B$88,2,FALSE)+1,FALSE))),'détails investissements'!$U$6:$AB$7,2,FALSE),"")&lt;&gt;"",VLOOKUP($A13,'détails investissements'!$A$7:$H$21,1+IF(IF(AJ$3-VLOOKUP($A13,'détails investissements'!$A$71:$B$88,2,FALSE)&lt;=0,"",IF(VLOOKUP($A13,'détails investissements'!$A$26:$DE$43,AJ$3-VLOOKUP($A13,'détails investissements'!$A$71:$B$88,2,FALSE)+1,FALSE)="","",VLOOKUP($A13,'détails investissements'!$A$26:$DE$43,AJ$3-VLOOKUP($A13,'détails investissements'!$A$71:$B$88,2,FALSE)+1,FALSE)))&lt;&gt;"",HLOOKUP(IF(AJ$3-VLOOKUP($A13,'détails investissements'!$A$71:$B$88,2,FALSE)&lt;=0,"",IF(VLOOKUP($A13,'détails investissements'!$A$26:$DE$43,AJ$3-VLOOKUP($A13,'détails investissements'!$A$71:$B$88,2,FALSE)+1,FALSE)="","",VLOOKUP($A13,'détails investissements'!$A$26:$DE$43,AJ$3-VLOOKUP($A13,'détails investissements'!$A$71:$B$88,2,FALSE)+1,FALSE))),'détails investissements'!$U$6:$AB$7,2,FALSE),""),FALSE),"")</f>
        <v/>
      </c>
      <c r="AK13" s="45" t="str">
        <f>IF(IF(IF(AK$3-VLOOKUP($A13,'détails investissements'!$A$71:$B$88,2,FALSE)&lt;=0,"",IF(VLOOKUP($A13,'détails investissements'!$A$26:$DE$43,AK$3-VLOOKUP($A13,'détails investissements'!$A$71:$B$88,2,FALSE)+1,FALSE)="","",VLOOKUP($A13,'détails investissements'!$A$26:$DE$43,AK$3-VLOOKUP($A13,'détails investissements'!$A$71:$B$88,2,FALSE)+1,FALSE)))&lt;&gt;"",HLOOKUP(IF(AK$3-VLOOKUP($A13,'détails investissements'!$A$71:$B$88,2,FALSE)&lt;=0,"",IF(VLOOKUP($A13,'détails investissements'!$A$26:$DE$43,AK$3-VLOOKUP($A13,'détails investissements'!$A$71:$B$88,2,FALSE)+1,FALSE)="","",VLOOKUP($A13,'détails investissements'!$A$26:$DE$43,AK$3-VLOOKUP($A13,'détails investissements'!$A$71:$B$88,2,FALSE)+1,FALSE))),'détails investissements'!$U$6:$AB$7,2,FALSE),"")&lt;&gt;"",VLOOKUP($A13,'détails investissements'!$A$7:$H$21,1+IF(IF(AK$3-VLOOKUP($A13,'détails investissements'!$A$71:$B$88,2,FALSE)&lt;=0,"",IF(VLOOKUP($A13,'détails investissements'!$A$26:$DE$43,AK$3-VLOOKUP($A13,'détails investissements'!$A$71:$B$88,2,FALSE)+1,FALSE)="","",VLOOKUP($A13,'détails investissements'!$A$26:$DE$43,AK$3-VLOOKUP($A13,'détails investissements'!$A$71:$B$88,2,FALSE)+1,FALSE)))&lt;&gt;"",HLOOKUP(IF(AK$3-VLOOKUP($A13,'détails investissements'!$A$71:$B$88,2,FALSE)&lt;=0,"",IF(VLOOKUP($A13,'détails investissements'!$A$26:$DE$43,AK$3-VLOOKUP($A13,'détails investissements'!$A$71:$B$88,2,FALSE)+1,FALSE)="","",VLOOKUP($A13,'détails investissements'!$A$26:$DE$43,AK$3-VLOOKUP($A13,'détails investissements'!$A$71:$B$88,2,FALSE)+1,FALSE))),'détails investissements'!$U$6:$AB$7,2,FALSE),""),FALSE),"")</f>
        <v/>
      </c>
      <c r="AL13" s="45" t="str">
        <f>IF(IF(IF(AL$3-VLOOKUP($A13,'détails investissements'!$A$71:$B$88,2,FALSE)&lt;=0,"",IF(VLOOKUP($A13,'détails investissements'!$A$26:$DE$43,AL$3-VLOOKUP($A13,'détails investissements'!$A$71:$B$88,2,FALSE)+1,FALSE)="","",VLOOKUP($A13,'détails investissements'!$A$26:$DE$43,AL$3-VLOOKUP($A13,'détails investissements'!$A$71:$B$88,2,FALSE)+1,FALSE)))&lt;&gt;"",HLOOKUP(IF(AL$3-VLOOKUP($A13,'détails investissements'!$A$71:$B$88,2,FALSE)&lt;=0,"",IF(VLOOKUP($A13,'détails investissements'!$A$26:$DE$43,AL$3-VLOOKUP($A13,'détails investissements'!$A$71:$B$88,2,FALSE)+1,FALSE)="","",VLOOKUP($A13,'détails investissements'!$A$26:$DE$43,AL$3-VLOOKUP($A13,'détails investissements'!$A$71:$B$88,2,FALSE)+1,FALSE))),'détails investissements'!$U$6:$AB$7,2,FALSE),"")&lt;&gt;"",VLOOKUP($A13,'détails investissements'!$A$7:$H$21,1+IF(IF(AL$3-VLOOKUP($A13,'détails investissements'!$A$71:$B$88,2,FALSE)&lt;=0,"",IF(VLOOKUP($A13,'détails investissements'!$A$26:$DE$43,AL$3-VLOOKUP($A13,'détails investissements'!$A$71:$B$88,2,FALSE)+1,FALSE)="","",VLOOKUP($A13,'détails investissements'!$A$26:$DE$43,AL$3-VLOOKUP($A13,'détails investissements'!$A$71:$B$88,2,FALSE)+1,FALSE)))&lt;&gt;"",HLOOKUP(IF(AL$3-VLOOKUP($A13,'détails investissements'!$A$71:$B$88,2,FALSE)&lt;=0,"",IF(VLOOKUP($A13,'détails investissements'!$A$26:$DE$43,AL$3-VLOOKUP($A13,'détails investissements'!$A$71:$B$88,2,FALSE)+1,FALSE)="","",VLOOKUP($A13,'détails investissements'!$A$26:$DE$43,AL$3-VLOOKUP($A13,'détails investissements'!$A$71:$B$88,2,FALSE)+1,FALSE))),'détails investissements'!$U$6:$AB$7,2,FALSE),""),FALSE),"")</f>
        <v/>
      </c>
      <c r="AM13" s="45">
        <f>IF(IF(IF(AM$3-VLOOKUP($A13,'détails investissements'!$A$71:$B$88,2,FALSE)&lt;=0,"",IF(VLOOKUP($A13,'détails investissements'!$A$26:$DE$43,AM$3-VLOOKUP($A13,'détails investissements'!$A$71:$B$88,2,FALSE)+1,FALSE)="","",VLOOKUP($A13,'détails investissements'!$A$26:$DE$43,AM$3-VLOOKUP($A13,'détails investissements'!$A$71:$B$88,2,FALSE)+1,FALSE)))&lt;&gt;"",HLOOKUP(IF(AM$3-VLOOKUP($A13,'détails investissements'!$A$71:$B$88,2,FALSE)&lt;=0,"",IF(VLOOKUP($A13,'détails investissements'!$A$26:$DE$43,AM$3-VLOOKUP($A13,'détails investissements'!$A$71:$B$88,2,FALSE)+1,FALSE)="","",VLOOKUP($A13,'détails investissements'!$A$26:$DE$43,AM$3-VLOOKUP($A13,'détails investissements'!$A$71:$B$88,2,FALSE)+1,FALSE))),'détails investissements'!$U$6:$AB$7,2,FALSE),"")&lt;&gt;"",VLOOKUP($A13,'détails investissements'!$A$7:$H$21,1+IF(IF(AM$3-VLOOKUP($A13,'détails investissements'!$A$71:$B$88,2,FALSE)&lt;=0,"",IF(VLOOKUP($A13,'détails investissements'!$A$26:$DE$43,AM$3-VLOOKUP($A13,'détails investissements'!$A$71:$B$88,2,FALSE)+1,FALSE)="","",VLOOKUP($A13,'détails investissements'!$A$26:$DE$43,AM$3-VLOOKUP($A13,'détails investissements'!$A$71:$B$88,2,FALSE)+1,FALSE)))&lt;&gt;"",HLOOKUP(IF(AM$3-VLOOKUP($A13,'détails investissements'!$A$71:$B$88,2,FALSE)&lt;=0,"",IF(VLOOKUP($A13,'détails investissements'!$A$26:$DE$43,AM$3-VLOOKUP($A13,'détails investissements'!$A$71:$B$88,2,FALSE)+1,FALSE)="","",VLOOKUP($A13,'détails investissements'!$A$26:$DE$43,AM$3-VLOOKUP($A13,'détails investissements'!$A$71:$B$88,2,FALSE)+1,FALSE))),'détails investissements'!$U$6:$AB$7,2,FALSE),""),FALSE),"")</f>
        <v>0.05</v>
      </c>
      <c r="AN13" s="45" t="str">
        <f>IF(IF(IF(AN$3-VLOOKUP($A13,'détails investissements'!$A$71:$B$88,2,FALSE)&lt;=0,"",IF(VLOOKUP($A13,'détails investissements'!$A$26:$DE$43,AN$3-VLOOKUP($A13,'détails investissements'!$A$71:$B$88,2,FALSE)+1,FALSE)="","",VLOOKUP($A13,'détails investissements'!$A$26:$DE$43,AN$3-VLOOKUP($A13,'détails investissements'!$A$71:$B$88,2,FALSE)+1,FALSE)))&lt;&gt;"",HLOOKUP(IF(AN$3-VLOOKUP($A13,'détails investissements'!$A$71:$B$88,2,FALSE)&lt;=0,"",IF(VLOOKUP($A13,'détails investissements'!$A$26:$DE$43,AN$3-VLOOKUP($A13,'détails investissements'!$A$71:$B$88,2,FALSE)+1,FALSE)="","",VLOOKUP($A13,'détails investissements'!$A$26:$DE$43,AN$3-VLOOKUP($A13,'détails investissements'!$A$71:$B$88,2,FALSE)+1,FALSE))),'détails investissements'!$U$6:$AB$7,2,FALSE),"")&lt;&gt;"",VLOOKUP($A13,'détails investissements'!$A$7:$H$21,1+IF(IF(AN$3-VLOOKUP($A13,'détails investissements'!$A$71:$B$88,2,FALSE)&lt;=0,"",IF(VLOOKUP($A13,'détails investissements'!$A$26:$DE$43,AN$3-VLOOKUP($A13,'détails investissements'!$A$71:$B$88,2,FALSE)+1,FALSE)="","",VLOOKUP($A13,'détails investissements'!$A$26:$DE$43,AN$3-VLOOKUP($A13,'détails investissements'!$A$71:$B$88,2,FALSE)+1,FALSE)))&lt;&gt;"",HLOOKUP(IF(AN$3-VLOOKUP($A13,'détails investissements'!$A$71:$B$88,2,FALSE)&lt;=0,"",IF(VLOOKUP($A13,'détails investissements'!$A$26:$DE$43,AN$3-VLOOKUP($A13,'détails investissements'!$A$71:$B$88,2,FALSE)+1,FALSE)="","",VLOOKUP($A13,'détails investissements'!$A$26:$DE$43,AN$3-VLOOKUP($A13,'détails investissements'!$A$71:$B$88,2,FALSE)+1,FALSE))),'détails investissements'!$U$6:$AB$7,2,FALSE),""),FALSE),"")</f>
        <v/>
      </c>
      <c r="AO13" s="45" t="str">
        <f>IF(IF(IF(AO$3-VLOOKUP($A13,'détails investissements'!$A$71:$B$88,2,FALSE)&lt;=0,"",IF(VLOOKUP($A13,'détails investissements'!$A$26:$DE$43,AO$3-VLOOKUP($A13,'détails investissements'!$A$71:$B$88,2,FALSE)+1,FALSE)="","",VLOOKUP($A13,'détails investissements'!$A$26:$DE$43,AO$3-VLOOKUP($A13,'détails investissements'!$A$71:$B$88,2,FALSE)+1,FALSE)))&lt;&gt;"",HLOOKUP(IF(AO$3-VLOOKUP($A13,'détails investissements'!$A$71:$B$88,2,FALSE)&lt;=0,"",IF(VLOOKUP($A13,'détails investissements'!$A$26:$DE$43,AO$3-VLOOKUP($A13,'détails investissements'!$A$71:$B$88,2,FALSE)+1,FALSE)="","",VLOOKUP($A13,'détails investissements'!$A$26:$DE$43,AO$3-VLOOKUP($A13,'détails investissements'!$A$71:$B$88,2,FALSE)+1,FALSE))),'détails investissements'!$U$6:$AB$7,2,FALSE),"")&lt;&gt;"",VLOOKUP($A13,'détails investissements'!$A$7:$H$21,1+IF(IF(AO$3-VLOOKUP($A13,'détails investissements'!$A$71:$B$88,2,FALSE)&lt;=0,"",IF(VLOOKUP($A13,'détails investissements'!$A$26:$DE$43,AO$3-VLOOKUP($A13,'détails investissements'!$A$71:$B$88,2,FALSE)+1,FALSE)="","",VLOOKUP($A13,'détails investissements'!$A$26:$DE$43,AO$3-VLOOKUP($A13,'détails investissements'!$A$71:$B$88,2,FALSE)+1,FALSE)))&lt;&gt;"",HLOOKUP(IF(AO$3-VLOOKUP($A13,'détails investissements'!$A$71:$B$88,2,FALSE)&lt;=0,"",IF(VLOOKUP($A13,'détails investissements'!$A$26:$DE$43,AO$3-VLOOKUP($A13,'détails investissements'!$A$71:$B$88,2,FALSE)+1,FALSE)="","",VLOOKUP($A13,'détails investissements'!$A$26:$DE$43,AO$3-VLOOKUP($A13,'détails investissements'!$A$71:$B$88,2,FALSE)+1,FALSE))),'détails investissements'!$U$6:$AB$7,2,FALSE),""),FALSE),"")</f>
        <v/>
      </c>
      <c r="AP13" s="45" t="str">
        <f>IF(IF(IF(AP$3-VLOOKUP($A13,'détails investissements'!$A$71:$B$88,2,FALSE)&lt;=0,"",IF(VLOOKUP($A13,'détails investissements'!$A$26:$DE$43,AP$3-VLOOKUP($A13,'détails investissements'!$A$71:$B$88,2,FALSE)+1,FALSE)="","",VLOOKUP($A13,'détails investissements'!$A$26:$DE$43,AP$3-VLOOKUP($A13,'détails investissements'!$A$71:$B$88,2,FALSE)+1,FALSE)))&lt;&gt;"",HLOOKUP(IF(AP$3-VLOOKUP($A13,'détails investissements'!$A$71:$B$88,2,FALSE)&lt;=0,"",IF(VLOOKUP($A13,'détails investissements'!$A$26:$DE$43,AP$3-VLOOKUP($A13,'détails investissements'!$A$71:$B$88,2,FALSE)+1,FALSE)="","",VLOOKUP($A13,'détails investissements'!$A$26:$DE$43,AP$3-VLOOKUP($A13,'détails investissements'!$A$71:$B$88,2,FALSE)+1,FALSE))),'détails investissements'!$U$6:$AB$7,2,FALSE),"")&lt;&gt;"",VLOOKUP($A13,'détails investissements'!$A$7:$H$21,1+IF(IF(AP$3-VLOOKUP($A13,'détails investissements'!$A$71:$B$88,2,FALSE)&lt;=0,"",IF(VLOOKUP($A13,'détails investissements'!$A$26:$DE$43,AP$3-VLOOKUP($A13,'détails investissements'!$A$71:$B$88,2,FALSE)+1,FALSE)="","",VLOOKUP($A13,'détails investissements'!$A$26:$DE$43,AP$3-VLOOKUP($A13,'détails investissements'!$A$71:$B$88,2,FALSE)+1,FALSE)))&lt;&gt;"",HLOOKUP(IF(AP$3-VLOOKUP($A13,'détails investissements'!$A$71:$B$88,2,FALSE)&lt;=0,"",IF(VLOOKUP($A13,'détails investissements'!$A$26:$DE$43,AP$3-VLOOKUP($A13,'détails investissements'!$A$71:$B$88,2,FALSE)+1,FALSE)="","",VLOOKUP($A13,'détails investissements'!$A$26:$DE$43,AP$3-VLOOKUP($A13,'détails investissements'!$A$71:$B$88,2,FALSE)+1,FALSE))),'détails investissements'!$U$6:$AB$7,2,FALSE),""),FALSE),"")</f>
        <v/>
      </c>
      <c r="AQ13" s="45" t="str">
        <f>IF(IF(IF(AQ$3-VLOOKUP($A13,'détails investissements'!$A$71:$B$88,2,FALSE)&lt;=0,"",IF(VLOOKUP($A13,'détails investissements'!$A$26:$DE$43,AQ$3-VLOOKUP($A13,'détails investissements'!$A$71:$B$88,2,FALSE)+1,FALSE)="","",VLOOKUP($A13,'détails investissements'!$A$26:$DE$43,AQ$3-VLOOKUP($A13,'détails investissements'!$A$71:$B$88,2,FALSE)+1,FALSE)))&lt;&gt;"",HLOOKUP(IF(AQ$3-VLOOKUP($A13,'détails investissements'!$A$71:$B$88,2,FALSE)&lt;=0,"",IF(VLOOKUP($A13,'détails investissements'!$A$26:$DE$43,AQ$3-VLOOKUP($A13,'détails investissements'!$A$71:$B$88,2,FALSE)+1,FALSE)="","",VLOOKUP($A13,'détails investissements'!$A$26:$DE$43,AQ$3-VLOOKUP($A13,'détails investissements'!$A$71:$B$88,2,FALSE)+1,FALSE))),'détails investissements'!$U$6:$AB$7,2,FALSE),"")&lt;&gt;"",VLOOKUP($A13,'détails investissements'!$A$7:$H$21,1+IF(IF(AQ$3-VLOOKUP($A13,'détails investissements'!$A$71:$B$88,2,FALSE)&lt;=0,"",IF(VLOOKUP($A13,'détails investissements'!$A$26:$DE$43,AQ$3-VLOOKUP($A13,'détails investissements'!$A$71:$B$88,2,FALSE)+1,FALSE)="","",VLOOKUP($A13,'détails investissements'!$A$26:$DE$43,AQ$3-VLOOKUP($A13,'détails investissements'!$A$71:$B$88,2,FALSE)+1,FALSE)))&lt;&gt;"",HLOOKUP(IF(AQ$3-VLOOKUP($A13,'détails investissements'!$A$71:$B$88,2,FALSE)&lt;=0,"",IF(VLOOKUP($A13,'détails investissements'!$A$26:$DE$43,AQ$3-VLOOKUP($A13,'détails investissements'!$A$71:$B$88,2,FALSE)+1,FALSE)="","",VLOOKUP($A13,'détails investissements'!$A$26:$DE$43,AQ$3-VLOOKUP($A13,'détails investissements'!$A$71:$B$88,2,FALSE)+1,FALSE))),'détails investissements'!$U$6:$AB$7,2,FALSE),""),FALSE),"")</f>
        <v/>
      </c>
      <c r="AR13" s="45" t="str">
        <f>IF(IF(IF(AR$3-VLOOKUP($A13,'détails investissements'!$A$71:$B$88,2,FALSE)&lt;=0,"",IF(VLOOKUP($A13,'détails investissements'!$A$26:$DE$43,AR$3-VLOOKUP($A13,'détails investissements'!$A$71:$B$88,2,FALSE)+1,FALSE)="","",VLOOKUP($A13,'détails investissements'!$A$26:$DE$43,AR$3-VLOOKUP($A13,'détails investissements'!$A$71:$B$88,2,FALSE)+1,FALSE)))&lt;&gt;"",HLOOKUP(IF(AR$3-VLOOKUP($A13,'détails investissements'!$A$71:$B$88,2,FALSE)&lt;=0,"",IF(VLOOKUP($A13,'détails investissements'!$A$26:$DE$43,AR$3-VLOOKUP($A13,'détails investissements'!$A$71:$B$88,2,FALSE)+1,FALSE)="","",VLOOKUP($A13,'détails investissements'!$A$26:$DE$43,AR$3-VLOOKUP($A13,'détails investissements'!$A$71:$B$88,2,FALSE)+1,FALSE))),'détails investissements'!$U$6:$AB$7,2,FALSE),"")&lt;&gt;"",VLOOKUP($A13,'détails investissements'!$A$7:$H$21,1+IF(IF(AR$3-VLOOKUP($A13,'détails investissements'!$A$71:$B$88,2,FALSE)&lt;=0,"",IF(VLOOKUP($A13,'détails investissements'!$A$26:$DE$43,AR$3-VLOOKUP($A13,'détails investissements'!$A$71:$B$88,2,FALSE)+1,FALSE)="","",VLOOKUP($A13,'détails investissements'!$A$26:$DE$43,AR$3-VLOOKUP($A13,'détails investissements'!$A$71:$B$88,2,FALSE)+1,FALSE)))&lt;&gt;"",HLOOKUP(IF(AR$3-VLOOKUP($A13,'détails investissements'!$A$71:$B$88,2,FALSE)&lt;=0,"",IF(VLOOKUP($A13,'détails investissements'!$A$26:$DE$43,AR$3-VLOOKUP($A13,'détails investissements'!$A$71:$B$88,2,FALSE)+1,FALSE)="","",VLOOKUP($A13,'détails investissements'!$A$26:$DE$43,AR$3-VLOOKUP($A13,'détails investissements'!$A$71:$B$88,2,FALSE)+1,FALSE))),'détails investissements'!$U$6:$AB$7,2,FALSE),""),FALSE),"")</f>
        <v/>
      </c>
      <c r="AS13" s="45" t="str">
        <f>IF(IF(IF(AS$3-VLOOKUP($A13,'détails investissements'!$A$71:$B$88,2,FALSE)&lt;=0,"",IF(VLOOKUP($A13,'détails investissements'!$A$26:$DE$43,AS$3-VLOOKUP($A13,'détails investissements'!$A$71:$B$88,2,FALSE)+1,FALSE)="","",VLOOKUP($A13,'détails investissements'!$A$26:$DE$43,AS$3-VLOOKUP($A13,'détails investissements'!$A$71:$B$88,2,FALSE)+1,FALSE)))&lt;&gt;"",HLOOKUP(IF(AS$3-VLOOKUP($A13,'détails investissements'!$A$71:$B$88,2,FALSE)&lt;=0,"",IF(VLOOKUP($A13,'détails investissements'!$A$26:$DE$43,AS$3-VLOOKUP($A13,'détails investissements'!$A$71:$B$88,2,FALSE)+1,FALSE)="","",VLOOKUP($A13,'détails investissements'!$A$26:$DE$43,AS$3-VLOOKUP($A13,'détails investissements'!$A$71:$B$88,2,FALSE)+1,FALSE))),'détails investissements'!$U$6:$AB$7,2,FALSE),"")&lt;&gt;"",VLOOKUP($A13,'détails investissements'!$A$7:$H$21,1+IF(IF(AS$3-VLOOKUP($A13,'détails investissements'!$A$71:$B$88,2,FALSE)&lt;=0,"",IF(VLOOKUP($A13,'détails investissements'!$A$26:$DE$43,AS$3-VLOOKUP($A13,'détails investissements'!$A$71:$B$88,2,FALSE)+1,FALSE)="","",VLOOKUP($A13,'détails investissements'!$A$26:$DE$43,AS$3-VLOOKUP($A13,'détails investissements'!$A$71:$B$88,2,FALSE)+1,FALSE)))&lt;&gt;"",HLOOKUP(IF(AS$3-VLOOKUP($A13,'détails investissements'!$A$71:$B$88,2,FALSE)&lt;=0,"",IF(VLOOKUP($A13,'détails investissements'!$A$26:$DE$43,AS$3-VLOOKUP($A13,'détails investissements'!$A$71:$B$88,2,FALSE)+1,FALSE)="","",VLOOKUP($A13,'détails investissements'!$A$26:$DE$43,AS$3-VLOOKUP($A13,'détails investissements'!$A$71:$B$88,2,FALSE)+1,FALSE))),'détails investissements'!$U$6:$AB$7,2,FALSE),""),FALSE),"")</f>
        <v/>
      </c>
      <c r="AT13" s="45" t="str">
        <f>IF(IF(IF(AT$3-VLOOKUP($A13,'détails investissements'!$A$71:$B$88,2,FALSE)&lt;=0,"",IF(VLOOKUP($A13,'détails investissements'!$A$26:$DE$43,AT$3-VLOOKUP($A13,'détails investissements'!$A$71:$B$88,2,FALSE)+1,FALSE)="","",VLOOKUP($A13,'détails investissements'!$A$26:$DE$43,AT$3-VLOOKUP($A13,'détails investissements'!$A$71:$B$88,2,FALSE)+1,FALSE)))&lt;&gt;"",HLOOKUP(IF(AT$3-VLOOKUP($A13,'détails investissements'!$A$71:$B$88,2,FALSE)&lt;=0,"",IF(VLOOKUP($A13,'détails investissements'!$A$26:$DE$43,AT$3-VLOOKUP($A13,'détails investissements'!$A$71:$B$88,2,FALSE)+1,FALSE)="","",VLOOKUP($A13,'détails investissements'!$A$26:$DE$43,AT$3-VLOOKUP($A13,'détails investissements'!$A$71:$B$88,2,FALSE)+1,FALSE))),'détails investissements'!$U$6:$AB$7,2,FALSE),"")&lt;&gt;"",VLOOKUP($A13,'détails investissements'!$A$7:$H$21,1+IF(IF(AT$3-VLOOKUP($A13,'détails investissements'!$A$71:$B$88,2,FALSE)&lt;=0,"",IF(VLOOKUP($A13,'détails investissements'!$A$26:$DE$43,AT$3-VLOOKUP($A13,'détails investissements'!$A$71:$B$88,2,FALSE)+1,FALSE)="","",VLOOKUP($A13,'détails investissements'!$A$26:$DE$43,AT$3-VLOOKUP($A13,'détails investissements'!$A$71:$B$88,2,FALSE)+1,FALSE)))&lt;&gt;"",HLOOKUP(IF(AT$3-VLOOKUP($A13,'détails investissements'!$A$71:$B$88,2,FALSE)&lt;=0,"",IF(VLOOKUP($A13,'détails investissements'!$A$26:$DE$43,AT$3-VLOOKUP($A13,'détails investissements'!$A$71:$B$88,2,FALSE)+1,FALSE)="","",VLOOKUP($A13,'détails investissements'!$A$26:$DE$43,AT$3-VLOOKUP($A13,'détails investissements'!$A$71:$B$88,2,FALSE)+1,FALSE))),'détails investissements'!$U$6:$AB$7,2,FALSE),""),FALSE),"")</f>
        <v/>
      </c>
      <c r="AU13" s="45" t="str">
        <f>IF(IF(IF(AU$3-VLOOKUP($A13,'détails investissements'!$A$71:$B$88,2,FALSE)&lt;=0,"",IF(VLOOKUP($A13,'détails investissements'!$A$26:$DE$43,AU$3-VLOOKUP($A13,'détails investissements'!$A$71:$B$88,2,FALSE)+1,FALSE)="","",VLOOKUP($A13,'détails investissements'!$A$26:$DE$43,AU$3-VLOOKUP($A13,'détails investissements'!$A$71:$B$88,2,FALSE)+1,FALSE)))&lt;&gt;"",HLOOKUP(IF(AU$3-VLOOKUP($A13,'détails investissements'!$A$71:$B$88,2,FALSE)&lt;=0,"",IF(VLOOKUP($A13,'détails investissements'!$A$26:$DE$43,AU$3-VLOOKUP($A13,'détails investissements'!$A$71:$B$88,2,FALSE)+1,FALSE)="","",VLOOKUP($A13,'détails investissements'!$A$26:$DE$43,AU$3-VLOOKUP($A13,'détails investissements'!$A$71:$B$88,2,FALSE)+1,FALSE))),'détails investissements'!$U$6:$AB$7,2,FALSE),"")&lt;&gt;"",VLOOKUP($A13,'détails investissements'!$A$7:$H$21,1+IF(IF(AU$3-VLOOKUP($A13,'détails investissements'!$A$71:$B$88,2,FALSE)&lt;=0,"",IF(VLOOKUP($A13,'détails investissements'!$A$26:$DE$43,AU$3-VLOOKUP($A13,'détails investissements'!$A$71:$B$88,2,FALSE)+1,FALSE)="","",VLOOKUP($A13,'détails investissements'!$A$26:$DE$43,AU$3-VLOOKUP($A13,'détails investissements'!$A$71:$B$88,2,FALSE)+1,FALSE)))&lt;&gt;"",HLOOKUP(IF(AU$3-VLOOKUP($A13,'détails investissements'!$A$71:$B$88,2,FALSE)&lt;=0,"",IF(VLOOKUP($A13,'détails investissements'!$A$26:$DE$43,AU$3-VLOOKUP($A13,'détails investissements'!$A$71:$B$88,2,FALSE)+1,FALSE)="","",VLOOKUP($A13,'détails investissements'!$A$26:$DE$43,AU$3-VLOOKUP($A13,'détails investissements'!$A$71:$B$88,2,FALSE)+1,FALSE))),'détails investissements'!$U$6:$AB$7,2,FALSE),""),FALSE),"")</f>
        <v/>
      </c>
      <c r="AV13" s="45" t="str">
        <f>IF(IF(IF(AV$3-VLOOKUP($A13,'détails investissements'!$A$71:$B$88,2,FALSE)&lt;=0,"",IF(VLOOKUP($A13,'détails investissements'!$A$26:$DE$43,AV$3-VLOOKUP($A13,'détails investissements'!$A$71:$B$88,2,FALSE)+1,FALSE)="","",VLOOKUP($A13,'détails investissements'!$A$26:$DE$43,AV$3-VLOOKUP($A13,'détails investissements'!$A$71:$B$88,2,FALSE)+1,FALSE)))&lt;&gt;"",HLOOKUP(IF(AV$3-VLOOKUP($A13,'détails investissements'!$A$71:$B$88,2,FALSE)&lt;=0,"",IF(VLOOKUP($A13,'détails investissements'!$A$26:$DE$43,AV$3-VLOOKUP($A13,'détails investissements'!$A$71:$B$88,2,FALSE)+1,FALSE)="","",VLOOKUP($A13,'détails investissements'!$A$26:$DE$43,AV$3-VLOOKUP($A13,'détails investissements'!$A$71:$B$88,2,FALSE)+1,FALSE))),'détails investissements'!$U$6:$AB$7,2,FALSE),"")&lt;&gt;"",VLOOKUP($A13,'détails investissements'!$A$7:$H$21,1+IF(IF(AV$3-VLOOKUP($A13,'détails investissements'!$A$71:$B$88,2,FALSE)&lt;=0,"",IF(VLOOKUP($A13,'détails investissements'!$A$26:$DE$43,AV$3-VLOOKUP($A13,'détails investissements'!$A$71:$B$88,2,FALSE)+1,FALSE)="","",VLOOKUP($A13,'détails investissements'!$A$26:$DE$43,AV$3-VLOOKUP($A13,'détails investissements'!$A$71:$B$88,2,FALSE)+1,FALSE)))&lt;&gt;"",HLOOKUP(IF(AV$3-VLOOKUP($A13,'détails investissements'!$A$71:$B$88,2,FALSE)&lt;=0,"",IF(VLOOKUP($A13,'détails investissements'!$A$26:$DE$43,AV$3-VLOOKUP($A13,'détails investissements'!$A$71:$B$88,2,FALSE)+1,FALSE)="","",VLOOKUP($A13,'détails investissements'!$A$26:$DE$43,AV$3-VLOOKUP($A13,'détails investissements'!$A$71:$B$88,2,FALSE)+1,FALSE))),'détails investissements'!$U$6:$AB$7,2,FALSE),""),FALSE),"")</f>
        <v/>
      </c>
      <c r="AW13" s="45" t="str">
        <f>IF(IF(IF(AW$3-VLOOKUP($A13,'détails investissements'!$A$71:$B$88,2,FALSE)&lt;=0,"",IF(VLOOKUP($A13,'détails investissements'!$A$26:$DE$43,AW$3-VLOOKUP($A13,'détails investissements'!$A$71:$B$88,2,FALSE)+1,FALSE)="","",VLOOKUP($A13,'détails investissements'!$A$26:$DE$43,AW$3-VLOOKUP($A13,'détails investissements'!$A$71:$B$88,2,FALSE)+1,FALSE)))&lt;&gt;"",HLOOKUP(IF(AW$3-VLOOKUP($A13,'détails investissements'!$A$71:$B$88,2,FALSE)&lt;=0,"",IF(VLOOKUP($A13,'détails investissements'!$A$26:$DE$43,AW$3-VLOOKUP($A13,'détails investissements'!$A$71:$B$88,2,FALSE)+1,FALSE)="","",VLOOKUP($A13,'détails investissements'!$A$26:$DE$43,AW$3-VLOOKUP($A13,'détails investissements'!$A$71:$B$88,2,FALSE)+1,FALSE))),'détails investissements'!$U$6:$AB$7,2,FALSE),"")&lt;&gt;"",VLOOKUP($A13,'détails investissements'!$A$7:$H$21,1+IF(IF(AW$3-VLOOKUP($A13,'détails investissements'!$A$71:$B$88,2,FALSE)&lt;=0,"",IF(VLOOKUP($A13,'détails investissements'!$A$26:$DE$43,AW$3-VLOOKUP($A13,'détails investissements'!$A$71:$B$88,2,FALSE)+1,FALSE)="","",VLOOKUP($A13,'détails investissements'!$A$26:$DE$43,AW$3-VLOOKUP($A13,'détails investissements'!$A$71:$B$88,2,FALSE)+1,FALSE)))&lt;&gt;"",HLOOKUP(IF(AW$3-VLOOKUP($A13,'détails investissements'!$A$71:$B$88,2,FALSE)&lt;=0,"",IF(VLOOKUP($A13,'détails investissements'!$A$26:$DE$43,AW$3-VLOOKUP($A13,'détails investissements'!$A$71:$B$88,2,FALSE)+1,FALSE)="","",VLOOKUP($A13,'détails investissements'!$A$26:$DE$43,AW$3-VLOOKUP($A13,'détails investissements'!$A$71:$B$88,2,FALSE)+1,FALSE))),'détails investissements'!$U$6:$AB$7,2,FALSE),""),FALSE),"")</f>
        <v/>
      </c>
      <c r="AX13" s="45" t="str">
        <f>IF(IF(IF(AX$3-VLOOKUP($A13,'détails investissements'!$A$71:$B$88,2,FALSE)&lt;=0,"",IF(VLOOKUP($A13,'détails investissements'!$A$26:$DE$43,AX$3-VLOOKUP($A13,'détails investissements'!$A$71:$B$88,2,FALSE)+1,FALSE)="","",VLOOKUP($A13,'détails investissements'!$A$26:$DE$43,AX$3-VLOOKUP($A13,'détails investissements'!$A$71:$B$88,2,FALSE)+1,FALSE)))&lt;&gt;"",HLOOKUP(IF(AX$3-VLOOKUP($A13,'détails investissements'!$A$71:$B$88,2,FALSE)&lt;=0,"",IF(VLOOKUP($A13,'détails investissements'!$A$26:$DE$43,AX$3-VLOOKUP($A13,'détails investissements'!$A$71:$B$88,2,FALSE)+1,FALSE)="","",VLOOKUP($A13,'détails investissements'!$A$26:$DE$43,AX$3-VLOOKUP($A13,'détails investissements'!$A$71:$B$88,2,FALSE)+1,FALSE))),'détails investissements'!$U$6:$AB$7,2,FALSE),"")&lt;&gt;"",VLOOKUP($A13,'détails investissements'!$A$7:$H$21,1+IF(IF(AX$3-VLOOKUP($A13,'détails investissements'!$A$71:$B$88,2,FALSE)&lt;=0,"",IF(VLOOKUP($A13,'détails investissements'!$A$26:$DE$43,AX$3-VLOOKUP($A13,'détails investissements'!$A$71:$B$88,2,FALSE)+1,FALSE)="","",VLOOKUP($A13,'détails investissements'!$A$26:$DE$43,AX$3-VLOOKUP($A13,'détails investissements'!$A$71:$B$88,2,FALSE)+1,FALSE)))&lt;&gt;"",HLOOKUP(IF(AX$3-VLOOKUP($A13,'détails investissements'!$A$71:$B$88,2,FALSE)&lt;=0,"",IF(VLOOKUP($A13,'détails investissements'!$A$26:$DE$43,AX$3-VLOOKUP($A13,'détails investissements'!$A$71:$B$88,2,FALSE)+1,FALSE)="","",VLOOKUP($A13,'détails investissements'!$A$26:$DE$43,AX$3-VLOOKUP($A13,'détails investissements'!$A$71:$B$88,2,FALSE)+1,FALSE))),'détails investissements'!$U$6:$AB$7,2,FALSE),""),FALSE),"")</f>
        <v/>
      </c>
      <c r="AY13" s="45" t="str">
        <f>IF(IF(IF(AY$3-VLOOKUP($A13,'détails investissements'!$A$71:$B$88,2,FALSE)&lt;=0,"",IF(VLOOKUP($A13,'détails investissements'!$A$26:$DE$43,AY$3-VLOOKUP($A13,'détails investissements'!$A$71:$B$88,2,FALSE)+1,FALSE)="","",VLOOKUP($A13,'détails investissements'!$A$26:$DE$43,AY$3-VLOOKUP($A13,'détails investissements'!$A$71:$B$88,2,FALSE)+1,FALSE)))&lt;&gt;"",HLOOKUP(IF(AY$3-VLOOKUP($A13,'détails investissements'!$A$71:$B$88,2,FALSE)&lt;=0,"",IF(VLOOKUP($A13,'détails investissements'!$A$26:$DE$43,AY$3-VLOOKUP($A13,'détails investissements'!$A$71:$B$88,2,FALSE)+1,FALSE)="","",VLOOKUP($A13,'détails investissements'!$A$26:$DE$43,AY$3-VLOOKUP($A13,'détails investissements'!$A$71:$B$88,2,FALSE)+1,FALSE))),'détails investissements'!$U$6:$AB$7,2,FALSE),"")&lt;&gt;"",VLOOKUP($A13,'détails investissements'!$A$7:$H$21,1+IF(IF(AY$3-VLOOKUP($A13,'détails investissements'!$A$71:$B$88,2,FALSE)&lt;=0,"",IF(VLOOKUP($A13,'détails investissements'!$A$26:$DE$43,AY$3-VLOOKUP($A13,'détails investissements'!$A$71:$B$88,2,FALSE)+1,FALSE)="","",VLOOKUP($A13,'détails investissements'!$A$26:$DE$43,AY$3-VLOOKUP($A13,'détails investissements'!$A$71:$B$88,2,FALSE)+1,FALSE)))&lt;&gt;"",HLOOKUP(IF(AY$3-VLOOKUP($A13,'détails investissements'!$A$71:$B$88,2,FALSE)&lt;=0,"",IF(VLOOKUP($A13,'détails investissements'!$A$26:$DE$43,AY$3-VLOOKUP($A13,'détails investissements'!$A$71:$B$88,2,FALSE)+1,FALSE)="","",VLOOKUP($A13,'détails investissements'!$A$26:$DE$43,AY$3-VLOOKUP($A13,'détails investissements'!$A$71:$B$88,2,FALSE)+1,FALSE))),'détails investissements'!$U$6:$AB$7,2,FALSE),""),FALSE),"")</f>
        <v/>
      </c>
      <c r="AZ13" s="45" t="str">
        <f>IF(IF(IF(AZ$3-VLOOKUP($A13,'détails investissements'!$A$71:$B$88,2,FALSE)&lt;=0,"",IF(VLOOKUP($A13,'détails investissements'!$A$26:$DE$43,AZ$3-VLOOKUP($A13,'détails investissements'!$A$71:$B$88,2,FALSE)+1,FALSE)="","",VLOOKUP($A13,'détails investissements'!$A$26:$DE$43,AZ$3-VLOOKUP($A13,'détails investissements'!$A$71:$B$88,2,FALSE)+1,FALSE)))&lt;&gt;"",HLOOKUP(IF(AZ$3-VLOOKUP($A13,'détails investissements'!$A$71:$B$88,2,FALSE)&lt;=0,"",IF(VLOOKUP($A13,'détails investissements'!$A$26:$DE$43,AZ$3-VLOOKUP($A13,'détails investissements'!$A$71:$B$88,2,FALSE)+1,FALSE)="","",VLOOKUP($A13,'détails investissements'!$A$26:$DE$43,AZ$3-VLOOKUP($A13,'détails investissements'!$A$71:$B$88,2,FALSE)+1,FALSE))),'détails investissements'!$U$6:$AB$7,2,FALSE),"")&lt;&gt;"",VLOOKUP($A13,'détails investissements'!$A$7:$H$21,1+IF(IF(AZ$3-VLOOKUP($A13,'détails investissements'!$A$71:$B$88,2,FALSE)&lt;=0,"",IF(VLOOKUP($A13,'détails investissements'!$A$26:$DE$43,AZ$3-VLOOKUP($A13,'détails investissements'!$A$71:$B$88,2,FALSE)+1,FALSE)="","",VLOOKUP($A13,'détails investissements'!$A$26:$DE$43,AZ$3-VLOOKUP($A13,'détails investissements'!$A$71:$B$88,2,FALSE)+1,FALSE)))&lt;&gt;"",HLOOKUP(IF(AZ$3-VLOOKUP($A13,'détails investissements'!$A$71:$B$88,2,FALSE)&lt;=0,"",IF(VLOOKUP($A13,'détails investissements'!$A$26:$DE$43,AZ$3-VLOOKUP($A13,'détails investissements'!$A$71:$B$88,2,FALSE)+1,FALSE)="","",VLOOKUP($A13,'détails investissements'!$A$26:$DE$43,AZ$3-VLOOKUP($A13,'détails investissements'!$A$71:$B$88,2,FALSE)+1,FALSE))),'détails investissements'!$U$6:$AB$7,2,FALSE),""),FALSE),"")</f>
        <v/>
      </c>
      <c r="BA13" s="45" t="str">
        <f>IF(IF(IF(BA$3-VLOOKUP($A13,'détails investissements'!$A$71:$B$88,2,FALSE)&lt;=0,"",IF(VLOOKUP($A13,'détails investissements'!$A$26:$DE$43,BA$3-VLOOKUP($A13,'détails investissements'!$A$71:$B$88,2,FALSE)+1,FALSE)="","",VLOOKUP($A13,'détails investissements'!$A$26:$DE$43,BA$3-VLOOKUP($A13,'détails investissements'!$A$71:$B$88,2,FALSE)+1,FALSE)))&lt;&gt;"",HLOOKUP(IF(BA$3-VLOOKUP($A13,'détails investissements'!$A$71:$B$88,2,FALSE)&lt;=0,"",IF(VLOOKUP($A13,'détails investissements'!$A$26:$DE$43,BA$3-VLOOKUP($A13,'détails investissements'!$A$71:$B$88,2,FALSE)+1,FALSE)="","",VLOOKUP($A13,'détails investissements'!$A$26:$DE$43,BA$3-VLOOKUP($A13,'détails investissements'!$A$71:$B$88,2,FALSE)+1,FALSE))),'détails investissements'!$U$6:$AB$7,2,FALSE),"")&lt;&gt;"",VLOOKUP($A13,'détails investissements'!$A$7:$H$21,1+IF(IF(BA$3-VLOOKUP($A13,'détails investissements'!$A$71:$B$88,2,FALSE)&lt;=0,"",IF(VLOOKUP($A13,'détails investissements'!$A$26:$DE$43,BA$3-VLOOKUP($A13,'détails investissements'!$A$71:$B$88,2,FALSE)+1,FALSE)="","",VLOOKUP($A13,'détails investissements'!$A$26:$DE$43,BA$3-VLOOKUP($A13,'détails investissements'!$A$71:$B$88,2,FALSE)+1,FALSE)))&lt;&gt;"",HLOOKUP(IF(BA$3-VLOOKUP($A13,'détails investissements'!$A$71:$B$88,2,FALSE)&lt;=0,"",IF(VLOOKUP($A13,'détails investissements'!$A$26:$DE$43,BA$3-VLOOKUP($A13,'détails investissements'!$A$71:$B$88,2,FALSE)+1,FALSE)="","",VLOOKUP($A13,'détails investissements'!$A$26:$DE$43,BA$3-VLOOKUP($A13,'détails investissements'!$A$71:$B$88,2,FALSE)+1,FALSE))),'détails investissements'!$U$6:$AB$7,2,FALSE),""),FALSE),"")</f>
        <v/>
      </c>
      <c r="BB13" s="45" t="str">
        <f>IF(IF(IF(BB$3-VLOOKUP($A13,'détails investissements'!$A$71:$B$88,2,FALSE)&lt;=0,"",IF(VLOOKUP($A13,'détails investissements'!$A$26:$DE$43,BB$3-VLOOKUP($A13,'détails investissements'!$A$71:$B$88,2,FALSE)+1,FALSE)="","",VLOOKUP($A13,'détails investissements'!$A$26:$DE$43,BB$3-VLOOKUP($A13,'détails investissements'!$A$71:$B$88,2,FALSE)+1,FALSE)))&lt;&gt;"",HLOOKUP(IF(BB$3-VLOOKUP($A13,'détails investissements'!$A$71:$B$88,2,FALSE)&lt;=0,"",IF(VLOOKUP($A13,'détails investissements'!$A$26:$DE$43,BB$3-VLOOKUP($A13,'détails investissements'!$A$71:$B$88,2,FALSE)+1,FALSE)="","",VLOOKUP($A13,'détails investissements'!$A$26:$DE$43,BB$3-VLOOKUP($A13,'détails investissements'!$A$71:$B$88,2,FALSE)+1,FALSE))),'détails investissements'!$U$6:$AB$7,2,FALSE),"")&lt;&gt;"",VLOOKUP($A13,'détails investissements'!$A$7:$H$21,1+IF(IF(BB$3-VLOOKUP($A13,'détails investissements'!$A$71:$B$88,2,FALSE)&lt;=0,"",IF(VLOOKUP($A13,'détails investissements'!$A$26:$DE$43,BB$3-VLOOKUP($A13,'détails investissements'!$A$71:$B$88,2,FALSE)+1,FALSE)="","",VLOOKUP($A13,'détails investissements'!$A$26:$DE$43,BB$3-VLOOKUP($A13,'détails investissements'!$A$71:$B$88,2,FALSE)+1,FALSE)))&lt;&gt;"",HLOOKUP(IF(BB$3-VLOOKUP($A13,'détails investissements'!$A$71:$B$88,2,FALSE)&lt;=0,"",IF(VLOOKUP($A13,'détails investissements'!$A$26:$DE$43,BB$3-VLOOKUP($A13,'détails investissements'!$A$71:$B$88,2,FALSE)+1,FALSE)="","",VLOOKUP($A13,'détails investissements'!$A$26:$DE$43,BB$3-VLOOKUP($A13,'détails investissements'!$A$71:$B$88,2,FALSE)+1,FALSE))),'détails investissements'!$U$6:$AB$7,2,FALSE),""),FALSE),"")</f>
        <v/>
      </c>
      <c r="BC13" s="45" t="str">
        <f>IF(IF(IF(BC$3-VLOOKUP($A13,'détails investissements'!$A$71:$B$88,2,FALSE)&lt;=0,"",IF(VLOOKUP($A13,'détails investissements'!$A$26:$DE$43,BC$3-VLOOKUP($A13,'détails investissements'!$A$71:$B$88,2,FALSE)+1,FALSE)="","",VLOOKUP($A13,'détails investissements'!$A$26:$DE$43,BC$3-VLOOKUP($A13,'détails investissements'!$A$71:$B$88,2,FALSE)+1,FALSE)))&lt;&gt;"",HLOOKUP(IF(BC$3-VLOOKUP($A13,'détails investissements'!$A$71:$B$88,2,FALSE)&lt;=0,"",IF(VLOOKUP($A13,'détails investissements'!$A$26:$DE$43,BC$3-VLOOKUP($A13,'détails investissements'!$A$71:$B$88,2,FALSE)+1,FALSE)="","",VLOOKUP($A13,'détails investissements'!$A$26:$DE$43,BC$3-VLOOKUP($A13,'détails investissements'!$A$71:$B$88,2,FALSE)+1,FALSE))),'détails investissements'!$U$6:$AB$7,2,FALSE),"")&lt;&gt;"",VLOOKUP($A13,'détails investissements'!$A$7:$H$21,1+IF(IF(BC$3-VLOOKUP($A13,'détails investissements'!$A$71:$B$88,2,FALSE)&lt;=0,"",IF(VLOOKUP($A13,'détails investissements'!$A$26:$DE$43,BC$3-VLOOKUP($A13,'détails investissements'!$A$71:$B$88,2,FALSE)+1,FALSE)="","",VLOOKUP($A13,'détails investissements'!$A$26:$DE$43,BC$3-VLOOKUP($A13,'détails investissements'!$A$71:$B$88,2,FALSE)+1,FALSE)))&lt;&gt;"",HLOOKUP(IF(BC$3-VLOOKUP($A13,'détails investissements'!$A$71:$B$88,2,FALSE)&lt;=0,"",IF(VLOOKUP($A13,'détails investissements'!$A$26:$DE$43,BC$3-VLOOKUP($A13,'détails investissements'!$A$71:$B$88,2,FALSE)+1,FALSE)="","",VLOOKUP($A13,'détails investissements'!$A$26:$DE$43,BC$3-VLOOKUP($A13,'détails investissements'!$A$71:$B$88,2,FALSE)+1,FALSE))),'détails investissements'!$U$6:$AB$7,2,FALSE),""),FALSE),"")</f>
        <v/>
      </c>
      <c r="BD13" s="45" t="str">
        <f>IF(IF(IF(BD$3-VLOOKUP($A13,'détails investissements'!$A$71:$B$88,2,FALSE)&lt;=0,"",IF(VLOOKUP($A13,'détails investissements'!$A$26:$DE$43,BD$3-VLOOKUP($A13,'détails investissements'!$A$71:$B$88,2,FALSE)+1,FALSE)="","",VLOOKUP($A13,'détails investissements'!$A$26:$DE$43,BD$3-VLOOKUP($A13,'détails investissements'!$A$71:$B$88,2,FALSE)+1,FALSE)))&lt;&gt;"",HLOOKUP(IF(BD$3-VLOOKUP($A13,'détails investissements'!$A$71:$B$88,2,FALSE)&lt;=0,"",IF(VLOOKUP($A13,'détails investissements'!$A$26:$DE$43,BD$3-VLOOKUP($A13,'détails investissements'!$A$71:$B$88,2,FALSE)+1,FALSE)="","",VLOOKUP($A13,'détails investissements'!$A$26:$DE$43,BD$3-VLOOKUP($A13,'détails investissements'!$A$71:$B$88,2,FALSE)+1,FALSE))),'détails investissements'!$U$6:$AB$7,2,FALSE),"")&lt;&gt;"",VLOOKUP($A13,'détails investissements'!$A$7:$H$21,1+IF(IF(BD$3-VLOOKUP($A13,'détails investissements'!$A$71:$B$88,2,FALSE)&lt;=0,"",IF(VLOOKUP($A13,'détails investissements'!$A$26:$DE$43,BD$3-VLOOKUP($A13,'détails investissements'!$A$71:$B$88,2,FALSE)+1,FALSE)="","",VLOOKUP($A13,'détails investissements'!$A$26:$DE$43,BD$3-VLOOKUP($A13,'détails investissements'!$A$71:$B$88,2,FALSE)+1,FALSE)))&lt;&gt;"",HLOOKUP(IF(BD$3-VLOOKUP($A13,'détails investissements'!$A$71:$B$88,2,FALSE)&lt;=0,"",IF(VLOOKUP($A13,'détails investissements'!$A$26:$DE$43,BD$3-VLOOKUP($A13,'détails investissements'!$A$71:$B$88,2,FALSE)+1,FALSE)="","",VLOOKUP($A13,'détails investissements'!$A$26:$DE$43,BD$3-VLOOKUP($A13,'détails investissements'!$A$71:$B$88,2,FALSE)+1,FALSE))),'détails investissements'!$U$6:$AB$7,2,FALSE),""),FALSE),"")</f>
        <v/>
      </c>
      <c r="BE13" s="45" t="str">
        <f>IF(IF(IF(BE$3-VLOOKUP($A13,'détails investissements'!$A$71:$B$88,2,FALSE)&lt;=0,"",IF(VLOOKUP($A13,'détails investissements'!$A$26:$DE$43,BE$3-VLOOKUP($A13,'détails investissements'!$A$71:$B$88,2,FALSE)+1,FALSE)="","",VLOOKUP($A13,'détails investissements'!$A$26:$DE$43,BE$3-VLOOKUP($A13,'détails investissements'!$A$71:$B$88,2,FALSE)+1,FALSE)))&lt;&gt;"",HLOOKUP(IF(BE$3-VLOOKUP($A13,'détails investissements'!$A$71:$B$88,2,FALSE)&lt;=0,"",IF(VLOOKUP($A13,'détails investissements'!$A$26:$DE$43,BE$3-VLOOKUP($A13,'détails investissements'!$A$71:$B$88,2,FALSE)+1,FALSE)="","",VLOOKUP($A13,'détails investissements'!$A$26:$DE$43,BE$3-VLOOKUP($A13,'détails investissements'!$A$71:$B$88,2,FALSE)+1,FALSE))),'détails investissements'!$U$6:$AB$7,2,FALSE),"")&lt;&gt;"",VLOOKUP($A13,'détails investissements'!$A$7:$H$21,1+IF(IF(BE$3-VLOOKUP($A13,'détails investissements'!$A$71:$B$88,2,FALSE)&lt;=0,"",IF(VLOOKUP($A13,'détails investissements'!$A$26:$DE$43,BE$3-VLOOKUP($A13,'détails investissements'!$A$71:$B$88,2,FALSE)+1,FALSE)="","",VLOOKUP($A13,'détails investissements'!$A$26:$DE$43,BE$3-VLOOKUP($A13,'détails investissements'!$A$71:$B$88,2,FALSE)+1,FALSE)))&lt;&gt;"",HLOOKUP(IF(BE$3-VLOOKUP($A13,'détails investissements'!$A$71:$B$88,2,FALSE)&lt;=0,"",IF(VLOOKUP($A13,'détails investissements'!$A$26:$DE$43,BE$3-VLOOKUP($A13,'détails investissements'!$A$71:$B$88,2,FALSE)+1,FALSE)="","",VLOOKUP($A13,'détails investissements'!$A$26:$DE$43,BE$3-VLOOKUP($A13,'détails investissements'!$A$71:$B$88,2,FALSE)+1,FALSE))),'détails investissements'!$U$6:$AB$7,2,FALSE),""),FALSE),"")</f>
        <v/>
      </c>
      <c r="BF13" s="45" t="str">
        <f>IF(IF(IF(BF$3-VLOOKUP($A13,'détails investissements'!$A$71:$B$88,2,FALSE)&lt;=0,"",IF(VLOOKUP($A13,'détails investissements'!$A$26:$DE$43,BF$3-VLOOKUP($A13,'détails investissements'!$A$71:$B$88,2,FALSE)+1,FALSE)="","",VLOOKUP($A13,'détails investissements'!$A$26:$DE$43,BF$3-VLOOKUP($A13,'détails investissements'!$A$71:$B$88,2,FALSE)+1,FALSE)))&lt;&gt;"",HLOOKUP(IF(BF$3-VLOOKUP($A13,'détails investissements'!$A$71:$B$88,2,FALSE)&lt;=0,"",IF(VLOOKUP($A13,'détails investissements'!$A$26:$DE$43,BF$3-VLOOKUP($A13,'détails investissements'!$A$71:$B$88,2,FALSE)+1,FALSE)="","",VLOOKUP($A13,'détails investissements'!$A$26:$DE$43,BF$3-VLOOKUP($A13,'détails investissements'!$A$71:$B$88,2,FALSE)+1,FALSE))),'détails investissements'!$U$6:$AB$7,2,FALSE),"")&lt;&gt;"",VLOOKUP($A13,'détails investissements'!$A$7:$H$21,1+IF(IF(BF$3-VLOOKUP($A13,'détails investissements'!$A$71:$B$88,2,FALSE)&lt;=0,"",IF(VLOOKUP($A13,'détails investissements'!$A$26:$DE$43,BF$3-VLOOKUP($A13,'détails investissements'!$A$71:$B$88,2,FALSE)+1,FALSE)="","",VLOOKUP($A13,'détails investissements'!$A$26:$DE$43,BF$3-VLOOKUP($A13,'détails investissements'!$A$71:$B$88,2,FALSE)+1,FALSE)))&lt;&gt;"",HLOOKUP(IF(BF$3-VLOOKUP($A13,'détails investissements'!$A$71:$B$88,2,FALSE)&lt;=0,"",IF(VLOOKUP($A13,'détails investissements'!$A$26:$DE$43,BF$3-VLOOKUP($A13,'détails investissements'!$A$71:$B$88,2,FALSE)+1,FALSE)="","",VLOOKUP($A13,'détails investissements'!$A$26:$DE$43,BF$3-VLOOKUP($A13,'détails investissements'!$A$71:$B$88,2,FALSE)+1,FALSE))),'détails investissements'!$U$6:$AB$7,2,FALSE),""),FALSE),"")</f>
        <v/>
      </c>
      <c r="BG13" s="45" t="str">
        <f>IF(IF(IF(BG$3-VLOOKUP($A13,'détails investissements'!$A$71:$B$88,2,FALSE)&lt;=0,"",IF(VLOOKUP($A13,'détails investissements'!$A$26:$DE$43,BG$3-VLOOKUP($A13,'détails investissements'!$A$71:$B$88,2,FALSE)+1,FALSE)="","",VLOOKUP($A13,'détails investissements'!$A$26:$DE$43,BG$3-VLOOKUP($A13,'détails investissements'!$A$71:$B$88,2,FALSE)+1,FALSE)))&lt;&gt;"",HLOOKUP(IF(BG$3-VLOOKUP($A13,'détails investissements'!$A$71:$B$88,2,FALSE)&lt;=0,"",IF(VLOOKUP($A13,'détails investissements'!$A$26:$DE$43,BG$3-VLOOKUP($A13,'détails investissements'!$A$71:$B$88,2,FALSE)+1,FALSE)="","",VLOOKUP($A13,'détails investissements'!$A$26:$DE$43,BG$3-VLOOKUP($A13,'détails investissements'!$A$71:$B$88,2,FALSE)+1,FALSE))),'détails investissements'!$U$6:$AB$7,2,FALSE),"")&lt;&gt;"",VLOOKUP($A13,'détails investissements'!$A$7:$H$21,1+IF(IF(BG$3-VLOOKUP($A13,'détails investissements'!$A$71:$B$88,2,FALSE)&lt;=0,"",IF(VLOOKUP($A13,'détails investissements'!$A$26:$DE$43,BG$3-VLOOKUP($A13,'détails investissements'!$A$71:$B$88,2,FALSE)+1,FALSE)="","",VLOOKUP($A13,'détails investissements'!$A$26:$DE$43,BG$3-VLOOKUP($A13,'détails investissements'!$A$71:$B$88,2,FALSE)+1,FALSE)))&lt;&gt;"",HLOOKUP(IF(BG$3-VLOOKUP($A13,'détails investissements'!$A$71:$B$88,2,FALSE)&lt;=0,"",IF(VLOOKUP($A13,'détails investissements'!$A$26:$DE$43,BG$3-VLOOKUP($A13,'détails investissements'!$A$71:$B$88,2,FALSE)+1,FALSE)="","",VLOOKUP($A13,'détails investissements'!$A$26:$DE$43,BG$3-VLOOKUP($A13,'détails investissements'!$A$71:$B$88,2,FALSE)+1,FALSE))),'détails investissements'!$U$6:$AB$7,2,FALSE),""),FALSE),"")</f>
        <v/>
      </c>
      <c r="BH13" s="45" t="str">
        <f>IF(IF(IF(BH$3-VLOOKUP($A13,'détails investissements'!$A$71:$B$88,2,FALSE)&lt;=0,"",IF(VLOOKUP($A13,'détails investissements'!$A$26:$DE$43,BH$3-VLOOKUP($A13,'détails investissements'!$A$71:$B$88,2,FALSE)+1,FALSE)="","",VLOOKUP($A13,'détails investissements'!$A$26:$DE$43,BH$3-VLOOKUP($A13,'détails investissements'!$A$71:$B$88,2,FALSE)+1,FALSE)))&lt;&gt;"",HLOOKUP(IF(BH$3-VLOOKUP($A13,'détails investissements'!$A$71:$B$88,2,FALSE)&lt;=0,"",IF(VLOOKUP($A13,'détails investissements'!$A$26:$DE$43,BH$3-VLOOKUP($A13,'détails investissements'!$A$71:$B$88,2,FALSE)+1,FALSE)="","",VLOOKUP($A13,'détails investissements'!$A$26:$DE$43,BH$3-VLOOKUP($A13,'détails investissements'!$A$71:$B$88,2,FALSE)+1,FALSE))),'détails investissements'!$U$6:$AB$7,2,FALSE),"")&lt;&gt;"",VLOOKUP($A13,'détails investissements'!$A$7:$H$21,1+IF(IF(BH$3-VLOOKUP($A13,'détails investissements'!$A$71:$B$88,2,FALSE)&lt;=0,"",IF(VLOOKUP($A13,'détails investissements'!$A$26:$DE$43,BH$3-VLOOKUP($A13,'détails investissements'!$A$71:$B$88,2,FALSE)+1,FALSE)="","",VLOOKUP($A13,'détails investissements'!$A$26:$DE$43,BH$3-VLOOKUP($A13,'détails investissements'!$A$71:$B$88,2,FALSE)+1,FALSE)))&lt;&gt;"",HLOOKUP(IF(BH$3-VLOOKUP($A13,'détails investissements'!$A$71:$B$88,2,FALSE)&lt;=0,"",IF(VLOOKUP($A13,'détails investissements'!$A$26:$DE$43,BH$3-VLOOKUP($A13,'détails investissements'!$A$71:$B$88,2,FALSE)+1,FALSE)="","",VLOOKUP($A13,'détails investissements'!$A$26:$DE$43,BH$3-VLOOKUP($A13,'détails investissements'!$A$71:$B$88,2,FALSE)+1,FALSE))),'détails investissements'!$U$6:$AB$7,2,FALSE),""),FALSE),"")</f>
        <v/>
      </c>
      <c r="BI13" s="45" t="str">
        <f>IF(IF(IF(BI$3-VLOOKUP($A13,'détails investissements'!$A$71:$B$88,2,FALSE)&lt;=0,"",IF(VLOOKUP($A13,'détails investissements'!$A$26:$DE$43,BI$3-VLOOKUP($A13,'détails investissements'!$A$71:$B$88,2,FALSE)+1,FALSE)="","",VLOOKUP($A13,'détails investissements'!$A$26:$DE$43,BI$3-VLOOKUP($A13,'détails investissements'!$A$71:$B$88,2,FALSE)+1,FALSE)))&lt;&gt;"",HLOOKUP(IF(BI$3-VLOOKUP($A13,'détails investissements'!$A$71:$B$88,2,FALSE)&lt;=0,"",IF(VLOOKUP($A13,'détails investissements'!$A$26:$DE$43,BI$3-VLOOKUP($A13,'détails investissements'!$A$71:$B$88,2,FALSE)+1,FALSE)="","",VLOOKUP($A13,'détails investissements'!$A$26:$DE$43,BI$3-VLOOKUP($A13,'détails investissements'!$A$71:$B$88,2,FALSE)+1,FALSE))),'détails investissements'!$U$6:$AB$7,2,FALSE),"")&lt;&gt;"",VLOOKUP($A13,'détails investissements'!$A$7:$H$21,1+IF(IF(BI$3-VLOOKUP($A13,'détails investissements'!$A$71:$B$88,2,FALSE)&lt;=0,"",IF(VLOOKUP($A13,'détails investissements'!$A$26:$DE$43,BI$3-VLOOKUP($A13,'détails investissements'!$A$71:$B$88,2,FALSE)+1,FALSE)="","",VLOOKUP($A13,'détails investissements'!$A$26:$DE$43,BI$3-VLOOKUP($A13,'détails investissements'!$A$71:$B$88,2,FALSE)+1,FALSE)))&lt;&gt;"",HLOOKUP(IF(BI$3-VLOOKUP($A13,'détails investissements'!$A$71:$B$88,2,FALSE)&lt;=0,"",IF(VLOOKUP($A13,'détails investissements'!$A$26:$DE$43,BI$3-VLOOKUP($A13,'détails investissements'!$A$71:$B$88,2,FALSE)+1,FALSE)="","",VLOOKUP($A13,'détails investissements'!$A$26:$DE$43,BI$3-VLOOKUP($A13,'détails investissements'!$A$71:$B$88,2,FALSE)+1,FALSE))),'détails investissements'!$U$6:$AB$7,2,FALSE),""),FALSE),"")</f>
        <v/>
      </c>
      <c r="BJ13" s="45" t="str">
        <f>IF(IF(IF(BJ$3-VLOOKUP($A13,'détails investissements'!$A$71:$B$88,2,FALSE)&lt;=0,"",IF(VLOOKUP($A13,'détails investissements'!$A$26:$DE$43,BJ$3-VLOOKUP($A13,'détails investissements'!$A$71:$B$88,2,FALSE)+1,FALSE)="","",VLOOKUP($A13,'détails investissements'!$A$26:$DE$43,BJ$3-VLOOKUP($A13,'détails investissements'!$A$71:$B$88,2,FALSE)+1,FALSE)))&lt;&gt;"",HLOOKUP(IF(BJ$3-VLOOKUP($A13,'détails investissements'!$A$71:$B$88,2,FALSE)&lt;=0,"",IF(VLOOKUP($A13,'détails investissements'!$A$26:$DE$43,BJ$3-VLOOKUP($A13,'détails investissements'!$A$71:$B$88,2,FALSE)+1,FALSE)="","",VLOOKUP($A13,'détails investissements'!$A$26:$DE$43,BJ$3-VLOOKUP($A13,'détails investissements'!$A$71:$B$88,2,FALSE)+1,FALSE))),'détails investissements'!$U$6:$AB$7,2,FALSE),"")&lt;&gt;"",VLOOKUP($A13,'détails investissements'!$A$7:$H$21,1+IF(IF(BJ$3-VLOOKUP($A13,'détails investissements'!$A$71:$B$88,2,FALSE)&lt;=0,"",IF(VLOOKUP($A13,'détails investissements'!$A$26:$DE$43,BJ$3-VLOOKUP($A13,'détails investissements'!$A$71:$B$88,2,FALSE)+1,FALSE)="","",VLOOKUP($A13,'détails investissements'!$A$26:$DE$43,BJ$3-VLOOKUP($A13,'détails investissements'!$A$71:$B$88,2,FALSE)+1,FALSE)))&lt;&gt;"",HLOOKUP(IF(BJ$3-VLOOKUP($A13,'détails investissements'!$A$71:$B$88,2,FALSE)&lt;=0,"",IF(VLOOKUP($A13,'détails investissements'!$A$26:$DE$43,BJ$3-VLOOKUP($A13,'détails investissements'!$A$71:$B$88,2,FALSE)+1,FALSE)="","",VLOOKUP($A13,'détails investissements'!$A$26:$DE$43,BJ$3-VLOOKUP($A13,'détails investissements'!$A$71:$B$88,2,FALSE)+1,FALSE))),'détails investissements'!$U$6:$AB$7,2,FALSE),""),FALSE),"")</f>
        <v/>
      </c>
      <c r="BK13" s="45" t="str">
        <f>IF(IF(IF(BK$3-VLOOKUP($A13,'détails investissements'!$A$71:$B$88,2,FALSE)&lt;=0,"",IF(VLOOKUP($A13,'détails investissements'!$A$26:$DE$43,BK$3-VLOOKUP($A13,'détails investissements'!$A$71:$B$88,2,FALSE)+1,FALSE)="","",VLOOKUP($A13,'détails investissements'!$A$26:$DE$43,BK$3-VLOOKUP($A13,'détails investissements'!$A$71:$B$88,2,FALSE)+1,FALSE)))&lt;&gt;"",HLOOKUP(IF(BK$3-VLOOKUP($A13,'détails investissements'!$A$71:$B$88,2,FALSE)&lt;=0,"",IF(VLOOKUP($A13,'détails investissements'!$A$26:$DE$43,BK$3-VLOOKUP($A13,'détails investissements'!$A$71:$B$88,2,FALSE)+1,FALSE)="","",VLOOKUP($A13,'détails investissements'!$A$26:$DE$43,BK$3-VLOOKUP($A13,'détails investissements'!$A$71:$B$88,2,FALSE)+1,FALSE))),'détails investissements'!$U$6:$AB$7,2,FALSE),"")&lt;&gt;"",VLOOKUP($A13,'détails investissements'!$A$7:$H$21,1+IF(IF(BK$3-VLOOKUP($A13,'détails investissements'!$A$71:$B$88,2,FALSE)&lt;=0,"",IF(VLOOKUP($A13,'détails investissements'!$A$26:$DE$43,BK$3-VLOOKUP($A13,'détails investissements'!$A$71:$B$88,2,FALSE)+1,FALSE)="","",VLOOKUP($A13,'détails investissements'!$A$26:$DE$43,BK$3-VLOOKUP($A13,'détails investissements'!$A$71:$B$88,2,FALSE)+1,FALSE)))&lt;&gt;"",HLOOKUP(IF(BK$3-VLOOKUP($A13,'détails investissements'!$A$71:$B$88,2,FALSE)&lt;=0,"",IF(VLOOKUP($A13,'détails investissements'!$A$26:$DE$43,BK$3-VLOOKUP($A13,'détails investissements'!$A$71:$B$88,2,FALSE)+1,FALSE)="","",VLOOKUP($A13,'détails investissements'!$A$26:$DE$43,BK$3-VLOOKUP($A13,'détails investissements'!$A$71:$B$88,2,FALSE)+1,FALSE))),'détails investissements'!$U$6:$AB$7,2,FALSE),""),FALSE),"")</f>
        <v/>
      </c>
      <c r="BL13" s="45" t="str">
        <f>IF(IF(IF(BL$3-VLOOKUP($A13,'détails investissements'!$A$71:$B$88,2,FALSE)&lt;=0,"",IF(VLOOKUP($A13,'détails investissements'!$A$26:$DE$43,BL$3-VLOOKUP($A13,'détails investissements'!$A$71:$B$88,2,FALSE)+1,FALSE)="","",VLOOKUP($A13,'détails investissements'!$A$26:$DE$43,BL$3-VLOOKUP($A13,'détails investissements'!$A$71:$B$88,2,FALSE)+1,FALSE)))&lt;&gt;"",HLOOKUP(IF(BL$3-VLOOKUP($A13,'détails investissements'!$A$71:$B$88,2,FALSE)&lt;=0,"",IF(VLOOKUP($A13,'détails investissements'!$A$26:$DE$43,BL$3-VLOOKUP($A13,'détails investissements'!$A$71:$B$88,2,FALSE)+1,FALSE)="","",VLOOKUP($A13,'détails investissements'!$A$26:$DE$43,BL$3-VLOOKUP($A13,'détails investissements'!$A$71:$B$88,2,FALSE)+1,FALSE))),'détails investissements'!$U$6:$AB$7,2,FALSE),"")&lt;&gt;"",VLOOKUP($A13,'détails investissements'!$A$7:$H$21,1+IF(IF(BL$3-VLOOKUP($A13,'détails investissements'!$A$71:$B$88,2,FALSE)&lt;=0,"",IF(VLOOKUP($A13,'détails investissements'!$A$26:$DE$43,BL$3-VLOOKUP($A13,'détails investissements'!$A$71:$B$88,2,FALSE)+1,FALSE)="","",VLOOKUP($A13,'détails investissements'!$A$26:$DE$43,BL$3-VLOOKUP($A13,'détails investissements'!$A$71:$B$88,2,FALSE)+1,FALSE)))&lt;&gt;"",HLOOKUP(IF(BL$3-VLOOKUP($A13,'détails investissements'!$A$71:$B$88,2,FALSE)&lt;=0,"",IF(VLOOKUP($A13,'détails investissements'!$A$26:$DE$43,BL$3-VLOOKUP($A13,'détails investissements'!$A$71:$B$88,2,FALSE)+1,FALSE)="","",VLOOKUP($A13,'détails investissements'!$A$26:$DE$43,BL$3-VLOOKUP($A13,'détails investissements'!$A$71:$B$88,2,FALSE)+1,FALSE))),'détails investissements'!$U$6:$AB$7,2,FALSE),""),FALSE),"")</f>
        <v/>
      </c>
      <c r="BM13" s="45" t="str">
        <f>IF(IF(IF(BM$3-VLOOKUP($A13,'détails investissements'!$A$71:$B$88,2,FALSE)&lt;=0,"",IF(VLOOKUP($A13,'détails investissements'!$A$26:$DE$43,BM$3-VLOOKUP($A13,'détails investissements'!$A$71:$B$88,2,FALSE)+1,FALSE)="","",VLOOKUP($A13,'détails investissements'!$A$26:$DE$43,BM$3-VLOOKUP($A13,'détails investissements'!$A$71:$B$88,2,FALSE)+1,FALSE)))&lt;&gt;"",HLOOKUP(IF(BM$3-VLOOKUP($A13,'détails investissements'!$A$71:$B$88,2,FALSE)&lt;=0,"",IF(VLOOKUP($A13,'détails investissements'!$A$26:$DE$43,BM$3-VLOOKUP($A13,'détails investissements'!$A$71:$B$88,2,FALSE)+1,FALSE)="","",VLOOKUP($A13,'détails investissements'!$A$26:$DE$43,BM$3-VLOOKUP($A13,'détails investissements'!$A$71:$B$88,2,FALSE)+1,FALSE))),'détails investissements'!$U$6:$AB$7,2,FALSE),"")&lt;&gt;"",VLOOKUP($A13,'détails investissements'!$A$7:$H$21,1+IF(IF(BM$3-VLOOKUP($A13,'détails investissements'!$A$71:$B$88,2,FALSE)&lt;=0,"",IF(VLOOKUP($A13,'détails investissements'!$A$26:$DE$43,BM$3-VLOOKUP($A13,'détails investissements'!$A$71:$B$88,2,FALSE)+1,FALSE)="","",VLOOKUP($A13,'détails investissements'!$A$26:$DE$43,BM$3-VLOOKUP($A13,'détails investissements'!$A$71:$B$88,2,FALSE)+1,FALSE)))&lt;&gt;"",HLOOKUP(IF(BM$3-VLOOKUP($A13,'détails investissements'!$A$71:$B$88,2,FALSE)&lt;=0,"",IF(VLOOKUP($A13,'détails investissements'!$A$26:$DE$43,BM$3-VLOOKUP($A13,'détails investissements'!$A$71:$B$88,2,FALSE)+1,FALSE)="","",VLOOKUP($A13,'détails investissements'!$A$26:$DE$43,BM$3-VLOOKUP($A13,'détails investissements'!$A$71:$B$88,2,FALSE)+1,FALSE))),'détails investissements'!$U$6:$AB$7,2,FALSE),""),FALSE),"")</f>
        <v/>
      </c>
      <c r="BN13" s="45" t="str">
        <f>IF(IF(IF(BN$3-VLOOKUP($A13,'détails investissements'!$A$71:$B$88,2,FALSE)&lt;=0,"",IF(VLOOKUP($A13,'détails investissements'!$A$26:$DE$43,BN$3-VLOOKUP($A13,'détails investissements'!$A$71:$B$88,2,FALSE)+1,FALSE)="","",VLOOKUP($A13,'détails investissements'!$A$26:$DE$43,BN$3-VLOOKUP($A13,'détails investissements'!$A$71:$B$88,2,FALSE)+1,FALSE)))&lt;&gt;"",HLOOKUP(IF(BN$3-VLOOKUP($A13,'détails investissements'!$A$71:$B$88,2,FALSE)&lt;=0,"",IF(VLOOKUP($A13,'détails investissements'!$A$26:$DE$43,BN$3-VLOOKUP($A13,'détails investissements'!$A$71:$B$88,2,FALSE)+1,FALSE)="","",VLOOKUP($A13,'détails investissements'!$A$26:$DE$43,BN$3-VLOOKUP($A13,'détails investissements'!$A$71:$B$88,2,FALSE)+1,FALSE))),'détails investissements'!$U$6:$AB$7,2,FALSE),"")&lt;&gt;"",VLOOKUP($A13,'détails investissements'!$A$7:$H$21,1+IF(IF(BN$3-VLOOKUP($A13,'détails investissements'!$A$71:$B$88,2,FALSE)&lt;=0,"",IF(VLOOKUP($A13,'détails investissements'!$A$26:$DE$43,BN$3-VLOOKUP($A13,'détails investissements'!$A$71:$B$88,2,FALSE)+1,FALSE)="","",VLOOKUP($A13,'détails investissements'!$A$26:$DE$43,BN$3-VLOOKUP($A13,'détails investissements'!$A$71:$B$88,2,FALSE)+1,FALSE)))&lt;&gt;"",HLOOKUP(IF(BN$3-VLOOKUP($A13,'détails investissements'!$A$71:$B$88,2,FALSE)&lt;=0,"",IF(VLOOKUP($A13,'détails investissements'!$A$26:$DE$43,BN$3-VLOOKUP($A13,'détails investissements'!$A$71:$B$88,2,FALSE)+1,FALSE)="","",VLOOKUP($A13,'détails investissements'!$A$26:$DE$43,BN$3-VLOOKUP($A13,'détails investissements'!$A$71:$B$88,2,FALSE)+1,FALSE))),'détails investissements'!$U$6:$AB$7,2,FALSE),""),FALSE),"")</f>
        <v/>
      </c>
      <c r="BO13" s="45" t="str">
        <f>IF(IF(IF(BO$3-VLOOKUP($A13,'détails investissements'!$A$71:$B$88,2,FALSE)&lt;=0,"",IF(VLOOKUP($A13,'détails investissements'!$A$26:$DE$43,BO$3-VLOOKUP($A13,'détails investissements'!$A$71:$B$88,2,FALSE)+1,FALSE)="","",VLOOKUP($A13,'détails investissements'!$A$26:$DE$43,BO$3-VLOOKUP($A13,'détails investissements'!$A$71:$B$88,2,FALSE)+1,FALSE)))&lt;&gt;"",HLOOKUP(IF(BO$3-VLOOKUP($A13,'détails investissements'!$A$71:$B$88,2,FALSE)&lt;=0,"",IF(VLOOKUP($A13,'détails investissements'!$A$26:$DE$43,BO$3-VLOOKUP($A13,'détails investissements'!$A$71:$B$88,2,FALSE)+1,FALSE)="","",VLOOKUP($A13,'détails investissements'!$A$26:$DE$43,BO$3-VLOOKUP($A13,'détails investissements'!$A$71:$B$88,2,FALSE)+1,FALSE))),'détails investissements'!$U$6:$AB$7,2,FALSE),"")&lt;&gt;"",VLOOKUP($A13,'détails investissements'!$A$7:$H$21,1+IF(IF(BO$3-VLOOKUP($A13,'détails investissements'!$A$71:$B$88,2,FALSE)&lt;=0,"",IF(VLOOKUP($A13,'détails investissements'!$A$26:$DE$43,BO$3-VLOOKUP($A13,'détails investissements'!$A$71:$B$88,2,FALSE)+1,FALSE)="","",VLOOKUP($A13,'détails investissements'!$A$26:$DE$43,BO$3-VLOOKUP($A13,'détails investissements'!$A$71:$B$88,2,FALSE)+1,FALSE)))&lt;&gt;"",HLOOKUP(IF(BO$3-VLOOKUP($A13,'détails investissements'!$A$71:$B$88,2,FALSE)&lt;=0,"",IF(VLOOKUP($A13,'détails investissements'!$A$26:$DE$43,BO$3-VLOOKUP($A13,'détails investissements'!$A$71:$B$88,2,FALSE)+1,FALSE)="","",VLOOKUP($A13,'détails investissements'!$A$26:$DE$43,BO$3-VLOOKUP($A13,'détails investissements'!$A$71:$B$88,2,FALSE)+1,FALSE))),'détails investissements'!$U$6:$AB$7,2,FALSE),""),FALSE),"")</f>
        <v/>
      </c>
      <c r="BP13" s="45" t="str">
        <f>IF(IF(IF(BP$3-VLOOKUP($A13,'détails investissements'!$A$71:$B$88,2,FALSE)&lt;=0,"",IF(VLOOKUP($A13,'détails investissements'!$A$26:$DE$43,BP$3-VLOOKUP($A13,'détails investissements'!$A$71:$B$88,2,FALSE)+1,FALSE)="","",VLOOKUP($A13,'détails investissements'!$A$26:$DE$43,BP$3-VLOOKUP($A13,'détails investissements'!$A$71:$B$88,2,FALSE)+1,FALSE)))&lt;&gt;"",HLOOKUP(IF(BP$3-VLOOKUP($A13,'détails investissements'!$A$71:$B$88,2,FALSE)&lt;=0,"",IF(VLOOKUP($A13,'détails investissements'!$A$26:$DE$43,BP$3-VLOOKUP($A13,'détails investissements'!$A$71:$B$88,2,FALSE)+1,FALSE)="","",VLOOKUP($A13,'détails investissements'!$A$26:$DE$43,BP$3-VLOOKUP($A13,'détails investissements'!$A$71:$B$88,2,FALSE)+1,FALSE))),'détails investissements'!$U$6:$AB$7,2,FALSE),"")&lt;&gt;"",VLOOKUP($A13,'détails investissements'!$A$7:$H$21,1+IF(IF(BP$3-VLOOKUP($A13,'détails investissements'!$A$71:$B$88,2,FALSE)&lt;=0,"",IF(VLOOKUP($A13,'détails investissements'!$A$26:$DE$43,BP$3-VLOOKUP($A13,'détails investissements'!$A$71:$B$88,2,FALSE)+1,FALSE)="","",VLOOKUP($A13,'détails investissements'!$A$26:$DE$43,BP$3-VLOOKUP($A13,'détails investissements'!$A$71:$B$88,2,FALSE)+1,FALSE)))&lt;&gt;"",HLOOKUP(IF(BP$3-VLOOKUP($A13,'détails investissements'!$A$71:$B$88,2,FALSE)&lt;=0,"",IF(VLOOKUP($A13,'détails investissements'!$A$26:$DE$43,BP$3-VLOOKUP($A13,'détails investissements'!$A$71:$B$88,2,FALSE)+1,FALSE)="","",VLOOKUP($A13,'détails investissements'!$A$26:$DE$43,BP$3-VLOOKUP($A13,'détails investissements'!$A$71:$B$88,2,FALSE)+1,FALSE))),'détails investissements'!$U$6:$AB$7,2,FALSE),""),FALSE),"")</f>
        <v/>
      </c>
      <c r="BQ13" s="45" t="str">
        <f>IF(IF(IF(BQ$3-VLOOKUP($A13,'détails investissements'!$A$71:$B$88,2,FALSE)&lt;=0,"",IF(VLOOKUP($A13,'détails investissements'!$A$26:$DE$43,BQ$3-VLOOKUP($A13,'détails investissements'!$A$71:$B$88,2,FALSE)+1,FALSE)="","",VLOOKUP($A13,'détails investissements'!$A$26:$DE$43,BQ$3-VLOOKUP($A13,'détails investissements'!$A$71:$B$88,2,FALSE)+1,FALSE)))&lt;&gt;"",HLOOKUP(IF(BQ$3-VLOOKUP($A13,'détails investissements'!$A$71:$B$88,2,FALSE)&lt;=0,"",IF(VLOOKUP($A13,'détails investissements'!$A$26:$DE$43,BQ$3-VLOOKUP($A13,'détails investissements'!$A$71:$B$88,2,FALSE)+1,FALSE)="","",VLOOKUP($A13,'détails investissements'!$A$26:$DE$43,BQ$3-VLOOKUP($A13,'détails investissements'!$A$71:$B$88,2,FALSE)+1,FALSE))),'détails investissements'!$U$6:$AB$7,2,FALSE),"")&lt;&gt;"",VLOOKUP($A13,'détails investissements'!$A$7:$H$21,1+IF(IF(BQ$3-VLOOKUP($A13,'détails investissements'!$A$71:$B$88,2,FALSE)&lt;=0,"",IF(VLOOKUP($A13,'détails investissements'!$A$26:$DE$43,BQ$3-VLOOKUP($A13,'détails investissements'!$A$71:$B$88,2,FALSE)+1,FALSE)="","",VLOOKUP($A13,'détails investissements'!$A$26:$DE$43,BQ$3-VLOOKUP($A13,'détails investissements'!$A$71:$B$88,2,FALSE)+1,FALSE)))&lt;&gt;"",HLOOKUP(IF(BQ$3-VLOOKUP($A13,'détails investissements'!$A$71:$B$88,2,FALSE)&lt;=0,"",IF(VLOOKUP($A13,'détails investissements'!$A$26:$DE$43,BQ$3-VLOOKUP($A13,'détails investissements'!$A$71:$B$88,2,FALSE)+1,FALSE)="","",VLOOKUP($A13,'détails investissements'!$A$26:$DE$43,BQ$3-VLOOKUP($A13,'détails investissements'!$A$71:$B$88,2,FALSE)+1,FALSE))),'détails investissements'!$U$6:$AB$7,2,FALSE),""),FALSE),"")</f>
        <v/>
      </c>
      <c r="BR13" s="45" t="str">
        <f>IF(IF(IF(BR$3-VLOOKUP($A13,'détails investissements'!$A$71:$B$88,2,FALSE)&lt;=0,"",IF(VLOOKUP($A13,'détails investissements'!$A$26:$DE$43,BR$3-VLOOKUP($A13,'détails investissements'!$A$71:$B$88,2,FALSE)+1,FALSE)="","",VLOOKUP($A13,'détails investissements'!$A$26:$DE$43,BR$3-VLOOKUP($A13,'détails investissements'!$A$71:$B$88,2,FALSE)+1,FALSE)))&lt;&gt;"",HLOOKUP(IF(BR$3-VLOOKUP($A13,'détails investissements'!$A$71:$B$88,2,FALSE)&lt;=0,"",IF(VLOOKUP($A13,'détails investissements'!$A$26:$DE$43,BR$3-VLOOKUP($A13,'détails investissements'!$A$71:$B$88,2,FALSE)+1,FALSE)="","",VLOOKUP($A13,'détails investissements'!$A$26:$DE$43,BR$3-VLOOKUP($A13,'détails investissements'!$A$71:$B$88,2,FALSE)+1,FALSE))),'détails investissements'!$U$6:$AB$7,2,FALSE),"")&lt;&gt;"",VLOOKUP($A13,'détails investissements'!$A$7:$H$21,1+IF(IF(BR$3-VLOOKUP($A13,'détails investissements'!$A$71:$B$88,2,FALSE)&lt;=0,"",IF(VLOOKUP($A13,'détails investissements'!$A$26:$DE$43,BR$3-VLOOKUP($A13,'détails investissements'!$A$71:$B$88,2,FALSE)+1,FALSE)="","",VLOOKUP($A13,'détails investissements'!$A$26:$DE$43,BR$3-VLOOKUP($A13,'détails investissements'!$A$71:$B$88,2,FALSE)+1,FALSE)))&lt;&gt;"",HLOOKUP(IF(BR$3-VLOOKUP($A13,'détails investissements'!$A$71:$B$88,2,FALSE)&lt;=0,"",IF(VLOOKUP($A13,'détails investissements'!$A$26:$DE$43,BR$3-VLOOKUP($A13,'détails investissements'!$A$71:$B$88,2,FALSE)+1,FALSE)="","",VLOOKUP($A13,'détails investissements'!$A$26:$DE$43,BR$3-VLOOKUP($A13,'détails investissements'!$A$71:$B$88,2,FALSE)+1,FALSE))),'détails investissements'!$U$6:$AB$7,2,FALSE),""),FALSE),"")</f>
        <v/>
      </c>
      <c r="BS13" s="45" t="str">
        <f>IF(IF(IF(BS$3-VLOOKUP($A13,'détails investissements'!$A$71:$B$88,2,FALSE)&lt;=0,"",IF(VLOOKUP($A13,'détails investissements'!$A$26:$DE$43,BS$3-VLOOKUP($A13,'détails investissements'!$A$71:$B$88,2,FALSE)+1,FALSE)="","",VLOOKUP($A13,'détails investissements'!$A$26:$DE$43,BS$3-VLOOKUP($A13,'détails investissements'!$A$71:$B$88,2,FALSE)+1,FALSE)))&lt;&gt;"",HLOOKUP(IF(BS$3-VLOOKUP($A13,'détails investissements'!$A$71:$B$88,2,FALSE)&lt;=0,"",IF(VLOOKUP($A13,'détails investissements'!$A$26:$DE$43,BS$3-VLOOKUP($A13,'détails investissements'!$A$71:$B$88,2,FALSE)+1,FALSE)="","",VLOOKUP($A13,'détails investissements'!$A$26:$DE$43,BS$3-VLOOKUP($A13,'détails investissements'!$A$71:$B$88,2,FALSE)+1,FALSE))),'détails investissements'!$U$6:$AB$7,2,FALSE),"")&lt;&gt;"",VLOOKUP($A13,'détails investissements'!$A$7:$H$21,1+IF(IF(BS$3-VLOOKUP($A13,'détails investissements'!$A$71:$B$88,2,FALSE)&lt;=0,"",IF(VLOOKUP($A13,'détails investissements'!$A$26:$DE$43,BS$3-VLOOKUP($A13,'détails investissements'!$A$71:$B$88,2,FALSE)+1,FALSE)="","",VLOOKUP($A13,'détails investissements'!$A$26:$DE$43,BS$3-VLOOKUP($A13,'détails investissements'!$A$71:$B$88,2,FALSE)+1,FALSE)))&lt;&gt;"",HLOOKUP(IF(BS$3-VLOOKUP($A13,'détails investissements'!$A$71:$B$88,2,FALSE)&lt;=0,"",IF(VLOOKUP($A13,'détails investissements'!$A$26:$DE$43,BS$3-VLOOKUP($A13,'détails investissements'!$A$71:$B$88,2,FALSE)+1,FALSE)="","",VLOOKUP($A13,'détails investissements'!$A$26:$DE$43,BS$3-VLOOKUP($A13,'détails investissements'!$A$71:$B$88,2,FALSE)+1,FALSE))),'détails investissements'!$U$6:$AB$7,2,FALSE),""),FALSE),"")</f>
        <v/>
      </c>
      <c r="BT13" s="45" t="str">
        <f>IF(IF(IF(BT$3-VLOOKUP($A13,'détails investissements'!$A$71:$B$88,2,FALSE)&lt;=0,"",IF(VLOOKUP($A13,'détails investissements'!$A$26:$DE$43,BT$3-VLOOKUP($A13,'détails investissements'!$A$71:$B$88,2,FALSE)+1,FALSE)="","",VLOOKUP($A13,'détails investissements'!$A$26:$DE$43,BT$3-VLOOKUP($A13,'détails investissements'!$A$71:$B$88,2,FALSE)+1,FALSE)))&lt;&gt;"",HLOOKUP(IF(BT$3-VLOOKUP($A13,'détails investissements'!$A$71:$B$88,2,FALSE)&lt;=0,"",IF(VLOOKUP($A13,'détails investissements'!$A$26:$DE$43,BT$3-VLOOKUP($A13,'détails investissements'!$A$71:$B$88,2,FALSE)+1,FALSE)="","",VLOOKUP($A13,'détails investissements'!$A$26:$DE$43,BT$3-VLOOKUP($A13,'détails investissements'!$A$71:$B$88,2,FALSE)+1,FALSE))),'détails investissements'!$U$6:$AB$7,2,FALSE),"")&lt;&gt;"",VLOOKUP($A13,'détails investissements'!$A$7:$H$21,1+IF(IF(BT$3-VLOOKUP($A13,'détails investissements'!$A$71:$B$88,2,FALSE)&lt;=0,"",IF(VLOOKUP($A13,'détails investissements'!$A$26:$DE$43,BT$3-VLOOKUP($A13,'détails investissements'!$A$71:$B$88,2,FALSE)+1,FALSE)="","",VLOOKUP($A13,'détails investissements'!$A$26:$DE$43,BT$3-VLOOKUP($A13,'détails investissements'!$A$71:$B$88,2,FALSE)+1,FALSE)))&lt;&gt;"",HLOOKUP(IF(BT$3-VLOOKUP($A13,'détails investissements'!$A$71:$B$88,2,FALSE)&lt;=0,"",IF(VLOOKUP($A13,'détails investissements'!$A$26:$DE$43,BT$3-VLOOKUP($A13,'détails investissements'!$A$71:$B$88,2,FALSE)+1,FALSE)="","",VLOOKUP($A13,'détails investissements'!$A$26:$DE$43,BT$3-VLOOKUP($A13,'détails investissements'!$A$71:$B$88,2,FALSE)+1,FALSE))),'détails investissements'!$U$6:$AB$7,2,FALSE),""),FALSE),"")</f>
        <v/>
      </c>
      <c r="BU13" s="45" t="str">
        <f>IF(IF(IF(BU$3-VLOOKUP($A13,'détails investissements'!$A$71:$B$88,2,FALSE)&lt;=0,"",IF(VLOOKUP($A13,'détails investissements'!$A$26:$DE$43,BU$3-VLOOKUP($A13,'détails investissements'!$A$71:$B$88,2,FALSE)+1,FALSE)="","",VLOOKUP($A13,'détails investissements'!$A$26:$DE$43,BU$3-VLOOKUP($A13,'détails investissements'!$A$71:$B$88,2,FALSE)+1,FALSE)))&lt;&gt;"",HLOOKUP(IF(BU$3-VLOOKUP($A13,'détails investissements'!$A$71:$B$88,2,FALSE)&lt;=0,"",IF(VLOOKUP($A13,'détails investissements'!$A$26:$DE$43,BU$3-VLOOKUP($A13,'détails investissements'!$A$71:$B$88,2,FALSE)+1,FALSE)="","",VLOOKUP($A13,'détails investissements'!$A$26:$DE$43,BU$3-VLOOKUP($A13,'détails investissements'!$A$71:$B$88,2,FALSE)+1,FALSE))),'détails investissements'!$U$6:$AB$7,2,FALSE),"")&lt;&gt;"",VLOOKUP($A13,'détails investissements'!$A$7:$H$21,1+IF(IF(BU$3-VLOOKUP($A13,'détails investissements'!$A$71:$B$88,2,FALSE)&lt;=0,"",IF(VLOOKUP($A13,'détails investissements'!$A$26:$DE$43,BU$3-VLOOKUP($A13,'détails investissements'!$A$71:$B$88,2,FALSE)+1,FALSE)="","",VLOOKUP($A13,'détails investissements'!$A$26:$DE$43,BU$3-VLOOKUP($A13,'détails investissements'!$A$71:$B$88,2,FALSE)+1,FALSE)))&lt;&gt;"",HLOOKUP(IF(BU$3-VLOOKUP($A13,'détails investissements'!$A$71:$B$88,2,FALSE)&lt;=0,"",IF(VLOOKUP($A13,'détails investissements'!$A$26:$DE$43,BU$3-VLOOKUP($A13,'détails investissements'!$A$71:$B$88,2,FALSE)+1,FALSE)="","",VLOOKUP($A13,'détails investissements'!$A$26:$DE$43,BU$3-VLOOKUP($A13,'détails investissements'!$A$71:$B$88,2,FALSE)+1,FALSE))),'détails investissements'!$U$6:$AB$7,2,FALSE),""),FALSE),"")</f>
        <v/>
      </c>
      <c r="BV13" s="45" t="str">
        <f>IF(IF(IF(BV$3-VLOOKUP($A13,'détails investissements'!$A$71:$B$88,2,FALSE)&lt;=0,"",IF(VLOOKUP($A13,'détails investissements'!$A$26:$DE$43,BV$3-VLOOKUP($A13,'détails investissements'!$A$71:$B$88,2,FALSE)+1,FALSE)="","",VLOOKUP($A13,'détails investissements'!$A$26:$DE$43,BV$3-VLOOKUP($A13,'détails investissements'!$A$71:$B$88,2,FALSE)+1,FALSE)))&lt;&gt;"",HLOOKUP(IF(BV$3-VLOOKUP($A13,'détails investissements'!$A$71:$B$88,2,FALSE)&lt;=0,"",IF(VLOOKUP($A13,'détails investissements'!$A$26:$DE$43,BV$3-VLOOKUP($A13,'détails investissements'!$A$71:$B$88,2,FALSE)+1,FALSE)="","",VLOOKUP($A13,'détails investissements'!$A$26:$DE$43,BV$3-VLOOKUP($A13,'détails investissements'!$A$71:$B$88,2,FALSE)+1,FALSE))),'détails investissements'!$U$6:$AB$7,2,FALSE),"")&lt;&gt;"",VLOOKUP($A13,'détails investissements'!$A$7:$H$21,1+IF(IF(BV$3-VLOOKUP($A13,'détails investissements'!$A$71:$B$88,2,FALSE)&lt;=0,"",IF(VLOOKUP($A13,'détails investissements'!$A$26:$DE$43,BV$3-VLOOKUP($A13,'détails investissements'!$A$71:$B$88,2,FALSE)+1,FALSE)="","",VLOOKUP($A13,'détails investissements'!$A$26:$DE$43,BV$3-VLOOKUP($A13,'détails investissements'!$A$71:$B$88,2,FALSE)+1,FALSE)))&lt;&gt;"",HLOOKUP(IF(BV$3-VLOOKUP($A13,'détails investissements'!$A$71:$B$88,2,FALSE)&lt;=0,"",IF(VLOOKUP($A13,'détails investissements'!$A$26:$DE$43,BV$3-VLOOKUP($A13,'détails investissements'!$A$71:$B$88,2,FALSE)+1,FALSE)="","",VLOOKUP($A13,'détails investissements'!$A$26:$DE$43,BV$3-VLOOKUP($A13,'détails investissements'!$A$71:$B$88,2,FALSE)+1,FALSE))),'détails investissements'!$U$6:$AB$7,2,FALSE),""),FALSE),"")</f>
        <v/>
      </c>
      <c r="BW13" s="45" t="str">
        <f>IF(IF(IF(BW$3-VLOOKUP($A13,'détails investissements'!$A$71:$B$88,2,FALSE)&lt;=0,"",IF(VLOOKUP($A13,'détails investissements'!$A$26:$DE$43,BW$3-VLOOKUP($A13,'détails investissements'!$A$71:$B$88,2,FALSE)+1,FALSE)="","",VLOOKUP($A13,'détails investissements'!$A$26:$DE$43,BW$3-VLOOKUP($A13,'détails investissements'!$A$71:$B$88,2,FALSE)+1,FALSE)))&lt;&gt;"",HLOOKUP(IF(BW$3-VLOOKUP($A13,'détails investissements'!$A$71:$B$88,2,FALSE)&lt;=0,"",IF(VLOOKUP($A13,'détails investissements'!$A$26:$DE$43,BW$3-VLOOKUP($A13,'détails investissements'!$A$71:$B$88,2,FALSE)+1,FALSE)="","",VLOOKUP($A13,'détails investissements'!$A$26:$DE$43,BW$3-VLOOKUP($A13,'détails investissements'!$A$71:$B$88,2,FALSE)+1,FALSE))),'détails investissements'!$U$6:$AB$7,2,FALSE),"")&lt;&gt;"",VLOOKUP($A13,'détails investissements'!$A$7:$H$21,1+IF(IF(BW$3-VLOOKUP($A13,'détails investissements'!$A$71:$B$88,2,FALSE)&lt;=0,"",IF(VLOOKUP($A13,'détails investissements'!$A$26:$DE$43,BW$3-VLOOKUP($A13,'détails investissements'!$A$71:$B$88,2,FALSE)+1,FALSE)="","",VLOOKUP($A13,'détails investissements'!$A$26:$DE$43,BW$3-VLOOKUP($A13,'détails investissements'!$A$71:$B$88,2,FALSE)+1,FALSE)))&lt;&gt;"",HLOOKUP(IF(BW$3-VLOOKUP($A13,'détails investissements'!$A$71:$B$88,2,FALSE)&lt;=0,"",IF(VLOOKUP($A13,'détails investissements'!$A$26:$DE$43,BW$3-VLOOKUP($A13,'détails investissements'!$A$71:$B$88,2,FALSE)+1,FALSE)="","",VLOOKUP($A13,'détails investissements'!$A$26:$DE$43,BW$3-VLOOKUP($A13,'détails investissements'!$A$71:$B$88,2,FALSE)+1,FALSE))),'détails investissements'!$U$6:$AB$7,2,FALSE),""),FALSE),"")</f>
        <v/>
      </c>
      <c r="BX13" s="45" t="str">
        <f>IF(IF(IF(BX$3-VLOOKUP($A13,'détails investissements'!$A$71:$B$88,2,FALSE)&lt;=0,"",IF(VLOOKUP($A13,'détails investissements'!$A$26:$DE$43,BX$3-VLOOKUP($A13,'détails investissements'!$A$71:$B$88,2,FALSE)+1,FALSE)="","",VLOOKUP($A13,'détails investissements'!$A$26:$DE$43,BX$3-VLOOKUP($A13,'détails investissements'!$A$71:$B$88,2,FALSE)+1,FALSE)))&lt;&gt;"",HLOOKUP(IF(BX$3-VLOOKUP($A13,'détails investissements'!$A$71:$B$88,2,FALSE)&lt;=0,"",IF(VLOOKUP($A13,'détails investissements'!$A$26:$DE$43,BX$3-VLOOKUP($A13,'détails investissements'!$A$71:$B$88,2,FALSE)+1,FALSE)="","",VLOOKUP($A13,'détails investissements'!$A$26:$DE$43,BX$3-VLOOKUP($A13,'détails investissements'!$A$71:$B$88,2,FALSE)+1,FALSE))),'détails investissements'!$U$6:$AB$7,2,FALSE),"")&lt;&gt;"",VLOOKUP($A13,'détails investissements'!$A$7:$H$21,1+IF(IF(BX$3-VLOOKUP($A13,'détails investissements'!$A$71:$B$88,2,FALSE)&lt;=0,"",IF(VLOOKUP($A13,'détails investissements'!$A$26:$DE$43,BX$3-VLOOKUP($A13,'détails investissements'!$A$71:$B$88,2,FALSE)+1,FALSE)="","",VLOOKUP($A13,'détails investissements'!$A$26:$DE$43,BX$3-VLOOKUP($A13,'détails investissements'!$A$71:$B$88,2,FALSE)+1,FALSE)))&lt;&gt;"",HLOOKUP(IF(BX$3-VLOOKUP($A13,'détails investissements'!$A$71:$B$88,2,FALSE)&lt;=0,"",IF(VLOOKUP($A13,'détails investissements'!$A$26:$DE$43,BX$3-VLOOKUP($A13,'détails investissements'!$A$71:$B$88,2,FALSE)+1,FALSE)="","",VLOOKUP($A13,'détails investissements'!$A$26:$DE$43,BX$3-VLOOKUP($A13,'détails investissements'!$A$71:$B$88,2,FALSE)+1,FALSE))),'détails investissements'!$U$6:$AB$7,2,FALSE),""),FALSE),"")</f>
        <v/>
      </c>
      <c r="BY13" s="45" t="str">
        <f>IF(IF(IF(BY$3-VLOOKUP($A13,'détails investissements'!$A$71:$B$88,2,FALSE)&lt;=0,"",IF(VLOOKUP($A13,'détails investissements'!$A$26:$DE$43,BY$3-VLOOKUP($A13,'détails investissements'!$A$71:$B$88,2,FALSE)+1,FALSE)="","",VLOOKUP($A13,'détails investissements'!$A$26:$DE$43,BY$3-VLOOKUP($A13,'détails investissements'!$A$71:$B$88,2,FALSE)+1,FALSE)))&lt;&gt;"",HLOOKUP(IF(BY$3-VLOOKUP($A13,'détails investissements'!$A$71:$B$88,2,FALSE)&lt;=0,"",IF(VLOOKUP($A13,'détails investissements'!$A$26:$DE$43,BY$3-VLOOKUP($A13,'détails investissements'!$A$71:$B$88,2,FALSE)+1,FALSE)="","",VLOOKUP($A13,'détails investissements'!$A$26:$DE$43,BY$3-VLOOKUP($A13,'détails investissements'!$A$71:$B$88,2,FALSE)+1,FALSE))),'détails investissements'!$U$6:$AB$7,2,FALSE),"")&lt;&gt;"",VLOOKUP($A13,'détails investissements'!$A$7:$H$21,1+IF(IF(BY$3-VLOOKUP($A13,'détails investissements'!$A$71:$B$88,2,FALSE)&lt;=0,"",IF(VLOOKUP($A13,'détails investissements'!$A$26:$DE$43,BY$3-VLOOKUP($A13,'détails investissements'!$A$71:$B$88,2,FALSE)+1,FALSE)="","",VLOOKUP($A13,'détails investissements'!$A$26:$DE$43,BY$3-VLOOKUP($A13,'détails investissements'!$A$71:$B$88,2,FALSE)+1,FALSE)))&lt;&gt;"",HLOOKUP(IF(BY$3-VLOOKUP($A13,'détails investissements'!$A$71:$B$88,2,FALSE)&lt;=0,"",IF(VLOOKUP($A13,'détails investissements'!$A$26:$DE$43,BY$3-VLOOKUP($A13,'détails investissements'!$A$71:$B$88,2,FALSE)+1,FALSE)="","",VLOOKUP($A13,'détails investissements'!$A$26:$DE$43,BY$3-VLOOKUP($A13,'détails investissements'!$A$71:$B$88,2,FALSE)+1,FALSE))),'détails investissements'!$U$6:$AB$7,2,FALSE),""),FALSE),"")</f>
        <v/>
      </c>
      <c r="BZ13" s="45" t="str">
        <f>IF(IF(IF(BZ$3-VLOOKUP($A13,'détails investissements'!$A$71:$B$88,2,FALSE)&lt;=0,"",IF(VLOOKUP($A13,'détails investissements'!$A$26:$DE$43,BZ$3-VLOOKUP($A13,'détails investissements'!$A$71:$B$88,2,FALSE)+1,FALSE)="","",VLOOKUP($A13,'détails investissements'!$A$26:$DE$43,BZ$3-VLOOKUP($A13,'détails investissements'!$A$71:$B$88,2,FALSE)+1,FALSE)))&lt;&gt;"",HLOOKUP(IF(BZ$3-VLOOKUP($A13,'détails investissements'!$A$71:$B$88,2,FALSE)&lt;=0,"",IF(VLOOKUP($A13,'détails investissements'!$A$26:$DE$43,BZ$3-VLOOKUP($A13,'détails investissements'!$A$71:$B$88,2,FALSE)+1,FALSE)="","",VLOOKUP($A13,'détails investissements'!$A$26:$DE$43,BZ$3-VLOOKUP($A13,'détails investissements'!$A$71:$B$88,2,FALSE)+1,FALSE))),'détails investissements'!$U$6:$AB$7,2,FALSE),"")&lt;&gt;"",VLOOKUP($A13,'détails investissements'!$A$7:$H$21,1+IF(IF(BZ$3-VLOOKUP($A13,'détails investissements'!$A$71:$B$88,2,FALSE)&lt;=0,"",IF(VLOOKUP($A13,'détails investissements'!$A$26:$DE$43,BZ$3-VLOOKUP($A13,'détails investissements'!$A$71:$B$88,2,FALSE)+1,FALSE)="","",VLOOKUP($A13,'détails investissements'!$A$26:$DE$43,BZ$3-VLOOKUP($A13,'détails investissements'!$A$71:$B$88,2,FALSE)+1,FALSE)))&lt;&gt;"",HLOOKUP(IF(BZ$3-VLOOKUP($A13,'détails investissements'!$A$71:$B$88,2,FALSE)&lt;=0,"",IF(VLOOKUP($A13,'détails investissements'!$A$26:$DE$43,BZ$3-VLOOKUP($A13,'détails investissements'!$A$71:$B$88,2,FALSE)+1,FALSE)="","",VLOOKUP($A13,'détails investissements'!$A$26:$DE$43,BZ$3-VLOOKUP($A13,'détails investissements'!$A$71:$B$88,2,FALSE)+1,FALSE))),'détails investissements'!$U$6:$AB$7,2,FALSE),""),FALSE),"")</f>
        <v/>
      </c>
      <c r="CA13" s="45" t="str">
        <f>IF(IF(IF(CA$3-VLOOKUP($A13,'détails investissements'!$A$71:$B$88,2,FALSE)&lt;=0,"",IF(VLOOKUP($A13,'détails investissements'!$A$26:$DE$43,CA$3-VLOOKUP($A13,'détails investissements'!$A$71:$B$88,2,FALSE)+1,FALSE)="","",VLOOKUP($A13,'détails investissements'!$A$26:$DE$43,CA$3-VLOOKUP($A13,'détails investissements'!$A$71:$B$88,2,FALSE)+1,FALSE)))&lt;&gt;"",HLOOKUP(IF(CA$3-VLOOKUP($A13,'détails investissements'!$A$71:$B$88,2,FALSE)&lt;=0,"",IF(VLOOKUP($A13,'détails investissements'!$A$26:$DE$43,CA$3-VLOOKUP($A13,'détails investissements'!$A$71:$B$88,2,FALSE)+1,FALSE)="","",VLOOKUP($A13,'détails investissements'!$A$26:$DE$43,CA$3-VLOOKUP($A13,'détails investissements'!$A$71:$B$88,2,FALSE)+1,FALSE))),'détails investissements'!$U$6:$AB$7,2,FALSE),"")&lt;&gt;"",VLOOKUP($A13,'détails investissements'!$A$7:$H$21,1+IF(IF(CA$3-VLOOKUP($A13,'détails investissements'!$A$71:$B$88,2,FALSE)&lt;=0,"",IF(VLOOKUP($A13,'détails investissements'!$A$26:$DE$43,CA$3-VLOOKUP($A13,'détails investissements'!$A$71:$B$88,2,FALSE)+1,FALSE)="","",VLOOKUP($A13,'détails investissements'!$A$26:$DE$43,CA$3-VLOOKUP($A13,'détails investissements'!$A$71:$B$88,2,FALSE)+1,FALSE)))&lt;&gt;"",HLOOKUP(IF(CA$3-VLOOKUP($A13,'détails investissements'!$A$71:$B$88,2,FALSE)&lt;=0,"",IF(VLOOKUP($A13,'détails investissements'!$A$26:$DE$43,CA$3-VLOOKUP($A13,'détails investissements'!$A$71:$B$88,2,FALSE)+1,FALSE)="","",VLOOKUP($A13,'détails investissements'!$A$26:$DE$43,CA$3-VLOOKUP($A13,'détails investissements'!$A$71:$B$88,2,FALSE)+1,FALSE))),'détails investissements'!$U$6:$AB$7,2,FALSE),""),FALSE),"")</f>
        <v/>
      </c>
      <c r="CB13" s="45" t="str">
        <f>IF(IF(IF(CB$3-VLOOKUP($A13,'détails investissements'!$A$71:$B$88,2,FALSE)&lt;=0,"",IF(VLOOKUP($A13,'détails investissements'!$A$26:$DE$43,CB$3-VLOOKUP($A13,'détails investissements'!$A$71:$B$88,2,FALSE)+1,FALSE)="","",VLOOKUP($A13,'détails investissements'!$A$26:$DE$43,CB$3-VLOOKUP($A13,'détails investissements'!$A$71:$B$88,2,FALSE)+1,FALSE)))&lt;&gt;"",HLOOKUP(IF(CB$3-VLOOKUP($A13,'détails investissements'!$A$71:$B$88,2,FALSE)&lt;=0,"",IF(VLOOKUP($A13,'détails investissements'!$A$26:$DE$43,CB$3-VLOOKUP($A13,'détails investissements'!$A$71:$B$88,2,FALSE)+1,FALSE)="","",VLOOKUP($A13,'détails investissements'!$A$26:$DE$43,CB$3-VLOOKUP($A13,'détails investissements'!$A$71:$B$88,2,FALSE)+1,FALSE))),'détails investissements'!$U$6:$AB$7,2,FALSE),"")&lt;&gt;"",VLOOKUP($A13,'détails investissements'!$A$7:$H$21,1+IF(IF(CB$3-VLOOKUP($A13,'détails investissements'!$A$71:$B$88,2,FALSE)&lt;=0,"",IF(VLOOKUP($A13,'détails investissements'!$A$26:$DE$43,CB$3-VLOOKUP($A13,'détails investissements'!$A$71:$B$88,2,FALSE)+1,FALSE)="","",VLOOKUP($A13,'détails investissements'!$A$26:$DE$43,CB$3-VLOOKUP($A13,'détails investissements'!$A$71:$B$88,2,FALSE)+1,FALSE)))&lt;&gt;"",HLOOKUP(IF(CB$3-VLOOKUP($A13,'détails investissements'!$A$71:$B$88,2,FALSE)&lt;=0,"",IF(VLOOKUP($A13,'détails investissements'!$A$26:$DE$43,CB$3-VLOOKUP($A13,'détails investissements'!$A$71:$B$88,2,FALSE)+1,FALSE)="","",VLOOKUP($A13,'détails investissements'!$A$26:$DE$43,CB$3-VLOOKUP($A13,'détails investissements'!$A$71:$B$88,2,FALSE)+1,FALSE))),'détails investissements'!$U$6:$AB$7,2,FALSE),""),FALSE),"")</f>
        <v/>
      </c>
      <c r="CC13" s="45" t="str">
        <f>IF(IF(IF(CC$3-VLOOKUP($A13,'détails investissements'!$A$71:$B$88,2,FALSE)&lt;=0,"",IF(VLOOKUP($A13,'détails investissements'!$A$26:$DE$43,CC$3-VLOOKUP($A13,'détails investissements'!$A$71:$B$88,2,FALSE)+1,FALSE)="","",VLOOKUP($A13,'détails investissements'!$A$26:$DE$43,CC$3-VLOOKUP($A13,'détails investissements'!$A$71:$B$88,2,FALSE)+1,FALSE)))&lt;&gt;"",HLOOKUP(IF(CC$3-VLOOKUP($A13,'détails investissements'!$A$71:$B$88,2,FALSE)&lt;=0,"",IF(VLOOKUP($A13,'détails investissements'!$A$26:$DE$43,CC$3-VLOOKUP($A13,'détails investissements'!$A$71:$B$88,2,FALSE)+1,FALSE)="","",VLOOKUP($A13,'détails investissements'!$A$26:$DE$43,CC$3-VLOOKUP($A13,'détails investissements'!$A$71:$B$88,2,FALSE)+1,FALSE))),'détails investissements'!$U$6:$AB$7,2,FALSE),"")&lt;&gt;"",VLOOKUP($A13,'détails investissements'!$A$7:$H$21,1+IF(IF(CC$3-VLOOKUP($A13,'détails investissements'!$A$71:$B$88,2,FALSE)&lt;=0,"",IF(VLOOKUP($A13,'détails investissements'!$A$26:$DE$43,CC$3-VLOOKUP($A13,'détails investissements'!$A$71:$B$88,2,FALSE)+1,FALSE)="","",VLOOKUP($A13,'détails investissements'!$A$26:$DE$43,CC$3-VLOOKUP($A13,'détails investissements'!$A$71:$B$88,2,FALSE)+1,FALSE)))&lt;&gt;"",HLOOKUP(IF(CC$3-VLOOKUP($A13,'détails investissements'!$A$71:$B$88,2,FALSE)&lt;=0,"",IF(VLOOKUP($A13,'détails investissements'!$A$26:$DE$43,CC$3-VLOOKUP($A13,'détails investissements'!$A$71:$B$88,2,FALSE)+1,FALSE)="","",VLOOKUP($A13,'détails investissements'!$A$26:$DE$43,CC$3-VLOOKUP($A13,'détails investissements'!$A$71:$B$88,2,FALSE)+1,FALSE))),'détails investissements'!$U$6:$AB$7,2,FALSE),""),FALSE),"")</f>
        <v/>
      </c>
      <c r="CD13" s="45" t="str">
        <f>IF(IF(IF(CD$3-VLOOKUP($A13,'détails investissements'!$A$71:$B$88,2,FALSE)&lt;=0,"",IF(VLOOKUP($A13,'détails investissements'!$A$26:$DE$43,CD$3-VLOOKUP($A13,'détails investissements'!$A$71:$B$88,2,FALSE)+1,FALSE)="","",VLOOKUP($A13,'détails investissements'!$A$26:$DE$43,CD$3-VLOOKUP($A13,'détails investissements'!$A$71:$B$88,2,FALSE)+1,FALSE)))&lt;&gt;"",HLOOKUP(IF(CD$3-VLOOKUP($A13,'détails investissements'!$A$71:$B$88,2,FALSE)&lt;=0,"",IF(VLOOKUP($A13,'détails investissements'!$A$26:$DE$43,CD$3-VLOOKUP($A13,'détails investissements'!$A$71:$B$88,2,FALSE)+1,FALSE)="","",VLOOKUP($A13,'détails investissements'!$A$26:$DE$43,CD$3-VLOOKUP($A13,'détails investissements'!$A$71:$B$88,2,FALSE)+1,FALSE))),'détails investissements'!$U$6:$AB$7,2,FALSE),"")&lt;&gt;"",VLOOKUP($A13,'détails investissements'!$A$7:$H$21,1+IF(IF(CD$3-VLOOKUP($A13,'détails investissements'!$A$71:$B$88,2,FALSE)&lt;=0,"",IF(VLOOKUP($A13,'détails investissements'!$A$26:$DE$43,CD$3-VLOOKUP($A13,'détails investissements'!$A$71:$B$88,2,FALSE)+1,FALSE)="","",VLOOKUP($A13,'détails investissements'!$A$26:$DE$43,CD$3-VLOOKUP($A13,'détails investissements'!$A$71:$B$88,2,FALSE)+1,FALSE)))&lt;&gt;"",HLOOKUP(IF(CD$3-VLOOKUP($A13,'détails investissements'!$A$71:$B$88,2,FALSE)&lt;=0,"",IF(VLOOKUP($A13,'détails investissements'!$A$26:$DE$43,CD$3-VLOOKUP($A13,'détails investissements'!$A$71:$B$88,2,FALSE)+1,FALSE)="","",VLOOKUP($A13,'détails investissements'!$A$26:$DE$43,CD$3-VLOOKUP($A13,'détails investissements'!$A$71:$B$88,2,FALSE)+1,FALSE))),'détails investissements'!$U$6:$AB$7,2,FALSE),""),FALSE),"")</f>
        <v/>
      </c>
      <c r="CE13" s="45" t="str">
        <f>IF(IF(IF(CE$3-VLOOKUP($A13,'détails investissements'!$A$71:$B$88,2,FALSE)&lt;=0,"",IF(VLOOKUP($A13,'détails investissements'!$A$26:$DE$43,CE$3-VLOOKUP($A13,'détails investissements'!$A$71:$B$88,2,FALSE)+1,FALSE)="","",VLOOKUP($A13,'détails investissements'!$A$26:$DE$43,CE$3-VLOOKUP($A13,'détails investissements'!$A$71:$B$88,2,FALSE)+1,FALSE)))&lt;&gt;"",HLOOKUP(IF(CE$3-VLOOKUP($A13,'détails investissements'!$A$71:$B$88,2,FALSE)&lt;=0,"",IF(VLOOKUP($A13,'détails investissements'!$A$26:$DE$43,CE$3-VLOOKUP($A13,'détails investissements'!$A$71:$B$88,2,FALSE)+1,FALSE)="","",VLOOKUP($A13,'détails investissements'!$A$26:$DE$43,CE$3-VLOOKUP($A13,'détails investissements'!$A$71:$B$88,2,FALSE)+1,FALSE))),'détails investissements'!$U$6:$AB$7,2,FALSE),"")&lt;&gt;"",VLOOKUP($A13,'détails investissements'!$A$7:$H$21,1+IF(IF(CE$3-VLOOKUP($A13,'détails investissements'!$A$71:$B$88,2,FALSE)&lt;=0,"",IF(VLOOKUP($A13,'détails investissements'!$A$26:$DE$43,CE$3-VLOOKUP($A13,'détails investissements'!$A$71:$B$88,2,FALSE)+1,FALSE)="","",VLOOKUP($A13,'détails investissements'!$A$26:$DE$43,CE$3-VLOOKUP($A13,'détails investissements'!$A$71:$B$88,2,FALSE)+1,FALSE)))&lt;&gt;"",HLOOKUP(IF(CE$3-VLOOKUP($A13,'détails investissements'!$A$71:$B$88,2,FALSE)&lt;=0,"",IF(VLOOKUP($A13,'détails investissements'!$A$26:$DE$43,CE$3-VLOOKUP($A13,'détails investissements'!$A$71:$B$88,2,FALSE)+1,FALSE)="","",VLOOKUP($A13,'détails investissements'!$A$26:$DE$43,CE$3-VLOOKUP($A13,'détails investissements'!$A$71:$B$88,2,FALSE)+1,FALSE))),'détails investissements'!$U$6:$AB$7,2,FALSE),""),FALSE),"")</f>
        <v/>
      </c>
      <c r="CF13" s="45" t="str">
        <f>IF(IF(IF(CF$3-VLOOKUP($A13,'détails investissements'!$A$71:$B$88,2,FALSE)&lt;=0,"",IF(VLOOKUP($A13,'détails investissements'!$A$26:$DE$43,CF$3-VLOOKUP($A13,'détails investissements'!$A$71:$B$88,2,FALSE)+1,FALSE)="","",VLOOKUP($A13,'détails investissements'!$A$26:$DE$43,CF$3-VLOOKUP($A13,'détails investissements'!$A$71:$B$88,2,FALSE)+1,FALSE)))&lt;&gt;"",HLOOKUP(IF(CF$3-VLOOKUP($A13,'détails investissements'!$A$71:$B$88,2,FALSE)&lt;=0,"",IF(VLOOKUP($A13,'détails investissements'!$A$26:$DE$43,CF$3-VLOOKUP($A13,'détails investissements'!$A$71:$B$88,2,FALSE)+1,FALSE)="","",VLOOKUP($A13,'détails investissements'!$A$26:$DE$43,CF$3-VLOOKUP($A13,'détails investissements'!$A$71:$B$88,2,FALSE)+1,FALSE))),'détails investissements'!$U$6:$AB$7,2,FALSE),"")&lt;&gt;"",VLOOKUP($A13,'détails investissements'!$A$7:$H$21,1+IF(IF(CF$3-VLOOKUP($A13,'détails investissements'!$A$71:$B$88,2,FALSE)&lt;=0,"",IF(VLOOKUP($A13,'détails investissements'!$A$26:$DE$43,CF$3-VLOOKUP($A13,'détails investissements'!$A$71:$B$88,2,FALSE)+1,FALSE)="","",VLOOKUP($A13,'détails investissements'!$A$26:$DE$43,CF$3-VLOOKUP($A13,'détails investissements'!$A$71:$B$88,2,FALSE)+1,FALSE)))&lt;&gt;"",HLOOKUP(IF(CF$3-VLOOKUP($A13,'détails investissements'!$A$71:$B$88,2,FALSE)&lt;=0,"",IF(VLOOKUP($A13,'détails investissements'!$A$26:$DE$43,CF$3-VLOOKUP($A13,'détails investissements'!$A$71:$B$88,2,FALSE)+1,FALSE)="","",VLOOKUP($A13,'détails investissements'!$A$26:$DE$43,CF$3-VLOOKUP($A13,'détails investissements'!$A$71:$B$88,2,FALSE)+1,FALSE))),'détails investissements'!$U$6:$AB$7,2,FALSE),""),FALSE),"")</f>
        <v/>
      </c>
      <c r="CG13" s="45" t="str">
        <f>IF(IF(IF(CG$3-VLOOKUP($A13,'détails investissements'!$A$71:$B$88,2,FALSE)&lt;=0,"",IF(VLOOKUP($A13,'détails investissements'!$A$26:$DE$43,CG$3-VLOOKUP($A13,'détails investissements'!$A$71:$B$88,2,FALSE)+1,FALSE)="","",VLOOKUP($A13,'détails investissements'!$A$26:$DE$43,CG$3-VLOOKUP($A13,'détails investissements'!$A$71:$B$88,2,FALSE)+1,FALSE)))&lt;&gt;"",HLOOKUP(IF(CG$3-VLOOKUP($A13,'détails investissements'!$A$71:$B$88,2,FALSE)&lt;=0,"",IF(VLOOKUP($A13,'détails investissements'!$A$26:$DE$43,CG$3-VLOOKUP($A13,'détails investissements'!$A$71:$B$88,2,FALSE)+1,FALSE)="","",VLOOKUP($A13,'détails investissements'!$A$26:$DE$43,CG$3-VLOOKUP($A13,'détails investissements'!$A$71:$B$88,2,FALSE)+1,FALSE))),'détails investissements'!$U$6:$AB$7,2,FALSE),"")&lt;&gt;"",VLOOKUP($A13,'détails investissements'!$A$7:$H$21,1+IF(IF(CG$3-VLOOKUP($A13,'détails investissements'!$A$71:$B$88,2,FALSE)&lt;=0,"",IF(VLOOKUP($A13,'détails investissements'!$A$26:$DE$43,CG$3-VLOOKUP($A13,'détails investissements'!$A$71:$B$88,2,FALSE)+1,FALSE)="","",VLOOKUP($A13,'détails investissements'!$A$26:$DE$43,CG$3-VLOOKUP($A13,'détails investissements'!$A$71:$B$88,2,FALSE)+1,FALSE)))&lt;&gt;"",HLOOKUP(IF(CG$3-VLOOKUP($A13,'détails investissements'!$A$71:$B$88,2,FALSE)&lt;=0,"",IF(VLOOKUP($A13,'détails investissements'!$A$26:$DE$43,CG$3-VLOOKUP($A13,'détails investissements'!$A$71:$B$88,2,FALSE)+1,FALSE)="","",VLOOKUP($A13,'détails investissements'!$A$26:$DE$43,CG$3-VLOOKUP($A13,'détails investissements'!$A$71:$B$88,2,FALSE)+1,FALSE))),'détails investissements'!$U$6:$AB$7,2,FALSE),""),FALSE),"")</f>
        <v/>
      </c>
      <c r="CH13" s="45" t="str">
        <f>IF(IF(IF(CH$3-VLOOKUP($A13,'détails investissements'!$A$71:$B$88,2,FALSE)&lt;=0,"",IF(VLOOKUP($A13,'détails investissements'!$A$26:$DE$43,CH$3-VLOOKUP($A13,'détails investissements'!$A$71:$B$88,2,FALSE)+1,FALSE)="","",VLOOKUP($A13,'détails investissements'!$A$26:$DE$43,CH$3-VLOOKUP($A13,'détails investissements'!$A$71:$B$88,2,FALSE)+1,FALSE)))&lt;&gt;"",HLOOKUP(IF(CH$3-VLOOKUP($A13,'détails investissements'!$A$71:$B$88,2,FALSE)&lt;=0,"",IF(VLOOKUP($A13,'détails investissements'!$A$26:$DE$43,CH$3-VLOOKUP($A13,'détails investissements'!$A$71:$B$88,2,FALSE)+1,FALSE)="","",VLOOKUP($A13,'détails investissements'!$A$26:$DE$43,CH$3-VLOOKUP($A13,'détails investissements'!$A$71:$B$88,2,FALSE)+1,FALSE))),'détails investissements'!$U$6:$AB$7,2,FALSE),"")&lt;&gt;"",VLOOKUP($A13,'détails investissements'!$A$7:$H$21,1+IF(IF(CH$3-VLOOKUP($A13,'détails investissements'!$A$71:$B$88,2,FALSE)&lt;=0,"",IF(VLOOKUP($A13,'détails investissements'!$A$26:$DE$43,CH$3-VLOOKUP($A13,'détails investissements'!$A$71:$B$88,2,FALSE)+1,FALSE)="","",VLOOKUP($A13,'détails investissements'!$A$26:$DE$43,CH$3-VLOOKUP($A13,'détails investissements'!$A$71:$B$88,2,FALSE)+1,FALSE)))&lt;&gt;"",HLOOKUP(IF(CH$3-VLOOKUP($A13,'détails investissements'!$A$71:$B$88,2,FALSE)&lt;=0,"",IF(VLOOKUP($A13,'détails investissements'!$A$26:$DE$43,CH$3-VLOOKUP($A13,'détails investissements'!$A$71:$B$88,2,FALSE)+1,FALSE)="","",VLOOKUP($A13,'détails investissements'!$A$26:$DE$43,CH$3-VLOOKUP($A13,'détails investissements'!$A$71:$B$88,2,FALSE)+1,FALSE))),'détails investissements'!$U$6:$AB$7,2,FALSE),""),FALSE),"")</f>
        <v/>
      </c>
      <c r="CI13" s="45" t="str">
        <f>IF(IF(IF(CI$3-VLOOKUP($A13,'détails investissements'!$A$71:$B$88,2,FALSE)&lt;=0,"",IF(VLOOKUP($A13,'détails investissements'!$A$26:$DE$43,CI$3-VLOOKUP($A13,'détails investissements'!$A$71:$B$88,2,FALSE)+1,FALSE)="","",VLOOKUP($A13,'détails investissements'!$A$26:$DE$43,CI$3-VLOOKUP($A13,'détails investissements'!$A$71:$B$88,2,FALSE)+1,FALSE)))&lt;&gt;"",HLOOKUP(IF(CI$3-VLOOKUP($A13,'détails investissements'!$A$71:$B$88,2,FALSE)&lt;=0,"",IF(VLOOKUP($A13,'détails investissements'!$A$26:$DE$43,CI$3-VLOOKUP($A13,'détails investissements'!$A$71:$B$88,2,FALSE)+1,FALSE)="","",VLOOKUP($A13,'détails investissements'!$A$26:$DE$43,CI$3-VLOOKUP($A13,'détails investissements'!$A$71:$B$88,2,FALSE)+1,FALSE))),'détails investissements'!$U$6:$AB$7,2,FALSE),"")&lt;&gt;"",VLOOKUP($A13,'détails investissements'!$A$7:$H$21,1+IF(IF(CI$3-VLOOKUP($A13,'détails investissements'!$A$71:$B$88,2,FALSE)&lt;=0,"",IF(VLOOKUP($A13,'détails investissements'!$A$26:$DE$43,CI$3-VLOOKUP($A13,'détails investissements'!$A$71:$B$88,2,FALSE)+1,FALSE)="","",VLOOKUP($A13,'détails investissements'!$A$26:$DE$43,CI$3-VLOOKUP($A13,'détails investissements'!$A$71:$B$88,2,FALSE)+1,FALSE)))&lt;&gt;"",HLOOKUP(IF(CI$3-VLOOKUP($A13,'détails investissements'!$A$71:$B$88,2,FALSE)&lt;=0,"",IF(VLOOKUP($A13,'détails investissements'!$A$26:$DE$43,CI$3-VLOOKUP($A13,'détails investissements'!$A$71:$B$88,2,FALSE)+1,FALSE)="","",VLOOKUP($A13,'détails investissements'!$A$26:$DE$43,CI$3-VLOOKUP($A13,'détails investissements'!$A$71:$B$88,2,FALSE)+1,FALSE))),'détails investissements'!$U$6:$AB$7,2,FALSE),""),FALSE),"")</f>
        <v/>
      </c>
      <c r="CJ13" s="45" t="str">
        <f>IF(IF(IF(CJ$3-VLOOKUP($A13,'détails investissements'!$A$71:$B$88,2,FALSE)&lt;=0,"",IF(VLOOKUP($A13,'détails investissements'!$A$26:$DE$43,CJ$3-VLOOKUP($A13,'détails investissements'!$A$71:$B$88,2,FALSE)+1,FALSE)="","",VLOOKUP($A13,'détails investissements'!$A$26:$DE$43,CJ$3-VLOOKUP($A13,'détails investissements'!$A$71:$B$88,2,FALSE)+1,FALSE)))&lt;&gt;"",HLOOKUP(IF(CJ$3-VLOOKUP($A13,'détails investissements'!$A$71:$B$88,2,FALSE)&lt;=0,"",IF(VLOOKUP($A13,'détails investissements'!$A$26:$DE$43,CJ$3-VLOOKUP($A13,'détails investissements'!$A$71:$B$88,2,FALSE)+1,FALSE)="","",VLOOKUP($A13,'détails investissements'!$A$26:$DE$43,CJ$3-VLOOKUP($A13,'détails investissements'!$A$71:$B$88,2,FALSE)+1,FALSE))),'détails investissements'!$U$6:$AB$7,2,FALSE),"")&lt;&gt;"",VLOOKUP($A13,'détails investissements'!$A$7:$H$21,1+IF(IF(CJ$3-VLOOKUP($A13,'détails investissements'!$A$71:$B$88,2,FALSE)&lt;=0,"",IF(VLOOKUP($A13,'détails investissements'!$A$26:$DE$43,CJ$3-VLOOKUP($A13,'détails investissements'!$A$71:$B$88,2,FALSE)+1,FALSE)="","",VLOOKUP($A13,'détails investissements'!$A$26:$DE$43,CJ$3-VLOOKUP($A13,'détails investissements'!$A$71:$B$88,2,FALSE)+1,FALSE)))&lt;&gt;"",HLOOKUP(IF(CJ$3-VLOOKUP($A13,'détails investissements'!$A$71:$B$88,2,FALSE)&lt;=0,"",IF(VLOOKUP($A13,'détails investissements'!$A$26:$DE$43,CJ$3-VLOOKUP($A13,'détails investissements'!$A$71:$B$88,2,FALSE)+1,FALSE)="","",VLOOKUP($A13,'détails investissements'!$A$26:$DE$43,CJ$3-VLOOKUP($A13,'détails investissements'!$A$71:$B$88,2,FALSE)+1,FALSE))),'détails investissements'!$U$6:$AB$7,2,FALSE),""),FALSE),"")</f>
        <v/>
      </c>
      <c r="CK13" s="45" t="str">
        <f>IF(IF(IF(CK$3-VLOOKUP($A13,'détails investissements'!$A$71:$B$88,2,FALSE)&lt;=0,"",IF(VLOOKUP($A13,'détails investissements'!$A$26:$DE$43,CK$3-VLOOKUP($A13,'détails investissements'!$A$71:$B$88,2,FALSE)+1,FALSE)="","",VLOOKUP($A13,'détails investissements'!$A$26:$DE$43,CK$3-VLOOKUP($A13,'détails investissements'!$A$71:$B$88,2,FALSE)+1,FALSE)))&lt;&gt;"",HLOOKUP(IF(CK$3-VLOOKUP($A13,'détails investissements'!$A$71:$B$88,2,FALSE)&lt;=0,"",IF(VLOOKUP($A13,'détails investissements'!$A$26:$DE$43,CK$3-VLOOKUP($A13,'détails investissements'!$A$71:$B$88,2,FALSE)+1,FALSE)="","",VLOOKUP($A13,'détails investissements'!$A$26:$DE$43,CK$3-VLOOKUP($A13,'détails investissements'!$A$71:$B$88,2,FALSE)+1,FALSE))),'détails investissements'!$U$6:$AB$7,2,FALSE),"")&lt;&gt;"",VLOOKUP($A13,'détails investissements'!$A$7:$H$21,1+IF(IF(CK$3-VLOOKUP($A13,'détails investissements'!$A$71:$B$88,2,FALSE)&lt;=0,"",IF(VLOOKUP($A13,'détails investissements'!$A$26:$DE$43,CK$3-VLOOKUP($A13,'détails investissements'!$A$71:$B$88,2,FALSE)+1,FALSE)="","",VLOOKUP($A13,'détails investissements'!$A$26:$DE$43,CK$3-VLOOKUP($A13,'détails investissements'!$A$71:$B$88,2,FALSE)+1,FALSE)))&lt;&gt;"",HLOOKUP(IF(CK$3-VLOOKUP($A13,'détails investissements'!$A$71:$B$88,2,FALSE)&lt;=0,"",IF(VLOOKUP($A13,'détails investissements'!$A$26:$DE$43,CK$3-VLOOKUP($A13,'détails investissements'!$A$71:$B$88,2,FALSE)+1,FALSE)="","",VLOOKUP($A13,'détails investissements'!$A$26:$DE$43,CK$3-VLOOKUP($A13,'détails investissements'!$A$71:$B$88,2,FALSE)+1,FALSE))),'détails investissements'!$U$6:$AB$7,2,FALSE),""),FALSE),"")</f>
        <v/>
      </c>
      <c r="CL13" s="45" t="str">
        <f>IF(IF(IF(CL$3-VLOOKUP($A13,'détails investissements'!$A$71:$B$88,2,FALSE)&lt;=0,"",IF(VLOOKUP($A13,'détails investissements'!$A$26:$DE$43,CL$3-VLOOKUP($A13,'détails investissements'!$A$71:$B$88,2,FALSE)+1,FALSE)="","",VLOOKUP($A13,'détails investissements'!$A$26:$DE$43,CL$3-VLOOKUP($A13,'détails investissements'!$A$71:$B$88,2,FALSE)+1,FALSE)))&lt;&gt;"",HLOOKUP(IF(CL$3-VLOOKUP($A13,'détails investissements'!$A$71:$B$88,2,FALSE)&lt;=0,"",IF(VLOOKUP($A13,'détails investissements'!$A$26:$DE$43,CL$3-VLOOKUP($A13,'détails investissements'!$A$71:$B$88,2,FALSE)+1,FALSE)="","",VLOOKUP($A13,'détails investissements'!$A$26:$DE$43,CL$3-VLOOKUP($A13,'détails investissements'!$A$71:$B$88,2,FALSE)+1,FALSE))),'détails investissements'!$U$6:$AB$7,2,FALSE),"")&lt;&gt;"",VLOOKUP($A13,'détails investissements'!$A$7:$H$21,1+IF(IF(CL$3-VLOOKUP($A13,'détails investissements'!$A$71:$B$88,2,FALSE)&lt;=0,"",IF(VLOOKUP($A13,'détails investissements'!$A$26:$DE$43,CL$3-VLOOKUP($A13,'détails investissements'!$A$71:$B$88,2,FALSE)+1,FALSE)="","",VLOOKUP($A13,'détails investissements'!$A$26:$DE$43,CL$3-VLOOKUP($A13,'détails investissements'!$A$71:$B$88,2,FALSE)+1,FALSE)))&lt;&gt;"",HLOOKUP(IF(CL$3-VLOOKUP($A13,'détails investissements'!$A$71:$B$88,2,FALSE)&lt;=0,"",IF(VLOOKUP($A13,'détails investissements'!$A$26:$DE$43,CL$3-VLOOKUP($A13,'détails investissements'!$A$71:$B$88,2,FALSE)+1,FALSE)="","",VLOOKUP($A13,'détails investissements'!$A$26:$DE$43,CL$3-VLOOKUP($A13,'détails investissements'!$A$71:$B$88,2,FALSE)+1,FALSE))),'détails investissements'!$U$6:$AB$7,2,FALSE),""),FALSE),"")</f>
        <v/>
      </c>
      <c r="CM13" s="45" t="str">
        <f>IF(IF(IF(CM$3-VLOOKUP($A13,'détails investissements'!$A$71:$B$88,2,FALSE)&lt;=0,"",IF(VLOOKUP($A13,'détails investissements'!$A$26:$DE$43,CM$3-VLOOKUP($A13,'détails investissements'!$A$71:$B$88,2,FALSE)+1,FALSE)="","",VLOOKUP($A13,'détails investissements'!$A$26:$DE$43,CM$3-VLOOKUP($A13,'détails investissements'!$A$71:$B$88,2,FALSE)+1,FALSE)))&lt;&gt;"",HLOOKUP(IF(CM$3-VLOOKUP($A13,'détails investissements'!$A$71:$B$88,2,FALSE)&lt;=0,"",IF(VLOOKUP($A13,'détails investissements'!$A$26:$DE$43,CM$3-VLOOKUP($A13,'détails investissements'!$A$71:$B$88,2,FALSE)+1,FALSE)="","",VLOOKUP($A13,'détails investissements'!$A$26:$DE$43,CM$3-VLOOKUP($A13,'détails investissements'!$A$71:$B$88,2,FALSE)+1,FALSE))),'détails investissements'!$U$6:$AB$7,2,FALSE),"")&lt;&gt;"",VLOOKUP($A13,'détails investissements'!$A$7:$H$21,1+IF(IF(CM$3-VLOOKUP($A13,'détails investissements'!$A$71:$B$88,2,FALSE)&lt;=0,"",IF(VLOOKUP($A13,'détails investissements'!$A$26:$DE$43,CM$3-VLOOKUP($A13,'détails investissements'!$A$71:$B$88,2,FALSE)+1,FALSE)="","",VLOOKUP($A13,'détails investissements'!$A$26:$DE$43,CM$3-VLOOKUP($A13,'détails investissements'!$A$71:$B$88,2,FALSE)+1,FALSE)))&lt;&gt;"",HLOOKUP(IF(CM$3-VLOOKUP($A13,'détails investissements'!$A$71:$B$88,2,FALSE)&lt;=0,"",IF(VLOOKUP($A13,'détails investissements'!$A$26:$DE$43,CM$3-VLOOKUP($A13,'détails investissements'!$A$71:$B$88,2,FALSE)+1,FALSE)="","",VLOOKUP($A13,'détails investissements'!$A$26:$DE$43,CM$3-VLOOKUP($A13,'détails investissements'!$A$71:$B$88,2,FALSE)+1,FALSE))),'détails investissements'!$U$6:$AB$7,2,FALSE),""),FALSE),"")</f>
        <v/>
      </c>
      <c r="CN13" s="45" t="str">
        <f>IF(IF(IF(CN$3-VLOOKUP($A13,'détails investissements'!$A$71:$B$88,2,FALSE)&lt;=0,"",IF(VLOOKUP($A13,'détails investissements'!$A$26:$DE$43,CN$3-VLOOKUP($A13,'détails investissements'!$A$71:$B$88,2,FALSE)+1,FALSE)="","",VLOOKUP($A13,'détails investissements'!$A$26:$DE$43,CN$3-VLOOKUP($A13,'détails investissements'!$A$71:$B$88,2,FALSE)+1,FALSE)))&lt;&gt;"",HLOOKUP(IF(CN$3-VLOOKUP($A13,'détails investissements'!$A$71:$B$88,2,FALSE)&lt;=0,"",IF(VLOOKUP($A13,'détails investissements'!$A$26:$DE$43,CN$3-VLOOKUP($A13,'détails investissements'!$A$71:$B$88,2,FALSE)+1,FALSE)="","",VLOOKUP($A13,'détails investissements'!$A$26:$DE$43,CN$3-VLOOKUP($A13,'détails investissements'!$A$71:$B$88,2,FALSE)+1,FALSE))),'détails investissements'!$U$6:$AB$7,2,FALSE),"")&lt;&gt;"",VLOOKUP($A13,'détails investissements'!$A$7:$H$21,1+IF(IF(CN$3-VLOOKUP($A13,'détails investissements'!$A$71:$B$88,2,FALSE)&lt;=0,"",IF(VLOOKUP($A13,'détails investissements'!$A$26:$DE$43,CN$3-VLOOKUP($A13,'détails investissements'!$A$71:$B$88,2,FALSE)+1,FALSE)="","",VLOOKUP($A13,'détails investissements'!$A$26:$DE$43,CN$3-VLOOKUP($A13,'détails investissements'!$A$71:$B$88,2,FALSE)+1,FALSE)))&lt;&gt;"",HLOOKUP(IF(CN$3-VLOOKUP($A13,'détails investissements'!$A$71:$B$88,2,FALSE)&lt;=0,"",IF(VLOOKUP($A13,'détails investissements'!$A$26:$DE$43,CN$3-VLOOKUP($A13,'détails investissements'!$A$71:$B$88,2,FALSE)+1,FALSE)="","",VLOOKUP($A13,'détails investissements'!$A$26:$DE$43,CN$3-VLOOKUP($A13,'détails investissements'!$A$71:$B$88,2,FALSE)+1,FALSE))),'détails investissements'!$U$6:$AB$7,2,FALSE),""),FALSE),"")</f>
        <v/>
      </c>
      <c r="CO13" s="45" t="str">
        <f>IF(IF(IF(CO$3-VLOOKUP($A13,'détails investissements'!$A$71:$B$88,2,FALSE)&lt;=0,"",IF(VLOOKUP($A13,'détails investissements'!$A$26:$DE$43,CO$3-VLOOKUP($A13,'détails investissements'!$A$71:$B$88,2,FALSE)+1,FALSE)="","",VLOOKUP($A13,'détails investissements'!$A$26:$DE$43,CO$3-VLOOKUP($A13,'détails investissements'!$A$71:$B$88,2,FALSE)+1,FALSE)))&lt;&gt;"",HLOOKUP(IF(CO$3-VLOOKUP($A13,'détails investissements'!$A$71:$B$88,2,FALSE)&lt;=0,"",IF(VLOOKUP($A13,'détails investissements'!$A$26:$DE$43,CO$3-VLOOKUP($A13,'détails investissements'!$A$71:$B$88,2,FALSE)+1,FALSE)="","",VLOOKUP($A13,'détails investissements'!$A$26:$DE$43,CO$3-VLOOKUP($A13,'détails investissements'!$A$71:$B$88,2,FALSE)+1,FALSE))),'détails investissements'!$U$6:$AB$7,2,FALSE),"")&lt;&gt;"",VLOOKUP($A13,'détails investissements'!$A$7:$H$21,1+IF(IF(CO$3-VLOOKUP($A13,'détails investissements'!$A$71:$B$88,2,FALSE)&lt;=0,"",IF(VLOOKUP($A13,'détails investissements'!$A$26:$DE$43,CO$3-VLOOKUP($A13,'détails investissements'!$A$71:$B$88,2,FALSE)+1,FALSE)="","",VLOOKUP($A13,'détails investissements'!$A$26:$DE$43,CO$3-VLOOKUP($A13,'détails investissements'!$A$71:$B$88,2,FALSE)+1,FALSE)))&lt;&gt;"",HLOOKUP(IF(CO$3-VLOOKUP($A13,'détails investissements'!$A$71:$B$88,2,FALSE)&lt;=0,"",IF(VLOOKUP($A13,'détails investissements'!$A$26:$DE$43,CO$3-VLOOKUP($A13,'détails investissements'!$A$71:$B$88,2,FALSE)+1,FALSE)="","",VLOOKUP($A13,'détails investissements'!$A$26:$DE$43,CO$3-VLOOKUP($A13,'détails investissements'!$A$71:$B$88,2,FALSE)+1,FALSE))),'détails investissements'!$U$6:$AB$7,2,FALSE),""),FALSE),"")</f>
        <v/>
      </c>
      <c r="CP13" s="45" t="str">
        <f>IF(IF(IF(CP$3-VLOOKUP($A13,'détails investissements'!$A$71:$B$88,2,FALSE)&lt;=0,"",IF(VLOOKUP($A13,'détails investissements'!$A$26:$DE$43,CP$3-VLOOKUP($A13,'détails investissements'!$A$71:$B$88,2,FALSE)+1,FALSE)="","",VLOOKUP($A13,'détails investissements'!$A$26:$DE$43,CP$3-VLOOKUP($A13,'détails investissements'!$A$71:$B$88,2,FALSE)+1,FALSE)))&lt;&gt;"",HLOOKUP(IF(CP$3-VLOOKUP($A13,'détails investissements'!$A$71:$B$88,2,FALSE)&lt;=0,"",IF(VLOOKUP($A13,'détails investissements'!$A$26:$DE$43,CP$3-VLOOKUP($A13,'détails investissements'!$A$71:$B$88,2,FALSE)+1,FALSE)="","",VLOOKUP($A13,'détails investissements'!$A$26:$DE$43,CP$3-VLOOKUP($A13,'détails investissements'!$A$71:$B$88,2,FALSE)+1,FALSE))),'détails investissements'!$U$6:$AB$7,2,FALSE),"")&lt;&gt;"",VLOOKUP($A13,'détails investissements'!$A$7:$H$21,1+IF(IF(CP$3-VLOOKUP($A13,'détails investissements'!$A$71:$B$88,2,FALSE)&lt;=0,"",IF(VLOOKUP($A13,'détails investissements'!$A$26:$DE$43,CP$3-VLOOKUP($A13,'détails investissements'!$A$71:$B$88,2,FALSE)+1,FALSE)="","",VLOOKUP($A13,'détails investissements'!$A$26:$DE$43,CP$3-VLOOKUP($A13,'détails investissements'!$A$71:$B$88,2,FALSE)+1,FALSE)))&lt;&gt;"",HLOOKUP(IF(CP$3-VLOOKUP($A13,'détails investissements'!$A$71:$B$88,2,FALSE)&lt;=0,"",IF(VLOOKUP($A13,'détails investissements'!$A$26:$DE$43,CP$3-VLOOKUP($A13,'détails investissements'!$A$71:$B$88,2,FALSE)+1,FALSE)="","",VLOOKUP($A13,'détails investissements'!$A$26:$DE$43,CP$3-VLOOKUP($A13,'détails investissements'!$A$71:$B$88,2,FALSE)+1,FALSE))),'détails investissements'!$U$6:$AB$7,2,FALSE),""),FALSE),"")</f>
        <v/>
      </c>
      <c r="CQ13" s="45" t="str">
        <f>IF(IF(IF(CQ$3-VLOOKUP($A13,'détails investissements'!$A$71:$B$88,2,FALSE)&lt;=0,"",IF(VLOOKUP($A13,'détails investissements'!$A$26:$DE$43,CQ$3-VLOOKUP($A13,'détails investissements'!$A$71:$B$88,2,FALSE)+1,FALSE)="","",VLOOKUP($A13,'détails investissements'!$A$26:$DE$43,CQ$3-VLOOKUP($A13,'détails investissements'!$A$71:$B$88,2,FALSE)+1,FALSE)))&lt;&gt;"",HLOOKUP(IF(CQ$3-VLOOKUP($A13,'détails investissements'!$A$71:$B$88,2,FALSE)&lt;=0,"",IF(VLOOKUP($A13,'détails investissements'!$A$26:$DE$43,CQ$3-VLOOKUP($A13,'détails investissements'!$A$71:$B$88,2,FALSE)+1,FALSE)="","",VLOOKUP($A13,'détails investissements'!$A$26:$DE$43,CQ$3-VLOOKUP($A13,'détails investissements'!$A$71:$B$88,2,FALSE)+1,FALSE))),'détails investissements'!$U$6:$AB$7,2,FALSE),"")&lt;&gt;"",VLOOKUP($A13,'détails investissements'!$A$7:$H$21,1+IF(IF(CQ$3-VLOOKUP($A13,'détails investissements'!$A$71:$B$88,2,FALSE)&lt;=0,"",IF(VLOOKUP($A13,'détails investissements'!$A$26:$DE$43,CQ$3-VLOOKUP($A13,'détails investissements'!$A$71:$B$88,2,FALSE)+1,FALSE)="","",VLOOKUP($A13,'détails investissements'!$A$26:$DE$43,CQ$3-VLOOKUP($A13,'détails investissements'!$A$71:$B$88,2,FALSE)+1,FALSE)))&lt;&gt;"",HLOOKUP(IF(CQ$3-VLOOKUP($A13,'détails investissements'!$A$71:$B$88,2,FALSE)&lt;=0,"",IF(VLOOKUP($A13,'détails investissements'!$A$26:$DE$43,CQ$3-VLOOKUP($A13,'détails investissements'!$A$71:$B$88,2,FALSE)+1,FALSE)="","",VLOOKUP($A13,'détails investissements'!$A$26:$DE$43,CQ$3-VLOOKUP($A13,'détails investissements'!$A$71:$B$88,2,FALSE)+1,FALSE))),'détails investissements'!$U$6:$AB$7,2,FALSE),""),FALSE),"")</f>
        <v/>
      </c>
      <c r="CR13" s="45" t="str">
        <f>IF(IF(IF(CR$3-VLOOKUP($A13,'détails investissements'!$A$71:$B$88,2,FALSE)&lt;=0,"",IF(VLOOKUP($A13,'détails investissements'!$A$26:$DE$43,CR$3-VLOOKUP($A13,'détails investissements'!$A$71:$B$88,2,FALSE)+1,FALSE)="","",VLOOKUP($A13,'détails investissements'!$A$26:$DE$43,CR$3-VLOOKUP($A13,'détails investissements'!$A$71:$B$88,2,FALSE)+1,FALSE)))&lt;&gt;"",HLOOKUP(IF(CR$3-VLOOKUP($A13,'détails investissements'!$A$71:$B$88,2,FALSE)&lt;=0,"",IF(VLOOKUP($A13,'détails investissements'!$A$26:$DE$43,CR$3-VLOOKUP($A13,'détails investissements'!$A$71:$B$88,2,FALSE)+1,FALSE)="","",VLOOKUP($A13,'détails investissements'!$A$26:$DE$43,CR$3-VLOOKUP($A13,'détails investissements'!$A$71:$B$88,2,FALSE)+1,FALSE))),'détails investissements'!$U$6:$AB$7,2,FALSE),"")&lt;&gt;"",VLOOKUP($A13,'détails investissements'!$A$7:$H$21,1+IF(IF(CR$3-VLOOKUP($A13,'détails investissements'!$A$71:$B$88,2,FALSE)&lt;=0,"",IF(VLOOKUP($A13,'détails investissements'!$A$26:$DE$43,CR$3-VLOOKUP($A13,'détails investissements'!$A$71:$B$88,2,FALSE)+1,FALSE)="","",VLOOKUP($A13,'détails investissements'!$A$26:$DE$43,CR$3-VLOOKUP($A13,'détails investissements'!$A$71:$B$88,2,FALSE)+1,FALSE)))&lt;&gt;"",HLOOKUP(IF(CR$3-VLOOKUP($A13,'détails investissements'!$A$71:$B$88,2,FALSE)&lt;=0,"",IF(VLOOKUP($A13,'détails investissements'!$A$26:$DE$43,CR$3-VLOOKUP($A13,'détails investissements'!$A$71:$B$88,2,FALSE)+1,FALSE)="","",VLOOKUP($A13,'détails investissements'!$A$26:$DE$43,CR$3-VLOOKUP($A13,'détails investissements'!$A$71:$B$88,2,FALSE)+1,FALSE))),'détails investissements'!$U$6:$AB$7,2,FALSE),""),FALSE),"")</f>
        <v/>
      </c>
      <c r="CS13" s="45" t="str">
        <f>IF(IF(IF(CS$3-VLOOKUP($A13,'détails investissements'!$A$71:$B$88,2,FALSE)&lt;=0,"",IF(VLOOKUP($A13,'détails investissements'!$A$26:$DE$43,CS$3-VLOOKUP($A13,'détails investissements'!$A$71:$B$88,2,FALSE)+1,FALSE)="","",VLOOKUP($A13,'détails investissements'!$A$26:$DE$43,CS$3-VLOOKUP($A13,'détails investissements'!$A$71:$B$88,2,FALSE)+1,FALSE)))&lt;&gt;"",HLOOKUP(IF(CS$3-VLOOKUP($A13,'détails investissements'!$A$71:$B$88,2,FALSE)&lt;=0,"",IF(VLOOKUP($A13,'détails investissements'!$A$26:$DE$43,CS$3-VLOOKUP($A13,'détails investissements'!$A$71:$B$88,2,FALSE)+1,FALSE)="","",VLOOKUP($A13,'détails investissements'!$A$26:$DE$43,CS$3-VLOOKUP($A13,'détails investissements'!$A$71:$B$88,2,FALSE)+1,FALSE))),'détails investissements'!$U$6:$AB$7,2,FALSE),"")&lt;&gt;"",VLOOKUP($A13,'détails investissements'!$A$7:$H$21,1+IF(IF(CS$3-VLOOKUP($A13,'détails investissements'!$A$71:$B$88,2,FALSE)&lt;=0,"",IF(VLOOKUP($A13,'détails investissements'!$A$26:$DE$43,CS$3-VLOOKUP($A13,'détails investissements'!$A$71:$B$88,2,FALSE)+1,FALSE)="","",VLOOKUP($A13,'détails investissements'!$A$26:$DE$43,CS$3-VLOOKUP($A13,'détails investissements'!$A$71:$B$88,2,FALSE)+1,FALSE)))&lt;&gt;"",HLOOKUP(IF(CS$3-VLOOKUP($A13,'détails investissements'!$A$71:$B$88,2,FALSE)&lt;=0,"",IF(VLOOKUP($A13,'détails investissements'!$A$26:$DE$43,CS$3-VLOOKUP($A13,'détails investissements'!$A$71:$B$88,2,FALSE)+1,FALSE)="","",VLOOKUP($A13,'détails investissements'!$A$26:$DE$43,CS$3-VLOOKUP($A13,'détails investissements'!$A$71:$B$88,2,FALSE)+1,FALSE))),'détails investissements'!$U$6:$AB$7,2,FALSE),""),FALSE),"")</f>
        <v/>
      </c>
      <c r="CT13" s="45" t="str">
        <f>IF(IF(IF(CT$3-VLOOKUP($A13,'détails investissements'!$A$71:$B$88,2,FALSE)&lt;=0,"",IF(VLOOKUP($A13,'détails investissements'!$A$26:$DE$43,CT$3-VLOOKUP($A13,'détails investissements'!$A$71:$B$88,2,FALSE)+1,FALSE)="","",VLOOKUP($A13,'détails investissements'!$A$26:$DE$43,CT$3-VLOOKUP($A13,'détails investissements'!$A$71:$B$88,2,FALSE)+1,FALSE)))&lt;&gt;"",HLOOKUP(IF(CT$3-VLOOKUP($A13,'détails investissements'!$A$71:$B$88,2,FALSE)&lt;=0,"",IF(VLOOKUP($A13,'détails investissements'!$A$26:$DE$43,CT$3-VLOOKUP($A13,'détails investissements'!$A$71:$B$88,2,FALSE)+1,FALSE)="","",VLOOKUP($A13,'détails investissements'!$A$26:$DE$43,CT$3-VLOOKUP($A13,'détails investissements'!$A$71:$B$88,2,FALSE)+1,FALSE))),'détails investissements'!$U$6:$AB$7,2,FALSE),"")&lt;&gt;"",VLOOKUP($A13,'détails investissements'!$A$7:$H$21,1+IF(IF(CT$3-VLOOKUP($A13,'détails investissements'!$A$71:$B$88,2,FALSE)&lt;=0,"",IF(VLOOKUP($A13,'détails investissements'!$A$26:$DE$43,CT$3-VLOOKUP($A13,'détails investissements'!$A$71:$B$88,2,FALSE)+1,FALSE)="","",VLOOKUP($A13,'détails investissements'!$A$26:$DE$43,CT$3-VLOOKUP($A13,'détails investissements'!$A$71:$B$88,2,FALSE)+1,FALSE)))&lt;&gt;"",HLOOKUP(IF(CT$3-VLOOKUP($A13,'détails investissements'!$A$71:$B$88,2,FALSE)&lt;=0,"",IF(VLOOKUP($A13,'détails investissements'!$A$26:$DE$43,CT$3-VLOOKUP($A13,'détails investissements'!$A$71:$B$88,2,FALSE)+1,FALSE)="","",VLOOKUP($A13,'détails investissements'!$A$26:$DE$43,CT$3-VLOOKUP($A13,'détails investissements'!$A$71:$B$88,2,FALSE)+1,FALSE))),'détails investissements'!$U$6:$AB$7,2,FALSE),""),FALSE),"")</f>
        <v/>
      </c>
      <c r="CU13" s="45" t="str">
        <f>IF(IF(IF(CU$3-VLOOKUP($A13,'détails investissements'!$A$71:$B$88,2,FALSE)&lt;=0,"",IF(VLOOKUP($A13,'détails investissements'!$A$26:$DE$43,CU$3-VLOOKUP($A13,'détails investissements'!$A$71:$B$88,2,FALSE)+1,FALSE)="","",VLOOKUP($A13,'détails investissements'!$A$26:$DE$43,CU$3-VLOOKUP($A13,'détails investissements'!$A$71:$B$88,2,FALSE)+1,FALSE)))&lt;&gt;"",HLOOKUP(IF(CU$3-VLOOKUP($A13,'détails investissements'!$A$71:$B$88,2,FALSE)&lt;=0,"",IF(VLOOKUP($A13,'détails investissements'!$A$26:$DE$43,CU$3-VLOOKUP($A13,'détails investissements'!$A$71:$B$88,2,FALSE)+1,FALSE)="","",VLOOKUP($A13,'détails investissements'!$A$26:$DE$43,CU$3-VLOOKUP($A13,'détails investissements'!$A$71:$B$88,2,FALSE)+1,FALSE))),'détails investissements'!$U$6:$AB$7,2,FALSE),"")&lt;&gt;"",VLOOKUP($A13,'détails investissements'!$A$7:$H$21,1+IF(IF(CU$3-VLOOKUP($A13,'détails investissements'!$A$71:$B$88,2,FALSE)&lt;=0,"",IF(VLOOKUP($A13,'détails investissements'!$A$26:$DE$43,CU$3-VLOOKUP($A13,'détails investissements'!$A$71:$B$88,2,FALSE)+1,FALSE)="","",VLOOKUP($A13,'détails investissements'!$A$26:$DE$43,CU$3-VLOOKUP($A13,'détails investissements'!$A$71:$B$88,2,FALSE)+1,FALSE)))&lt;&gt;"",HLOOKUP(IF(CU$3-VLOOKUP($A13,'détails investissements'!$A$71:$B$88,2,FALSE)&lt;=0,"",IF(VLOOKUP($A13,'détails investissements'!$A$26:$DE$43,CU$3-VLOOKUP($A13,'détails investissements'!$A$71:$B$88,2,FALSE)+1,FALSE)="","",VLOOKUP($A13,'détails investissements'!$A$26:$DE$43,CU$3-VLOOKUP($A13,'détails investissements'!$A$71:$B$88,2,FALSE)+1,FALSE))),'détails investissements'!$U$6:$AB$7,2,FALSE),""),FALSE),"")</f>
        <v/>
      </c>
      <c r="CV13" s="45" t="str">
        <f>IF(IF(IF(CV$3-VLOOKUP($A13,'détails investissements'!$A$71:$B$88,2,FALSE)&lt;=0,"",IF(VLOOKUP($A13,'détails investissements'!$A$26:$DE$43,CV$3-VLOOKUP($A13,'détails investissements'!$A$71:$B$88,2,FALSE)+1,FALSE)="","",VLOOKUP($A13,'détails investissements'!$A$26:$DE$43,CV$3-VLOOKUP($A13,'détails investissements'!$A$71:$B$88,2,FALSE)+1,FALSE)))&lt;&gt;"",HLOOKUP(IF(CV$3-VLOOKUP($A13,'détails investissements'!$A$71:$B$88,2,FALSE)&lt;=0,"",IF(VLOOKUP($A13,'détails investissements'!$A$26:$DE$43,CV$3-VLOOKUP($A13,'détails investissements'!$A$71:$B$88,2,FALSE)+1,FALSE)="","",VLOOKUP($A13,'détails investissements'!$A$26:$DE$43,CV$3-VLOOKUP($A13,'détails investissements'!$A$71:$B$88,2,FALSE)+1,FALSE))),'détails investissements'!$U$6:$AB$7,2,FALSE),"")&lt;&gt;"",VLOOKUP($A13,'détails investissements'!$A$7:$H$21,1+IF(IF(CV$3-VLOOKUP($A13,'détails investissements'!$A$71:$B$88,2,FALSE)&lt;=0,"",IF(VLOOKUP($A13,'détails investissements'!$A$26:$DE$43,CV$3-VLOOKUP($A13,'détails investissements'!$A$71:$B$88,2,FALSE)+1,FALSE)="","",VLOOKUP($A13,'détails investissements'!$A$26:$DE$43,CV$3-VLOOKUP($A13,'détails investissements'!$A$71:$B$88,2,FALSE)+1,FALSE)))&lt;&gt;"",HLOOKUP(IF(CV$3-VLOOKUP($A13,'détails investissements'!$A$71:$B$88,2,FALSE)&lt;=0,"",IF(VLOOKUP($A13,'détails investissements'!$A$26:$DE$43,CV$3-VLOOKUP($A13,'détails investissements'!$A$71:$B$88,2,FALSE)+1,FALSE)="","",VLOOKUP($A13,'détails investissements'!$A$26:$DE$43,CV$3-VLOOKUP($A13,'détails investissements'!$A$71:$B$88,2,FALSE)+1,FALSE))),'détails investissements'!$U$6:$AB$7,2,FALSE),""),FALSE),"")</f>
        <v/>
      </c>
      <c r="CW13" s="45" t="str">
        <f>IF(IF(IF(CW$3-VLOOKUP($A13,'détails investissements'!$A$71:$B$88,2,FALSE)&lt;=0,"",IF(VLOOKUP($A13,'détails investissements'!$A$26:$DE$43,CW$3-VLOOKUP($A13,'détails investissements'!$A$71:$B$88,2,FALSE)+1,FALSE)="","",VLOOKUP($A13,'détails investissements'!$A$26:$DE$43,CW$3-VLOOKUP($A13,'détails investissements'!$A$71:$B$88,2,FALSE)+1,FALSE)))&lt;&gt;"",HLOOKUP(IF(CW$3-VLOOKUP($A13,'détails investissements'!$A$71:$B$88,2,FALSE)&lt;=0,"",IF(VLOOKUP($A13,'détails investissements'!$A$26:$DE$43,CW$3-VLOOKUP($A13,'détails investissements'!$A$71:$B$88,2,FALSE)+1,FALSE)="","",VLOOKUP($A13,'détails investissements'!$A$26:$DE$43,CW$3-VLOOKUP($A13,'détails investissements'!$A$71:$B$88,2,FALSE)+1,FALSE))),'détails investissements'!$U$6:$AB$7,2,FALSE),"")&lt;&gt;"",VLOOKUP($A13,'détails investissements'!$A$7:$H$21,1+IF(IF(CW$3-VLOOKUP($A13,'détails investissements'!$A$71:$B$88,2,FALSE)&lt;=0,"",IF(VLOOKUP($A13,'détails investissements'!$A$26:$DE$43,CW$3-VLOOKUP($A13,'détails investissements'!$A$71:$B$88,2,FALSE)+1,FALSE)="","",VLOOKUP($A13,'détails investissements'!$A$26:$DE$43,CW$3-VLOOKUP($A13,'détails investissements'!$A$71:$B$88,2,FALSE)+1,FALSE)))&lt;&gt;"",HLOOKUP(IF(CW$3-VLOOKUP($A13,'détails investissements'!$A$71:$B$88,2,FALSE)&lt;=0,"",IF(VLOOKUP($A13,'détails investissements'!$A$26:$DE$43,CW$3-VLOOKUP($A13,'détails investissements'!$A$71:$B$88,2,FALSE)+1,FALSE)="","",VLOOKUP($A13,'détails investissements'!$A$26:$DE$43,CW$3-VLOOKUP($A13,'détails investissements'!$A$71:$B$88,2,FALSE)+1,FALSE))),'détails investissements'!$U$6:$AB$7,2,FALSE),""),FALSE),"")</f>
        <v/>
      </c>
      <c r="CX13" s="45" t="str">
        <f>IF(IF(IF(CX$3-VLOOKUP($A13,'détails investissements'!$A$71:$B$88,2,FALSE)&lt;=0,"",IF(VLOOKUP($A13,'détails investissements'!$A$26:$DE$43,CX$3-VLOOKUP($A13,'détails investissements'!$A$71:$B$88,2,FALSE)+1,FALSE)="","",VLOOKUP($A13,'détails investissements'!$A$26:$DE$43,CX$3-VLOOKUP($A13,'détails investissements'!$A$71:$B$88,2,FALSE)+1,FALSE)))&lt;&gt;"",HLOOKUP(IF(CX$3-VLOOKUP($A13,'détails investissements'!$A$71:$B$88,2,FALSE)&lt;=0,"",IF(VLOOKUP($A13,'détails investissements'!$A$26:$DE$43,CX$3-VLOOKUP($A13,'détails investissements'!$A$71:$B$88,2,FALSE)+1,FALSE)="","",VLOOKUP($A13,'détails investissements'!$A$26:$DE$43,CX$3-VLOOKUP($A13,'détails investissements'!$A$71:$B$88,2,FALSE)+1,FALSE))),'détails investissements'!$U$6:$AB$7,2,FALSE),"")&lt;&gt;"",VLOOKUP($A13,'détails investissements'!$A$7:$H$21,1+IF(IF(CX$3-VLOOKUP($A13,'détails investissements'!$A$71:$B$88,2,FALSE)&lt;=0,"",IF(VLOOKUP($A13,'détails investissements'!$A$26:$DE$43,CX$3-VLOOKUP($A13,'détails investissements'!$A$71:$B$88,2,FALSE)+1,FALSE)="","",VLOOKUP($A13,'détails investissements'!$A$26:$DE$43,CX$3-VLOOKUP($A13,'détails investissements'!$A$71:$B$88,2,FALSE)+1,FALSE)))&lt;&gt;"",HLOOKUP(IF(CX$3-VLOOKUP($A13,'détails investissements'!$A$71:$B$88,2,FALSE)&lt;=0,"",IF(VLOOKUP($A13,'détails investissements'!$A$26:$DE$43,CX$3-VLOOKUP($A13,'détails investissements'!$A$71:$B$88,2,FALSE)+1,FALSE)="","",VLOOKUP($A13,'détails investissements'!$A$26:$DE$43,CX$3-VLOOKUP($A13,'détails investissements'!$A$71:$B$88,2,FALSE)+1,FALSE))),'détails investissements'!$U$6:$AB$7,2,FALSE),""),FALSE),"")</f>
        <v/>
      </c>
      <c r="CY13" s="45" t="str">
        <f>IF(IF(IF(CY$3-VLOOKUP($A13,'détails investissements'!$A$71:$B$88,2,FALSE)&lt;=0,"",IF(VLOOKUP($A13,'détails investissements'!$A$26:$DE$43,CY$3-VLOOKUP($A13,'détails investissements'!$A$71:$B$88,2,FALSE)+1,FALSE)="","",VLOOKUP($A13,'détails investissements'!$A$26:$DE$43,CY$3-VLOOKUP($A13,'détails investissements'!$A$71:$B$88,2,FALSE)+1,FALSE)))&lt;&gt;"",HLOOKUP(IF(CY$3-VLOOKUP($A13,'détails investissements'!$A$71:$B$88,2,FALSE)&lt;=0,"",IF(VLOOKUP($A13,'détails investissements'!$A$26:$DE$43,CY$3-VLOOKUP($A13,'détails investissements'!$A$71:$B$88,2,FALSE)+1,FALSE)="","",VLOOKUP($A13,'détails investissements'!$A$26:$DE$43,CY$3-VLOOKUP($A13,'détails investissements'!$A$71:$B$88,2,FALSE)+1,FALSE))),'détails investissements'!$U$6:$AB$7,2,FALSE),"")&lt;&gt;"",VLOOKUP($A13,'détails investissements'!$A$7:$H$21,1+IF(IF(CY$3-VLOOKUP($A13,'détails investissements'!$A$71:$B$88,2,FALSE)&lt;=0,"",IF(VLOOKUP($A13,'détails investissements'!$A$26:$DE$43,CY$3-VLOOKUP($A13,'détails investissements'!$A$71:$B$88,2,FALSE)+1,FALSE)="","",VLOOKUP($A13,'détails investissements'!$A$26:$DE$43,CY$3-VLOOKUP($A13,'détails investissements'!$A$71:$B$88,2,FALSE)+1,FALSE)))&lt;&gt;"",HLOOKUP(IF(CY$3-VLOOKUP($A13,'détails investissements'!$A$71:$B$88,2,FALSE)&lt;=0,"",IF(VLOOKUP($A13,'détails investissements'!$A$26:$DE$43,CY$3-VLOOKUP($A13,'détails investissements'!$A$71:$B$88,2,FALSE)+1,FALSE)="","",VLOOKUP($A13,'détails investissements'!$A$26:$DE$43,CY$3-VLOOKUP($A13,'détails investissements'!$A$71:$B$88,2,FALSE)+1,FALSE))),'détails investissements'!$U$6:$AB$7,2,FALSE),""),FALSE),"")</f>
        <v/>
      </c>
      <c r="CZ13" s="45" t="str">
        <f>IF(IF(IF(CZ$3-VLOOKUP($A13,'détails investissements'!$A$71:$B$88,2,FALSE)&lt;=0,"",IF(VLOOKUP($A13,'détails investissements'!$A$26:$DE$43,CZ$3-VLOOKUP($A13,'détails investissements'!$A$71:$B$88,2,FALSE)+1,FALSE)="","",VLOOKUP($A13,'détails investissements'!$A$26:$DE$43,CZ$3-VLOOKUP($A13,'détails investissements'!$A$71:$B$88,2,FALSE)+1,FALSE)))&lt;&gt;"",HLOOKUP(IF(CZ$3-VLOOKUP($A13,'détails investissements'!$A$71:$B$88,2,FALSE)&lt;=0,"",IF(VLOOKUP($A13,'détails investissements'!$A$26:$DE$43,CZ$3-VLOOKUP($A13,'détails investissements'!$A$71:$B$88,2,FALSE)+1,FALSE)="","",VLOOKUP($A13,'détails investissements'!$A$26:$DE$43,CZ$3-VLOOKUP($A13,'détails investissements'!$A$71:$B$88,2,FALSE)+1,FALSE))),'détails investissements'!$U$6:$AB$7,2,FALSE),"")&lt;&gt;"",VLOOKUP($A13,'détails investissements'!$A$7:$H$21,1+IF(IF(CZ$3-VLOOKUP($A13,'détails investissements'!$A$71:$B$88,2,FALSE)&lt;=0,"",IF(VLOOKUP($A13,'détails investissements'!$A$26:$DE$43,CZ$3-VLOOKUP($A13,'détails investissements'!$A$71:$B$88,2,FALSE)+1,FALSE)="","",VLOOKUP($A13,'détails investissements'!$A$26:$DE$43,CZ$3-VLOOKUP($A13,'détails investissements'!$A$71:$B$88,2,FALSE)+1,FALSE)))&lt;&gt;"",HLOOKUP(IF(CZ$3-VLOOKUP($A13,'détails investissements'!$A$71:$B$88,2,FALSE)&lt;=0,"",IF(VLOOKUP($A13,'détails investissements'!$A$26:$DE$43,CZ$3-VLOOKUP($A13,'détails investissements'!$A$71:$B$88,2,FALSE)+1,FALSE)="","",VLOOKUP($A13,'détails investissements'!$A$26:$DE$43,CZ$3-VLOOKUP($A13,'détails investissements'!$A$71:$B$88,2,FALSE)+1,FALSE))),'détails investissements'!$U$6:$AB$7,2,FALSE),""),FALSE),"")</f>
        <v/>
      </c>
      <c r="DA13" s="45" t="str">
        <f>IF(IF(IF(DA$3-VLOOKUP($A13,'détails investissements'!$A$71:$B$88,2,FALSE)&lt;=0,"",IF(VLOOKUP($A13,'détails investissements'!$A$26:$DE$43,DA$3-VLOOKUP($A13,'détails investissements'!$A$71:$B$88,2,FALSE)+1,FALSE)="","",VLOOKUP($A13,'détails investissements'!$A$26:$DE$43,DA$3-VLOOKUP($A13,'détails investissements'!$A$71:$B$88,2,FALSE)+1,FALSE)))&lt;&gt;"",HLOOKUP(IF(DA$3-VLOOKUP($A13,'détails investissements'!$A$71:$B$88,2,FALSE)&lt;=0,"",IF(VLOOKUP($A13,'détails investissements'!$A$26:$DE$43,DA$3-VLOOKUP($A13,'détails investissements'!$A$71:$B$88,2,FALSE)+1,FALSE)="","",VLOOKUP($A13,'détails investissements'!$A$26:$DE$43,DA$3-VLOOKUP($A13,'détails investissements'!$A$71:$B$88,2,FALSE)+1,FALSE))),'détails investissements'!$U$6:$AB$7,2,FALSE),"")&lt;&gt;"",VLOOKUP($A13,'détails investissements'!$A$7:$H$21,1+IF(IF(DA$3-VLOOKUP($A13,'détails investissements'!$A$71:$B$88,2,FALSE)&lt;=0,"",IF(VLOOKUP($A13,'détails investissements'!$A$26:$DE$43,DA$3-VLOOKUP($A13,'détails investissements'!$A$71:$B$88,2,FALSE)+1,FALSE)="","",VLOOKUP($A13,'détails investissements'!$A$26:$DE$43,DA$3-VLOOKUP($A13,'détails investissements'!$A$71:$B$88,2,FALSE)+1,FALSE)))&lt;&gt;"",HLOOKUP(IF(DA$3-VLOOKUP($A13,'détails investissements'!$A$71:$B$88,2,FALSE)&lt;=0,"",IF(VLOOKUP($A13,'détails investissements'!$A$26:$DE$43,DA$3-VLOOKUP($A13,'détails investissements'!$A$71:$B$88,2,FALSE)+1,FALSE)="","",VLOOKUP($A13,'détails investissements'!$A$26:$DE$43,DA$3-VLOOKUP($A13,'détails investissements'!$A$71:$B$88,2,FALSE)+1,FALSE))),'détails investissements'!$U$6:$AB$7,2,FALSE),""),FALSE),"")</f>
        <v/>
      </c>
      <c r="DB13" s="45" t="str">
        <f>IF(IF(IF(DB$3-VLOOKUP($A13,'détails investissements'!$A$71:$B$88,2,FALSE)&lt;=0,"",IF(VLOOKUP($A13,'détails investissements'!$A$26:$DE$43,DB$3-VLOOKUP($A13,'détails investissements'!$A$71:$B$88,2,FALSE)+1,FALSE)="","",VLOOKUP($A13,'détails investissements'!$A$26:$DE$43,DB$3-VLOOKUP($A13,'détails investissements'!$A$71:$B$88,2,FALSE)+1,FALSE)))&lt;&gt;"",HLOOKUP(IF(DB$3-VLOOKUP($A13,'détails investissements'!$A$71:$B$88,2,FALSE)&lt;=0,"",IF(VLOOKUP($A13,'détails investissements'!$A$26:$DE$43,DB$3-VLOOKUP($A13,'détails investissements'!$A$71:$B$88,2,FALSE)+1,FALSE)="","",VLOOKUP($A13,'détails investissements'!$A$26:$DE$43,DB$3-VLOOKUP($A13,'détails investissements'!$A$71:$B$88,2,FALSE)+1,FALSE))),'détails investissements'!$U$6:$AB$7,2,FALSE),"")&lt;&gt;"",VLOOKUP($A13,'détails investissements'!$A$7:$H$21,1+IF(IF(DB$3-VLOOKUP($A13,'détails investissements'!$A$71:$B$88,2,FALSE)&lt;=0,"",IF(VLOOKUP($A13,'détails investissements'!$A$26:$DE$43,DB$3-VLOOKUP($A13,'détails investissements'!$A$71:$B$88,2,FALSE)+1,FALSE)="","",VLOOKUP($A13,'détails investissements'!$A$26:$DE$43,DB$3-VLOOKUP($A13,'détails investissements'!$A$71:$B$88,2,FALSE)+1,FALSE)))&lt;&gt;"",HLOOKUP(IF(DB$3-VLOOKUP($A13,'détails investissements'!$A$71:$B$88,2,FALSE)&lt;=0,"",IF(VLOOKUP($A13,'détails investissements'!$A$26:$DE$43,DB$3-VLOOKUP($A13,'détails investissements'!$A$71:$B$88,2,FALSE)+1,FALSE)="","",VLOOKUP($A13,'détails investissements'!$A$26:$DE$43,DB$3-VLOOKUP($A13,'détails investissements'!$A$71:$B$88,2,FALSE)+1,FALSE))),'détails investissements'!$U$6:$AB$7,2,FALSE),""),FALSE),"")</f>
        <v/>
      </c>
      <c r="DC13" s="45" t="str">
        <f>IF(IF(IF(DC$3-VLOOKUP($A13,'détails investissements'!$A$71:$B$88,2,FALSE)&lt;=0,"",IF(VLOOKUP($A13,'détails investissements'!$A$26:$DE$43,DC$3-VLOOKUP($A13,'détails investissements'!$A$71:$B$88,2,FALSE)+1,FALSE)="","",VLOOKUP($A13,'détails investissements'!$A$26:$DE$43,DC$3-VLOOKUP($A13,'détails investissements'!$A$71:$B$88,2,FALSE)+1,FALSE)))&lt;&gt;"",HLOOKUP(IF(DC$3-VLOOKUP($A13,'détails investissements'!$A$71:$B$88,2,FALSE)&lt;=0,"",IF(VLOOKUP($A13,'détails investissements'!$A$26:$DE$43,DC$3-VLOOKUP($A13,'détails investissements'!$A$71:$B$88,2,FALSE)+1,FALSE)="","",VLOOKUP($A13,'détails investissements'!$A$26:$DE$43,DC$3-VLOOKUP($A13,'détails investissements'!$A$71:$B$88,2,FALSE)+1,FALSE))),'détails investissements'!$U$6:$AB$7,2,FALSE),"")&lt;&gt;"",VLOOKUP($A13,'détails investissements'!$A$7:$H$21,1+IF(IF(DC$3-VLOOKUP($A13,'détails investissements'!$A$71:$B$88,2,FALSE)&lt;=0,"",IF(VLOOKUP($A13,'détails investissements'!$A$26:$DE$43,DC$3-VLOOKUP($A13,'détails investissements'!$A$71:$B$88,2,FALSE)+1,FALSE)="","",VLOOKUP($A13,'détails investissements'!$A$26:$DE$43,DC$3-VLOOKUP($A13,'détails investissements'!$A$71:$B$88,2,FALSE)+1,FALSE)))&lt;&gt;"",HLOOKUP(IF(DC$3-VLOOKUP($A13,'détails investissements'!$A$71:$B$88,2,FALSE)&lt;=0,"",IF(VLOOKUP($A13,'détails investissements'!$A$26:$DE$43,DC$3-VLOOKUP($A13,'détails investissements'!$A$71:$B$88,2,FALSE)+1,FALSE)="","",VLOOKUP($A13,'détails investissements'!$A$26:$DE$43,DC$3-VLOOKUP($A13,'détails investissements'!$A$71:$B$88,2,FALSE)+1,FALSE))),'détails investissements'!$U$6:$AB$7,2,FALSE),""),FALSE),"")</f>
        <v/>
      </c>
      <c r="DD13" s="45" t="str">
        <f>IF(IF(IF(DD$3-VLOOKUP($A13,'détails investissements'!$A$71:$B$88,2,FALSE)&lt;=0,"",IF(VLOOKUP($A13,'détails investissements'!$A$26:$DE$43,DD$3-VLOOKUP($A13,'détails investissements'!$A$71:$B$88,2,FALSE)+1,FALSE)="","",VLOOKUP($A13,'détails investissements'!$A$26:$DE$43,DD$3-VLOOKUP($A13,'détails investissements'!$A$71:$B$88,2,FALSE)+1,FALSE)))&lt;&gt;"",HLOOKUP(IF(DD$3-VLOOKUP($A13,'détails investissements'!$A$71:$B$88,2,FALSE)&lt;=0,"",IF(VLOOKUP($A13,'détails investissements'!$A$26:$DE$43,DD$3-VLOOKUP($A13,'détails investissements'!$A$71:$B$88,2,FALSE)+1,FALSE)="","",VLOOKUP($A13,'détails investissements'!$A$26:$DE$43,DD$3-VLOOKUP($A13,'détails investissements'!$A$71:$B$88,2,FALSE)+1,FALSE))),'détails investissements'!$U$6:$AB$7,2,FALSE),"")&lt;&gt;"",VLOOKUP($A13,'détails investissements'!$A$7:$H$21,1+IF(IF(DD$3-VLOOKUP($A13,'détails investissements'!$A$71:$B$88,2,FALSE)&lt;=0,"",IF(VLOOKUP($A13,'détails investissements'!$A$26:$DE$43,DD$3-VLOOKUP($A13,'détails investissements'!$A$71:$B$88,2,FALSE)+1,FALSE)="","",VLOOKUP($A13,'détails investissements'!$A$26:$DE$43,DD$3-VLOOKUP($A13,'détails investissements'!$A$71:$B$88,2,FALSE)+1,FALSE)))&lt;&gt;"",HLOOKUP(IF(DD$3-VLOOKUP($A13,'détails investissements'!$A$71:$B$88,2,FALSE)&lt;=0,"",IF(VLOOKUP($A13,'détails investissements'!$A$26:$DE$43,DD$3-VLOOKUP($A13,'détails investissements'!$A$71:$B$88,2,FALSE)+1,FALSE)="","",VLOOKUP($A13,'détails investissements'!$A$26:$DE$43,DD$3-VLOOKUP($A13,'détails investissements'!$A$71:$B$88,2,FALSE)+1,FALSE))),'détails investissements'!$U$6:$AB$7,2,FALSE),""),FALSE),"")</f>
        <v/>
      </c>
      <c r="DE13" s="45" t="str">
        <f>IF(IF(IF(DE$3-VLOOKUP($A13,'détails investissements'!$A$71:$B$88,2,FALSE)&lt;=0,"",IF(VLOOKUP($A13,'détails investissements'!$A$26:$DE$43,DE$3-VLOOKUP($A13,'détails investissements'!$A$71:$B$88,2,FALSE)+1,FALSE)="","",VLOOKUP($A13,'détails investissements'!$A$26:$DE$43,DE$3-VLOOKUP($A13,'détails investissements'!$A$71:$B$88,2,FALSE)+1,FALSE)))&lt;&gt;"",HLOOKUP(IF(DE$3-VLOOKUP($A13,'détails investissements'!$A$71:$B$88,2,FALSE)&lt;=0,"",IF(VLOOKUP($A13,'détails investissements'!$A$26:$DE$43,DE$3-VLOOKUP($A13,'détails investissements'!$A$71:$B$88,2,FALSE)+1,FALSE)="","",VLOOKUP($A13,'détails investissements'!$A$26:$DE$43,DE$3-VLOOKUP($A13,'détails investissements'!$A$71:$B$88,2,FALSE)+1,FALSE))),'détails investissements'!$U$6:$AB$7,2,FALSE),"")&lt;&gt;"",VLOOKUP($A13,'détails investissements'!$A$7:$H$21,1+IF(IF(DE$3-VLOOKUP($A13,'détails investissements'!$A$71:$B$88,2,FALSE)&lt;=0,"",IF(VLOOKUP($A13,'détails investissements'!$A$26:$DE$43,DE$3-VLOOKUP($A13,'détails investissements'!$A$71:$B$88,2,FALSE)+1,FALSE)="","",VLOOKUP($A13,'détails investissements'!$A$26:$DE$43,DE$3-VLOOKUP($A13,'détails investissements'!$A$71:$B$88,2,FALSE)+1,FALSE)))&lt;&gt;"",HLOOKUP(IF(DE$3-VLOOKUP($A13,'détails investissements'!$A$71:$B$88,2,FALSE)&lt;=0,"",IF(VLOOKUP($A13,'détails investissements'!$A$26:$DE$43,DE$3-VLOOKUP($A13,'détails investissements'!$A$71:$B$88,2,FALSE)+1,FALSE)="","",VLOOKUP($A13,'détails investissements'!$A$26:$DE$43,DE$3-VLOOKUP($A13,'détails investissements'!$A$71:$B$88,2,FALSE)+1,FALSE))),'détails investissements'!$U$6:$AB$7,2,FALSE),""),FALSE),"")</f>
        <v/>
      </c>
      <c r="DF13" s="45" t="str">
        <f>IF(IF(IF(DF$3-VLOOKUP($A13,'détails investissements'!$A$71:$B$88,2,FALSE)&lt;=0,"",IF(VLOOKUP($A13,'détails investissements'!$A$26:$DE$43,DF$3-VLOOKUP($A13,'détails investissements'!$A$71:$B$88,2,FALSE)+1,FALSE)="","",VLOOKUP($A13,'détails investissements'!$A$26:$DE$43,DF$3-VLOOKUP($A13,'détails investissements'!$A$71:$B$88,2,FALSE)+1,FALSE)))&lt;&gt;"",HLOOKUP(IF(DF$3-VLOOKUP($A13,'détails investissements'!$A$71:$B$88,2,FALSE)&lt;=0,"",IF(VLOOKUP($A13,'détails investissements'!$A$26:$DE$43,DF$3-VLOOKUP($A13,'détails investissements'!$A$71:$B$88,2,FALSE)+1,FALSE)="","",VLOOKUP($A13,'détails investissements'!$A$26:$DE$43,DF$3-VLOOKUP($A13,'détails investissements'!$A$71:$B$88,2,FALSE)+1,FALSE))),'détails investissements'!$U$6:$AB$7,2,FALSE),"")&lt;&gt;"",VLOOKUP($A13,'détails investissements'!$A$7:$H$21,1+IF(IF(DF$3-VLOOKUP($A13,'détails investissements'!$A$71:$B$88,2,FALSE)&lt;=0,"",IF(VLOOKUP($A13,'détails investissements'!$A$26:$DE$43,DF$3-VLOOKUP($A13,'détails investissements'!$A$71:$B$88,2,FALSE)+1,FALSE)="","",VLOOKUP($A13,'détails investissements'!$A$26:$DE$43,DF$3-VLOOKUP($A13,'détails investissements'!$A$71:$B$88,2,FALSE)+1,FALSE)))&lt;&gt;"",HLOOKUP(IF(DF$3-VLOOKUP($A13,'détails investissements'!$A$71:$B$88,2,FALSE)&lt;=0,"",IF(VLOOKUP($A13,'détails investissements'!$A$26:$DE$43,DF$3-VLOOKUP($A13,'détails investissements'!$A$71:$B$88,2,FALSE)+1,FALSE)="","",VLOOKUP($A13,'détails investissements'!$A$26:$DE$43,DF$3-VLOOKUP($A13,'détails investissements'!$A$71:$B$88,2,FALSE)+1,FALSE))),'détails investissements'!$U$6:$AB$7,2,FALSE),""),FALSE),"")</f>
        <v/>
      </c>
      <c r="DG13">
        <f t="shared" si="0"/>
        <v>1</v>
      </c>
    </row>
    <row r="14" spans="1:111" x14ac:dyDescent="0.2">
      <c r="A14" s="15" t="str">
        <f>'[4]Données investissements'!A34</f>
        <v>Equipement prépa chutes et parachèvement :</v>
      </c>
      <c r="B14" s="23">
        <f>'détails investissements'!B102</f>
        <v>1.7</v>
      </c>
      <c r="C14" s="45" t="str">
        <f>IF(IF(IF(C$3-VLOOKUP($A14,'détails investissements'!$A$71:$B$88,2,FALSE)&lt;=0,"",IF(VLOOKUP($A14,'détails investissements'!$A$26:$DE$43,C$3-VLOOKUP($A14,'détails investissements'!$A$71:$B$88,2,FALSE)+1,FALSE)="","",VLOOKUP($A14,'détails investissements'!$A$26:$DE$43,C$3-VLOOKUP($A14,'détails investissements'!$A$71:$B$88,2,FALSE)+1,FALSE)))&lt;&gt;"",HLOOKUP(IF(C$3-VLOOKUP($A14,'détails investissements'!$A$71:$B$88,2,FALSE)&lt;=0,"",IF(VLOOKUP($A14,'détails investissements'!$A$26:$DE$43,C$3-VLOOKUP($A14,'détails investissements'!$A$71:$B$88,2,FALSE)+1,FALSE)="","",VLOOKUP($A14,'détails investissements'!$A$26:$DE$43,C$3-VLOOKUP($A14,'détails investissements'!$A$71:$B$88,2,FALSE)+1,FALSE))),'détails investissements'!$U$6:$AB$7,2,FALSE),"")&lt;&gt;"",VLOOKUP($A14,'détails investissements'!$A$7:$H$21,1+IF(IF(C$3-VLOOKUP($A14,'détails investissements'!$A$71:$B$88,2,FALSE)&lt;=0,"",IF(VLOOKUP($A14,'détails investissements'!$A$26:$DE$43,C$3-VLOOKUP($A14,'détails investissements'!$A$71:$B$88,2,FALSE)+1,FALSE)="","",VLOOKUP($A14,'détails investissements'!$A$26:$DE$43,C$3-VLOOKUP($A14,'détails investissements'!$A$71:$B$88,2,FALSE)+1,FALSE)))&lt;&gt;"",HLOOKUP(IF(C$3-VLOOKUP($A14,'détails investissements'!$A$71:$B$88,2,FALSE)&lt;=0,"",IF(VLOOKUP($A14,'détails investissements'!$A$26:$DE$43,C$3-VLOOKUP($A14,'détails investissements'!$A$71:$B$88,2,FALSE)+1,FALSE)="","",VLOOKUP($A14,'détails investissements'!$A$26:$DE$43,C$3-VLOOKUP($A14,'détails investissements'!$A$71:$B$88,2,FALSE)+1,FALSE))),'détails investissements'!$U$6:$AB$7,2,FALSE),""),FALSE),"")</f>
        <v/>
      </c>
      <c r="D14" s="45" t="str">
        <f>IF(IF(IF(D$3-VLOOKUP($A14,'détails investissements'!$A$71:$B$88,2,FALSE)&lt;=0,"",IF(VLOOKUP($A14,'détails investissements'!$A$26:$DE$43,D$3-VLOOKUP($A14,'détails investissements'!$A$71:$B$88,2,FALSE)+1,FALSE)="","",VLOOKUP($A14,'détails investissements'!$A$26:$DE$43,D$3-VLOOKUP($A14,'détails investissements'!$A$71:$B$88,2,FALSE)+1,FALSE)))&lt;&gt;"",HLOOKUP(IF(D$3-VLOOKUP($A14,'détails investissements'!$A$71:$B$88,2,FALSE)&lt;=0,"",IF(VLOOKUP($A14,'détails investissements'!$A$26:$DE$43,D$3-VLOOKUP($A14,'détails investissements'!$A$71:$B$88,2,FALSE)+1,FALSE)="","",VLOOKUP($A14,'détails investissements'!$A$26:$DE$43,D$3-VLOOKUP($A14,'détails investissements'!$A$71:$B$88,2,FALSE)+1,FALSE))),'détails investissements'!$U$6:$AB$7,2,FALSE),"")&lt;&gt;"",VLOOKUP($A14,'détails investissements'!$A$7:$H$21,1+IF(IF(D$3-VLOOKUP($A14,'détails investissements'!$A$71:$B$88,2,FALSE)&lt;=0,"",IF(VLOOKUP($A14,'détails investissements'!$A$26:$DE$43,D$3-VLOOKUP($A14,'détails investissements'!$A$71:$B$88,2,FALSE)+1,FALSE)="","",VLOOKUP($A14,'détails investissements'!$A$26:$DE$43,D$3-VLOOKUP($A14,'détails investissements'!$A$71:$B$88,2,FALSE)+1,FALSE)))&lt;&gt;"",HLOOKUP(IF(D$3-VLOOKUP($A14,'détails investissements'!$A$71:$B$88,2,FALSE)&lt;=0,"",IF(VLOOKUP($A14,'détails investissements'!$A$26:$DE$43,D$3-VLOOKUP($A14,'détails investissements'!$A$71:$B$88,2,FALSE)+1,FALSE)="","",VLOOKUP($A14,'détails investissements'!$A$26:$DE$43,D$3-VLOOKUP($A14,'détails investissements'!$A$71:$B$88,2,FALSE)+1,FALSE))),'détails investissements'!$U$6:$AB$7,2,FALSE),""),FALSE),"")</f>
        <v/>
      </c>
      <c r="E14" s="45" t="str">
        <f>IF(IF(IF(E$3-VLOOKUP($A14,'détails investissements'!$A$71:$B$88,2,FALSE)&lt;=0,"",IF(VLOOKUP($A14,'détails investissements'!$A$26:$DE$43,E$3-VLOOKUP($A14,'détails investissements'!$A$71:$B$88,2,FALSE)+1,FALSE)="","",VLOOKUP($A14,'détails investissements'!$A$26:$DE$43,E$3-VLOOKUP($A14,'détails investissements'!$A$71:$B$88,2,FALSE)+1,FALSE)))&lt;&gt;"",HLOOKUP(IF(E$3-VLOOKUP($A14,'détails investissements'!$A$71:$B$88,2,FALSE)&lt;=0,"",IF(VLOOKUP($A14,'détails investissements'!$A$26:$DE$43,E$3-VLOOKUP($A14,'détails investissements'!$A$71:$B$88,2,FALSE)+1,FALSE)="","",VLOOKUP($A14,'détails investissements'!$A$26:$DE$43,E$3-VLOOKUP($A14,'détails investissements'!$A$71:$B$88,2,FALSE)+1,FALSE))),'détails investissements'!$U$6:$AB$7,2,FALSE),"")&lt;&gt;"",VLOOKUP($A14,'détails investissements'!$A$7:$H$21,1+IF(IF(E$3-VLOOKUP($A14,'détails investissements'!$A$71:$B$88,2,FALSE)&lt;=0,"",IF(VLOOKUP($A14,'détails investissements'!$A$26:$DE$43,E$3-VLOOKUP($A14,'détails investissements'!$A$71:$B$88,2,FALSE)+1,FALSE)="","",VLOOKUP($A14,'détails investissements'!$A$26:$DE$43,E$3-VLOOKUP($A14,'détails investissements'!$A$71:$B$88,2,FALSE)+1,FALSE)))&lt;&gt;"",HLOOKUP(IF(E$3-VLOOKUP($A14,'détails investissements'!$A$71:$B$88,2,FALSE)&lt;=0,"",IF(VLOOKUP($A14,'détails investissements'!$A$26:$DE$43,E$3-VLOOKUP($A14,'détails investissements'!$A$71:$B$88,2,FALSE)+1,FALSE)="","",VLOOKUP($A14,'détails investissements'!$A$26:$DE$43,E$3-VLOOKUP($A14,'détails investissements'!$A$71:$B$88,2,FALSE)+1,FALSE))),'détails investissements'!$U$6:$AB$7,2,FALSE),""),FALSE),"")</f>
        <v/>
      </c>
      <c r="F14" s="45" t="str">
        <f>IF(IF(IF(F$3-VLOOKUP($A14,'détails investissements'!$A$71:$B$88,2,FALSE)&lt;=0,"",IF(VLOOKUP($A14,'détails investissements'!$A$26:$DE$43,F$3-VLOOKUP($A14,'détails investissements'!$A$71:$B$88,2,FALSE)+1,FALSE)="","",VLOOKUP($A14,'détails investissements'!$A$26:$DE$43,F$3-VLOOKUP($A14,'détails investissements'!$A$71:$B$88,2,FALSE)+1,FALSE)))&lt;&gt;"",HLOOKUP(IF(F$3-VLOOKUP($A14,'détails investissements'!$A$71:$B$88,2,FALSE)&lt;=0,"",IF(VLOOKUP($A14,'détails investissements'!$A$26:$DE$43,F$3-VLOOKUP($A14,'détails investissements'!$A$71:$B$88,2,FALSE)+1,FALSE)="","",VLOOKUP($A14,'détails investissements'!$A$26:$DE$43,F$3-VLOOKUP($A14,'détails investissements'!$A$71:$B$88,2,FALSE)+1,FALSE))),'détails investissements'!$U$6:$AB$7,2,FALSE),"")&lt;&gt;"",VLOOKUP($A14,'détails investissements'!$A$7:$H$21,1+IF(IF(F$3-VLOOKUP($A14,'détails investissements'!$A$71:$B$88,2,FALSE)&lt;=0,"",IF(VLOOKUP($A14,'détails investissements'!$A$26:$DE$43,F$3-VLOOKUP($A14,'détails investissements'!$A$71:$B$88,2,FALSE)+1,FALSE)="","",VLOOKUP($A14,'détails investissements'!$A$26:$DE$43,F$3-VLOOKUP($A14,'détails investissements'!$A$71:$B$88,2,FALSE)+1,FALSE)))&lt;&gt;"",HLOOKUP(IF(F$3-VLOOKUP($A14,'détails investissements'!$A$71:$B$88,2,FALSE)&lt;=0,"",IF(VLOOKUP($A14,'détails investissements'!$A$26:$DE$43,F$3-VLOOKUP($A14,'détails investissements'!$A$71:$B$88,2,FALSE)+1,FALSE)="","",VLOOKUP($A14,'détails investissements'!$A$26:$DE$43,F$3-VLOOKUP($A14,'détails investissements'!$A$71:$B$88,2,FALSE)+1,FALSE))),'détails investissements'!$U$6:$AB$7,2,FALSE),""),FALSE),"")</f>
        <v/>
      </c>
      <c r="G14" s="45" t="str">
        <f>IF(IF(IF(G$3-VLOOKUP($A14,'détails investissements'!$A$71:$B$88,2,FALSE)&lt;=0,"",IF(VLOOKUP($A14,'détails investissements'!$A$26:$DE$43,G$3-VLOOKUP($A14,'détails investissements'!$A$71:$B$88,2,FALSE)+1,FALSE)="","",VLOOKUP($A14,'détails investissements'!$A$26:$DE$43,G$3-VLOOKUP($A14,'détails investissements'!$A$71:$B$88,2,FALSE)+1,FALSE)))&lt;&gt;"",HLOOKUP(IF(G$3-VLOOKUP($A14,'détails investissements'!$A$71:$B$88,2,FALSE)&lt;=0,"",IF(VLOOKUP($A14,'détails investissements'!$A$26:$DE$43,G$3-VLOOKUP($A14,'détails investissements'!$A$71:$B$88,2,FALSE)+1,FALSE)="","",VLOOKUP($A14,'détails investissements'!$A$26:$DE$43,G$3-VLOOKUP($A14,'détails investissements'!$A$71:$B$88,2,FALSE)+1,FALSE))),'détails investissements'!$U$6:$AB$7,2,FALSE),"")&lt;&gt;"",VLOOKUP($A14,'détails investissements'!$A$7:$H$21,1+IF(IF(G$3-VLOOKUP($A14,'détails investissements'!$A$71:$B$88,2,FALSE)&lt;=0,"",IF(VLOOKUP($A14,'détails investissements'!$A$26:$DE$43,G$3-VLOOKUP($A14,'détails investissements'!$A$71:$B$88,2,FALSE)+1,FALSE)="","",VLOOKUP($A14,'détails investissements'!$A$26:$DE$43,G$3-VLOOKUP($A14,'détails investissements'!$A$71:$B$88,2,FALSE)+1,FALSE)))&lt;&gt;"",HLOOKUP(IF(G$3-VLOOKUP($A14,'détails investissements'!$A$71:$B$88,2,FALSE)&lt;=0,"",IF(VLOOKUP($A14,'détails investissements'!$A$26:$DE$43,G$3-VLOOKUP($A14,'détails investissements'!$A$71:$B$88,2,FALSE)+1,FALSE)="","",VLOOKUP($A14,'détails investissements'!$A$26:$DE$43,G$3-VLOOKUP($A14,'détails investissements'!$A$71:$B$88,2,FALSE)+1,FALSE))),'détails investissements'!$U$6:$AB$7,2,FALSE),""),FALSE),"")</f>
        <v/>
      </c>
      <c r="H14" s="45" t="str">
        <f>IF(IF(IF(H$3-VLOOKUP($A14,'détails investissements'!$A$71:$B$88,2,FALSE)&lt;=0,"",IF(VLOOKUP($A14,'détails investissements'!$A$26:$DE$43,H$3-VLOOKUP($A14,'détails investissements'!$A$71:$B$88,2,FALSE)+1,FALSE)="","",VLOOKUP($A14,'détails investissements'!$A$26:$DE$43,H$3-VLOOKUP($A14,'détails investissements'!$A$71:$B$88,2,FALSE)+1,FALSE)))&lt;&gt;"",HLOOKUP(IF(H$3-VLOOKUP($A14,'détails investissements'!$A$71:$B$88,2,FALSE)&lt;=0,"",IF(VLOOKUP($A14,'détails investissements'!$A$26:$DE$43,H$3-VLOOKUP($A14,'détails investissements'!$A$71:$B$88,2,FALSE)+1,FALSE)="","",VLOOKUP($A14,'détails investissements'!$A$26:$DE$43,H$3-VLOOKUP($A14,'détails investissements'!$A$71:$B$88,2,FALSE)+1,FALSE))),'détails investissements'!$U$6:$AB$7,2,FALSE),"")&lt;&gt;"",VLOOKUP($A14,'détails investissements'!$A$7:$H$21,1+IF(IF(H$3-VLOOKUP($A14,'détails investissements'!$A$71:$B$88,2,FALSE)&lt;=0,"",IF(VLOOKUP($A14,'détails investissements'!$A$26:$DE$43,H$3-VLOOKUP($A14,'détails investissements'!$A$71:$B$88,2,FALSE)+1,FALSE)="","",VLOOKUP($A14,'détails investissements'!$A$26:$DE$43,H$3-VLOOKUP($A14,'détails investissements'!$A$71:$B$88,2,FALSE)+1,FALSE)))&lt;&gt;"",HLOOKUP(IF(H$3-VLOOKUP($A14,'détails investissements'!$A$71:$B$88,2,FALSE)&lt;=0,"",IF(VLOOKUP($A14,'détails investissements'!$A$26:$DE$43,H$3-VLOOKUP($A14,'détails investissements'!$A$71:$B$88,2,FALSE)+1,FALSE)="","",VLOOKUP($A14,'détails investissements'!$A$26:$DE$43,H$3-VLOOKUP($A14,'détails investissements'!$A$71:$B$88,2,FALSE)+1,FALSE))),'détails investissements'!$U$6:$AB$7,2,FALSE),""),FALSE),"")</f>
        <v/>
      </c>
      <c r="I14" s="45" t="str">
        <f>IF(IF(IF(I$3-VLOOKUP($A14,'détails investissements'!$A$71:$B$88,2,FALSE)&lt;=0,"",IF(VLOOKUP($A14,'détails investissements'!$A$26:$DE$43,I$3-VLOOKUP($A14,'détails investissements'!$A$71:$B$88,2,FALSE)+1,FALSE)="","",VLOOKUP($A14,'détails investissements'!$A$26:$DE$43,I$3-VLOOKUP($A14,'détails investissements'!$A$71:$B$88,2,FALSE)+1,FALSE)))&lt;&gt;"",HLOOKUP(IF(I$3-VLOOKUP($A14,'détails investissements'!$A$71:$B$88,2,FALSE)&lt;=0,"",IF(VLOOKUP($A14,'détails investissements'!$A$26:$DE$43,I$3-VLOOKUP($A14,'détails investissements'!$A$71:$B$88,2,FALSE)+1,FALSE)="","",VLOOKUP($A14,'détails investissements'!$A$26:$DE$43,I$3-VLOOKUP($A14,'détails investissements'!$A$71:$B$88,2,FALSE)+1,FALSE))),'détails investissements'!$U$6:$AB$7,2,FALSE),"")&lt;&gt;"",VLOOKUP($A14,'détails investissements'!$A$7:$H$21,1+IF(IF(I$3-VLOOKUP($A14,'détails investissements'!$A$71:$B$88,2,FALSE)&lt;=0,"",IF(VLOOKUP($A14,'détails investissements'!$A$26:$DE$43,I$3-VLOOKUP($A14,'détails investissements'!$A$71:$B$88,2,FALSE)+1,FALSE)="","",VLOOKUP($A14,'détails investissements'!$A$26:$DE$43,I$3-VLOOKUP($A14,'détails investissements'!$A$71:$B$88,2,FALSE)+1,FALSE)))&lt;&gt;"",HLOOKUP(IF(I$3-VLOOKUP($A14,'détails investissements'!$A$71:$B$88,2,FALSE)&lt;=0,"",IF(VLOOKUP($A14,'détails investissements'!$A$26:$DE$43,I$3-VLOOKUP($A14,'détails investissements'!$A$71:$B$88,2,FALSE)+1,FALSE)="","",VLOOKUP($A14,'détails investissements'!$A$26:$DE$43,I$3-VLOOKUP($A14,'détails investissements'!$A$71:$B$88,2,FALSE)+1,FALSE))),'détails investissements'!$U$6:$AB$7,2,FALSE),""),FALSE),"")</f>
        <v/>
      </c>
      <c r="J14" s="45" t="str">
        <f>IF(IF(IF(J$3-VLOOKUP($A14,'détails investissements'!$A$71:$B$88,2,FALSE)&lt;=0,"",IF(VLOOKUP($A14,'détails investissements'!$A$26:$DE$43,J$3-VLOOKUP($A14,'détails investissements'!$A$71:$B$88,2,FALSE)+1,FALSE)="","",VLOOKUP($A14,'détails investissements'!$A$26:$DE$43,J$3-VLOOKUP($A14,'détails investissements'!$A$71:$B$88,2,FALSE)+1,FALSE)))&lt;&gt;"",HLOOKUP(IF(J$3-VLOOKUP($A14,'détails investissements'!$A$71:$B$88,2,FALSE)&lt;=0,"",IF(VLOOKUP($A14,'détails investissements'!$A$26:$DE$43,J$3-VLOOKUP($A14,'détails investissements'!$A$71:$B$88,2,FALSE)+1,FALSE)="","",VLOOKUP($A14,'détails investissements'!$A$26:$DE$43,J$3-VLOOKUP($A14,'détails investissements'!$A$71:$B$88,2,FALSE)+1,FALSE))),'détails investissements'!$U$6:$AB$7,2,FALSE),"")&lt;&gt;"",VLOOKUP($A14,'détails investissements'!$A$7:$H$21,1+IF(IF(J$3-VLOOKUP($A14,'détails investissements'!$A$71:$B$88,2,FALSE)&lt;=0,"",IF(VLOOKUP($A14,'détails investissements'!$A$26:$DE$43,J$3-VLOOKUP($A14,'détails investissements'!$A$71:$B$88,2,FALSE)+1,FALSE)="","",VLOOKUP($A14,'détails investissements'!$A$26:$DE$43,J$3-VLOOKUP($A14,'détails investissements'!$A$71:$B$88,2,FALSE)+1,FALSE)))&lt;&gt;"",HLOOKUP(IF(J$3-VLOOKUP($A14,'détails investissements'!$A$71:$B$88,2,FALSE)&lt;=0,"",IF(VLOOKUP($A14,'détails investissements'!$A$26:$DE$43,J$3-VLOOKUP($A14,'détails investissements'!$A$71:$B$88,2,FALSE)+1,FALSE)="","",VLOOKUP($A14,'détails investissements'!$A$26:$DE$43,J$3-VLOOKUP($A14,'détails investissements'!$A$71:$B$88,2,FALSE)+1,FALSE))),'détails investissements'!$U$6:$AB$7,2,FALSE),""),FALSE),"")</f>
        <v/>
      </c>
      <c r="K14" s="45" t="str">
        <f>IF(IF(IF(K$3-VLOOKUP($A14,'détails investissements'!$A$71:$B$88,2,FALSE)&lt;=0,"",IF(VLOOKUP($A14,'détails investissements'!$A$26:$DE$43,K$3-VLOOKUP($A14,'détails investissements'!$A$71:$B$88,2,FALSE)+1,FALSE)="","",VLOOKUP($A14,'détails investissements'!$A$26:$DE$43,K$3-VLOOKUP($A14,'détails investissements'!$A$71:$B$88,2,FALSE)+1,FALSE)))&lt;&gt;"",HLOOKUP(IF(K$3-VLOOKUP($A14,'détails investissements'!$A$71:$B$88,2,FALSE)&lt;=0,"",IF(VLOOKUP($A14,'détails investissements'!$A$26:$DE$43,K$3-VLOOKUP($A14,'détails investissements'!$A$71:$B$88,2,FALSE)+1,FALSE)="","",VLOOKUP($A14,'détails investissements'!$A$26:$DE$43,K$3-VLOOKUP($A14,'détails investissements'!$A$71:$B$88,2,FALSE)+1,FALSE))),'détails investissements'!$U$6:$AB$7,2,FALSE),"")&lt;&gt;"",VLOOKUP($A14,'détails investissements'!$A$7:$H$21,1+IF(IF(K$3-VLOOKUP($A14,'détails investissements'!$A$71:$B$88,2,FALSE)&lt;=0,"",IF(VLOOKUP($A14,'détails investissements'!$A$26:$DE$43,K$3-VLOOKUP($A14,'détails investissements'!$A$71:$B$88,2,FALSE)+1,FALSE)="","",VLOOKUP($A14,'détails investissements'!$A$26:$DE$43,K$3-VLOOKUP($A14,'détails investissements'!$A$71:$B$88,2,FALSE)+1,FALSE)))&lt;&gt;"",HLOOKUP(IF(K$3-VLOOKUP($A14,'détails investissements'!$A$71:$B$88,2,FALSE)&lt;=0,"",IF(VLOOKUP($A14,'détails investissements'!$A$26:$DE$43,K$3-VLOOKUP($A14,'détails investissements'!$A$71:$B$88,2,FALSE)+1,FALSE)="","",VLOOKUP($A14,'détails investissements'!$A$26:$DE$43,K$3-VLOOKUP($A14,'détails investissements'!$A$71:$B$88,2,FALSE)+1,FALSE))),'détails investissements'!$U$6:$AB$7,2,FALSE),""),FALSE),"")</f>
        <v/>
      </c>
      <c r="L14" s="45" t="str">
        <f>IF(IF(IF(L$3-VLOOKUP($A14,'détails investissements'!$A$71:$B$88,2,FALSE)&lt;=0,"",IF(VLOOKUP($A14,'détails investissements'!$A$26:$DE$43,L$3-VLOOKUP($A14,'détails investissements'!$A$71:$B$88,2,FALSE)+1,FALSE)="","",VLOOKUP($A14,'détails investissements'!$A$26:$DE$43,L$3-VLOOKUP($A14,'détails investissements'!$A$71:$B$88,2,FALSE)+1,FALSE)))&lt;&gt;"",HLOOKUP(IF(L$3-VLOOKUP($A14,'détails investissements'!$A$71:$B$88,2,FALSE)&lt;=0,"",IF(VLOOKUP($A14,'détails investissements'!$A$26:$DE$43,L$3-VLOOKUP($A14,'détails investissements'!$A$71:$B$88,2,FALSE)+1,FALSE)="","",VLOOKUP($A14,'détails investissements'!$A$26:$DE$43,L$3-VLOOKUP($A14,'détails investissements'!$A$71:$B$88,2,FALSE)+1,FALSE))),'détails investissements'!$U$6:$AB$7,2,FALSE),"")&lt;&gt;"",VLOOKUP($A14,'détails investissements'!$A$7:$H$21,1+IF(IF(L$3-VLOOKUP($A14,'détails investissements'!$A$71:$B$88,2,FALSE)&lt;=0,"",IF(VLOOKUP($A14,'détails investissements'!$A$26:$DE$43,L$3-VLOOKUP($A14,'détails investissements'!$A$71:$B$88,2,FALSE)+1,FALSE)="","",VLOOKUP($A14,'détails investissements'!$A$26:$DE$43,L$3-VLOOKUP($A14,'détails investissements'!$A$71:$B$88,2,FALSE)+1,FALSE)))&lt;&gt;"",HLOOKUP(IF(L$3-VLOOKUP($A14,'détails investissements'!$A$71:$B$88,2,FALSE)&lt;=0,"",IF(VLOOKUP($A14,'détails investissements'!$A$26:$DE$43,L$3-VLOOKUP($A14,'détails investissements'!$A$71:$B$88,2,FALSE)+1,FALSE)="","",VLOOKUP($A14,'détails investissements'!$A$26:$DE$43,L$3-VLOOKUP($A14,'détails investissements'!$A$71:$B$88,2,FALSE)+1,FALSE))),'détails investissements'!$U$6:$AB$7,2,FALSE),""),FALSE),"")</f>
        <v/>
      </c>
      <c r="M14" s="45" t="str">
        <f>IF(IF(IF(M$3-VLOOKUP($A14,'détails investissements'!$A$71:$B$88,2,FALSE)&lt;=0,"",IF(VLOOKUP($A14,'détails investissements'!$A$26:$DE$43,M$3-VLOOKUP($A14,'détails investissements'!$A$71:$B$88,2,FALSE)+1,FALSE)="","",VLOOKUP($A14,'détails investissements'!$A$26:$DE$43,M$3-VLOOKUP($A14,'détails investissements'!$A$71:$B$88,2,FALSE)+1,FALSE)))&lt;&gt;"",HLOOKUP(IF(M$3-VLOOKUP($A14,'détails investissements'!$A$71:$B$88,2,FALSE)&lt;=0,"",IF(VLOOKUP($A14,'détails investissements'!$A$26:$DE$43,M$3-VLOOKUP($A14,'détails investissements'!$A$71:$B$88,2,FALSE)+1,FALSE)="","",VLOOKUP($A14,'détails investissements'!$A$26:$DE$43,M$3-VLOOKUP($A14,'détails investissements'!$A$71:$B$88,2,FALSE)+1,FALSE))),'détails investissements'!$U$6:$AB$7,2,FALSE),"")&lt;&gt;"",VLOOKUP($A14,'détails investissements'!$A$7:$H$21,1+IF(IF(M$3-VLOOKUP($A14,'détails investissements'!$A$71:$B$88,2,FALSE)&lt;=0,"",IF(VLOOKUP($A14,'détails investissements'!$A$26:$DE$43,M$3-VLOOKUP($A14,'détails investissements'!$A$71:$B$88,2,FALSE)+1,FALSE)="","",VLOOKUP($A14,'détails investissements'!$A$26:$DE$43,M$3-VLOOKUP($A14,'détails investissements'!$A$71:$B$88,2,FALSE)+1,FALSE)))&lt;&gt;"",HLOOKUP(IF(M$3-VLOOKUP($A14,'détails investissements'!$A$71:$B$88,2,FALSE)&lt;=0,"",IF(VLOOKUP($A14,'détails investissements'!$A$26:$DE$43,M$3-VLOOKUP($A14,'détails investissements'!$A$71:$B$88,2,FALSE)+1,FALSE)="","",VLOOKUP($A14,'détails investissements'!$A$26:$DE$43,M$3-VLOOKUP($A14,'détails investissements'!$A$71:$B$88,2,FALSE)+1,FALSE))),'détails investissements'!$U$6:$AB$7,2,FALSE),""),FALSE),"")</f>
        <v/>
      </c>
      <c r="N14" s="45" t="str">
        <f>IF(IF(IF(N$3-VLOOKUP($A14,'détails investissements'!$A$71:$B$88,2,FALSE)&lt;=0,"",IF(VLOOKUP($A14,'détails investissements'!$A$26:$DE$43,N$3-VLOOKUP($A14,'détails investissements'!$A$71:$B$88,2,FALSE)+1,FALSE)="","",VLOOKUP($A14,'détails investissements'!$A$26:$DE$43,N$3-VLOOKUP($A14,'détails investissements'!$A$71:$B$88,2,FALSE)+1,FALSE)))&lt;&gt;"",HLOOKUP(IF(N$3-VLOOKUP($A14,'détails investissements'!$A$71:$B$88,2,FALSE)&lt;=0,"",IF(VLOOKUP($A14,'détails investissements'!$A$26:$DE$43,N$3-VLOOKUP($A14,'détails investissements'!$A$71:$B$88,2,FALSE)+1,FALSE)="","",VLOOKUP($A14,'détails investissements'!$A$26:$DE$43,N$3-VLOOKUP($A14,'détails investissements'!$A$71:$B$88,2,FALSE)+1,FALSE))),'détails investissements'!$U$6:$AB$7,2,FALSE),"")&lt;&gt;"",VLOOKUP($A14,'détails investissements'!$A$7:$H$21,1+IF(IF(N$3-VLOOKUP($A14,'détails investissements'!$A$71:$B$88,2,FALSE)&lt;=0,"",IF(VLOOKUP($A14,'détails investissements'!$A$26:$DE$43,N$3-VLOOKUP($A14,'détails investissements'!$A$71:$B$88,2,FALSE)+1,FALSE)="","",VLOOKUP($A14,'détails investissements'!$A$26:$DE$43,N$3-VLOOKUP($A14,'détails investissements'!$A$71:$B$88,2,FALSE)+1,FALSE)))&lt;&gt;"",HLOOKUP(IF(N$3-VLOOKUP($A14,'détails investissements'!$A$71:$B$88,2,FALSE)&lt;=0,"",IF(VLOOKUP($A14,'détails investissements'!$A$26:$DE$43,N$3-VLOOKUP($A14,'détails investissements'!$A$71:$B$88,2,FALSE)+1,FALSE)="","",VLOOKUP($A14,'détails investissements'!$A$26:$DE$43,N$3-VLOOKUP($A14,'détails investissements'!$A$71:$B$88,2,FALSE)+1,FALSE))),'détails investissements'!$U$6:$AB$7,2,FALSE),""),FALSE),"")</f>
        <v/>
      </c>
      <c r="O14" s="45">
        <f>IF(IF(IF(O$3-VLOOKUP($A14,'détails investissements'!$A$71:$B$88,2,FALSE)&lt;=0,"",IF(VLOOKUP($A14,'détails investissements'!$A$26:$DE$43,O$3-VLOOKUP($A14,'détails investissements'!$A$71:$B$88,2,FALSE)+1,FALSE)="","",VLOOKUP($A14,'détails investissements'!$A$26:$DE$43,O$3-VLOOKUP($A14,'détails investissements'!$A$71:$B$88,2,FALSE)+1,FALSE)))&lt;&gt;"",HLOOKUP(IF(O$3-VLOOKUP($A14,'détails investissements'!$A$71:$B$88,2,FALSE)&lt;=0,"",IF(VLOOKUP($A14,'détails investissements'!$A$26:$DE$43,O$3-VLOOKUP($A14,'détails investissements'!$A$71:$B$88,2,FALSE)+1,FALSE)="","",VLOOKUP($A14,'détails investissements'!$A$26:$DE$43,O$3-VLOOKUP($A14,'détails investissements'!$A$71:$B$88,2,FALSE)+1,FALSE))),'détails investissements'!$U$6:$AB$7,2,FALSE),"")&lt;&gt;"",VLOOKUP($A14,'détails investissements'!$A$7:$H$21,1+IF(IF(O$3-VLOOKUP($A14,'détails investissements'!$A$71:$B$88,2,FALSE)&lt;=0,"",IF(VLOOKUP($A14,'détails investissements'!$A$26:$DE$43,O$3-VLOOKUP($A14,'détails investissements'!$A$71:$B$88,2,FALSE)+1,FALSE)="","",VLOOKUP($A14,'détails investissements'!$A$26:$DE$43,O$3-VLOOKUP($A14,'détails investissements'!$A$71:$B$88,2,FALSE)+1,FALSE)))&lt;&gt;"",HLOOKUP(IF(O$3-VLOOKUP($A14,'détails investissements'!$A$71:$B$88,2,FALSE)&lt;=0,"",IF(VLOOKUP($A14,'détails investissements'!$A$26:$DE$43,O$3-VLOOKUP($A14,'détails investissements'!$A$71:$B$88,2,FALSE)+1,FALSE)="","",VLOOKUP($A14,'détails investissements'!$A$26:$DE$43,O$3-VLOOKUP($A14,'détails investissements'!$A$71:$B$88,2,FALSE)+1,FALSE))),'détails investissements'!$U$6:$AB$7,2,FALSE),""),FALSE),"")</f>
        <v>0.15</v>
      </c>
      <c r="P14" s="45" t="str">
        <f>IF(IF(IF(P$3-VLOOKUP($A14,'détails investissements'!$A$71:$B$88,2,FALSE)&lt;=0,"",IF(VLOOKUP($A14,'détails investissements'!$A$26:$DE$43,P$3-VLOOKUP($A14,'détails investissements'!$A$71:$B$88,2,FALSE)+1,FALSE)="","",VLOOKUP($A14,'détails investissements'!$A$26:$DE$43,P$3-VLOOKUP($A14,'détails investissements'!$A$71:$B$88,2,FALSE)+1,FALSE)))&lt;&gt;"",HLOOKUP(IF(P$3-VLOOKUP($A14,'détails investissements'!$A$71:$B$88,2,FALSE)&lt;=0,"",IF(VLOOKUP($A14,'détails investissements'!$A$26:$DE$43,P$3-VLOOKUP($A14,'détails investissements'!$A$71:$B$88,2,FALSE)+1,FALSE)="","",VLOOKUP($A14,'détails investissements'!$A$26:$DE$43,P$3-VLOOKUP($A14,'détails investissements'!$A$71:$B$88,2,FALSE)+1,FALSE))),'détails investissements'!$U$6:$AB$7,2,FALSE),"")&lt;&gt;"",VLOOKUP($A14,'détails investissements'!$A$7:$H$21,1+IF(IF(P$3-VLOOKUP($A14,'détails investissements'!$A$71:$B$88,2,FALSE)&lt;=0,"",IF(VLOOKUP($A14,'détails investissements'!$A$26:$DE$43,P$3-VLOOKUP($A14,'détails investissements'!$A$71:$B$88,2,FALSE)+1,FALSE)="","",VLOOKUP($A14,'détails investissements'!$A$26:$DE$43,P$3-VLOOKUP($A14,'détails investissements'!$A$71:$B$88,2,FALSE)+1,FALSE)))&lt;&gt;"",HLOOKUP(IF(P$3-VLOOKUP($A14,'détails investissements'!$A$71:$B$88,2,FALSE)&lt;=0,"",IF(VLOOKUP($A14,'détails investissements'!$A$26:$DE$43,P$3-VLOOKUP($A14,'détails investissements'!$A$71:$B$88,2,FALSE)+1,FALSE)="","",VLOOKUP($A14,'détails investissements'!$A$26:$DE$43,P$3-VLOOKUP($A14,'détails investissements'!$A$71:$B$88,2,FALSE)+1,FALSE))),'détails investissements'!$U$6:$AB$7,2,FALSE),""),FALSE),"")</f>
        <v/>
      </c>
      <c r="Q14" s="45">
        <f>IF(IF(IF(Q$3-VLOOKUP($A14,'détails investissements'!$A$71:$B$88,2,FALSE)&lt;=0,"",IF(VLOOKUP($A14,'détails investissements'!$A$26:$DE$43,Q$3-VLOOKUP($A14,'détails investissements'!$A$71:$B$88,2,FALSE)+1,FALSE)="","",VLOOKUP($A14,'détails investissements'!$A$26:$DE$43,Q$3-VLOOKUP($A14,'détails investissements'!$A$71:$B$88,2,FALSE)+1,FALSE)))&lt;&gt;"",HLOOKUP(IF(Q$3-VLOOKUP($A14,'détails investissements'!$A$71:$B$88,2,FALSE)&lt;=0,"",IF(VLOOKUP($A14,'détails investissements'!$A$26:$DE$43,Q$3-VLOOKUP($A14,'détails investissements'!$A$71:$B$88,2,FALSE)+1,FALSE)="","",VLOOKUP($A14,'détails investissements'!$A$26:$DE$43,Q$3-VLOOKUP($A14,'détails investissements'!$A$71:$B$88,2,FALSE)+1,FALSE))),'détails investissements'!$U$6:$AB$7,2,FALSE),"")&lt;&gt;"",VLOOKUP($A14,'détails investissements'!$A$7:$H$21,1+IF(IF(Q$3-VLOOKUP($A14,'détails investissements'!$A$71:$B$88,2,FALSE)&lt;=0,"",IF(VLOOKUP($A14,'détails investissements'!$A$26:$DE$43,Q$3-VLOOKUP($A14,'détails investissements'!$A$71:$B$88,2,FALSE)+1,FALSE)="","",VLOOKUP($A14,'détails investissements'!$A$26:$DE$43,Q$3-VLOOKUP($A14,'détails investissements'!$A$71:$B$88,2,FALSE)+1,FALSE)))&lt;&gt;"",HLOOKUP(IF(Q$3-VLOOKUP($A14,'détails investissements'!$A$71:$B$88,2,FALSE)&lt;=0,"",IF(VLOOKUP($A14,'détails investissements'!$A$26:$DE$43,Q$3-VLOOKUP($A14,'détails investissements'!$A$71:$B$88,2,FALSE)+1,FALSE)="","",VLOOKUP($A14,'détails investissements'!$A$26:$DE$43,Q$3-VLOOKUP($A14,'détails investissements'!$A$71:$B$88,2,FALSE)+1,FALSE))),'détails investissements'!$U$6:$AB$7,2,FALSE),""),FALSE),"")</f>
        <v>0.05</v>
      </c>
      <c r="R14" s="45" t="str">
        <f>IF(IF(IF(R$3-VLOOKUP($A14,'détails investissements'!$A$71:$B$88,2,FALSE)&lt;=0,"",IF(VLOOKUP($A14,'détails investissements'!$A$26:$DE$43,R$3-VLOOKUP($A14,'détails investissements'!$A$71:$B$88,2,FALSE)+1,FALSE)="","",VLOOKUP($A14,'détails investissements'!$A$26:$DE$43,R$3-VLOOKUP($A14,'détails investissements'!$A$71:$B$88,2,FALSE)+1,FALSE)))&lt;&gt;"",HLOOKUP(IF(R$3-VLOOKUP($A14,'détails investissements'!$A$71:$B$88,2,FALSE)&lt;=0,"",IF(VLOOKUP($A14,'détails investissements'!$A$26:$DE$43,R$3-VLOOKUP($A14,'détails investissements'!$A$71:$B$88,2,FALSE)+1,FALSE)="","",VLOOKUP($A14,'détails investissements'!$A$26:$DE$43,R$3-VLOOKUP($A14,'détails investissements'!$A$71:$B$88,2,FALSE)+1,FALSE))),'détails investissements'!$U$6:$AB$7,2,FALSE),"")&lt;&gt;"",VLOOKUP($A14,'détails investissements'!$A$7:$H$21,1+IF(IF(R$3-VLOOKUP($A14,'détails investissements'!$A$71:$B$88,2,FALSE)&lt;=0,"",IF(VLOOKUP($A14,'détails investissements'!$A$26:$DE$43,R$3-VLOOKUP($A14,'détails investissements'!$A$71:$B$88,2,FALSE)+1,FALSE)="","",VLOOKUP($A14,'détails investissements'!$A$26:$DE$43,R$3-VLOOKUP($A14,'détails investissements'!$A$71:$B$88,2,FALSE)+1,FALSE)))&lt;&gt;"",HLOOKUP(IF(R$3-VLOOKUP($A14,'détails investissements'!$A$71:$B$88,2,FALSE)&lt;=0,"",IF(VLOOKUP($A14,'détails investissements'!$A$26:$DE$43,R$3-VLOOKUP($A14,'détails investissements'!$A$71:$B$88,2,FALSE)+1,FALSE)="","",VLOOKUP($A14,'détails investissements'!$A$26:$DE$43,R$3-VLOOKUP($A14,'détails investissements'!$A$71:$B$88,2,FALSE)+1,FALSE))),'détails investissements'!$U$6:$AB$7,2,FALSE),""),FALSE),"")</f>
        <v/>
      </c>
      <c r="S14" s="45" t="str">
        <f>IF(IF(IF(S$3-VLOOKUP($A14,'détails investissements'!$A$71:$B$88,2,FALSE)&lt;=0,"",IF(VLOOKUP($A14,'détails investissements'!$A$26:$DE$43,S$3-VLOOKUP($A14,'détails investissements'!$A$71:$B$88,2,FALSE)+1,FALSE)="","",VLOOKUP($A14,'détails investissements'!$A$26:$DE$43,S$3-VLOOKUP($A14,'détails investissements'!$A$71:$B$88,2,FALSE)+1,FALSE)))&lt;&gt;"",HLOOKUP(IF(S$3-VLOOKUP($A14,'détails investissements'!$A$71:$B$88,2,FALSE)&lt;=0,"",IF(VLOOKUP($A14,'détails investissements'!$A$26:$DE$43,S$3-VLOOKUP($A14,'détails investissements'!$A$71:$B$88,2,FALSE)+1,FALSE)="","",VLOOKUP($A14,'détails investissements'!$A$26:$DE$43,S$3-VLOOKUP($A14,'détails investissements'!$A$71:$B$88,2,FALSE)+1,FALSE))),'détails investissements'!$U$6:$AB$7,2,FALSE),"")&lt;&gt;"",VLOOKUP($A14,'détails investissements'!$A$7:$H$21,1+IF(IF(S$3-VLOOKUP($A14,'détails investissements'!$A$71:$B$88,2,FALSE)&lt;=0,"",IF(VLOOKUP($A14,'détails investissements'!$A$26:$DE$43,S$3-VLOOKUP($A14,'détails investissements'!$A$71:$B$88,2,FALSE)+1,FALSE)="","",VLOOKUP($A14,'détails investissements'!$A$26:$DE$43,S$3-VLOOKUP($A14,'détails investissements'!$A$71:$B$88,2,FALSE)+1,FALSE)))&lt;&gt;"",HLOOKUP(IF(S$3-VLOOKUP($A14,'détails investissements'!$A$71:$B$88,2,FALSE)&lt;=0,"",IF(VLOOKUP($A14,'détails investissements'!$A$26:$DE$43,S$3-VLOOKUP($A14,'détails investissements'!$A$71:$B$88,2,FALSE)+1,FALSE)="","",VLOOKUP($A14,'détails investissements'!$A$26:$DE$43,S$3-VLOOKUP($A14,'détails investissements'!$A$71:$B$88,2,FALSE)+1,FALSE))),'détails investissements'!$U$6:$AB$7,2,FALSE),""),FALSE),"")</f>
        <v/>
      </c>
      <c r="T14" s="45" t="str">
        <f>IF(IF(IF(T$3-VLOOKUP($A14,'détails investissements'!$A$71:$B$88,2,FALSE)&lt;=0,"",IF(VLOOKUP($A14,'détails investissements'!$A$26:$DE$43,T$3-VLOOKUP($A14,'détails investissements'!$A$71:$B$88,2,FALSE)+1,FALSE)="","",VLOOKUP($A14,'détails investissements'!$A$26:$DE$43,T$3-VLOOKUP($A14,'détails investissements'!$A$71:$B$88,2,FALSE)+1,FALSE)))&lt;&gt;"",HLOOKUP(IF(T$3-VLOOKUP($A14,'détails investissements'!$A$71:$B$88,2,FALSE)&lt;=0,"",IF(VLOOKUP($A14,'détails investissements'!$A$26:$DE$43,T$3-VLOOKUP($A14,'détails investissements'!$A$71:$B$88,2,FALSE)+1,FALSE)="","",VLOOKUP($A14,'détails investissements'!$A$26:$DE$43,T$3-VLOOKUP($A14,'détails investissements'!$A$71:$B$88,2,FALSE)+1,FALSE))),'détails investissements'!$U$6:$AB$7,2,FALSE),"")&lt;&gt;"",VLOOKUP($A14,'détails investissements'!$A$7:$H$21,1+IF(IF(T$3-VLOOKUP($A14,'détails investissements'!$A$71:$B$88,2,FALSE)&lt;=0,"",IF(VLOOKUP($A14,'détails investissements'!$A$26:$DE$43,T$3-VLOOKUP($A14,'détails investissements'!$A$71:$B$88,2,FALSE)+1,FALSE)="","",VLOOKUP($A14,'détails investissements'!$A$26:$DE$43,T$3-VLOOKUP($A14,'détails investissements'!$A$71:$B$88,2,FALSE)+1,FALSE)))&lt;&gt;"",HLOOKUP(IF(T$3-VLOOKUP($A14,'détails investissements'!$A$71:$B$88,2,FALSE)&lt;=0,"",IF(VLOOKUP($A14,'détails investissements'!$A$26:$DE$43,T$3-VLOOKUP($A14,'détails investissements'!$A$71:$B$88,2,FALSE)+1,FALSE)="","",VLOOKUP($A14,'détails investissements'!$A$26:$DE$43,T$3-VLOOKUP($A14,'détails investissements'!$A$71:$B$88,2,FALSE)+1,FALSE))),'détails investissements'!$U$6:$AB$7,2,FALSE),""),FALSE),"")</f>
        <v/>
      </c>
      <c r="U14" s="45" t="str">
        <f>IF(IF(IF(U$3-VLOOKUP($A14,'détails investissements'!$A$71:$B$88,2,FALSE)&lt;=0,"",IF(VLOOKUP($A14,'détails investissements'!$A$26:$DE$43,U$3-VLOOKUP($A14,'détails investissements'!$A$71:$B$88,2,FALSE)+1,FALSE)="","",VLOOKUP($A14,'détails investissements'!$A$26:$DE$43,U$3-VLOOKUP($A14,'détails investissements'!$A$71:$B$88,2,FALSE)+1,FALSE)))&lt;&gt;"",HLOOKUP(IF(U$3-VLOOKUP($A14,'détails investissements'!$A$71:$B$88,2,FALSE)&lt;=0,"",IF(VLOOKUP($A14,'détails investissements'!$A$26:$DE$43,U$3-VLOOKUP($A14,'détails investissements'!$A$71:$B$88,2,FALSE)+1,FALSE)="","",VLOOKUP($A14,'détails investissements'!$A$26:$DE$43,U$3-VLOOKUP($A14,'détails investissements'!$A$71:$B$88,2,FALSE)+1,FALSE))),'détails investissements'!$U$6:$AB$7,2,FALSE),"")&lt;&gt;"",VLOOKUP($A14,'détails investissements'!$A$7:$H$21,1+IF(IF(U$3-VLOOKUP($A14,'détails investissements'!$A$71:$B$88,2,FALSE)&lt;=0,"",IF(VLOOKUP($A14,'détails investissements'!$A$26:$DE$43,U$3-VLOOKUP($A14,'détails investissements'!$A$71:$B$88,2,FALSE)+1,FALSE)="","",VLOOKUP($A14,'détails investissements'!$A$26:$DE$43,U$3-VLOOKUP($A14,'détails investissements'!$A$71:$B$88,2,FALSE)+1,FALSE)))&lt;&gt;"",HLOOKUP(IF(U$3-VLOOKUP($A14,'détails investissements'!$A$71:$B$88,2,FALSE)&lt;=0,"",IF(VLOOKUP($A14,'détails investissements'!$A$26:$DE$43,U$3-VLOOKUP($A14,'détails investissements'!$A$71:$B$88,2,FALSE)+1,FALSE)="","",VLOOKUP($A14,'détails investissements'!$A$26:$DE$43,U$3-VLOOKUP($A14,'détails investissements'!$A$71:$B$88,2,FALSE)+1,FALSE))),'détails investissements'!$U$6:$AB$7,2,FALSE),""),FALSE),"")</f>
        <v/>
      </c>
      <c r="V14" s="45">
        <f>IF(IF(IF(V$3-VLOOKUP($A14,'détails investissements'!$A$71:$B$88,2,FALSE)&lt;=0,"",IF(VLOOKUP($A14,'détails investissements'!$A$26:$DE$43,V$3-VLOOKUP($A14,'détails investissements'!$A$71:$B$88,2,FALSE)+1,FALSE)="","",VLOOKUP($A14,'détails investissements'!$A$26:$DE$43,V$3-VLOOKUP($A14,'détails investissements'!$A$71:$B$88,2,FALSE)+1,FALSE)))&lt;&gt;"",HLOOKUP(IF(V$3-VLOOKUP($A14,'détails investissements'!$A$71:$B$88,2,FALSE)&lt;=0,"",IF(VLOOKUP($A14,'détails investissements'!$A$26:$DE$43,V$3-VLOOKUP($A14,'détails investissements'!$A$71:$B$88,2,FALSE)+1,FALSE)="","",VLOOKUP($A14,'détails investissements'!$A$26:$DE$43,V$3-VLOOKUP($A14,'détails investissements'!$A$71:$B$88,2,FALSE)+1,FALSE))),'détails investissements'!$U$6:$AB$7,2,FALSE),"")&lt;&gt;"",VLOOKUP($A14,'détails investissements'!$A$7:$H$21,1+IF(IF(V$3-VLOOKUP($A14,'détails investissements'!$A$71:$B$88,2,FALSE)&lt;=0,"",IF(VLOOKUP($A14,'détails investissements'!$A$26:$DE$43,V$3-VLOOKUP($A14,'détails investissements'!$A$71:$B$88,2,FALSE)+1,FALSE)="","",VLOOKUP($A14,'détails investissements'!$A$26:$DE$43,V$3-VLOOKUP($A14,'détails investissements'!$A$71:$B$88,2,FALSE)+1,FALSE)))&lt;&gt;"",HLOOKUP(IF(V$3-VLOOKUP($A14,'détails investissements'!$A$71:$B$88,2,FALSE)&lt;=0,"",IF(VLOOKUP($A14,'détails investissements'!$A$26:$DE$43,V$3-VLOOKUP($A14,'détails investissements'!$A$71:$B$88,2,FALSE)+1,FALSE)="","",VLOOKUP($A14,'détails investissements'!$A$26:$DE$43,V$3-VLOOKUP($A14,'détails investissements'!$A$71:$B$88,2,FALSE)+1,FALSE))),'détails investissements'!$U$6:$AB$7,2,FALSE),""),FALSE),"")</f>
        <v>0.15</v>
      </c>
      <c r="W14" s="45" t="str">
        <f>IF(IF(IF(W$3-VLOOKUP($A14,'détails investissements'!$A$71:$B$88,2,FALSE)&lt;=0,"",IF(VLOOKUP($A14,'détails investissements'!$A$26:$DE$43,W$3-VLOOKUP($A14,'détails investissements'!$A$71:$B$88,2,FALSE)+1,FALSE)="","",VLOOKUP($A14,'détails investissements'!$A$26:$DE$43,W$3-VLOOKUP($A14,'détails investissements'!$A$71:$B$88,2,FALSE)+1,FALSE)))&lt;&gt;"",HLOOKUP(IF(W$3-VLOOKUP($A14,'détails investissements'!$A$71:$B$88,2,FALSE)&lt;=0,"",IF(VLOOKUP($A14,'détails investissements'!$A$26:$DE$43,W$3-VLOOKUP($A14,'détails investissements'!$A$71:$B$88,2,FALSE)+1,FALSE)="","",VLOOKUP($A14,'détails investissements'!$A$26:$DE$43,W$3-VLOOKUP($A14,'détails investissements'!$A$71:$B$88,2,FALSE)+1,FALSE))),'détails investissements'!$U$6:$AB$7,2,FALSE),"")&lt;&gt;"",VLOOKUP($A14,'détails investissements'!$A$7:$H$21,1+IF(IF(W$3-VLOOKUP($A14,'détails investissements'!$A$71:$B$88,2,FALSE)&lt;=0,"",IF(VLOOKUP($A14,'détails investissements'!$A$26:$DE$43,W$3-VLOOKUP($A14,'détails investissements'!$A$71:$B$88,2,FALSE)+1,FALSE)="","",VLOOKUP($A14,'détails investissements'!$A$26:$DE$43,W$3-VLOOKUP($A14,'détails investissements'!$A$71:$B$88,2,FALSE)+1,FALSE)))&lt;&gt;"",HLOOKUP(IF(W$3-VLOOKUP($A14,'détails investissements'!$A$71:$B$88,2,FALSE)&lt;=0,"",IF(VLOOKUP($A14,'détails investissements'!$A$26:$DE$43,W$3-VLOOKUP($A14,'détails investissements'!$A$71:$B$88,2,FALSE)+1,FALSE)="","",VLOOKUP($A14,'détails investissements'!$A$26:$DE$43,W$3-VLOOKUP($A14,'détails investissements'!$A$71:$B$88,2,FALSE)+1,FALSE))),'détails investissements'!$U$6:$AB$7,2,FALSE),""),FALSE),"")</f>
        <v/>
      </c>
      <c r="X14" s="45">
        <f>IF(IF(IF(X$3-VLOOKUP($A14,'détails investissements'!$A$71:$B$88,2,FALSE)&lt;=0,"",IF(VLOOKUP($A14,'détails investissements'!$A$26:$DE$43,X$3-VLOOKUP($A14,'détails investissements'!$A$71:$B$88,2,FALSE)+1,FALSE)="","",VLOOKUP($A14,'détails investissements'!$A$26:$DE$43,X$3-VLOOKUP($A14,'détails investissements'!$A$71:$B$88,2,FALSE)+1,FALSE)))&lt;&gt;"",HLOOKUP(IF(X$3-VLOOKUP($A14,'détails investissements'!$A$71:$B$88,2,FALSE)&lt;=0,"",IF(VLOOKUP($A14,'détails investissements'!$A$26:$DE$43,X$3-VLOOKUP($A14,'détails investissements'!$A$71:$B$88,2,FALSE)+1,FALSE)="","",VLOOKUP($A14,'détails investissements'!$A$26:$DE$43,X$3-VLOOKUP($A14,'détails investissements'!$A$71:$B$88,2,FALSE)+1,FALSE))),'détails investissements'!$U$6:$AB$7,2,FALSE),"")&lt;&gt;"",VLOOKUP($A14,'détails investissements'!$A$7:$H$21,1+IF(IF(X$3-VLOOKUP($A14,'détails investissements'!$A$71:$B$88,2,FALSE)&lt;=0,"",IF(VLOOKUP($A14,'détails investissements'!$A$26:$DE$43,X$3-VLOOKUP($A14,'détails investissements'!$A$71:$B$88,2,FALSE)+1,FALSE)="","",VLOOKUP($A14,'détails investissements'!$A$26:$DE$43,X$3-VLOOKUP($A14,'détails investissements'!$A$71:$B$88,2,FALSE)+1,FALSE)))&lt;&gt;"",HLOOKUP(IF(X$3-VLOOKUP($A14,'détails investissements'!$A$71:$B$88,2,FALSE)&lt;=0,"",IF(VLOOKUP($A14,'détails investissements'!$A$26:$DE$43,X$3-VLOOKUP($A14,'détails investissements'!$A$71:$B$88,2,FALSE)+1,FALSE)="","",VLOOKUP($A14,'détails investissements'!$A$26:$DE$43,X$3-VLOOKUP($A14,'détails investissements'!$A$71:$B$88,2,FALSE)+1,FALSE))),'détails investissements'!$U$6:$AB$7,2,FALSE),""),FALSE),"")</f>
        <v>0.2</v>
      </c>
      <c r="Y14" s="45" t="str">
        <f>IF(IF(IF(Y$3-VLOOKUP($A14,'détails investissements'!$A$71:$B$88,2,FALSE)&lt;=0,"",IF(VLOOKUP($A14,'détails investissements'!$A$26:$DE$43,Y$3-VLOOKUP($A14,'détails investissements'!$A$71:$B$88,2,FALSE)+1,FALSE)="","",VLOOKUP($A14,'détails investissements'!$A$26:$DE$43,Y$3-VLOOKUP($A14,'détails investissements'!$A$71:$B$88,2,FALSE)+1,FALSE)))&lt;&gt;"",HLOOKUP(IF(Y$3-VLOOKUP($A14,'détails investissements'!$A$71:$B$88,2,FALSE)&lt;=0,"",IF(VLOOKUP($A14,'détails investissements'!$A$26:$DE$43,Y$3-VLOOKUP($A14,'détails investissements'!$A$71:$B$88,2,FALSE)+1,FALSE)="","",VLOOKUP($A14,'détails investissements'!$A$26:$DE$43,Y$3-VLOOKUP($A14,'détails investissements'!$A$71:$B$88,2,FALSE)+1,FALSE))),'détails investissements'!$U$6:$AB$7,2,FALSE),"")&lt;&gt;"",VLOOKUP($A14,'détails investissements'!$A$7:$H$21,1+IF(IF(Y$3-VLOOKUP($A14,'détails investissements'!$A$71:$B$88,2,FALSE)&lt;=0,"",IF(VLOOKUP($A14,'détails investissements'!$A$26:$DE$43,Y$3-VLOOKUP($A14,'détails investissements'!$A$71:$B$88,2,FALSE)+1,FALSE)="","",VLOOKUP($A14,'détails investissements'!$A$26:$DE$43,Y$3-VLOOKUP($A14,'détails investissements'!$A$71:$B$88,2,FALSE)+1,FALSE)))&lt;&gt;"",HLOOKUP(IF(Y$3-VLOOKUP($A14,'détails investissements'!$A$71:$B$88,2,FALSE)&lt;=0,"",IF(VLOOKUP($A14,'détails investissements'!$A$26:$DE$43,Y$3-VLOOKUP($A14,'détails investissements'!$A$71:$B$88,2,FALSE)+1,FALSE)="","",VLOOKUP($A14,'détails investissements'!$A$26:$DE$43,Y$3-VLOOKUP($A14,'détails investissements'!$A$71:$B$88,2,FALSE)+1,FALSE))),'détails investissements'!$U$6:$AB$7,2,FALSE),""),FALSE),"")</f>
        <v/>
      </c>
      <c r="Z14" s="45">
        <f>IF(IF(IF(Z$3-VLOOKUP($A14,'détails investissements'!$A$71:$B$88,2,FALSE)&lt;=0,"",IF(VLOOKUP($A14,'détails investissements'!$A$26:$DE$43,Z$3-VLOOKUP($A14,'détails investissements'!$A$71:$B$88,2,FALSE)+1,FALSE)="","",VLOOKUP($A14,'détails investissements'!$A$26:$DE$43,Z$3-VLOOKUP($A14,'détails investissements'!$A$71:$B$88,2,FALSE)+1,FALSE)))&lt;&gt;"",HLOOKUP(IF(Z$3-VLOOKUP($A14,'détails investissements'!$A$71:$B$88,2,FALSE)&lt;=0,"",IF(VLOOKUP($A14,'détails investissements'!$A$26:$DE$43,Z$3-VLOOKUP($A14,'détails investissements'!$A$71:$B$88,2,FALSE)+1,FALSE)="","",VLOOKUP($A14,'détails investissements'!$A$26:$DE$43,Z$3-VLOOKUP($A14,'détails investissements'!$A$71:$B$88,2,FALSE)+1,FALSE))),'détails investissements'!$U$6:$AB$7,2,FALSE),"")&lt;&gt;"",VLOOKUP($A14,'détails investissements'!$A$7:$H$21,1+IF(IF(Z$3-VLOOKUP($A14,'détails investissements'!$A$71:$B$88,2,FALSE)&lt;=0,"",IF(VLOOKUP($A14,'détails investissements'!$A$26:$DE$43,Z$3-VLOOKUP($A14,'détails investissements'!$A$71:$B$88,2,FALSE)+1,FALSE)="","",VLOOKUP($A14,'détails investissements'!$A$26:$DE$43,Z$3-VLOOKUP($A14,'détails investissements'!$A$71:$B$88,2,FALSE)+1,FALSE)))&lt;&gt;"",HLOOKUP(IF(Z$3-VLOOKUP($A14,'détails investissements'!$A$71:$B$88,2,FALSE)&lt;=0,"",IF(VLOOKUP($A14,'détails investissements'!$A$26:$DE$43,Z$3-VLOOKUP($A14,'détails investissements'!$A$71:$B$88,2,FALSE)+1,FALSE)="","",VLOOKUP($A14,'détails investissements'!$A$26:$DE$43,Z$3-VLOOKUP($A14,'détails investissements'!$A$71:$B$88,2,FALSE)+1,FALSE))),'détails investissements'!$U$6:$AB$7,2,FALSE),""),FALSE),"")</f>
        <v>0.25</v>
      </c>
      <c r="AA14" s="45" t="str">
        <f>IF(IF(IF(AA$3-VLOOKUP($A14,'détails investissements'!$A$71:$B$88,2,FALSE)&lt;=0,"",IF(VLOOKUP($A14,'détails investissements'!$A$26:$DE$43,AA$3-VLOOKUP($A14,'détails investissements'!$A$71:$B$88,2,FALSE)+1,FALSE)="","",VLOOKUP($A14,'détails investissements'!$A$26:$DE$43,AA$3-VLOOKUP($A14,'détails investissements'!$A$71:$B$88,2,FALSE)+1,FALSE)))&lt;&gt;"",HLOOKUP(IF(AA$3-VLOOKUP($A14,'détails investissements'!$A$71:$B$88,2,FALSE)&lt;=0,"",IF(VLOOKUP($A14,'détails investissements'!$A$26:$DE$43,AA$3-VLOOKUP($A14,'détails investissements'!$A$71:$B$88,2,FALSE)+1,FALSE)="","",VLOOKUP($A14,'détails investissements'!$A$26:$DE$43,AA$3-VLOOKUP($A14,'détails investissements'!$A$71:$B$88,2,FALSE)+1,FALSE))),'détails investissements'!$U$6:$AB$7,2,FALSE),"")&lt;&gt;"",VLOOKUP($A14,'détails investissements'!$A$7:$H$21,1+IF(IF(AA$3-VLOOKUP($A14,'détails investissements'!$A$71:$B$88,2,FALSE)&lt;=0,"",IF(VLOOKUP($A14,'détails investissements'!$A$26:$DE$43,AA$3-VLOOKUP($A14,'détails investissements'!$A$71:$B$88,2,FALSE)+1,FALSE)="","",VLOOKUP($A14,'détails investissements'!$A$26:$DE$43,AA$3-VLOOKUP($A14,'détails investissements'!$A$71:$B$88,2,FALSE)+1,FALSE)))&lt;&gt;"",HLOOKUP(IF(AA$3-VLOOKUP($A14,'détails investissements'!$A$71:$B$88,2,FALSE)&lt;=0,"",IF(VLOOKUP($A14,'détails investissements'!$A$26:$DE$43,AA$3-VLOOKUP($A14,'détails investissements'!$A$71:$B$88,2,FALSE)+1,FALSE)="","",VLOOKUP($A14,'détails investissements'!$A$26:$DE$43,AA$3-VLOOKUP($A14,'détails investissements'!$A$71:$B$88,2,FALSE)+1,FALSE))),'détails investissements'!$U$6:$AB$7,2,FALSE),""),FALSE),"")</f>
        <v/>
      </c>
      <c r="AB14" s="45">
        <f>IF(IF(IF(AB$3-VLOOKUP($A14,'détails investissements'!$A$71:$B$88,2,FALSE)&lt;=0,"",IF(VLOOKUP($A14,'détails investissements'!$A$26:$DE$43,AB$3-VLOOKUP($A14,'détails investissements'!$A$71:$B$88,2,FALSE)+1,FALSE)="","",VLOOKUP($A14,'détails investissements'!$A$26:$DE$43,AB$3-VLOOKUP($A14,'détails investissements'!$A$71:$B$88,2,FALSE)+1,FALSE)))&lt;&gt;"",HLOOKUP(IF(AB$3-VLOOKUP($A14,'détails investissements'!$A$71:$B$88,2,FALSE)&lt;=0,"",IF(VLOOKUP($A14,'détails investissements'!$A$26:$DE$43,AB$3-VLOOKUP($A14,'détails investissements'!$A$71:$B$88,2,FALSE)+1,FALSE)="","",VLOOKUP($A14,'détails investissements'!$A$26:$DE$43,AB$3-VLOOKUP($A14,'détails investissements'!$A$71:$B$88,2,FALSE)+1,FALSE))),'détails investissements'!$U$6:$AB$7,2,FALSE),"")&lt;&gt;"",VLOOKUP($A14,'détails investissements'!$A$7:$H$21,1+IF(IF(AB$3-VLOOKUP($A14,'détails investissements'!$A$71:$B$88,2,FALSE)&lt;=0,"",IF(VLOOKUP($A14,'détails investissements'!$A$26:$DE$43,AB$3-VLOOKUP($A14,'détails investissements'!$A$71:$B$88,2,FALSE)+1,FALSE)="","",VLOOKUP($A14,'détails investissements'!$A$26:$DE$43,AB$3-VLOOKUP($A14,'détails investissements'!$A$71:$B$88,2,FALSE)+1,FALSE)))&lt;&gt;"",HLOOKUP(IF(AB$3-VLOOKUP($A14,'détails investissements'!$A$71:$B$88,2,FALSE)&lt;=0,"",IF(VLOOKUP($A14,'détails investissements'!$A$26:$DE$43,AB$3-VLOOKUP($A14,'détails investissements'!$A$71:$B$88,2,FALSE)+1,FALSE)="","",VLOOKUP($A14,'détails investissements'!$A$26:$DE$43,AB$3-VLOOKUP($A14,'détails investissements'!$A$71:$B$88,2,FALSE)+1,FALSE))),'détails investissements'!$U$6:$AB$7,2,FALSE),""),FALSE),"")</f>
        <v>0.15</v>
      </c>
      <c r="AC14" s="45" t="str">
        <f>IF(IF(IF(AC$3-VLOOKUP($A14,'détails investissements'!$A$71:$B$88,2,FALSE)&lt;=0,"",IF(VLOOKUP($A14,'détails investissements'!$A$26:$DE$43,AC$3-VLOOKUP($A14,'détails investissements'!$A$71:$B$88,2,FALSE)+1,FALSE)="","",VLOOKUP($A14,'détails investissements'!$A$26:$DE$43,AC$3-VLOOKUP($A14,'détails investissements'!$A$71:$B$88,2,FALSE)+1,FALSE)))&lt;&gt;"",HLOOKUP(IF(AC$3-VLOOKUP($A14,'détails investissements'!$A$71:$B$88,2,FALSE)&lt;=0,"",IF(VLOOKUP($A14,'détails investissements'!$A$26:$DE$43,AC$3-VLOOKUP($A14,'détails investissements'!$A$71:$B$88,2,FALSE)+1,FALSE)="","",VLOOKUP($A14,'détails investissements'!$A$26:$DE$43,AC$3-VLOOKUP($A14,'détails investissements'!$A$71:$B$88,2,FALSE)+1,FALSE))),'détails investissements'!$U$6:$AB$7,2,FALSE),"")&lt;&gt;"",VLOOKUP($A14,'détails investissements'!$A$7:$H$21,1+IF(IF(AC$3-VLOOKUP($A14,'détails investissements'!$A$71:$B$88,2,FALSE)&lt;=0,"",IF(VLOOKUP($A14,'détails investissements'!$A$26:$DE$43,AC$3-VLOOKUP($A14,'détails investissements'!$A$71:$B$88,2,FALSE)+1,FALSE)="","",VLOOKUP($A14,'détails investissements'!$A$26:$DE$43,AC$3-VLOOKUP($A14,'détails investissements'!$A$71:$B$88,2,FALSE)+1,FALSE)))&lt;&gt;"",HLOOKUP(IF(AC$3-VLOOKUP($A14,'détails investissements'!$A$71:$B$88,2,FALSE)&lt;=0,"",IF(VLOOKUP($A14,'détails investissements'!$A$26:$DE$43,AC$3-VLOOKUP($A14,'détails investissements'!$A$71:$B$88,2,FALSE)+1,FALSE)="","",VLOOKUP($A14,'détails investissements'!$A$26:$DE$43,AC$3-VLOOKUP($A14,'détails investissements'!$A$71:$B$88,2,FALSE)+1,FALSE))),'détails investissements'!$U$6:$AB$7,2,FALSE),""),FALSE),"")</f>
        <v/>
      </c>
      <c r="AD14" s="45" t="str">
        <f>IF(IF(IF(AD$3-VLOOKUP($A14,'détails investissements'!$A$71:$B$88,2,FALSE)&lt;=0,"",IF(VLOOKUP($A14,'détails investissements'!$A$26:$DE$43,AD$3-VLOOKUP($A14,'détails investissements'!$A$71:$B$88,2,FALSE)+1,FALSE)="","",VLOOKUP($A14,'détails investissements'!$A$26:$DE$43,AD$3-VLOOKUP($A14,'détails investissements'!$A$71:$B$88,2,FALSE)+1,FALSE)))&lt;&gt;"",HLOOKUP(IF(AD$3-VLOOKUP($A14,'détails investissements'!$A$71:$B$88,2,FALSE)&lt;=0,"",IF(VLOOKUP($A14,'détails investissements'!$A$26:$DE$43,AD$3-VLOOKUP($A14,'détails investissements'!$A$71:$B$88,2,FALSE)+1,FALSE)="","",VLOOKUP($A14,'détails investissements'!$A$26:$DE$43,AD$3-VLOOKUP($A14,'détails investissements'!$A$71:$B$88,2,FALSE)+1,FALSE))),'détails investissements'!$U$6:$AB$7,2,FALSE),"")&lt;&gt;"",VLOOKUP($A14,'détails investissements'!$A$7:$H$21,1+IF(IF(AD$3-VLOOKUP($A14,'détails investissements'!$A$71:$B$88,2,FALSE)&lt;=0,"",IF(VLOOKUP($A14,'détails investissements'!$A$26:$DE$43,AD$3-VLOOKUP($A14,'détails investissements'!$A$71:$B$88,2,FALSE)+1,FALSE)="","",VLOOKUP($A14,'détails investissements'!$A$26:$DE$43,AD$3-VLOOKUP($A14,'détails investissements'!$A$71:$B$88,2,FALSE)+1,FALSE)))&lt;&gt;"",HLOOKUP(IF(AD$3-VLOOKUP($A14,'détails investissements'!$A$71:$B$88,2,FALSE)&lt;=0,"",IF(VLOOKUP($A14,'détails investissements'!$A$26:$DE$43,AD$3-VLOOKUP($A14,'détails investissements'!$A$71:$B$88,2,FALSE)+1,FALSE)="","",VLOOKUP($A14,'détails investissements'!$A$26:$DE$43,AD$3-VLOOKUP($A14,'détails investissements'!$A$71:$B$88,2,FALSE)+1,FALSE))),'détails investissements'!$U$6:$AB$7,2,FALSE),""),FALSE),"")</f>
        <v/>
      </c>
      <c r="AE14" s="45" t="str">
        <f>IF(IF(IF(AE$3-VLOOKUP($A14,'détails investissements'!$A$71:$B$88,2,FALSE)&lt;=0,"",IF(VLOOKUP($A14,'détails investissements'!$A$26:$DE$43,AE$3-VLOOKUP($A14,'détails investissements'!$A$71:$B$88,2,FALSE)+1,FALSE)="","",VLOOKUP($A14,'détails investissements'!$A$26:$DE$43,AE$3-VLOOKUP($A14,'détails investissements'!$A$71:$B$88,2,FALSE)+1,FALSE)))&lt;&gt;"",HLOOKUP(IF(AE$3-VLOOKUP($A14,'détails investissements'!$A$71:$B$88,2,FALSE)&lt;=0,"",IF(VLOOKUP($A14,'détails investissements'!$A$26:$DE$43,AE$3-VLOOKUP($A14,'détails investissements'!$A$71:$B$88,2,FALSE)+1,FALSE)="","",VLOOKUP($A14,'détails investissements'!$A$26:$DE$43,AE$3-VLOOKUP($A14,'détails investissements'!$A$71:$B$88,2,FALSE)+1,FALSE))),'détails investissements'!$U$6:$AB$7,2,FALSE),"")&lt;&gt;"",VLOOKUP($A14,'détails investissements'!$A$7:$H$21,1+IF(IF(AE$3-VLOOKUP($A14,'détails investissements'!$A$71:$B$88,2,FALSE)&lt;=0,"",IF(VLOOKUP($A14,'détails investissements'!$A$26:$DE$43,AE$3-VLOOKUP($A14,'détails investissements'!$A$71:$B$88,2,FALSE)+1,FALSE)="","",VLOOKUP($A14,'détails investissements'!$A$26:$DE$43,AE$3-VLOOKUP($A14,'détails investissements'!$A$71:$B$88,2,FALSE)+1,FALSE)))&lt;&gt;"",HLOOKUP(IF(AE$3-VLOOKUP($A14,'détails investissements'!$A$71:$B$88,2,FALSE)&lt;=0,"",IF(VLOOKUP($A14,'détails investissements'!$A$26:$DE$43,AE$3-VLOOKUP($A14,'détails investissements'!$A$71:$B$88,2,FALSE)+1,FALSE)="","",VLOOKUP($A14,'détails investissements'!$A$26:$DE$43,AE$3-VLOOKUP($A14,'détails investissements'!$A$71:$B$88,2,FALSE)+1,FALSE))),'détails investissements'!$U$6:$AB$7,2,FALSE),""),FALSE),"")</f>
        <v/>
      </c>
      <c r="AF14" s="45" t="str">
        <f>IF(IF(IF(AF$3-VLOOKUP($A14,'détails investissements'!$A$71:$B$88,2,FALSE)&lt;=0,"",IF(VLOOKUP($A14,'détails investissements'!$A$26:$DE$43,AF$3-VLOOKUP($A14,'détails investissements'!$A$71:$B$88,2,FALSE)+1,FALSE)="","",VLOOKUP($A14,'détails investissements'!$A$26:$DE$43,AF$3-VLOOKUP($A14,'détails investissements'!$A$71:$B$88,2,FALSE)+1,FALSE)))&lt;&gt;"",HLOOKUP(IF(AF$3-VLOOKUP($A14,'détails investissements'!$A$71:$B$88,2,FALSE)&lt;=0,"",IF(VLOOKUP($A14,'détails investissements'!$A$26:$DE$43,AF$3-VLOOKUP($A14,'détails investissements'!$A$71:$B$88,2,FALSE)+1,FALSE)="","",VLOOKUP($A14,'détails investissements'!$A$26:$DE$43,AF$3-VLOOKUP($A14,'détails investissements'!$A$71:$B$88,2,FALSE)+1,FALSE))),'détails investissements'!$U$6:$AB$7,2,FALSE),"")&lt;&gt;"",VLOOKUP($A14,'détails investissements'!$A$7:$H$21,1+IF(IF(AF$3-VLOOKUP($A14,'détails investissements'!$A$71:$B$88,2,FALSE)&lt;=0,"",IF(VLOOKUP($A14,'détails investissements'!$A$26:$DE$43,AF$3-VLOOKUP($A14,'détails investissements'!$A$71:$B$88,2,FALSE)+1,FALSE)="","",VLOOKUP($A14,'détails investissements'!$A$26:$DE$43,AF$3-VLOOKUP($A14,'détails investissements'!$A$71:$B$88,2,FALSE)+1,FALSE)))&lt;&gt;"",HLOOKUP(IF(AF$3-VLOOKUP($A14,'détails investissements'!$A$71:$B$88,2,FALSE)&lt;=0,"",IF(VLOOKUP($A14,'détails investissements'!$A$26:$DE$43,AF$3-VLOOKUP($A14,'détails investissements'!$A$71:$B$88,2,FALSE)+1,FALSE)="","",VLOOKUP($A14,'détails investissements'!$A$26:$DE$43,AF$3-VLOOKUP($A14,'détails investissements'!$A$71:$B$88,2,FALSE)+1,FALSE))),'détails investissements'!$U$6:$AB$7,2,FALSE),""),FALSE),"")</f>
        <v/>
      </c>
      <c r="AG14" s="45" t="str">
        <f>IF(IF(IF(AG$3-VLOOKUP($A14,'détails investissements'!$A$71:$B$88,2,FALSE)&lt;=0,"",IF(VLOOKUP($A14,'détails investissements'!$A$26:$DE$43,AG$3-VLOOKUP($A14,'détails investissements'!$A$71:$B$88,2,FALSE)+1,FALSE)="","",VLOOKUP($A14,'détails investissements'!$A$26:$DE$43,AG$3-VLOOKUP($A14,'détails investissements'!$A$71:$B$88,2,FALSE)+1,FALSE)))&lt;&gt;"",HLOOKUP(IF(AG$3-VLOOKUP($A14,'détails investissements'!$A$71:$B$88,2,FALSE)&lt;=0,"",IF(VLOOKUP($A14,'détails investissements'!$A$26:$DE$43,AG$3-VLOOKUP($A14,'détails investissements'!$A$71:$B$88,2,FALSE)+1,FALSE)="","",VLOOKUP($A14,'détails investissements'!$A$26:$DE$43,AG$3-VLOOKUP($A14,'détails investissements'!$A$71:$B$88,2,FALSE)+1,FALSE))),'détails investissements'!$U$6:$AB$7,2,FALSE),"")&lt;&gt;"",VLOOKUP($A14,'détails investissements'!$A$7:$H$21,1+IF(IF(AG$3-VLOOKUP($A14,'détails investissements'!$A$71:$B$88,2,FALSE)&lt;=0,"",IF(VLOOKUP($A14,'détails investissements'!$A$26:$DE$43,AG$3-VLOOKUP($A14,'détails investissements'!$A$71:$B$88,2,FALSE)+1,FALSE)="","",VLOOKUP($A14,'détails investissements'!$A$26:$DE$43,AG$3-VLOOKUP($A14,'détails investissements'!$A$71:$B$88,2,FALSE)+1,FALSE)))&lt;&gt;"",HLOOKUP(IF(AG$3-VLOOKUP($A14,'détails investissements'!$A$71:$B$88,2,FALSE)&lt;=0,"",IF(VLOOKUP($A14,'détails investissements'!$A$26:$DE$43,AG$3-VLOOKUP($A14,'détails investissements'!$A$71:$B$88,2,FALSE)+1,FALSE)="","",VLOOKUP($A14,'détails investissements'!$A$26:$DE$43,AG$3-VLOOKUP($A14,'détails investissements'!$A$71:$B$88,2,FALSE)+1,FALSE))),'détails investissements'!$U$6:$AB$7,2,FALSE),""),FALSE),"")</f>
        <v/>
      </c>
      <c r="AH14" s="45" t="str">
        <f>IF(IF(IF(AH$3-VLOOKUP($A14,'détails investissements'!$A$71:$B$88,2,FALSE)&lt;=0,"",IF(VLOOKUP($A14,'détails investissements'!$A$26:$DE$43,AH$3-VLOOKUP($A14,'détails investissements'!$A$71:$B$88,2,FALSE)+1,FALSE)="","",VLOOKUP($A14,'détails investissements'!$A$26:$DE$43,AH$3-VLOOKUP($A14,'détails investissements'!$A$71:$B$88,2,FALSE)+1,FALSE)))&lt;&gt;"",HLOOKUP(IF(AH$3-VLOOKUP($A14,'détails investissements'!$A$71:$B$88,2,FALSE)&lt;=0,"",IF(VLOOKUP($A14,'détails investissements'!$A$26:$DE$43,AH$3-VLOOKUP($A14,'détails investissements'!$A$71:$B$88,2,FALSE)+1,FALSE)="","",VLOOKUP($A14,'détails investissements'!$A$26:$DE$43,AH$3-VLOOKUP($A14,'détails investissements'!$A$71:$B$88,2,FALSE)+1,FALSE))),'détails investissements'!$U$6:$AB$7,2,FALSE),"")&lt;&gt;"",VLOOKUP($A14,'détails investissements'!$A$7:$H$21,1+IF(IF(AH$3-VLOOKUP($A14,'détails investissements'!$A$71:$B$88,2,FALSE)&lt;=0,"",IF(VLOOKUP($A14,'détails investissements'!$A$26:$DE$43,AH$3-VLOOKUP($A14,'détails investissements'!$A$71:$B$88,2,FALSE)+1,FALSE)="","",VLOOKUP($A14,'détails investissements'!$A$26:$DE$43,AH$3-VLOOKUP($A14,'détails investissements'!$A$71:$B$88,2,FALSE)+1,FALSE)))&lt;&gt;"",HLOOKUP(IF(AH$3-VLOOKUP($A14,'détails investissements'!$A$71:$B$88,2,FALSE)&lt;=0,"",IF(VLOOKUP($A14,'détails investissements'!$A$26:$DE$43,AH$3-VLOOKUP($A14,'détails investissements'!$A$71:$B$88,2,FALSE)+1,FALSE)="","",VLOOKUP($A14,'détails investissements'!$A$26:$DE$43,AH$3-VLOOKUP($A14,'détails investissements'!$A$71:$B$88,2,FALSE)+1,FALSE))),'détails investissements'!$U$6:$AB$7,2,FALSE),""),FALSE),"")</f>
        <v/>
      </c>
      <c r="AI14" s="45" t="str">
        <f>IF(IF(IF(AI$3-VLOOKUP($A14,'détails investissements'!$A$71:$B$88,2,FALSE)&lt;=0,"",IF(VLOOKUP($A14,'détails investissements'!$A$26:$DE$43,AI$3-VLOOKUP($A14,'détails investissements'!$A$71:$B$88,2,FALSE)+1,FALSE)="","",VLOOKUP($A14,'détails investissements'!$A$26:$DE$43,AI$3-VLOOKUP($A14,'détails investissements'!$A$71:$B$88,2,FALSE)+1,FALSE)))&lt;&gt;"",HLOOKUP(IF(AI$3-VLOOKUP($A14,'détails investissements'!$A$71:$B$88,2,FALSE)&lt;=0,"",IF(VLOOKUP($A14,'détails investissements'!$A$26:$DE$43,AI$3-VLOOKUP($A14,'détails investissements'!$A$71:$B$88,2,FALSE)+1,FALSE)="","",VLOOKUP($A14,'détails investissements'!$A$26:$DE$43,AI$3-VLOOKUP($A14,'détails investissements'!$A$71:$B$88,2,FALSE)+1,FALSE))),'détails investissements'!$U$6:$AB$7,2,FALSE),"")&lt;&gt;"",VLOOKUP($A14,'détails investissements'!$A$7:$H$21,1+IF(IF(AI$3-VLOOKUP($A14,'détails investissements'!$A$71:$B$88,2,FALSE)&lt;=0,"",IF(VLOOKUP($A14,'détails investissements'!$A$26:$DE$43,AI$3-VLOOKUP($A14,'détails investissements'!$A$71:$B$88,2,FALSE)+1,FALSE)="","",VLOOKUP($A14,'détails investissements'!$A$26:$DE$43,AI$3-VLOOKUP($A14,'détails investissements'!$A$71:$B$88,2,FALSE)+1,FALSE)))&lt;&gt;"",HLOOKUP(IF(AI$3-VLOOKUP($A14,'détails investissements'!$A$71:$B$88,2,FALSE)&lt;=0,"",IF(VLOOKUP($A14,'détails investissements'!$A$26:$DE$43,AI$3-VLOOKUP($A14,'détails investissements'!$A$71:$B$88,2,FALSE)+1,FALSE)="","",VLOOKUP($A14,'détails investissements'!$A$26:$DE$43,AI$3-VLOOKUP($A14,'détails investissements'!$A$71:$B$88,2,FALSE)+1,FALSE))),'détails investissements'!$U$6:$AB$7,2,FALSE),""),FALSE),"")</f>
        <v/>
      </c>
      <c r="AJ14" s="45" t="str">
        <f>IF(IF(IF(AJ$3-VLOOKUP($A14,'détails investissements'!$A$71:$B$88,2,FALSE)&lt;=0,"",IF(VLOOKUP($A14,'détails investissements'!$A$26:$DE$43,AJ$3-VLOOKUP($A14,'détails investissements'!$A$71:$B$88,2,FALSE)+1,FALSE)="","",VLOOKUP($A14,'détails investissements'!$A$26:$DE$43,AJ$3-VLOOKUP($A14,'détails investissements'!$A$71:$B$88,2,FALSE)+1,FALSE)))&lt;&gt;"",HLOOKUP(IF(AJ$3-VLOOKUP($A14,'détails investissements'!$A$71:$B$88,2,FALSE)&lt;=0,"",IF(VLOOKUP($A14,'détails investissements'!$A$26:$DE$43,AJ$3-VLOOKUP($A14,'détails investissements'!$A$71:$B$88,2,FALSE)+1,FALSE)="","",VLOOKUP($A14,'détails investissements'!$A$26:$DE$43,AJ$3-VLOOKUP($A14,'détails investissements'!$A$71:$B$88,2,FALSE)+1,FALSE))),'détails investissements'!$U$6:$AB$7,2,FALSE),"")&lt;&gt;"",VLOOKUP($A14,'détails investissements'!$A$7:$H$21,1+IF(IF(AJ$3-VLOOKUP($A14,'détails investissements'!$A$71:$B$88,2,FALSE)&lt;=0,"",IF(VLOOKUP($A14,'détails investissements'!$A$26:$DE$43,AJ$3-VLOOKUP($A14,'détails investissements'!$A$71:$B$88,2,FALSE)+1,FALSE)="","",VLOOKUP($A14,'détails investissements'!$A$26:$DE$43,AJ$3-VLOOKUP($A14,'détails investissements'!$A$71:$B$88,2,FALSE)+1,FALSE)))&lt;&gt;"",HLOOKUP(IF(AJ$3-VLOOKUP($A14,'détails investissements'!$A$71:$B$88,2,FALSE)&lt;=0,"",IF(VLOOKUP($A14,'détails investissements'!$A$26:$DE$43,AJ$3-VLOOKUP($A14,'détails investissements'!$A$71:$B$88,2,FALSE)+1,FALSE)="","",VLOOKUP($A14,'détails investissements'!$A$26:$DE$43,AJ$3-VLOOKUP($A14,'détails investissements'!$A$71:$B$88,2,FALSE)+1,FALSE))),'détails investissements'!$U$6:$AB$7,2,FALSE),""),FALSE),"")</f>
        <v/>
      </c>
      <c r="AK14" s="45" t="str">
        <f>IF(IF(IF(AK$3-VLOOKUP($A14,'détails investissements'!$A$71:$B$88,2,FALSE)&lt;=0,"",IF(VLOOKUP($A14,'détails investissements'!$A$26:$DE$43,AK$3-VLOOKUP($A14,'détails investissements'!$A$71:$B$88,2,FALSE)+1,FALSE)="","",VLOOKUP($A14,'détails investissements'!$A$26:$DE$43,AK$3-VLOOKUP($A14,'détails investissements'!$A$71:$B$88,2,FALSE)+1,FALSE)))&lt;&gt;"",HLOOKUP(IF(AK$3-VLOOKUP($A14,'détails investissements'!$A$71:$B$88,2,FALSE)&lt;=0,"",IF(VLOOKUP($A14,'détails investissements'!$A$26:$DE$43,AK$3-VLOOKUP($A14,'détails investissements'!$A$71:$B$88,2,FALSE)+1,FALSE)="","",VLOOKUP($A14,'détails investissements'!$A$26:$DE$43,AK$3-VLOOKUP($A14,'détails investissements'!$A$71:$B$88,2,FALSE)+1,FALSE))),'détails investissements'!$U$6:$AB$7,2,FALSE),"")&lt;&gt;"",VLOOKUP($A14,'détails investissements'!$A$7:$H$21,1+IF(IF(AK$3-VLOOKUP($A14,'détails investissements'!$A$71:$B$88,2,FALSE)&lt;=0,"",IF(VLOOKUP($A14,'détails investissements'!$A$26:$DE$43,AK$3-VLOOKUP($A14,'détails investissements'!$A$71:$B$88,2,FALSE)+1,FALSE)="","",VLOOKUP($A14,'détails investissements'!$A$26:$DE$43,AK$3-VLOOKUP($A14,'détails investissements'!$A$71:$B$88,2,FALSE)+1,FALSE)))&lt;&gt;"",HLOOKUP(IF(AK$3-VLOOKUP($A14,'détails investissements'!$A$71:$B$88,2,FALSE)&lt;=0,"",IF(VLOOKUP($A14,'détails investissements'!$A$26:$DE$43,AK$3-VLOOKUP($A14,'détails investissements'!$A$71:$B$88,2,FALSE)+1,FALSE)="","",VLOOKUP($A14,'détails investissements'!$A$26:$DE$43,AK$3-VLOOKUP($A14,'détails investissements'!$A$71:$B$88,2,FALSE)+1,FALSE))),'détails investissements'!$U$6:$AB$7,2,FALSE),""),FALSE),"")</f>
        <v/>
      </c>
      <c r="AL14" s="45" t="str">
        <f>IF(IF(IF(AL$3-VLOOKUP($A14,'détails investissements'!$A$71:$B$88,2,FALSE)&lt;=0,"",IF(VLOOKUP($A14,'détails investissements'!$A$26:$DE$43,AL$3-VLOOKUP($A14,'détails investissements'!$A$71:$B$88,2,FALSE)+1,FALSE)="","",VLOOKUP($A14,'détails investissements'!$A$26:$DE$43,AL$3-VLOOKUP($A14,'détails investissements'!$A$71:$B$88,2,FALSE)+1,FALSE)))&lt;&gt;"",HLOOKUP(IF(AL$3-VLOOKUP($A14,'détails investissements'!$A$71:$B$88,2,FALSE)&lt;=0,"",IF(VLOOKUP($A14,'détails investissements'!$A$26:$DE$43,AL$3-VLOOKUP($A14,'détails investissements'!$A$71:$B$88,2,FALSE)+1,FALSE)="","",VLOOKUP($A14,'détails investissements'!$A$26:$DE$43,AL$3-VLOOKUP($A14,'détails investissements'!$A$71:$B$88,2,FALSE)+1,FALSE))),'détails investissements'!$U$6:$AB$7,2,FALSE),"")&lt;&gt;"",VLOOKUP($A14,'détails investissements'!$A$7:$H$21,1+IF(IF(AL$3-VLOOKUP($A14,'détails investissements'!$A$71:$B$88,2,FALSE)&lt;=0,"",IF(VLOOKUP($A14,'détails investissements'!$A$26:$DE$43,AL$3-VLOOKUP($A14,'détails investissements'!$A$71:$B$88,2,FALSE)+1,FALSE)="","",VLOOKUP($A14,'détails investissements'!$A$26:$DE$43,AL$3-VLOOKUP($A14,'détails investissements'!$A$71:$B$88,2,FALSE)+1,FALSE)))&lt;&gt;"",HLOOKUP(IF(AL$3-VLOOKUP($A14,'détails investissements'!$A$71:$B$88,2,FALSE)&lt;=0,"",IF(VLOOKUP($A14,'détails investissements'!$A$26:$DE$43,AL$3-VLOOKUP($A14,'détails investissements'!$A$71:$B$88,2,FALSE)+1,FALSE)="","",VLOOKUP($A14,'détails investissements'!$A$26:$DE$43,AL$3-VLOOKUP($A14,'détails investissements'!$A$71:$B$88,2,FALSE)+1,FALSE))),'détails investissements'!$U$6:$AB$7,2,FALSE),""),FALSE),"")</f>
        <v/>
      </c>
      <c r="AM14" s="45" t="str">
        <f>IF(IF(IF(AM$3-VLOOKUP($A14,'détails investissements'!$A$71:$B$88,2,FALSE)&lt;=0,"",IF(VLOOKUP($A14,'détails investissements'!$A$26:$DE$43,AM$3-VLOOKUP($A14,'détails investissements'!$A$71:$B$88,2,FALSE)+1,FALSE)="","",VLOOKUP($A14,'détails investissements'!$A$26:$DE$43,AM$3-VLOOKUP($A14,'détails investissements'!$A$71:$B$88,2,FALSE)+1,FALSE)))&lt;&gt;"",HLOOKUP(IF(AM$3-VLOOKUP($A14,'détails investissements'!$A$71:$B$88,2,FALSE)&lt;=0,"",IF(VLOOKUP($A14,'détails investissements'!$A$26:$DE$43,AM$3-VLOOKUP($A14,'détails investissements'!$A$71:$B$88,2,FALSE)+1,FALSE)="","",VLOOKUP($A14,'détails investissements'!$A$26:$DE$43,AM$3-VLOOKUP($A14,'détails investissements'!$A$71:$B$88,2,FALSE)+1,FALSE))),'détails investissements'!$U$6:$AB$7,2,FALSE),"")&lt;&gt;"",VLOOKUP($A14,'détails investissements'!$A$7:$H$21,1+IF(IF(AM$3-VLOOKUP($A14,'détails investissements'!$A$71:$B$88,2,FALSE)&lt;=0,"",IF(VLOOKUP($A14,'détails investissements'!$A$26:$DE$43,AM$3-VLOOKUP($A14,'détails investissements'!$A$71:$B$88,2,FALSE)+1,FALSE)="","",VLOOKUP($A14,'détails investissements'!$A$26:$DE$43,AM$3-VLOOKUP($A14,'détails investissements'!$A$71:$B$88,2,FALSE)+1,FALSE)))&lt;&gt;"",HLOOKUP(IF(AM$3-VLOOKUP($A14,'détails investissements'!$A$71:$B$88,2,FALSE)&lt;=0,"",IF(VLOOKUP($A14,'détails investissements'!$A$26:$DE$43,AM$3-VLOOKUP($A14,'détails investissements'!$A$71:$B$88,2,FALSE)+1,FALSE)="","",VLOOKUP($A14,'détails investissements'!$A$26:$DE$43,AM$3-VLOOKUP($A14,'détails investissements'!$A$71:$B$88,2,FALSE)+1,FALSE))),'détails investissements'!$U$6:$AB$7,2,FALSE),""),FALSE),"")</f>
        <v/>
      </c>
      <c r="AN14" s="45">
        <f>IF(IF(IF(AN$3-VLOOKUP($A14,'détails investissements'!$A$71:$B$88,2,FALSE)&lt;=0,"",IF(VLOOKUP($A14,'détails investissements'!$A$26:$DE$43,AN$3-VLOOKUP($A14,'détails investissements'!$A$71:$B$88,2,FALSE)+1,FALSE)="","",VLOOKUP($A14,'détails investissements'!$A$26:$DE$43,AN$3-VLOOKUP($A14,'détails investissements'!$A$71:$B$88,2,FALSE)+1,FALSE)))&lt;&gt;"",HLOOKUP(IF(AN$3-VLOOKUP($A14,'détails investissements'!$A$71:$B$88,2,FALSE)&lt;=0,"",IF(VLOOKUP($A14,'détails investissements'!$A$26:$DE$43,AN$3-VLOOKUP($A14,'détails investissements'!$A$71:$B$88,2,FALSE)+1,FALSE)="","",VLOOKUP($A14,'détails investissements'!$A$26:$DE$43,AN$3-VLOOKUP($A14,'détails investissements'!$A$71:$B$88,2,FALSE)+1,FALSE))),'détails investissements'!$U$6:$AB$7,2,FALSE),"")&lt;&gt;"",VLOOKUP($A14,'détails investissements'!$A$7:$H$21,1+IF(IF(AN$3-VLOOKUP($A14,'détails investissements'!$A$71:$B$88,2,FALSE)&lt;=0,"",IF(VLOOKUP($A14,'détails investissements'!$A$26:$DE$43,AN$3-VLOOKUP($A14,'détails investissements'!$A$71:$B$88,2,FALSE)+1,FALSE)="","",VLOOKUP($A14,'détails investissements'!$A$26:$DE$43,AN$3-VLOOKUP($A14,'détails investissements'!$A$71:$B$88,2,FALSE)+1,FALSE)))&lt;&gt;"",HLOOKUP(IF(AN$3-VLOOKUP($A14,'détails investissements'!$A$71:$B$88,2,FALSE)&lt;=0,"",IF(VLOOKUP($A14,'détails investissements'!$A$26:$DE$43,AN$3-VLOOKUP($A14,'détails investissements'!$A$71:$B$88,2,FALSE)+1,FALSE)="","",VLOOKUP($A14,'détails investissements'!$A$26:$DE$43,AN$3-VLOOKUP($A14,'détails investissements'!$A$71:$B$88,2,FALSE)+1,FALSE))),'détails investissements'!$U$6:$AB$7,2,FALSE),""),FALSE),"")</f>
        <v>0.05</v>
      </c>
      <c r="AO14" s="45" t="str">
        <f>IF(IF(IF(AO$3-VLOOKUP($A14,'détails investissements'!$A$71:$B$88,2,FALSE)&lt;=0,"",IF(VLOOKUP($A14,'détails investissements'!$A$26:$DE$43,AO$3-VLOOKUP($A14,'détails investissements'!$A$71:$B$88,2,FALSE)+1,FALSE)="","",VLOOKUP($A14,'détails investissements'!$A$26:$DE$43,AO$3-VLOOKUP($A14,'détails investissements'!$A$71:$B$88,2,FALSE)+1,FALSE)))&lt;&gt;"",HLOOKUP(IF(AO$3-VLOOKUP($A14,'détails investissements'!$A$71:$B$88,2,FALSE)&lt;=0,"",IF(VLOOKUP($A14,'détails investissements'!$A$26:$DE$43,AO$3-VLOOKUP($A14,'détails investissements'!$A$71:$B$88,2,FALSE)+1,FALSE)="","",VLOOKUP($A14,'détails investissements'!$A$26:$DE$43,AO$3-VLOOKUP($A14,'détails investissements'!$A$71:$B$88,2,FALSE)+1,FALSE))),'détails investissements'!$U$6:$AB$7,2,FALSE),"")&lt;&gt;"",VLOOKUP($A14,'détails investissements'!$A$7:$H$21,1+IF(IF(AO$3-VLOOKUP($A14,'détails investissements'!$A$71:$B$88,2,FALSE)&lt;=0,"",IF(VLOOKUP($A14,'détails investissements'!$A$26:$DE$43,AO$3-VLOOKUP($A14,'détails investissements'!$A$71:$B$88,2,FALSE)+1,FALSE)="","",VLOOKUP($A14,'détails investissements'!$A$26:$DE$43,AO$3-VLOOKUP($A14,'détails investissements'!$A$71:$B$88,2,FALSE)+1,FALSE)))&lt;&gt;"",HLOOKUP(IF(AO$3-VLOOKUP($A14,'détails investissements'!$A$71:$B$88,2,FALSE)&lt;=0,"",IF(VLOOKUP($A14,'détails investissements'!$A$26:$DE$43,AO$3-VLOOKUP($A14,'détails investissements'!$A$71:$B$88,2,FALSE)+1,FALSE)="","",VLOOKUP($A14,'détails investissements'!$A$26:$DE$43,AO$3-VLOOKUP($A14,'détails investissements'!$A$71:$B$88,2,FALSE)+1,FALSE))),'détails investissements'!$U$6:$AB$7,2,FALSE),""),FALSE),"")</f>
        <v/>
      </c>
      <c r="AP14" s="45" t="str">
        <f>IF(IF(IF(AP$3-VLOOKUP($A14,'détails investissements'!$A$71:$B$88,2,FALSE)&lt;=0,"",IF(VLOOKUP($A14,'détails investissements'!$A$26:$DE$43,AP$3-VLOOKUP($A14,'détails investissements'!$A$71:$B$88,2,FALSE)+1,FALSE)="","",VLOOKUP($A14,'détails investissements'!$A$26:$DE$43,AP$3-VLOOKUP($A14,'détails investissements'!$A$71:$B$88,2,FALSE)+1,FALSE)))&lt;&gt;"",HLOOKUP(IF(AP$3-VLOOKUP($A14,'détails investissements'!$A$71:$B$88,2,FALSE)&lt;=0,"",IF(VLOOKUP($A14,'détails investissements'!$A$26:$DE$43,AP$3-VLOOKUP($A14,'détails investissements'!$A$71:$B$88,2,FALSE)+1,FALSE)="","",VLOOKUP($A14,'détails investissements'!$A$26:$DE$43,AP$3-VLOOKUP($A14,'détails investissements'!$A$71:$B$88,2,FALSE)+1,FALSE))),'détails investissements'!$U$6:$AB$7,2,FALSE),"")&lt;&gt;"",VLOOKUP($A14,'détails investissements'!$A$7:$H$21,1+IF(IF(AP$3-VLOOKUP($A14,'détails investissements'!$A$71:$B$88,2,FALSE)&lt;=0,"",IF(VLOOKUP($A14,'détails investissements'!$A$26:$DE$43,AP$3-VLOOKUP($A14,'détails investissements'!$A$71:$B$88,2,FALSE)+1,FALSE)="","",VLOOKUP($A14,'détails investissements'!$A$26:$DE$43,AP$3-VLOOKUP($A14,'détails investissements'!$A$71:$B$88,2,FALSE)+1,FALSE)))&lt;&gt;"",HLOOKUP(IF(AP$3-VLOOKUP($A14,'détails investissements'!$A$71:$B$88,2,FALSE)&lt;=0,"",IF(VLOOKUP($A14,'détails investissements'!$A$26:$DE$43,AP$3-VLOOKUP($A14,'détails investissements'!$A$71:$B$88,2,FALSE)+1,FALSE)="","",VLOOKUP($A14,'détails investissements'!$A$26:$DE$43,AP$3-VLOOKUP($A14,'détails investissements'!$A$71:$B$88,2,FALSE)+1,FALSE))),'détails investissements'!$U$6:$AB$7,2,FALSE),""),FALSE),"")</f>
        <v/>
      </c>
      <c r="AQ14" s="45" t="str">
        <f>IF(IF(IF(AQ$3-VLOOKUP($A14,'détails investissements'!$A$71:$B$88,2,FALSE)&lt;=0,"",IF(VLOOKUP($A14,'détails investissements'!$A$26:$DE$43,AQ$3-VLOOKUP($A14,'détails investissements'!$A$71:$B$88,2,FALSE)+1,FALSE)="","",VLOOKUP($A14,'détails investissements'!$A$26:$DE$43,AQ$3-VLOOKUP($A14,'détails investissements'!$A$71:$B$88,2,FALSE)+1,FALSE)))&lt;&gt;"",HLOOKUP(IF(AQ$3-VLOOKUP($A14,'détails investissements'!$A$71:$B$88,2,FALSE)&lt;=0,"",IF(VLOOKUP($A14,'détails investissements'!$A$26:$DE$43,AQ$3-VLOOKUP($A14,'détails investissements'!$A$71:$B$88,2,FALSE)+1,FALSE)="","",VLOOKUP($A14,'détails investissements'!$A$26:$DE$43,AQ$3-VLOOKUP($A14,'détails investissements'!$A$71:$B$88,2,FALSE)+1,FALSE))),'détails investissements'!$U$6:$AB$7,2,FALSE),"")&lt;&gt;"",VLOOKUP($A14,'détails investissements'!$A$7:$H$21,1+IF(IF(AQ$3-VLOOKUP($A14,'détails investissements'!$A$71:$B$88,2,FALSE)&lt;=0,"",IF(VLOOKUP($A14,'détails investissements'!$A$26:$DE$43,AQ$3-VLOOKUP($A14,'détails investissements'!$A$71:$B$88,2,FALSE)+1,FALSE)="","",VLOOKUP($A14,'détails investissements'!$A$26:$DE$43,AQ$3-VLOOKUP($A14,'détails investissements'!$A$71:$B$88,2,FALSE)+1,FALSE)))&lt;&gt;"",HLOOKUP(IF(AQ$3-VLOOKUP($A14,'détails investissements'!$A$71:$B$88,2,FALSE)&lt;=0,"",IF(VLOOKUP($A14,'détails investissements'!$A$26:$DE$43,AQ$3-VLOOKUP($A14,'détails investissements'!$A$71:$B$88,2,FALSE)+1,FALSE)="","",VLOOKUP($A14,'détails investissements'!$A$26:$DE$43,AQ$3-VLOOKUP($A14,'détails investissements'!$A$71:$B$88,2,FALSE)+1,FALSE))),'détails investissements'!$U$6:$AB$7,2,FALSE),""),FALSE),"")</f>
        <v/>
      </c>
      <c r="AR14" s="45" t="str">
        <f>IF(IF(IF(AR$3-VLOOKUP($A14,'détails investissements'!$A$71:$B$88,2,FALSE)&lt;=0,"",IF(VLOOKUP($A14,'détails investissements'!$A$26:$DE$43,AR$3-VLOOKUP($A14,'détails investissements'!$A$71:$B$88,2,FALSE)+1,FALSE)="","",VLOOKUP($A14,'détails investissements'!$A$26:$DE$43,AR$3-VLOOKUP($A14,'détails investissements'!$A$71:$B$88,2,FALSE)+1,FALSE)))&lt;&gt;"",HLOOKUP(IF(AR$3-VLOOKUP($A14,'détails investissements'!$A$71:$B$88,2,FALSE)&lt;=0,"",IF(VLOOKUP($A14,'détails investissements'!$A$26:$DE$43,AR$3-VLOOKUP($A14,'détails investissements'!$A$71:$B$88,2,FALSE)+1,FALSE)="","",VLOOKUP($A14,'détails investissements'!$A$26:$DE$43,AR$3-VLOOKUP($A14,'détails investissements'!$A$71:$B$88,2,FALSE)+1,FALSE))),'détails investissements'!$U$6:$AB$7,2,FALSE),"")&lt;&gt;"",VLOOKUP($A14,'détails investissements'!$A$7:$H$21,1+IF(IF(AR$3-VLOOKUP($A14,'détails investissements'!$A$71:$B$88,2,FALSE)&lt;=0,"",IF(VLOOKUP($A14,'détails investissements'!$A$26:$DE$43,AR$3-VLOOKUP($A14,'détails investissements'!$A$71:$B$88,2,FALSE)+1,FALSE)="","",VLOOKUP($A14,'détails investissements'!$A$26:$DE$43,AR$3-VLOOKUP($A14,'détails investissements'!$A$71:$B$88,2,FALSE)+1,FALSE)))&lt;&gt;"",HLOOKUP(IF(AR$3-VLOOKUP($A14,'détails investissements'!$A$71:$B$88,2,FALSE)&lt;=0,"",IF(VLOOKUP($A14,'détails investissements'!$A$26:$DE$43,AR$3-VLOOKUP($A14,'détails investissements'!$A$71:$B$88,2,FALSE)+1,FALSE)="","",VLOOKUP($A14,'détails investissements'!$A$26:$DE$43,AR$3-VLOOKUP($A14,'détails investissements'!$A$71:$B$88,2,FALSE)+1,FALSE))),'détails investissements'!$U$6:$AB$7,2,FALSE),""),FALSE),"")</f>
        <v/>
      </c>
      <c r="AS14" s="45" t="str">
        <f>IF(IF(IF(AS$3-VLOOKUP($A14,'détails investissements'!$A$71:$B$88,2,FALSE)&lt;=0,"",IF(VLOOKUP($A14,'détails investissements'!$A$26:$DE$43,AS$3-VLOOKUP($A14,'détails investissements'!$A$71:$B$88,2,FALSE)+1,FALSE)="","",VLOOKUP($A14,'détails investissements'!$A$26:$DE$43,AS$3-VLOOKUP($A14,'détails investissements'!$A$71:$B$88,2,FALSE)+1,FALSE)))&lt;&gt;"",HLOOKUP(IF(AS$3-VLOOKUP($A14,'détails investissements'!$A$71:$B$88,2,FALSE)&lt;=0,"",IF(VLOOKUP($A14,'détails investissements'!$A$26:$DE$43,AS$3-VLOOKUP($A14,'détails investissements'!$A$71:$B$88,2,FALSE)+1,FALSE)="","",VLOOKUP($A14,'détails investissements'!$A$26:$DE$43,AS$3-VLOOKUP($A14,'détails investissements'!$A$71:$B$88,2,FALSE)+1,FALSE))),'détails investissements'!$U$6:$AB$7,2,FALSE),"")&lt;&gt;"",VLOOKUP($A14,'détails investissements'!$A$7:$H$21,1+IF(IF(AS$3-VLOOKUP($A14,'détails investissements'!$A$71:$B$88,2,FALSE)&lt;=0,"",IF(VLOOKUP($A14,'détails investissements'!$A$26:$DE$43,AS$3-VLOOKUP($A14,'détails investissements'!$A$71:$B$88,2,FALSE)+1,FALSE)="","",VLOOKUP($A14,'détails investissements'!$A$26:$DE$43,AS$3-VLOOKUP($A14,'détails investissements'!$A$71:$B$88,2,FALSE)+1,FALSE)))&lt;&gt;"",HLOOKUP(IF(AS$3-VLOOKUP($A14,'détails investissements'!$A$71:$B$88,2,FALSE)&lt;=0,"",IF(VLOOKUP($A14,'détails investissements'!$A$26:$DE$43,AS$3-VLOOKUP($A14,'détails investissements'!$A$71:$B$88,2,FALSE)+1,FALSE)="","",VLOOKUP($A14,'détails investissements'!$A$26:$DE$43,AS$3-VLOOKUP($A14,'détails investissements'!$A$71:$B$88,2,FALSE)+1,FALSE))),'détails investissements'!$U$6:$AB$7,2,FALSE),""),FALSE),"")</f>
        <v/>
      </c>
      <c r="AT14" s="45" t="str">
        <f>IF(IF(IF(AT$3-VLOOKUP($A14,'détails investissements'!$A$71:$B$88,2,FALSE)&lt;=0,"",IF(VLOOKUP($A14,'détails investissements'!$A$26:$DE$43,AT$3-VLOOKUP($A14,'détails investissements'!$A$71:$B$88,2,FALSE)+1,FALSE)="","",VLOOKUP($A14,'détails investissements'!$A$26:$DE$43,AT$3-VLOOKUP($A14,'détails investissements'!$A$71:$B$88,2,FALSE)+1,FALSE)))&lt;&gt;"",HLOOKUP(IF(AT$3-VLOOKUP($A14,'détails investissements'!$A$71:$B$88,2,FALSE)&lt;=0,"",IF(VLOOKUP($A14,'détails investissements'!$A$26:$DE$43,AT$3-VLOOKUP($A14,'détails investissements'!$A$71:$B$88,2,FALSE)+1,FALSE)="","",VLOOKUP($A14,'détails investissements'!$A$26:$DE$43,AT$3-VLOOKUP($A14,'détails investissements'!$A$71:$B$88,2,FALSE)+1,FALSE))),'détails investissements'!$U$6:$AB$7,2,FALSE),"")&lt;&gt;"",VLOOKUP($A14,'détails investissements'!$A$7:$H$21,1+IF(IF(AT$3-VLOOKUP($A14,'détails investissements'!$A$71:$B$88,2,FALSE)&lt;=0,"",IF(VLOOKUP($A14,'détails investissements'!$A$26:$DE$43,AT$3-VLOOKUP($A14,'détails investissements'!$A$71:$B$88,2,FALSE)+1,FALSE)="","",VLOOKUP($A14,'détails investissements'!$A$26:$DE$43,AT$3-VLOOKUP($A14,'détails investissements'!$A$71:$B$88,2,FALSE)+1,FALSE)))&lt;&gt;"",HLOOKUP(IF(AT$3-VLOOKUP($A14,'détails investissements'!$A$71:$B$88,2,FALSE)&lt;=0,"",IF(VLOOKUP($A14,'détails investissements'!$A$26:$DE$43,AT$3-VLOOKUP($A14,'détails investissements'!$A$71:$B$88,2,FALSE)+1,FALSE)="","",VLOOKUP($A14,'détails investissements'!$A$26:$DE$43,AT$3-VLOOKUP($A14,'détails investissements'!$A$71:$B$88,2,FALSE)+1,FALSE))),'détails investissements'!$U$6:$AB$7,2,FALSE),""),FALSE),"")</f>
        <v/>
      </c>
      <c r="AU14" s="45" t="str">
        <f>IF(IF(IF(AU$3-VLOOKUP($A14,'détails investissements'!$A$71:$B$88,2,FALSE)&lt;=0,"",IF(VLOOKUP($A14,'détails investissements'!$A$26:$DE$43,AU$3-VLOOKUP($A14,'détails investissements'!$A$71:$B$88,2,FALSE)+1,FALSE)="","",VLOOKUP($A14,'détails investissements'!$A$26:$DE$43,AU$3-VLOOKUP($A14,'détails investissements'!$A$71:$B$88,2,FALSE)+1,FALSE)))&lt;&gt;"",HLOOKUP(IF(AU$3-VLOOKUP($A14,'détails investissements'!$A$71:$B$88,2,FALSE)&lt;=0,"",IF(VLOOKUP($A14,'détails investissements'!$A$26:$DE$43,AU$3-VLOOKUP($A14,'détails investissements'!$A$71:$B$88,2,FALSE)+1,FALSE)="","",VLOOKUP($A14,'détails investissements'!$A$26:$DE$43,AU$3-VLOOKUP($A14,'détails investissements'!$A$71:$B$88,2,FALSE)+1,FALSE))),'détails investissements'!$U$6:$AB$7,2,FALSE),"")&lt;&gt;"",VLOOKUP($A14,'détails investissements'!$A$7:$H$21,1+IF(IF(AU$3-VLOOKUP($A14,'détails investissements'!$A$71:$B$88,2,FALSE)&lt;=0,"",IF(VLOOKUP($A14,'détails investissements'!$A$26:$DE$43,AU$3-VLOOKUP($A14,'détails investissements'!$A$71:$B$88,2,FALSE)+1,FALSE)="","",VLOOKUP($A14,'détails investissements'!$A$26:$DE$43,AU$3-VLOOKUP($A14,'détails investissements'!$A$71:$B$88,2,FALSE)+1,FALSE)))&lt;&gt;"",HLOOKUP(IF(AU$3-VLOOKUP($A14,'détails investissements'!$A$71:$B$88,2,FALSE)&lt;=0,"",IF(VLOOKUP($A14,'détails investissements'!$A$26:$DE$43,AU$3-VLOOKUP($A14,'détails investissements'!$A$71:$B$88,2,FALSE)+1,FALSE)="","",VLOOKUP($A14,'détails investissements'!$A$26:$DE$43,AU$3-VLOOKUP($A14,'détails investissements'!$A$71:$B$88,2,FALSE)+1,FALSE))),'détails investissements'!$U$6:$AB$7,2,FALSE),""),FALSE),"")</f>
        <v/>
      </c>
      <c r="AV14" s="45" t="str">
        <f>IF(IF(IF(AV$3-VLOOKUP($A14,'détails investissements'!$A$71:$B$88,2,FALSE)&lt;=0,"",IF(VLOOKUP($A14,'détails investissements'!$A$26:$DE$43,AV$3-VLOOKUP($A14,'détails investissements'!$A$71:$B$88,2,FALSE)+1,FALSE)="","",VLOOKUP($A14,'détails investissements'!$A$26:$DE$43,AV$3-VLOOKUP($A14,'détails investissements'!$A$71:$B$88,2,FALSE)+1,FALSE)))&lt;&gt;"",HLOOKUP(IF(AV$3-VLOOKUP($A14,'détails investissements'!$A$71:$B$88,2,FALSE)&lt;=0,"",IF(VLOOKUP($A14,'détails investissements'!$A$26:$DE$43,AV$3-VLOOKUP($A14,'détails investissements'!$A$71:$B$88,2,FALSE)+1,FALSE)="","",VLOOKUP($A14,'détails investissements'!$A$26:$DE$43,AV$3-VLOOKUP($A14,'détails investissements'!$A$71:$B$88,2,FALSE)+1,FALSE))),'détails investissements'!$U$6:$AB$7,2,FALSE),"")&lt;&gt;"",VLOOKUP($A14,'détails investissements'!$A$7:$H$21,1+IF(IF(AV$3-VLOOKUP($A14,'détails investissements'!$A$71:$B$88,2,FALSE)&lt;=0,"",IF(VLOOKUP($A14,'détails investissements'!$A$26:$DE$43,AV$3-VLOOKUP($A14,'détails investissements'!$A$71:$B$88,2,FALSE)+1,FALSE)="","",VLOOKUP($A14,'détails investissements'!$A$26:$DE$43,AV$3-VLOOKUP($A14,'détails investissements'!$A$71:$B$88,2,FALSE)+1,FALSE)))&lt;&gt;"",HLOOKUP(IF(AV$3-VLOOKUP($A14,'détails investissements'!$A$71:$B$88,2,FALSE)&lt;=0,"",IF(VLOOKUP($A14,'détails investissements'!$A$26:$DE$43,AV$3-VLOOKUP($A14,'détails investissements'!$A$71:$B$88,2,FALSE)+1,FALSE)="","",VLOOKUP($A14,'détails investissements'!$A$26:$DE$43,AV$3-VLOOKUP($A14,'détails investissements'!$A$71:$B$88,2,FALSE)+1,FALSE))),'détails investissements'!$U$6:$AB$7,2,FALSE),""),FALSE),"")</f>
        <v/>
      </c>
      <c r="AW14" s="45" t="str">
        <f>IF(IF(IF(AW$3-VLOOKUP($A14,'détails investissements'!$A$71:$B$88,2,FALSE)&lt;=0,"",IF(VLOOKUP($A14,'détails investissements'!$A$26:$DE$43,AW$3-VLOOKUP($A14,'détails investissements'!$A$71:$B$88,2,FALSE)+1,FALSE)="","",VLOOKUP($A14,'détails investissements'!$A$26:$DE$43,AW$3-VLOOKUP($A14,'détails investissements'!$A$71:$B$88,2,FALSE)+1,FALSE)))&lt;&gt;"",HLOOKUP(IF(AW$3-VLOOKUP($A14,'détails investissements'!$A$71:$B$88,2,FALSE)&lt;=0,"",IF(VLOOKUP($A14,'détails investissements'!$A$26:$DE$43,AW$3-VLOOKUP($A14,'détails investissements'!$A$71:$B$88,2,FALSE)+1,FALSE)="","",VLOOKUP($A14,'détails investissements'!$A$26:$DE$43,AW$3-VLOOKUP($A14,'détails investissements'!$A$71:$B$88,2,FALSE)+1,FALSE))),'détails investissements'!$U$6:$AB$7,2,FALSE),"")&lt;&gt;"",VLOOKUP($A14,'détails investissements'!$A$7:$H$21,1+IF(IF(AW$3-VLOOKUP($A14,'détails investissements'!$A$71:$B$88,2,FALSE)&lt;=0,"",IF(VLOOKUP($A14,'détails investissements'!$A$26:$DE$43,AW$3-VLOOKUP($A14,'détails investissements'!$A$71:$B$88,2,FALSE)+1,FALSE)="","",VLOOKUP($A14,'détails investissements'!$A$26:$DE$43,AW$3-VLOOKUP($A14,'détails investissements'!$A$71:$B$88,2,FALSE)+1,FALSE)))&lt;&gt;"",HLOOKUP(IF(AW$3-VLOOKUP($A14,'détails investissements'!$A$71:$B$88,2,FALSE)&lt;=0,"",IF(VLOOKUP($A14,'détails investissements'!$A$26:$DE$43,AW$3-VLOOKUP($A14,'détails investissements'!$A$71:$B$88,2,FALSE)+1,FALSE)="","",VLOOKUP($A14,'détails investissements'!$A$26:$DE$43,AW$3-VLOOKUP($A14,'détails investissements'!$A$71:$B$88,2,FALSE)+1,FALSE))),'détails investissements'!$U$6:$AB$7,2,FALSE),""),FALSE),"")</f>
        <v/>
      </c>
      <c r="AX14" s="45" t="str">
        <f>IF(IF(IF(AX$3-VLOOKUP($A14,'détails investissements'!$A$71:$B$88,2,FALSE)&lt;=0,"",IF(VLOOKUP($A14,'détails investissements'!$A$26:$DE$43,AX$3-VLOOKUP($A14,'détails investissements'!$A$71:$B$88,2,FALSE)+1,FALSE)="","",VLOOKUP($A14,'détails investissements'!$A$26:$DE$43,AX$3-VLOOKUP($A14,'détails investissements'!$A$71:$B$88,2,FALSE)+1,FALSE)))&lt;&gt;"",HLOOKUP(IF(AX$3-VLOOKUP($A14,'détails investissements'!$A$71:$B$88,2,FALSE)&lt;=0,"",IF(VLOOKUP($A14,'détails investissements'!$A$26:$DE$43,AX$3-VLOOKUP($A14,'détails investissements'!$A$71:$B$88,2,FALSE)+1,FALSE)="","",VLOOKUP($A14,'détails investissements'!$A$26:$DE$43,AX$3-VLOOKUP($A14,'détails investissements'!$A$71:$B$88,2,FALSE)+1,FALSE))),'détails investissements'!$U$6:$AB$7,2,FALSE),"")&lt;&gt;"",VLOOKUP($A14,'détails investissements'!$A$7:$H$21,1+IF(IF(AX$3-VLOOKUP($A14,'détails investissements'!$A$71:$B$88,2,FALSE)&lt;=0,"",IF(VLOOKUP($A14,'détails investissements'!$A$26:$DE$43,AX$3-VLOOKUP($A14,'détails investissements'!$A$71:$B$88,2,FALSE)+1,FALSE)="","",VLOOKUP($A14,'détails investissements'!$A$26:$DE$43,AX$3-VLOOKUP($A14,'détails investissements'!$A$71:$B$88,2,FALSE)+1,FALSE)))&lt;&gt;"",HLOOKUP(IF(AX$3-VLOOKUP($A14,'détails investissements'!$A$71:$B$88,2,FALSE)&lt;=0,"",IF(VLOOKUP($A14,'détails investissements'!$A$26:$DE$43,AX$3-VLOOKUP($A14,'détails investissements'!$A$71:$B$88,2,FALSE)+1,FALSE)="","",VLOOKUP($A14,'détails investissements'!$A$26:$DE$43,AX$3-VLOOKUP($A14,'détails investissements'!$A$71:$B$88,2,FALSE)+1,FALSE))),'détails investissements'!$U$6:$AB$7,2,FALSE),""),FALSE),"")</f>
        <v/>
      </c>
      <c r="AY14" s="45" t="str">
        <f>IF(IF(IF(AY$3-VLOOKUP($A14,'détails investissements'!$A$71:$B$88,2,FALSE)&lt;=0,"",IF(VLOOKUP($A14,'détails investissements'!$A$26:$DE$43,AY$3-VLOOKUP($A14,'détails investissements'!$A$71:$B$88,2,FALSE)+1,FALSE)="","",VLOOKUP($A14,'détails investissements'!$A$26:$DE$43,AY$3-VLOOKUP($A14,'détails investissements'!$A$71:$B$88,2,FALSE)+1,FALSE)))&lt;&gt;"",HLOOKUP(IF(AY$3-VLOOKUP($A14,'détails investissements'!$A$71:$B$88,2,FALSE)&lt;=0,"",IF(VLOOKUP($A14,'détails investissements'!$A$26:$DE$43,AY$3-VLOOKUP($A14,'détails investissements'!$A$71:$B$88,2,FALSE)+1,FALSE)="","",VLOOKUP($A14,'détails investissements'!$A$26:$DE$43,AY$3-VLOOKUP($A14,'détails investissements'!$A$71:$B$88,2,FALSE)+1,FALSE))),'détails investissements'!$U$6:$AB$7,2,FALSE),"")&lt;&gt;"",VLOOKUP($A14,'détails investissements'!$A$7:$H$21,1+IF(IF(AY$3-VLOOKUP($A14,'détails investissements'!$A$71:$B$88,2,FALSE)&lt;=0,"",IF(VLOOKUP($A14,'détails investissements'!$A$26:$DE$43,AY$3-VLOOKUP($A14,'détails investissements'!$A$71:$B$88,2,FALSE)+1,FALSE)="","",VLOOKUP($A14,'détails investissements'!$A$26:$DE$43,AY$3-VLOOKUP($A14,'détails investissements'!$A$71:$B$88,2,FALSE)+1,FALSE)))&lt;&gt;"",HLOOKUP(IF(AY$3-VLOOKUP($A14,'détails investissements'!$A$71:$B$88,2,FALSE)&lt;=0,"",IF(VLOOKUP($A14,'détails investissements'!$A$26:$DE$43,AY$3-VLOOKUP($A14,'détails investissements'!$A$71:$B$88,2,FALSE)+1,FALSE)="","",VLOOKUP($A14,'détails investissements'!$A$26:$DE$43,AY$3-VLOOKUP($A14,'détails investissements'!$A$71:$B$88,2,FALSE)+1,FALSE))),'détails investissements'!$U$6:$AB$7,2,FALSE),""),FALSE),"")</f>
        <v/>
      </c>
      <c r="AZ14" s="45" t="str">
        <f>IF(IF(IF(AZ$3-VLOOKUP($A14,'détails investissements'!$A$71:$B$88,2,FALSE)&lt;=0,"",IF(VLOOKUP($A14,'détails investissements'!$A$26:$DE$43,AZ$3-VLOOKUP($A14,'détails investissements'!$A$71:$B$88,2,FALSE)+1,FALSE)="","",VLOOKUP($A14,'détails investissements'!$A$26:$DE$43,AZ$3-VLOOKUP($A14,'détails investissements'!$A$71:$B$88,2,FALSE)+1,FALSE)))&lt;&gt;"",HLOOKUP(IF(AZ$3-VLOOKUP($A14,'détails investissements'!$A$71:$B$88,2,FALSE)&lt;=0,"",IF(VLOOKUP($A14,'détails investissements'!$A$26:$DE$43,AZ$3-VLOOKUP($A14,'détails investissements'!$A$71:$B$88,2,FALSE)+1,FALSE)="","",VLOOKUP($A14,'détails investissements'!$A$26:$DE$43,AZ$3-VLOOKUP($A14,'détails investissements'!$A$71:$B$88,2,FALSE)+1,FALSE))),'détails investissements'!$U$6:$AB$7,2,FALSE),"")&lt;&gt;"",VLOOKUP($A14,'détails investissements'!$A$7:$H$21,1+IF(IF(AZ$3-VLOOKUP($A14,'détails investissements'!$A$71:$B$88,2,FALSE)&lt;=0,"",IF(VLOOKUP($A14,'détails investissements'!$A$26:$DE$43,AZ$3-VLOOKUP($A14,'détails investissements'!$A$71:$B$88,2,FALSE)+1,FALSE)="","",VLOOKUP($A14,'détails investissements'!$A$26:$DE$43,AZ$3-VLOOKUP($A14,'détails investissements'!$A$71:$B$88,2,FALSE)+1,FALSE)))&lt;&gt;"",HLOOKUP(IF(AZ$3-VLOOKUP($A14,'détails investissements'!$A$71:$B$88,2,FALSE)&lt;=0,"",IF(VLOOKUP($A14,'détails investissements'!$A$26:$DE$43,AZ$3-VLOOKUP($A14,'détails investissements'!$A$71:$B$88,2,FALSE)+1,FALSE)="","",VLOOKUP($A14,'détails investissements'!$A$26:$DE$43,AZ$3-VLOOKUP($A14,'détails investissements'!$A$71:$B$88,2,FALSE)+1,FALSE))),'détails investissements'!$U$6:$AB$7,2,FALSE),""),FALSE),"")</f>
        <v/>
      </c>
      <c r="BA14" s="45" t="str">
        <f>IF(IF(IF(BA$3-VLOOKUP($A14,'détails investissements'!$A$71:$B$88,2,FALSE)&lt;=0,"",IF(VLOOKUP($A14,'détails investissements'!$A$26:$DE$43,BA$3-VLOOKUP($A14,'détails investissements'!$A$71:$B$88,2,FALSE)+1,FALSE)="","",VLOOKUP($A14,'détails investissements'!$A$26:$DE$43,BA$3-VLOOKUP($A14,'détails investissements'!$A$71:$B$88,2,FALSE)+1,FALSE)))&lt;&gt;"",HLOOKUP(IF(BA$3-VLOOKUP($A14,'détails investissements'!$A$71:$B$88,2,FALSE)&lt;=0,"",IF(VLOOKUP($A14,'détails investissements'!$A$26:$DE$43,BA$3-VLOOKUP($A14,'détails investissements'!$A$71:$B$88,2,FALSE)+1,FALSE)="","",VLOOKUP($A14,'détails investissements'!$A$26:$DE$43,BA$3-VLOOKUP($A14,'détails investissements'!$A$71:$B$88,2,FALSE)+1,FALSE))),'détails investissements'!$U$6:$AB$7,2,FALSE),"")&lt;&gt;"",VLOOKUP($A14,'détails investissements'!$A$7:$H$21,1+IF(IF(BA$3-VLOOKUP($A14,'détails investissements'!$A$71:$B$88,2,FALSE)&lt;=0,"",IF(VLOOKUP($A14,'détails investissements'!$A$26:$DE$43,BA$3-VLOOKUP($A14,'détails investissements'!$A$71:$B$88,2,FALSE)+1,FALSE)="","",VLOOKUP($A14,'détails investissements'!$A$26:$DE$43,BA$3-VLOOKUP($A14,'détails investissements'!$A$71:$B$88,2,FALSE)+1,FALSE)))&lt;&gt;"",HLOOKUP(IF(BA$3-VLOOKUP($A14,'détails investissements'!$A$71:$B$88,2,FALSE)&lt;=0,"",IF(VLOOKUP($A14,'détails investissements'!$A$26:$DE$43,BA$3-VLOOKUP($A14,'détails investissements'!$A$71:$B$88,2,FALSE)+1,FALSE)="","",VLOOKUP($A14,'détails investissements'!$A$26:$DE$43,BA$3-VLOOKUP($A14,'détails investissements'!$A$71:$B$88,2,FALSE)+1,FALSE))),'détails investissements'!$U$6:$AB$7,2,FALSE),""),FALSE),"")</f>
        <v/>
      </c>
      <c r="BB14" s="45" t="str">
        <f>IF(IF(IF(BB$3-VLOOKUP($A14,'détails investissements'!$A$71:$B$88,2,FALSE)&lt;=0,"",IF(VLOOKUP($A14,'détails investissements'!$A$26:$DE$43,BB$3-VLOOKUP($A14,'détails investissements'!$A$71:$B$88,2,FALSE)+1,FALSE)="","",VLOOKUP($A14,'détails investissements'!$A$26:$DE$43,BB$3-VLOOKUP($A14,'détails investissements'!$A$71:$B$88,2,FALSE)+1,FALSE)))&lt;&gt;"",HLOOKUP(IF(BB$3-VLOOKUP($A14,'détails investissements'!$A$71:$B$88,2,FALSE)&lt;=0,"",IF(VLOOKUP($A14,'détails investissements'!$A$26:$DE$43,BB$3-VLOOKUP($A14,'détails investissements'!$A$71:$B$88,2,FALSE)+1,FALSE)="","",VLOOKUP($A14,'détails investissements'!$A$26:$DE$43,BB$3-VLOOKUP($A14,'détails investissements'!$A$71:$B$88,2,FALSE)+1,FALSE))),'détails investissements'!$U$6:$AB$7,2,FALSE),"")&lt;&gt;"",VLOOKUP($A14,'détails investissements'!$A$7:$H$21,1+IF(IF(BB$3-VLOOKUP($A14,'détails investissements'!$A$71:$B$88,2,FALSE)&lt;=0,"",IF(VLOOKUP($A14,'détails investissements'!$A$26:$DE$43,BB$3-VLOOKUP($A14,'détails investissements'!$A$71:$B$88,2,FALSE)+1,FALSE)="","",VLOOKUP($A14,'détails investissements'!$A$26:$DE$43,BB$3-VLOOKUP($A14,'détails investissements'!$A$71:$B$88,2,FALSE)+1,FALSE)))&lt;&gt;"",HLOOKUP(IF(BB$3-VLOOKUP($A14,'détails investissements'!$A$71:$B$88,2,FALSE)&lt;=0,"",IF(VLOOKUP($A14,'détails investissements'!$A$26:$DE$43,BB$3-VLOOKUP($A14,'détails investissements'!$A$71:$B$88,2,FALSE)+1,FALSE)="","",VLOOKUP($A14,'détails investissements'!$A$26:$DE$43,BB$3-VLOOKUP($A14,'détails investissements'!$A$71:$B$88,2,FALSE)+1,FALSE))),'détails investissements'!$U$6:$AB$7,2,FALSE),""),FALSE),"")</f>
        <v/>
      </c>
      <c r="BC14" s="45" t="str">
        <f>IF(IF(IF(BC$3-VLOOKUP($A14,'détails investissements'!$A$71:$B$88,2,FALSE)&lt;=0,"",IF(VLOOKUP($A14,'détails investissements'!$A$26:$DE$43,BC$3-VLOOKUP($A14,'détails investissements'!$A$71:$B$88,2,FALSE)+1,FALSE)="","",VLOOKUP($A14,'détails investissements'!$A$26:$DE$43,BC$3-VLOOKUP($A14,'détails investissements'!$A$71:$B$88,2,FALSE)+1,FALSE)))&lt;&gt;"",HLOOKUP(IF(BC$3-VLOOKUP($A14,'détails investissements'!$A$71:$B$88,2,FALSE)&lt;=0,"",IF(VLOOKUP($A14,'détails investissements'!$A$26:$DE$43,BC$3-VLOOKUP($A14,'détails investissements'!$A$71:$B$88,2,FALSE)+1,FALSE)="","",VLOOKUP($A14,'détails investissements'!$A$26:$DE$43,BC$3-VLOOKUP($A14,'détails investissements'!$A$71:$B$88,2,FALSE)+1,FALSE))),'détails investissements'!$U$6:$AB$7,2,FALSE),"")&lt;&gt;"",VLOOKUP($A14,'détails investissements'!$A$7:$H$21,1+IF(IF(BC$3-VLOOKUP($A14,'détails investissements'!$A$71:$B$88,2,FALSE)&lt;=0,"",IF(VLOOKUP($A14,'détails investissements'!$A$26:$DE$43,BC$3-VLOOKUP($A14,'détails investissements'!$A$71:$B$88,2,FALSE)+1,FALSE)="","",VLOOKUP($A14,'détails investissements'!$A$26:$DE$43,BC$3-VLOOKUP($A14,'détails investissements'!$A$71:$B$88,2,FALSE)+1,FALSE)))&lt;&gt;"",HLOOKUP(IF(BC$3-VLOOKUP($A14,'détails investissements'!$A$71:$B$88,2,FALSE)&lt;=0,"",IF(VLOOKUP($A14,'détails investissements'!$A$26:$DE$43,BC$3-VLOOKUP($A14,'détails investissements'!$A$71:$B$88,2,FALSE)+1,FALSE)="","",VLOOKUP($A14,'détails investissements'!$A$26:$DE$43,BC$3-VLOOKUP($A14,'détails investissements'!$A$71:$B$88,2,FALSE)+1,FALSE))),'détails investissements'!$U$6:$AB$7,2,FALSE),""),FALSE),"")</f>
        <v/>
      </c>
      <c r="BD14" s="45" t="str">
        <f>IF(IF(IF(BD$3-VLOOKUP($A14,'détails investissements'!$A$71:$B$88,2,FALSE)&lt;=0,"",IF(VLOOKUP($A14,'détails investissements'!$A$26:$DE$43,BD$3-VLOOKUP($A14,'détails investissements'!$A$71:$B$88,2,FALSE)+1,FALSE)="","",VLOOKUP($A14,'détails investissements'!$A$26:$DE$43,BD$3-VLOOKUP($A14,'détails investissements'!$A$71:$B$88,2,FALSE)+1,FALSE)))&lt;&gt;"",HLOOKUP(IF(BD$3-VLOOKUP($A14,'détails investissements'!$A$71:$B$88,2,FALSE)&lt;=0,"",IF(VLOOKUP($A14,'détails investissements'!$A$26:$DE$43,BD$3-VLOOKUP($A14,'détails investissements'!$A$71:$B$88,2,FALSE)+1,FALSE)="","",VLOOKUP($A14,'détails investissements'!$A$26:$DE$43,BD$3-VLOOKUP($A14,'détails investissements'!$A$71:$B$88,2,FALSE)+1,FALSE))),'détails investissements'!$U$6:$AB$7,2,FALSE),"")&lt;&gt;"",VLOOKUP($A14,'détails investissements'!$A$7:$H$21,1+IF(IF(BD$3-VLOOKUP($A14,'détails investissements'!$A$71:$B$88,2,FALSE)&lt;=0,"",IF(VLOOKUP($A14,'détails investissements'!$A$26:$DE$43,BD$3-VLOOKUP($A14,'détails investissements'!$A$71:$B$88,2,FALSE)+1,FALSE)="","",VLOOKUP($A14,'détails investissements'!$A$26:$DE$43,BD$3-VLOOKUP($A14,'détails investissements'!$A$71:$B$88,2,FALSE)+1,FALSE)))&lt;&gt;"",HLOOKUP(IF(BD$3-VLOOKUP($A14,'détails investissements'!$A$71:$B$88,2,FALSE)&lt;=0,"",IF(VLOOKUP($A14,'détails investissements'!$A$26:$DE$43,BD$3-VLOOKUP($A14,'détails investissements'!$A$71:$B$88,2,FALSE)+1,FALSE)="","",VLOOKUP($A14,'détails investissements'!$A$26:$DE$43,BD$3-VLOOKUP($A14,'détails investissements'!$A$71:$B$88,2,FALSE)+1,FALSE))),'détails investissements'!$U$6:$AB$7,2,FALSE),""),FALSE),"")</f>
        <v/>
      </c>
      <c r="BE14" s="45" t="str">
        <f>IF(IF(IF(BE$3-VLOOKUP($A14,'détails investissements'!$A$71:$B$88,2,FALSE)&lt;=0,"",IF(VLOOKUP($A14,'détails investissements'!$A$26:$DE$43,BE$3-VLOOKUP($A14,'détails investissements'!$A$71:$B$88,2,FALSE)+1,FALSE)="","",VLOOKUP($A14,'détails investissements'!$A$26:$DE$43,BE$3-VLOOKUP($A14,'détails investissements'!$A$71:$B$88,2,FALSE)+1,FALSE)))&lt;&gt;"",HLOOKUP(IF(BE$3-VLOOKUP($A14,'détails investissements'!$A$71:$B$88,2,FALSE)&lt;=0,"",IF(VLOOKUP($A14,'détails investissements'!$A$26:$DE$43,BE$3-VLOOKUP($A14,'détails investissements'!$A$71:$B$88,2,FALSE)+1,FALSE)="","",VLOOKUP($A14,'détails investissements'!$A$26:$DE$43,BE$3-VLOOKUP($A14,'détails investissements'!$A$71:$B$88,2,FALSE)+1,FALSE))),'détails investissements'!$U$6:$AB$7,2,FALSE),"")&lt;&gt;"",VLOOKUP($A14,'détails investissements'!$A$7:$H$21,1+IF(IF(BE$3-VLOOKUP($A14,'détails investissements'!$A$71:$B$88,2,FALSE)&lt;=0,"",IF(VLOOKUP($A14,'détails investissements'!$A$26:$DE$43,BE$3-VLOOKUP($A14,'détails investissements'!$A$71:$B$88,2,FALSE)+1,FALSE)="","",VLOOKUP($A14,'détails investissements'!$A$26:$DE$43,BE$3-VLOOKUP($A14,'détails investissements'!$A$71:$B$88,2,FALSE)+1,FALSE)))&lt;&gt;"",HLOOKUP(IF(BE$3-VLOOKUP($A14,'détails investissements'!$A$71:$B$88,2,FALSE)&lt;=0,"",IF(VLOOKUP($A14,'détails investissements'!$A$26:$DE$43,BE$3-VLOOKUP($A14,'détails investissements'!$A$71:$B$88,2,FALSE)+1,FALSE)="","",VLOOKUP($A14,'détails investissements'!$A$26:$DE$43,BE$3-VLOOKUP($A14,'détails investissements'!$A$71:$B$88,2,FALSE)+1,FALSE))),'détails investissements'!$U$6:$AB$7,2,FALSE),""),FALSE),"")</f>
        <v/>
      </c>
      <c r="BF14" s="45" t="str">
        <f>IF(IF(IF(BF$3-VLOOKUP($A14,'détails investissements'!$A$71:$B$88,2,FALSE)&lt;=0,"",IF(VLOOKUP($A14,'détails investissements'!$A$26:$DE$43,BF$3-VLOOKUP($A14,'détails investissements'!$A$71:$B$88,2,FALSE)+1,FALSE)="","",VLOOKUP($A14,'détails investissements'!$A$26:$DE$43,BF$3-VLOOKUP($A14,'détails investissements'!$A$71:$B$88,2,FALSE)+1,FALSE)))&lt;&gt;"",HLOOKUP(IF(BF$3-VLOOKUP($A14,'détails investissements'!$A$71:$B$88,2,FALSE)&lt;=0,"",IF(VLOOKUP($A14,'détails investissements'!$A$26:$DE$43,BF$3-VLOOKUP($A14,'détails investissements'!$A$71:$B$88,2,FALSE)+1,FALSE)="","",VLOOKUP($A14,'détails investissements'!$A$26:$DE$43,BF$3-VLOOKUP($A14,'détails investissements'!$A$71:$B$88,2,FALSE)+1,FALSE))),'détails investissements'!$U$6:$AB$7,2,FALSE),"")&lt;&gt;"",VLOOKUP($A14,'détails investissements'!$A$7:$H$21,1+IF(IF(BF$3-VLOOKUP($A14,'détails investissements'!$A$71:$B$88,2,FALSE)&lt;=0,"",IF(VLOOKUP($A14,'détails investissements'!$A$26:$DE$43,BF$3-VLOOKUP($A14,'détails investissements'!$A$71:$B$88,2,FALSE)+1,FALSE)="","",VLOOKUP($A14,'détails investissements'!$A$26:$DE$43,BF$3-VLOOKUP($A14,'détails investissements'!$A$71:$B$88,2,FALSE)+1,FALSE)))&lt;&gt;"",HLOOKUP(IF(BF$3-VLOOKUP($A14,'détails investissements'!$A$71:$B$88,2,FALSE)&lt;=0,"",IF(VLOOKUP($A14,'détails investissements'!$A$26:$DE$43,BF$3-VLOOKUP($A14,'détails investissements'!$A$71:$B$88,2,FALSE)+1,FALSE)="","",VLOOKUP($A14,'détails investissements'!$A$26:$DE$43,BF$3-VLOOKUP($A14,'détails investissements'!$A$71:$B$88,2,FALSE)+1,FALSE))),'détails investissements'!$U$6:$AB$7,2,FALSE),""),FALSE),"")</f>
        <v/>
      </c>
      <c r="BG14" s="45" t="str">
        <f>IF(IF(IF(BG$3-VLOOKUP($A14,'détails investissements'!$A$71:$B$88,2,FALSE)&lt;=0,"",IF(VLOOKUP($A14,'détails investissements'!$A$26:$DE$43,BG$3-VLOOKUP($A14,'détails investissements'!$A$71:$B$88,2,FALSE)+1,FALSE)="","",VLOOKUP($A14,'détails investissements'!$A$26:$DE$43,BG$3-VLOOKUP($A14,'détails investissements'!$A$71:$B$88,2,FALSE)+1,FALSE)))&lt;&gt;"",HLOOKUP(IF(BG$3-VLOOKUP($A14,'détails investissements'!$A$71:$B$88,2,FALSE)&lt;=0,"",IF(VLOOKUP($A14,'détails investissements'!$A$26:$DE$43,BG$3-VLOOKUP($A14,'détails investissements'!$A$71:$B$88,2,FALSE)+1,FALSE)="","",VLOOKUP($A14,'détails investissements'!$A$26:$DE$43,BG$3-VLOOKUP($A14,'détails investissements'!$A$71:$B$88,2,FALSE)+1,FALSE))),'détails investissements'!$U$6:$AB$7,2,FALSE),"")&lt;&gt;"",VLOOKUP($A14,'détails investissements'!$A$7:$H$21,1+IF(IF(BG$3-VLOOKUP($A14,'détails investissements'!$A$71:$B$88,2,FALSE)&lt;=0,"",IF(VLOOKUP($A14,'détails investissements'!$A$26:$DE$43,BG$3-VLOOKUP($A14,'détails investissements'!$A$71:$B$88,2,FALSE)+1,FALSE)="","",VLOOKUP($A14,'détails investissements'!$A$26:$DE$43,BG$3-VLOOKUP($A14,'détails investissements'!$A$71:$B$88,2,FALSE)+1,FALSE)))&lt;&gt;"",HLOOKUP(IF(BG$3-VLOOKUP($A14,'détails investissements'!$A$71:$B$88,2,FALSE)&lt;=0,"",IF(VLOOKUP($A14,'détails investissements'!$A$26:$DE$43,BG$3-VLOOKUP($A14,'détails investissements'!$A$71:$B$88,2,FALSE)+1,FALSE)="","",VLOOKUP($A14,'détails investissements'!$A$26:$DE$43,BG$3-VLOOKUP($A14,'détails investissements'!$A$71:$B$88,2,FALSE)+1,FALSE))),'détails investissements'!$U$6:$AB$7,2,FALSE),""),FALSE),"")</f>
        <v/>
      </c>
      <c r="BH14" s="45" t="str">
        <f>IF(IF(IF(BH$3-VLOOKUP($A14,'détails investissements'!$A$71:$B$88,2,FALSE)&lt;=0,"",IF(VLOOKUP($A14,'détails investissements'!$A$26:$DE$43,BH$3-VLOOKUP($A14,'détails investissements'!$A$71:$B$88,2,FALSE)+1,FALSE)="","",VLOOKUP($A14,'détails investissements'!$A$26:$DE$43,BH$3-VLOOKUP($A14,'détails investissements'!$A$71:$B$88,2,FALSE)+1,FALSE)))&lt;&gt;"",HLOOKUP(IF(BH$3-VLOOKUP($A14,'détails investissements'!$A$71:$B$88,2,FALSE)&lt;=0,"",IF(VLOOKUP($A14,'détails investissements'!$A$26:$DE$43,BH$3-VLOOKUP($A14,'détails investissements'!$A$71:$B$88,2,FALSE)+1,FALSE)="","",VLOOKUP($A14,'détails investissements'!$A$26:$DE$43,BH$3-VLOOKUP($A14,'détails investissements'!$A$71:$B$88,2,FALSE)+1,FALSE))),'détails investissements'!$U$6:$AB$7,2,FALSE),"")&lt;&gt;"",VLOOKUP($A14,'détails investissements'!$A$7:$H$21,1+IF(IF(BH$3-VLOOKUP($A14,'détails investissements'!$A$71:$B$88,2,FALSE)&lt;=0,"",IF(VLOOKUP($A14,'détails investissements'!$A$26:$DE$43,BH$3-VLOOKUP($A14,'détails investissements'!$A$71:$B$88,2,FALSE)+1,FALSE)="","",VLOOKUP($A14,'détails investissements'!$A$26:$DE$43,BH$3-VLOOKUP($A14,'détails investissements'!$A$71:$B$88,2,FALSE)+1,FALSE)))&lt;&gt;"",HLOOKUP(IF(BH$3-VLOOKUP($A14,'détails investissements'!$A$71:$B$88,2,FALSE)&lt;=0,"",IF(VLOOKUP($A14,'détails investissements'!$A$26:$DE$43,BH$3-VLOOKUP($A14,'détails investissements'!$A$71:$B$88,2,FALSE)+1,FALSE)="","",VLOOKUP($A14,'détails investissements'!$A$26:$DE$43,BH$3-VLOOKUP($A14,'détails investissements'!$A$71:$B$88,2,FALSE)+1,FALSE))),'détails investissements'!$U$6:$AB$7,2,FALSE),""),FALSE),"")</f>
        <v/>
      </c>
      <c r="BI14" s="45" t="str">
        <f>IF(IF(IF(BI$3-VLOOKUP($A14,'détails investissements'!$A$71:$B$88,2,FALSE)&lt;=0,"",IF(VLOOKUP($A14,'détails investissements'!$A$26:$DE$43,BI$3-VLOOKUP($A14,'détails investissements'!$A$71:$B$88,2,FALSE)+1,FALSE)="","",VLOOKUP($A14,'détails investissements'!$A$26:$DE$43,BI$3-VLOOKUP($A14,'détails investissements'!$A$71:$B$88,2,FALSE)+1,FALSE)))&lt;&gt;"",HLOOKUP(IF(BI$3-VLOOKUP($A14,'détails investissements'!$A$71:$B$88,2,FALSE)&lt;=0,"",IF(VLOOKUP($A14,'détails investissements'!$A$26:$DE$43,BI$3-VLOOKUP($A14,'détails investissements'!$A$71:$B$88,2,FALSE)+1,FALSE)="","",VLOOKUP($A14,'détails investissements'!$A$26:$DE$43,BI$3-VLOOKUP($A14,'détails investissements'!$A$71:$B$88,2,FALSE)+1,FALSE))),'détails investissements'!$U$6:$AB$7,2,FALSE),"")&lt;&gt;"",VLOOKUP($A14,'détails investissements'!$A$7:$H$21,1+IF(IF(BI$3-VLOOKUP($A14,'détails investissements'!$A$71:$B$88,2,FALSE)&lt;=0,"",IF(VLOOKUP($A14,'détails investissements'!$A$26:$DE$43,BI$3-VLOOKUP($A14,'détails investissements'!$A$71:$B$88,2,FALSE)+1,FALSE)="","",VLOOKUP($A14,'détails investissements'!$A$26:$DE$43,BI$3-VLOOKUP($A14,'détails investissements'!$A$71:$B$88,2,FALSE)+1,FALSE)))&lt;&gt;"",HLOOKUP(IF(BI$3-VLOOKUP($A14,'détails investissements'!$A$71:$B$88,2,FALSE)&lt;=0,"",IF(VLOOKUP($A14,'détails investissements'!$A$26:$DE$43,BI$3-VLOOKUP($A14,'détails investissements'!$A$71:$B$88,2,FALSE)+1,FALSE)="","",VLOOKUP($A14,'détails investissements'!$A$26:$DE$43,BI$3-VLOOKUP($A14,'détails investissements'!$A$71:$B$88,2,FALSE)+1,FALSE))),'détails investissements'!$U$6:$AB$7,2,FALSE),""),FALSE),"")</f>
        <v/>
      </c>
      <c r="BJ14" s="45" t="str">
        <f>IF(IF(IF(BJ$3-VLOOKUP($A14,'détails investissements'!$A$71:$B$88,2,FALSE)&lt;=0,"",IF(VLOOKUP($A14,'détails investissements'!$A$26:$DE$43,BJ$3-VLOOKUP($A14,'détails investissements'!$A$71:$B$88,2,FALSE)+1,FALSE)="","",VLOOKUP($A14,'détails investissements'!$A$26:$DE$43,BJ$3-VLOOKUP($A14,'détails investissements'!$A$71:$B$88,2,FALSE)+1,FALSE)))&lt;&gt;"",HLOOKUP(IF(BJ$3-VLOOKUP($A14,'détails investissements'!$A$71:$B$88,2,FALSE)&lt;=0,"",IF(VLOOKUP($A14,'détails investissements'!$A$26:$DE$43,BJ$3-VLOOKUP($A14,'détails investissements'!$A$71:$B$88,2,FALSE)+1,FALSE)="","",VLOOKUP($A14,'détails investissements'!$A$26:$DE$43,BJ$3-VLOOKUP($A14,'détails investissements'!$A$71:$B$88,2,FALSE)+1,FALSE))),'détails investissements'!$U$6:$AB$7,2,FALSE),"")&lt;&gt;"",VLOOKUP($A14,'détails investissements'!$A$7:$H$21,1+IF(IF(BJ$3-VLOOKUP($A14,'détails investissements'!$A$71:$B$88,2,FALSE)&lt;=0,"",IF(VLOOKUP($A14,'détails investissements'!$A$26:$DE$43,BJ$3-VLOOKUP($A14,'détails investissements'!$A$71:$B$88,2,FALSE)+1,FALSE)="","",VLOOKUP($A14,'détails investissements'!$A$26:$DE$43,BJ$3-VLOOKUP($A14,'détails investissements'!$A$71:$B$88,2,FALSE)+1,FALSE)))&lt;&gt;"",HLOOKUP(IF(BJ$3-VLOOKUP($A14,'détails investissements'!$A$71:$B$88,2,FALSE)&lt;=0,"",IF(VLOOKUP($A14,'détails investissements'!$A$26:$DE$43,BJ$3-VLOOKUP($A14,'détails investissements'!$A$71:$B$88,2,FALSE)+1,FALSE)="","",VLOOKUP($A14,'détails investissements'!$A$26:$DE$43,BJ$3-VLOOKUP($A14,'détails investissements'!$A$71:$B$88,2,FALSE)+1,FALSE))),'détails investissements'!$U$6:$AB$7,2,FALSE),""),FALSE),"")</f>
        <v/>
      </c>
      <c r="BK14" s="45" t="str">
        <f>IF(IF(IF(BK$3-VLOOKUP($A14,'détails investissements'!$A$71:$B$88,2,FALSE)&lt;=0,"",IF(VLOOKUP($A14,'détails investissements'!$A$26:$DE$43,BK$3-VLOOKUP($A14,'détails investissements'!$A$71:$B$88,2,FALSE)+1,FALSE)="","",VLOOKUP($A14,'détails investissements'!$A$26:$DE$43,BK$3-VLOOKUP($A14,'détails investissements'!$A$71:$B$88,2,FALSE)+1,FALSE)))&lt;&gt;"",HLOOKUP(IF(BK$3-VLOOKUP($A14,'détails investissements'!$A$71:$B$88,2,FALSE)&lt;=0,"",IF(VLOOKUP($A14,'détails investissements'!$A$26:$DE$43,BK$3-VLOOKUP($A14,'détails investissements'!$A$71:$B$88,2,FALSE)+1,FALSE)="","",VLOOKUP($A14,'détails investissements'!$A$26:$DE$43,BK$3-VLOOKUP($A14,'détails investissements'!$A$71:$B$88,2,FALSE)+1,FALSE))),'détails investissements'!$U$6:$AB$7,2,FALSE),"")&lt;&gt;"",VLOOKUP($A14,'détails investissements'!$A$7:$H$21,1+IF(IF(BK$3-VLOOKUP($A14,'détails investissements'!$A$71:$B$88,2,FALSE)&lt;=0,"",IF(VLOOKUP($A14,'détails investissements'!$A$26:$DE$43,BK$3-VLOOKUP($A14,'détails investissements'!$A$71:$B$88,2,FALSE)+1,FALSE)="","",VLOOKUP($A14,'détails investissements'!$A$26:$DE$43,BK$3-VLOOKUP($A14,'détails investissements'!$A$71:$B$88,2,FALSE)+1,FALSE)))&lt;&gt;"",HLOOKUP(IF(BK$3-VLOOKUP($A14,'détails investissements'!$A$71:$B$88,2,FALSE)&lt;=0,"",IF(VLOOKUP($A14,'détails investissements'!$A$26:$DE$43,BK$3-VLOOKUP($A14,'détails investissements'!$A$71:$B$88,2,FALSE)+1,FALSE)="","",VLOOKUP($A14,'détails investissements'!$A$26:$DE$43,BK$3-VLOOKUP($A14,'détails investissements'!$A$71:$B$88,2,FALSE)+1,FALSE))),'détails investissements'!$U$6:$AB$7,2,FALSE),""),FALSE),"")</f>
        <v/>
      </c>
      <c r="BL14" s="45" t="str">
        <f>IF(IF(IF(BL$3-VLOOKUP($A14,'détails investissements'!$A$71:$B$88,2,FALSE)&lt;=0,"",IF(VLOOKUP($A14,'détails investissements'!$A$26:$DE$43,BL$3-VLOOKUP($A14,'détails investissements'!$A$71:$B$88,2,FALSE)+1,FALSE)="","",VLOOKUP($A14,'détails investissements'!$A$26:$DE$43,BL$3-VLOOKUP($A14,'détails investissements'!$A$71:$B$88,2,FALSE)+1,FALSE)))&lt;&gt;"",HLOOKUP(IF(BL$3-VLOOKUP($A14,'détails investissements'!$A$71:$B$88,2,FALSE)&lt;=0,"",IF(VLOOKUP($A14,'détails investissements'!$A$26:$DE$43,BL$3-VLOOKUP($A14,'détails investissements'!$A$71:$B$88,2,FALSE)+1,FALSE)="","",VLOOKUP($A14,'détails investissements'!$A$26:$DE$43,BL$3-VLOOKUP($A14,'détails investissements'!$A$71:$B$88,2,FALSE)+1,FALSE))),'détails investissements'!$U$6:$AB$7,2,FALSE),"")&lt;&gt;"",VLOOKUP($A14,'détails investissements'!$A$7:$H$21,1+IF(IF(BL$3-VLOOKUP($A14,'détails investissements'!$A$71:$B$88,2,FALSE)&lt;=0,"",IF(VLOOKUP($A14,'détails investissements'!$A$26:$DE$43,BL$3-VLOOKUP($A14,'détails investissements'!$A$71:$B$88,2,FALSE)+1,FALSE)="","",VLOOKUP($A14,'détails investissements'!$A$26:$DE$43,BL$3-VLOOKUP($A14,'détails investissements'!$A$71:$B$88,2,FALSE)+1,FALSE)))&lt;&gt;"",HLOOKUP(IF(BL$3-VLOOKUP($A14,'détails investissements'!$A$71:$B$88,2,FALSE)&lt;=0,"",IF(VLOOKUP($A14,'détails investissements'!$A$26:$DE$43,BL$3-VLOOKUP($A14,'détails investissements'!$A$71:$B$88,2,FALSE)+1,FALSE)="","",VLOOKUP($A14,'détails investissements'!$A$26:$DE$43,BL$3-VLOOKUP($A14,'détails investissements'!$A$71:$B$88,2,FALSE)+1,FALSE))),'détails investissements'!$U$6:$AB$7,2,FALSE),""),FALSE),"")</f>
        <v/>
      </c>
      <c r="BM14" s="45" t="str">
        <f>IF(IF(IF(BM$3-VLOOKUP($A14,'détails investissements'!$A$71:$B$88,2,FALSE)&lt;=0,"",IF(VLOOKUP($A14,'détails investissements'!$A$26:$DE$43,BM$3-VLOOKUP($A14,'détails investissements'!$A$71:$B$88,2,FALSE)+1,FALSE)="","",VLOOKUP($A14,'détails investissements'!$A$26:$DE$43,BM$3-VLOOKUP($A14,'détails investissements'!$A$71:$B$88,2,FALSE)+1,FALSE)))&lt;&gt;"",HLOOKUP(IF(BM$3-VLOOKUP($A14,'détails investissements'!$A$71:$B$88,2,FALSE)&lt;=0,"",IF(VLOOKUP($A14,'détails investissements'!$A$26:$DE$43,BM$3-VLOOKUP($A14,'détails investissements'!$A$71:$B$88,2,FALSE)+1,FALSE)="","",VLOOKUP($A14,'détails investissements'!$A$26:$DE$43,BM$3-VLOOKUP($A14,'détails investissements'!$A$71:$B$88,2,FALSE)+1,FALSE))),'détails investissements'!$U$6:$AB$7,2,FALSE),"")&lt;&gt;"",VLOOKUP($A14,'détails investissements'!$A$7:$H$21,1+IF(IF(BM$3-VLOOKUP($A14,'détails investissements'!$A$71:$B$88,2,FALSE)&lt;=0,"",IF(VLOOKUP($A14,'détails investissements'!$A$26:$DE$43,BM$3-VLOOKUP($A14,'détails investissements'!$A$71:$B$88,2,FALSE)+1,FALSE)="","",VLOOKUP($A14,'détails investissements'!$A$26:$DE$43,BM$3-VLOOKUP($A14,'détails investissements'!$A$71:$B$88,2,FALSE)+1,FALSE)))&lt;&gt;"",HLOOKUP(IF(BM$3-VLOOKUP($A14,'détails investissements'!$A$71:$B$88,2,FALSE)&lt;=0,"",IF(VLOOKUP($A14,'détails investissements'!$A$26:$DE$43,BM$3-VLOOKUP($A14,'détails investissements'!$A$71:$B$88,2,FALSE)+1,FALSE)="","",VLOOKUP($A14,'détails investissements'!$A$26:$DE$43,BM$3-VLOOKUP($A14,'détails investissements'!$A$71:$B$88,2,FALSE)+1,FALSE))),'détails investissements'!$U$6:$AB$7,2,FALSE),""),FALSE),"")</f>
        <v/>
      </c>
      <c r="BN14" s="45" t="str">
        <f>IF(IF(IF(BN$3-VLOOKUP($A14,'détails investissements'!$A$71:$B$88,2,FALSE)&lt;=0,"",IF(VLOOKUP($A14,'détails investissements'!$A$26:$DE$43,BN$3-VLOOKUP($A14,'détails investissements'!$A$71:$B$88,2,FALSE)+1,FALSE)="","",VLOOKUP($A14,'détails investissements'!$A$26:$DE$43,BN$3-VLOOKUP($A14,'détails investissements'!$A$71:$B$88,2,FALSE)+1,FALSE)))&lt;&gt;"",HLOOKUP(IF(BN$3-VLOOKUP($A14,'détails investissements'!$A$71:$B$88,2,FALSE)&lt;=0,"",IF(VLOOKUP($A14,'détails investissements'!$A$26:$DE$43,BN$3-VLOOKUP($A14,'détails investissements'!$A$71:$B$88,2,FALSE)+1,FALSE)="","",VLOOKUP($A14,'détails investissements'!$A$26:$DE$43,BN$3-VLOOKUP($A14,'détails investissements'!$A$71:$B$88,2,FALSE)+1,FALSE))),'détails investissements'!$U$6:$AB$7,2,FALSE),"")&lt;&gt;"",VLOOKUP($A14,'détails investissements'!$A$7:$H$21,1+IF(IF(BN$3-VLOOKUP($A14,'détails investissements'!$A$71:$B$88,2,FALSE)&lt;=0,"",IF(VLOOKUP($A14,'détails investissements'!$A$26:$DE$43,BN$3-VLOOKUP($A14,'détails investissements'!$A$71:$B$88,2,FALSE)+1,FALSE)="","",VLOOKUP($A14,'détails investissements'!$A$26:$DE$43,BN$3-VLOOKUP($A14,'détails investissements'!$A$71:$B$88,2,FALSE)+1,FALSE)))&lt;&gt;"",HLOOKUP(IF(BN$3-VLOOKUP($A14,'détails investissements'!$A$71:$B$88,2,FALSE)&lt;=0,"",IF(VLOOKUP($A14,'détails investissements'!$A$26:$DE$43,BN$3-VLOOKUP($A14,'détails investissements'!$A$71:$B$88,2,FALSE)+1,FALSE)="","",VLOOKUP($A14,'détails investissements'!$A$26:$DE$43,BN$3-VLOOKUP($A14,'détails investissements'!$A$71:$B$88,2,FALSE)+1,FALSE))),'détails investissements'!$U$6:$AB$7,2,FALSE),""),FALSE),"")</f>
        <v/>
      </c>
      <c r="BO14" s="45" t="str">
        <f>IF(IF(IF(BO$3-VLOOKUP($A14,'détails investissements'!$A$71:$B$88,2,FALSE)&lt;=0,"",IF(VLOOKUP($A14,'détails investissements'!$A$26:$DE$43,BO$3-VLOOKUP($A14,'détails investissements'!$A$71:$B$88,2,FALSE)+1,FALSE)="","",VLOOKUP($A14,'détails investissements'!$A$26:$DE$43,BO$3-VLOOKUP($A14,'détails investissements'!$A$71:$B$88,2,FALSE)+1,FALSE)))&lt;&gt;"",HLOOKUP(IF(BO$3-VLOOKUP($A14,'détails investissements'!$A$71:$B$88,2,FALSE)&lt;=0,"",IF(VLOOKUP($A14,'détails investissements'!$A$26:$DE$43,BO$3-VLOOKUP($A14,'détails investissements'!$A$71:$B$88,2,FALSE)+1,FALSE)="","",VLOOKUP($A14,'détails investissements'!$A$26:$DE$43,BO$3-VLOOKUP($A14,'détails investissements'!$A$71:$B$88,2,FALSE)+1,FALSE))),'détails investissements'!$U$6:$AB$7,2,FALSE),"")&lt;&gt;"",VLOOKUP($A14,'détails investissements'!$A$7:$H$21,1+IF(IF(BO$3-VLOOKUP($A14,'détails investissements'!$A$71:$B$88,2,FALSE)&lt;=0,"",IF(VLOOKUP($A14,'détails investissements'!$A$26:$DE$43,BO$3-VLOOKUP($A14,'détails investissements'!$A$71:$B$88,2,FALSE)+1,FALSE)="","",VLOOKUP($A14,'détails investissements'!$A$26:$DE$43,BO$3-VLOOKUP($A14,'détails investissements'!$A$71:$B$88,2,FALSE)+1,FALSE)))&lt;&gt;"",HLOOKUP(IF(BO$3-VLOOKUP($A14,'détails investissements'!$A$71:$B$88,2,FALSE)&lt;=0,"",IF(VLOOKUP($A14,'détails investissements'!$A$26:$DE$43,BO$3-VLOOKUP($A14,'détails investissements'!$A$71:$B$88,2,FALSE)+1,FALSE)="","",VLOOKUP($A14,'détails investissements'!$A$26:$DE$43,BO$3-VLOOKUP($A14,'détails investissements'!$A$71:$B$88,2,FALSE)+1,FALSE))),'détails investissements'!$U$6:$AB$7,2,FALSE),""),FALSE),"")</f>
        <v/>
      </c>
      <c r="BP14" s="45" t="str">
        <f>IF(IF(IF(BP$3-VLOOKUP($A14,'détails investissements'!$A$71:$B$88,2,FALSE)&lt;=0,"",IF(VLOOKUP($A14,'détails investissements'!$A$26:$DE$43,BP$3-VLOOKUP($A14,'détails investissements'!$A$71:$B$88,2,FALSE)+1,FALSE)="","",VLOOKUP($A14,'détails investissements'!$A$26:$DE$43,BP$3-VLOOKUP($A14,'détails investissements'!$A$71:$B$88,2,FALSE)+1,FALSE)))&lt;&gt;"",HLOOKUP(IF(BP$3-VLOOKUP($A14,'détails investissements'!$A$71:$B$88,2,FALSE)&lt;=0,"",IF(VLOOKUP($A14,'détails investissements'!$A$26:$DE$43,BP$3-VLOOKUP($A14,'détails investissements'!$A$71:$B$88,2,FALSE)+1,FALSE)="","",VLOOKUP($A14,'détails investissements'!$A$26:$DE$43,BP$3-VLOOKUP($A14,'détails investissements'!$A$71:$B$88,2,FALSE)+1,FALSE))),'détails investissements'!$U$6:$AB$7,2,FALSE),"")&lt;&gt;"",VLOOKUP($A14,'détails investissements'!$A$7:$H$21,1+IF(IF(BP$3-VLOOKUP($A14,'détails investissements'!$A$71:$B$88,2,FALSE)&lt;=0,"",IF(VLOOKUP($A14,'détails investissements'!$A$26:$DE$43,BP$3-VLOOKUP($A14,'détails investissements'!$A$71:$B$88,2,FALSE)+1,FALSE)="","",VLOOKUP($A14,'détails investissements'!$A$26:$DE$43,BP$3-VLOOKUP($A14,'détails investissements'!$A$71:$B$88,2,FALSE)+1,FALSE)))&lt;&gt;"",HLOOKUP(IF(BP$3-VLOOKUP($A14,'détails investissements'!$A$71:$B$88,2,FALSE)&lt;=0,"",IF(VLOOKUP($A14,'détails investissements'!$A$26:$DE$43,BP$3-VLOOKUP($A14,'détails investissements'!$A$71:$B$88,2,FALSE)+1,FALSE)="","",VLOOKUP($A14,'détails investissements'!$A$26:$DE$43,BP$3-VLOOKUP($A14,'détails investissements'!$A$71:$B$88,2,FALSE)+1,FALSE))),'détails investissements'!$U$6:$AB$7,2,FALSE),""),FALSE),"")</f>
        <v/>
      </c>
      <c r="BQ14" s="45" t="str">
        <f>IF(IF(IF(BQ$3-VLOOKUP($A14,'détails investissements'!$A$71:$B$88,2,FALSE)&lt;=0,"",IF(VLOOKUP($A14,'détails investissements'!$A$26:$DE$43,BQ$3-VLOOKUP($A14,'détails investissements'!$A$71:$B$88,2,FALSE)+1,FALSE)="","",VLOOKUP($A14,'détails investissements'!$A$26:$DE$43,BQ$3-VLOOKUP($A14,'détails investissements'!$A$71:$B$88,2,FALSE)+1,FALSE)))&lt;&gt;"",HLOOKUP(IF(BQ$3-VLOOKUP($A14,'détails investissements'!$A$71:$B$88,2,FALSE)&lt;=0,"",IF(VLOOKUP($A14,'détails investissements'!$A$26:$DE$43,BQ$3-VLOOKUP($A14,'détails investissements'!$A$71:$B$88,2,FALSE)+1,FALSE)="","",VLOOKUP($A14,'détails investissements'!$A$26:$DE$43,BQ$3-VLOOKUP($A14,'détails investissements'!$A$71:$B$88,2,FALSE)+1,FALSE))),'détails investissements'!$U$6:$AB$7,2,FALSE),"")&lt;&gt;"",VLOOKUP($A14,'détails investissements'!$A$7:$H$21,1+IF(IF(BQ$3-VLOOKUP($A14,'détails investissements'!$A$71:$B$88,2,FALSE)&lt;=0,"",IF(VLOOKUP($A14,'détails investissements'!$A$26:$DE$43,BQ$3-VLOOKUP($A14,'détails investissements'!$A$71:$B$88,2,FALSE)+1,FALSE)="","",VLOOKUP($A14,'détails investissements'!$A$26:$DE$43,BQ$3-VLOOKUP($A14,'détails investissements'!$A$71:$B$88,2,FALSE)+1,FALSE)))&lt;&gt;"",HLOOKUP(IF(BQ$3-VLOOKUP($A14,'détails investissements'!$A$71:$B$88,2,FALSE)&lt;=0,"",IF(VLOOKUP($A14,'détails investissements'!$A$26:$DE$43,BQ$3-VLOOKUP($A14,'détails investissements'!$A$71:$B$88,2,FALSE)+1,FALSE)="","",VLOOKUP($A14,'détails investissements'!$A$26:$DE$43,BQ$3-VLOOKUP($A14,'détails investissements'!$A$71:$B$88,2,FALSE)+1,FALSE))),'détails investissements'!$U$6:$AB$7,2,FALSE),""),FALSE),"")</f>
        <v/>
      </c>
      <c r="BR14" s="45" t="str">
        <f>IF(IF(IF(BR$3-VLOOKUP($A14,'détails investissements'!$A$71:$B$88,2,FALSE)&lt;=0,"",IF(VLOOKUP($A14,'détails investissements'!$A$26:$DE$43,BR$3-VLOOKUP($A14,'détails investissements'!$A$71:$B$88,2,FALSE)+1,FALSE)="","",VLOOKUP($A14,'détails investissements'!$A$26:$DE$43,BR$3-VLOOKUP($A14,'détails investissements'!$A$71:$B$88,2,FALSE)+1,FALSE)))&lt;&gt;"",HLOOKUP(IF(BR$3-VLOOKUP($A14,'détails investissements'!$A$71:$B$88,2,FALSE)&lt;=0,"",IF(VLOOKUP($A14,'détails investissements'!$A$26:$DE$43,BR$3-VLOOKUP($A14,'détails investissements'!$A$71:$B$88,2,FALSE)+1,FALSE)="","",VLOOKUP($A14,'détails investissements'!$A$26:$DE$43,BR$3-VLOOKUP($A14,'détails investissements'!$A$71:$B$88,2,FALSE)+1,FALSE))),'détails investissements'!$U$6:$AB$7,2,FALSE),"")&lt;&gt;"",VLOOKUP($A14,'détails investissements'!$A$7:$H$21,1+IF(IF(BR$3-VLOOKUP($A14,'détails investissements'!$A$71:$B$88,2,FALSE)&lt;=0,"",IF(VLOOKUP($A14,'détails investissements'!$A$26:$DE$43,BR$3-VLOOKUP($A14,'détails investissements'!$A$71:$B$88,2,FALSE)+1,FALSE)="","",VLOOKUP($A14,'détails investissements'!$A$26:$DE$43,BR$3-VLOOKUP($A14,'détails investissements'!$A$71:$B$88,2,FALSE)+1,FALSE)))&lt;&gt;"",HLOOKUP(IF(BR$3-VLOOKUP($A14,'détails investissements'!$A$71:$B$88,2,FALSE)&lt;=0,"",IF(VLOOKUP($A14,'détails investissements'!$A$26:$DE$43,BR$3-VLOOKUP($A14,'détails investissements'!$A$71:$B$88,2,FALSE)+1,FALSE)="","",VLOOKUP($A14,'détails investissements'!$A$26:$DE$43,BR$3-VLOOKUP($A14,'détails investissements'!$A$71:$B$88,2,FALSE)+1,FALSE))),'détails investissements'!$U$6:$AB$7,2,FALSE),""),FALSE),"")</f>
        <v/>
      </c>
      <c r="BS14" s="45" t="str">
        <f>IF(IF(IF(BS$3-VLOOKUP($A14,'détails investissements'!$A$71:$B$88,2,FALSE)&lt;=0,"",IF(VLOOKUP($A14,'détails investissements'!$A$26:$DE$43,BS$3-VLOOKUP($A14,'détails investissements'!$A$71:$B$88,2,FALSE)+1,FALSE)="","",VLOOKUP($A14,'détails investissements'!$A$26:$DE$43,BS$3-VLOOKUP($A14,'détails investissements'!$A$71:$B$88,2,FALSE)+1,FALSE)))&lt;&gt;"",HLOOKUP(IF(BS$3-VLOOKUP($A14,'détails investissements'!$A$71:$B$88,2,FALSE)&lt;=0,"",IF(VLOOKUP($A14,'détails investissements'!$A$26:$DE$43,BS$3-VLOOKUP($A14,'détails investissements'!$A$71:$B$88,2,FALSE)+1,FALSE)="","",VLOOKUP($A14,'détails investissements'!$A$26:$DE$43,BS$3-VLOOKUP($A14,'détails investissements'!$A$71:$B$88,2,FALSE)+1,FALSE))),'détails investissements'!$U$6:$AB$7,2,FALSE),"")&lt;&gt;"",VLOOKUP($A14,'détails investissements'!$A$7:$H$21,1+IF(IF(BS$3-VLOOKUP($A14,'détails investissements'!$A$71:$B$88,2,FALSE)&lt;=0,"",IF(VLOOKUP($A14,'détails investissements'!$A$26:$DE$43,BS$3-VLOOKUP($A14,'détails investissements'!$A$71:$B$88,2,FALSE)+1,FALSE)="","",VLOOKUP($A14,'détails investissements'!$A$26:$DE$43,BS$3-VLOOKUP($A14,'détails investissements'!$A$71:$B$88,2,FALSE)+1,FALSE)))&lt;&gt;"",HLOOKUP(IF(BS$3-VLOOKUP($A14,'détails investissements'!$A$71:$B$88,2,FALSE)&lt;=0,"",IF(VLOOKUP($A14,'détails investissements'!$A$26:$DE$43,BS$3-VLOOKUP($A14,'détails investissements'!$A$71:$B$88,2,FALSE)+1,FALSE)="","",VLOOKUP($A14,'détails investissements'!$A$26:$DE$43,BS$3-VLOOKUP($A14,'détails investissements'!$A$71:$B$88,2,FALSE)+1,FALSE))),'détails investissements'!$U$6:$AB$7,2,FALSE),""),FALSE),"")</f>
        <v/>
      </c>
      <c r="BT14" s="45" t="str">
        <f>IF(IF(IF(BT$3-VLOOKUP($A14,'détails investissements'!$A$71:$B$88,2,FALSE)&lt;=0,"",IF(VLOOKUP($A14,'détails investissements'!$A$26:$DE$43,BT$3-VLOOKUP($A14,'détails investissements'!$A$71:$B$88,2,FALSE)+1,FALSE)="","",VLOOKUP($A14,'détails investissements'!$A$26:$DE$43,BT$3-VLOOKUP($A14,'détails investissements'!$A$71:$B$88,2,FALSE)+1,FALSE)))&lt;&gt;"",HLOOKUP(IF(BT$3-VLOOKUP($A14,'détails investissements'!$A$71:$B$88,2,FALSE)&lt;=0,"",IF(VLOOKUP($A14,'détails investissements'!$A$26:$DE$43,BT$3-VLOOKUP($A14,'détails investissements'!$A$71:$B$88,2,FALSE)+1,FALSE)="","",VLOOKUP($A14,'détails investissements'!$A$26:$DE$43,BT$3-VLOOKUP($A14,'détails investissements'!$A$71:$B$88,2,FALSE)+1,FALSE))),'détails investissements'!$U$6:$AB$7,2,FALSE),"")&lt;&gt;"",VLOOKUP($A14,'détails investissements'!$A$7:$H$21,1+IF(IF(BT$3-VLOOKUP($A14,'détails investissements'!$A$71:$B$88,2,FALSE)&lt;=0,"",IF(VLOOKUP($A14,'détails investissements'!$A$26:$DE$43,BT$3-VLOOKUP($A14,'détails investissements'!$A$71:$B$88,2,FALSE)+1,FALSE)="","",VLOOKUP($A14,'détails investissements'!$A$26:$DE$43,BT$3-VLOOKUP($A14,'détails investissements'!$A$71:$B$88,2,FALSE)+1,FALSE)))&lt;&gt;"",HLOOKUP(IF(BT$3-VLOOKUP($A14,'détails investissements'!$A$71:$B$88,2,FALSE)&lt;=0,"",IF(VLOOKUP($A14,'détails investissements'!$A$26:$DE$43,BT$3-VLOOKUP($A14,'détails investissements'!$A$71:$B$88,2,FALSE)+1,FALSE)="","",VLOOKUP($A14,'détails investissements'!$A$26:$DE$43,BT$3-VLOOKUP($A14,'détails investissements'!$A$71:$B$88,2,FALSE)+1,FALSE))),'détails investissements'!$U$6:$AB$7,2,FALSE),""),FALSE),"")</f>
        <v/>
      </c>
      <c r="BU14" s="45" t="str">
        <f>IF(IF(IF(BU$3-VLOOKUP($A14,'détails investissements'!$A$71:$B$88,2,FALSE)&lt;=0,"",IF(VLOOKUP($A14,'détails investissements'!$A$26:$DE$43,BU$3-VLOOKUP($A14,'détails investissements'!$A$71:$B$88,2,FALSE)+1,FALSE)="","",VLOOKUP($A14,'détails investissements'!$A$26:$DE$43,BU$3-VLOOKUP($A14,'détails investissements'!$A$71:$B$88,2,FALSE)+1,FALSE)))&lt;&gt;"",HLOOKUP(IF(BU$3-VLOOKUP($A14,'détails investissements'!$A$71:$B$88,2,FALSE)&lt;=0,"",IF(VLOOKUP($A14,'détails investissements'!$A$26:$DE$43,BU$3-VLOOKUP($A14,'détails investissements'!$A$71:$B$88,2,FALSE)+1,FALSE)="","",VLOOKUP($A14,'détails investissements'!$A$26:$DE$43,BU$3-VLOOKUP($A14,'détails investissements'!$A$71:$B$88,2,FALSE)+1,FALSE))),'détails investissements'!$U$6:$AB$7,2,FALSE),"")&lt;&gt;"",VLOOKUP($A14,'détails investissements'!$A$7:$H$21,1+IF(IF(BU$3-VLOOKUP($A14,'détails investissements'!$A$71:$B$88,2,FALSE)&lt;=0,"",IF(VLOOKUP($A14,'détails investissements'!$A$26:$DE$43,BU$3-VLOOKUP($A14,'détails investissements'!$A$71:$B$88,2,FALSE)+1,FALSE)="","",VLOOKUP($A14,'détails investissements'!$A$26:$DE$43,BU$3-VLOOKUP($A14,'détails investissements'!$A$71:$B$88,2,FALSE)+1,FALSE)))&lt;&gt;"",HLOOKUP(IF(BU$3-VLOOKUP($A14,'détails investissements'!$A$71:$B$88,2,FALSE)&lt;=0,"",IF(VLOOKUP($A14,'détails investissements'!$A$26:$DE$43,BU$3-VLOOKUP($A14,'détails investissements'!$A$71:$B$88,2,FALSE)+1,FALSE)="","",VLOOKUP($A14,'détails investissements'!$A$26:$DE$43,BU$3-VLOOKUP($A14,'détails investissements'!$A$71:$B$88,2,FALSE)+1,FALSE))),'détails investissements'!$U$6:$AB$7,2,FALSE),""),FALSE),"")</f>
        <v/>
      </c>
      <c r="BV14" s="45" t="str">
        <f>IF(IF(IF(BV$3-VLOOKUP($A14,'détails investissements'!$A$71:$B$88,2,FALSE)&lt;=0,"",IF(VLOOKUP($A14,'détails investissements'!$A$26:$DE$43,BV$3-VLOOKUP($A14,'détails investissements'!$A$71:$B$88,2,FALSE)+1,FALSE)="","",VLOOKUP($A14,'détails investissements'!$A$26:$DE$43,BV$3-VLOOKUP($A14,'détails investissements'!$A$71:$B$88,2,FALSE)+1,FALSE)))&lt;&gt;"",HLOOKUP(IF(BV$3-VLOOKUP($A14,'détails investissements'!$A$71:$B$88,2,FALSE)&lt;=0,"",IF(VLOOKUP($A14,'détails investissements'!$A$26:$DE$43,BV$3-VLOOKUP($A14,'détails investissements'!$A$71:$B$88,2,FALSE)+1,FALSE)="","",VLOOKUP($A14,'détails investissements'!$A$26:$DE$43,BV$3-VLOOKUP($A14,'détails investissements'!$A$71:$B$88,2,FALSE)+1,FALSE))),'détails investissements'!$U$6:$AB$7,2,FALSE),"")&lt;&gt;"",VLOOKUP($A14,'détails investissements'!$A$7:$H$21,1+IF(IF(BV$3-VLOOKUP($A14,'détails investissements'!$A$71:$B$88,2,FALSE)&lt;=0,"",IF(VLOOKUP($A14,'détails investissements'!$A$26:$DE$43,BV$3-VLOOKUP($A14,'détails investissements'!$A$71:$B$88,2,FALSE)+1,FALSE)="","",VLOOKUP($A14,'détails investissements'!$A$26:$DE$43,BV$3-VLOOKUP($A14,'détails investissements'!$A$71:$B$88,2,FALSE)+1,FALSE)))&lt;&gt;"",HLOOKUP(IF(BV$3-VLOOKUP($A14,'détails investissements'!$A$71:$B$88,2,FALSE)&lt;=0,"",IF(VLOOKUP($A14,'détails investissements'!$A$26:$DE$43,BV$3-VLOOKUP($A14,'détails investissements'!$A$71:$B$88,2,FALSE)+1,FALSE)="","",VLOOKUP($A14,'détails investissements'!$A$26:$DE$43,BV$3-VLOOKUP($A14,'détails investissements'!$A$71:$B$88,2,FALSE)+1,FALSE))),'détails investissements'!$U$6:$AB$7,2,FALSE),""),FALSE),"")</f>
        <v/>
      </c>
      <c r="BW14" s="45" t="str">
        <f>IF(IF(IF(BW$3-VLOOKUP($A14,'détails investissements'!$A$71:$B$88,2,FALSE)&lt;=0,"",IF(VLOOKUP($A14,'détails investissements'!$A$26:$DE$43,BW$3-VLOOKUP($A14,'détails investissements'!$A$71:$B$88,2,FALSE)+1,FALSE)="","",VLOOKUP($A14,'détails investissements'!$A$26:$DE$43,BW$3-VLOOKUP($A14,'détails investissements'!$A$71:$B$88,2,FALSE)+1,FALSE)))&lt;&gt;"",HLOOKUP(IF(BW$3-VLOOKUP($A14,'détails investissements'!$A$71:$B$88,2,FALSE)&lt;=0,"",IF(VLOOKUP($A14,'détails investissements'!$A$26:$DE$43,BW$3-VLOOKUP($A14,'détails investissements'!$A$71:$B$88,2,FALSE)+1,FALSE)="","",VLOOKUP($A14,'détails investissements'!$A$26:$DE$43,BW$3-VLOOKUP($A14,'détails investissements'!$A$71:$B$88,2,FALSE)+1,FALSE))),'détails investissements'!$U$6:$AB$7,2,FALSE),"")&lt;&gt;"",VLOOKUP($A14,'détails investissements'!$A$7:$H$21,1+IF(IF(BW$3-VLOOKUP($A14,'détails investissements'!$A$71:$B$88,2,FALSE)&lt;=0,"",IF(VLOOKUP($A14,'détails investissements'!$A$26:$DE$43,BW$3-VLOOKUP($A14,'détails investissements'!$A$71:$B$88,2,FALSE)+1,FALSE)="","",VLOOKUP($A14,'détails investissements'!$A$26:$DE$43,BW$3-VLOOKUP($A14,'détails investissements'!$A$71:$B$88,2,FALSE)+1,FALSE)))&lt;&gt;"",HLOOKUP(IF(BW$3-VLOOKUP($A14,'détails investissements'!$A$71:$B$88,2,FALSE)&lt;=0,"",IF(VLOOKUP($A14,'détails investissements'!$A$26:$DE$43,BW$3-VLOOKUP($A14,'détails investissements'!$A$71:$B$88,2,FALSE)+1,FALSE)="","",VLOOKUP($A14,'détails investissements'!$A$26:$DE$43,BW$3-VLOOKUP($A14,'détails investissements'!$A$71:$B$88,2,FALSE)+1,FALSE))),'détails investissements'!$U$6:$AB$7,2,FALSE),""),FALSE),"")</f>
        <v/>
      </c>
      <c r="BX14" s="45" t="str">
        <f>IF(IF(IF(BX$3-VLOOKUP($A14,'détails investissements'!$A$71:$B$88,2,FALSE)&lt;=0,"",IF(VLOOKUP($A14,'détails investissements'!$A$26:$DE$43,BX$3-VLOOKUP($A14,'détails investissements'!$A$71:$B$88,2,FALSE)+1,FALSE)="","",VLOOKUP($A14,'détails investissements'!$A$26:$DE$43,BX$3-VLOOKUP($A14,'détails investissements'!$A$71:$B$88,2,FALSE)+1,FALSE)))&lt;&gt;"",HLOOKUP(IF(BX$3-VLOOKUP($A14,'détails investissements'!$A$71:$B$88,2,FALSE)&lt;=0,"",IF(VLOOKUP($A14,'détails investissements'!$A$26:$DE$43,BX$3-VLOOKUP($A14,'détails investissements'!$A$71:$B$88,2,FALSE)+1,FALSE)="","",VLOOKUP($A14,'détails investissements'!$A$26:$DE$43,BX$3-VLOOKUP($A14,'détails investissements'!$A$71:$B$88,2,FALSE)+1,FALSE))),'détails investissements'!$U$6:$AB$7,2,FALSE),"")&lt;&gt;"",VLOOKUP($A14,'détails investissements'!$A$7:$H$21,1+IF(IF(BX$3-VLOOKUP($A14,'détails investissements'!$A$71:$B$88,2,FALSE)&lt;=0,"",IF(VLOOKUP($A14,'détails investissements'!$A$26:$DE$43,BX$3-VLOOKUP($A14,'détails investissements'!$A$71:$B$88,2,FALSE)+1,FALSE)="","",VLOOKUP($A14,'détails investissements'!$A$26:$DE$43,BX$3-VLOOKUP($A14,'détails investissements'!$A$71:$B$88,2,FALSE)+1,FALSE)))&lt;&gt;"",HLOOKUP(IF(BX$3-VLOOKUP($A14,'détails investissements'!$A$71:$B$88,2,FALSE)&lt;=0,"",IF(VLOOKUP($A14,'détails investissements'!$A$26:$DE$43,BX$3-VLOOKUP($A14,'détails investissements'!$A$71:$B$88,2,FALSE)+1,FALSE)="","",VLOOKUP($A14,'détails investissements'!$A$26:$DE$43,BX$3-VLOOKUP($A14,'détails investissements'!$A$71:$B$88,2,FALSE)+1,FALSE))),'détails investissements'!$U$6:$AB$7,2,FALSE),""),FALSE),"")</f>
        <v/>
      </c>
      <c r="BY14" s="45" t="str">
        <f>IF(IF(IF(BY$3-VLOOKUP($A14,'détails investissements'!$A$71:$B$88,2,FALSE)&lt;=0,"",IF(VLOOKUP($A14,'détails investissements'!$A$26:$DE$43,BY$3-VLOOKUP($A14,'détails investissements'!$A$71:$B$88,2,FALSE)+1,FALSE)="","",VLOOKUP($A14,'détails investissements'!$A$26:$DE$43,BY$3-VLOOKUP($A14,'détails investissements'!$A$71:$B$88,2,FALSE)+1,FALSE)))&lt;&gt;"",HLOOKUP(IF(BY$3-VLOOKUP($A14,'détails investissements'!$A$71:$B$88,2,FALSE)&lt;=0,"",IF(VLOOKUP($A14,'détails investissements'!$A$26:$DE$43,BY$3-VLOOKUP($A14,'détails investissements'!$A$71:$B$88,2,FALSE)+1,FALSE)="","",VLOOKUP($A14,'détails investissements'!$A$26:$DE$43,BY$3-VLOOKUP($A14,'détails investissements'!$A$71:$B$88,2,FALSE)+1,FALSE))),'détails investissements'!$U$6:$AB$7,2,FALSE),"")&lt;&gt;"",VLOOKUP($A14,'détails investissements'!$A$7:$H$21,1+IF(IF(BY$3-VLOOKUP($A14,'détails investissements'!$A$71:$B$88,2,FALSE)&lt;=0,"",IF(VLOOKUP($A14,'détails investissements'!$A$26:$DE$43,BY$3-VLOOKUP($A14,'détails investissements'!$A$71:$B$88,2,FALSE)+1,FALSE)="","",VLOOKUP($A14,'détails investissements'!$A$26:$DE$43,BY$3-VLOOKUP($A14,'détails investissements'!$A$71:$B$88,2,FALSE)+1,FALSE)))&lt;&gt;"",HLOOKUP(IF(BY$3-VLOOKUP($A14,'détails investissements'!$A$71:$B$88,2,FALSE)&lt;=0,"",IF(VLOOKUP($A14,'détails investissements'!$A$26:$DE$43,BY$3-VLOOKUP($A14,'détails investissements'!$A$71:$B$88,2,FALSE)+1,FALSE)="","",VLOOKUP($A14,'détails investissements'!$A$26:$DE$43,BY$3-VLOOKUP($A14,'détails investissements'!$A$71:$B$88,2,FALSE)+1,FALSE))),'détails investissements'!$U$6:$AB$7,2,FALSE),""),FALSE),"")</f>
        <v/>
      </c>
      <c r="BZ14" s="45" t="str">
        <f>IF(IF(IF(BZ$3-VLOOKUP($A14,'détails investissements'!$A$71:$B$88,2,FALSE)&lt;=0,"",IF(VLOOKUP($A14,'détails investissements'!$A$26:$DE$43,BZ$3-VLOOKUP($A14,'détails investissements'!$A$71:$B$88,2,FALSE)+1,FALSE)="","",VLOOKUP($A14,'détails investissements'!$A$26:$DE$43,BZ$3-VLOOKUP($A14,'détails investissements'!$A$71:$B$88,2,FALSE)+1,FALSE)))&lt;&gt;"",HLOOKUP(IF(BZ$3-VLOOKUP($A14,'détails investissements'!$A$71:$B$88,2,FALSE)&lt;=0,"",IF(VLOOKUP($A14,'détails investissements'!$A$26:$DE$43,BZ$3-VLOOKUP($A14,'détails investissements'!$A$71:$B$88,2,FALSE)+1,FALSE)="","",VLOOKUP($A14,'détails investissements'!$A$26:$DE$43,BZ$3-VLOOKUP($A14,'détails investissements'!$A$71:$B$88,2,FALSE)+1,FALSE))),'détails investissements'!$U$6:$AB$7,2,FALSE),"")&lt;&gt;"",VLOOKUP($A14,'détails investissements'!$A$7:$H$21,1+IF(IF(BZ$3-VLOOKUP($A14,'détails investissements'!$A$71:$B$88,2,FALSE)&lt;=0,"",IF(VLOOKUP($A14,'détails investissements'!$A$26:$DE$43,BZ$3-VLOOKUP($A14,'détails investissements'!$A$71:$B$88,2,FALSE)+1,FALSE)="","",VLOOKUP($A14,'détails investissements'!$A$26:$DE$43,BZ$3-VLOOKUP($A14,'détails investissements'!$A$71:$B$88,2,FALSE)+1,FALSE)))&lt;&gt;"",HLOOKUP(IF(BZ$3-VLOOKUP($A14,'détails investissements'!$A$71:$B$88,2,FALSE)&lt;=0,"",IF(VLOOKUP($A14,'détails investissements'!$A$26:$DE$43,BZ$3-VLOOKUP($A14,'détails investissements'!$A$71:$B$88,2,FALSE)+1,FALSE)="","",VLOOKUP($A14,'détails investissements'!$A$26:$DE$43,BZ$3-VLOOKUP($A14,'détails investissements'!$A$71:$B$88,2,FALSE)+1,FALSE))),'détails investissements'!$U$6:$AB$7,2,FALSE),""),FALSE),"")</f>
        <v/>
      </c>
      <c r="CA14" s="45" t="str">
        <f>IF(IF(IF(CA$3-VLOOKUP($A14,'détails investissements'!$A$71:$B$88,2,FALSE)&lt;=0,"",IF(VLOOKUP($A14,'détails investissements'!$A$26:$DE$43,CA$3-VLOOKUP($A14,'détails investissements'!$A$71:$B$88,2,FALSE)+1,FALSE)="","",VLOOKUP($A14,'détails investissements'!$A$26:$DE$43,CA$3-VLOOKUP($A14,'détails investissements'!$A$71:$B$88,2,FALSE)+1,FALSE)))&lt;&gt;"",HLOOKUP(IF(CA$3-VLOOKUP($A14,'détails investissements'!$A$71:$B$88,2,FALSE)&lt;=0,"",IF(VLOOKUP($A14,'détails investissements'!$A$26:$DE$43,CA$3-VLOOKUP($A14,'détails investissements'!$A$71:$B$88,2,FALSE)+1,FALSE)="","",VLOOKUP($A14,'détails investissements'!$A$26:$DE$43,CA$3-VLOOKUP($A14,'détails investissements'!$A$71:$B$88,2,FALSE)+1,FALSE))),'détails investissements'!$U$6:$AB$7,2,FALSE),"")&lt;&gt;"",VLOOKUP($A14,'détails investissements'!$A$7:$H$21,1+IF(IF(CA$3-VLOOKUP($A14,'détails investissements'!$A$71:$B$88,2,FALSE)&lt;=0,"",IF(VLOOKUP($A14,'détails investissements'!$A$26:$DE$43,CA$3-VLOOKUP($A14,'détails investissements'!$A$71:$B$88,2,FALSE)+1,FALSE)="","",VLOOKUP($A14,'détails investissements'!$A$26:$DE$43,CA$3-VLOOKUP($A14,'détails investissements'!$A$71:$B$88,2,FALSE)+1,FALSE)))&lt;&gt;"",HLOOKUP(IF(CA$3-VLOOKUP($A14,'détails investissements'!$A$71:$B$88,2,FALSE)&lt;=0,"",IF(VLOOKUP($A14,'détails investissements'!$A$26:$DE$43,CA$3-VLOOKUP($A14,'détails investissements'!$A$71:$B$88,2,FALSE)+1,FALSE)="","",VLOOKUP($A14,'détails investissements'!$A$26:$DE$43,CA$3-VLOOKUP($A14,'détails investissements'!$A$71:$B$88,2,FALSE)+1,FALSE))),'détails investissements'!$U$6:$AB$7,2,FALSE),""),FALSE),"")</f>
        <v/>
      </c>
      <c r="CB14" s="45" t="str">
        <f>IF(IF(IF(CB$3-VLOOKUP($A14,'détails investissements'!$A$71:$B$88,2,FALSE)&lt;=0,"",IF(VLOOKUP($A14,'détails investissements'!$A$26:$DE$43,CB$3-VLOOKUP($A14,'détails investissements'!$A$71:$B$88,2,FALSE)+1,FALSE)="","",VLOOKUP($A14,'détails investissements'!$A$26:$DE$43,CB$3-VLOOKUP($A14,'détails investissements'!$A$71:$B$88,2,FALSE)+1,FALSE)))&lt;&gt;"",HLOOKUP(IF(CB$3-VLOOKUP($A14,'détails investissements'!$A$71:$B$88,2,FALSE)&lt;=0,"",IF(VLOOKUP($A14,'détails investissements'!$A$26:$DE$43,CB$3-VLOOKUP($A14,'détails investissements'!$A$71:$B$88,2,FALSE)+1,FALSE)="","",VLOOKUP($A14,'détails investissements'!$A$26:$DE$43,CB$3-VLOOKUP($A14,'détails investissements'!$A$71:$B$88,2,FALSE)+1,FALSE))),'détails investissements'!$U$6:$AB$7,2,FALSE),"")&lt;&gt;"",VLOOKUP($A14,'détails investissements'!$A$7:$H$21,1+IF(IF(CB$3-VLOOKUP($A14,'détails investissements'!$A$71:$B$88,2,FALSE)&lt;=0,"",IF(VLOOKUP($A14,'détails investissements'!$A$26:$DE$43,CB$3-VLOOKUP($A14,'détails investissements'!$A$71:$B$88,2,FALSE)+1,FALSE)="","",VLOOKUP($A14,'détails investissements'!$A$26:$DE$43,CB$3-VLOOKUP($A14,'détails investissements'!$A$71:$B$88,2,FALSE)+1,FALSE)))&lt;&gt;"",HLOOKUP(IF(CB$3-VLOOKUP($A14,'détails investissements'!$A$71:$B$88,2,FALSE)&lt;=0,"",IF(VLOOKUP($A14,'détails investissements'!$A$26:$DE$43,CB$3-VLOOKUP($A14,'détails investissements'!$A$71:$B$88,2,FALSE)+1,FALSE)="","",VLOOKUP($A14,'détails investissements'!$A$26:$DE$43,CB$3-VLOOKUP($A14,'détails investissements'!$A$71:$B$88,2,FALSE)+1,FALSE))),'détails investissements'!$U$6:$AB$7,2,FALSE),""),FALSE),"")</f>
        <v/>
      </c>
      <c r="CC14" s="45" t="str">
        <f>IF(IF(IF(CC$3-VLOOKUP($A14,'détails investissements'!$A$71:$B$88,2,FALSE)&lt;=0,"",IF(VLOOKUP($A14,'détails investissements'!$A$26:$DE$43,CC$3-VLOOKUP($A14,'détails investissements'!$A$71:$B$88,2,FALSE)+1,FALSE)="","",VLOOKUP($A14,'détails investissements'!$A$26:$DE$43,CC$3-VLOOKUP($A14,'détails investissements'!$A$71:$B$88,2,FALSE)+1,FALSE)))&lt;&gt;"",HLOOKUP(IF(CC$3-VLOOKUP($A14,'détails investissements'!$A$71:$B$88,2,FALSE)&lt;=0,"",IF(VLOOKUP($A14,'détails investissements'!$A$26:$DE$43,CC$3-VLOOKUP($A14,'détails investissements'!$A$71:$B$88,2,FALSE)+1,FALSE)="","",VLOOKUP($A14,'détails investissements'!$A$26:$DE$43,CC$3-VLOOKUP($A14,'détails investissements'!$A$71:$B$88,2,FALSE)+1,FALSE))),'détails investissements'!$U$6:$AB$7,2,FALSE),"")&lt;&gt;"",VLOOKUP($A14,'détails investissements'!$A$7:$H$21,1+IF(IF(CC$3-VLOOKUP($A14,'détails investissements'!$A$71:$B$88,2,FALSE)&lt;=0,"",IF(VLOOKUP($A14,'détails investissements'!$A$26:$DE$43,CC$3-VLOOKUP($A14,'détails investissements'!$A$71:$B$88,2,FALSE)+1,FALSE)="","",VLOOKUP($A14,'détails investissements'!$A$26:$DE$43,CC$3-VLOOKUP($A14,'détails investissements'!$A$71:$B$88,2,FALSE)+1,FALSE)))&lt;&gt;"",HLOOKUP(IF(CC$3-VLOOKUP($A14,'détails investissements'!$A$71:$B$88,2,FALSE)&lt;=0,"",IF(VLOOKUP($A14,'détails investissements'!$A$26:$DE$43,CC$3-VLOOKUP($A14,'détails investissements'!$A$71:$B$88,2,FALSE)+1,FALSE)="","",VLOOKUP($A14,'détails investissements'!$A$26:$DE$43,CC$3-VLOOKUP($A14,'détails investissements'!$A$71:$B$88,2,FALSE)+1,FALSE))),'détails investissements'!$U$6:$AB$7,2,FALSE),""),FALSE),"")</f>
        <v/>
      </c>
      <c r="CD14" s="45" t="str">
        <f>IF(IF(IF(CD$3-VLOOKUP($A14,'détails investissements'!$A$71:$B$88,2,FALSE)&lt;=0,"",IF(VLOOKUP($A14,'détails investissements'!$A$26:$DE$43,CD$3-VLOOKUP($A14,'détails investissements'!$A$71:$B$88,2,FALSE)+1,FALSE)="","",VLOOKUP($A14,'détails investissements'!$A$26:$DE$43,CD$3-VLOOKUP($A14,'détails investissements'!$A$71:$B$88,2,FALSE)+1,FALSE)))&lt;&gt;"",HLOOKUP(IF(CD$3-VLOOKUP($A14,'détails investissements'!$A$71:$B$88,2,FALSE)&lt;=0,"",IF(VLOOKUP($A14,'détails investissements'!$A$26:$DE$43,CD$3-VLOOKUP($A14,'détails investissements'!$A$71:$B$88,2,FALSE)+1,FALSE)="","",VLOOKUP($A14,'détails investissements'!$A$26:$DE$43,CD$3-VLOOKUP($A14,'détails investissements'!$A$71:$B$88,2,FALSE)+1,FALSE))),'détails investissements'!$U$6:$AB$7,2,FALSE),"")&lt;&gt;"",VLOOKUP($A14,'détails investissements'!$A$7:$H$21,1+IF(IF(CD$3-VLOOKUP($A14,'détails investissements'!$A$71:$B$88,2,FALSE)&lt;=0,"",IF(VLOOKUP($A14,'détails investissements'!$A$26:$DE$43,CD$3-VLOOKUP($A14,'détails investissements'!$A$71:$B$88,2,FALSE)+1,FALSE)="","",VLOOKUP($A14,'détails investissements'!$A$26:$DE$43,CD$3-VLOOKUP($A14,'détails investissements'!$A$71:$B$88,2,FALSE)+1,FALSE)))&lt;&gt;"",HLOOKUP(IF(CD$3-VLOOKUP($A14,'détails investissements'!$A$71:$B$88,2,FALSE)&lt;=0,"",IF(VLOOKUP($A14,'détails investissements'!$A$26:$DE$43,CD$3-VLOOKUP($A14,'détails investissements'!$A$71:$B$88,2,FALSE)+1,FALSE)="","",VLOOKUP($A14,'détails investissements'!$A$26:$DE$43,CD$3-VLOOKUP($A14,'détails investissements'!$A$71:$B$88,2,FALSE)+1,FALSE))),'détails investissements'!$U$6:$AB$7,2,FALSE),""),FALSE),"")</f>
        <v/>
      </c>
      <c r="CE14" s="45" t="str">
        <f>IF(IF(IF(CE$3-VLOOKUP($A14,'détails investissements'!$A$71:$B$88,2,FALSE)&lt;=0,"",IF(VLOOKUP($A14,'détails investissements'!$A$26:$DE$43,CE$3-VLOOKUP($A14,'détails investissements'!$A$71:$B$88,2,FALSE)+1,FALSE)="","",VLOOKUP($A14,'détails investissements'!$A$26:$DE$43,CE$3-VLOOKUP($A14,'détails investissements'!$A$71:$B$88,2,FALSE)+1,FALSE)))&lt;&gt;"",HLOOKUP(IF(CE$3-VLOOKUP($A14,'détails investissements'!$A$71:$B$88,2,FALSE)&lt;=0,"",IF(VLOOKUP($A14,'détails investissements'!$A$26:$DE$43,CE$3-VLOOKUP($A14,'détails investissements'!$A$71:$B$88,2,FALSE)+1,FALSE)="","",VLOOKUP($A14,'détails investissements'!$A$26:$DE$43,CE$3-VLOOKUP($A14,'détails investissements'!$A$71:$B$88,2,FALSE)+1,FALSE))),'détails investissements'!$U$6:$AB$7,2,FALSE),"")&lt;&gt;"",VLOOKUP($A14,'détails investissements'!$A$7:$H$21,1+IF(IF(CE$3-VLOOKUP($A14,'détails investissements'!$A$71:$B$88,2,FALSE)&lt;=0,"",IF(VLOOKUP($A14,'détails investissements'!$A$26:$DE$43,CE$3-VLOOKUP($A14,'détails investissements'!$A$71:$B$88,2,FALSE)+1,FALSE)="","",VLOOKUP($A14,'détails investissements'!$A$26:$DE$43,CE$3-VLOOKUP($A14,'détails investissements'!$A$71:$B$88,2,FALSE)+1,FALSE)))&lt;&gt;"",HLOOKUP(IF(CE$3-VLOOKUP($A14,'détails investissements'!$A$71:$B$88,2,FALSE)&lt;=0,"",IF(VLOOKUP($A14,'détails investissements'!$A$26:$DE$43,CE$3-VLOOKUP($A14,'détails investissements'!$A$71:$B$88,2,FALSE)+1,FALSE)="","",VLOOKUP($A14,'détails investissements'!$A$26:$DE$43,CE$3-VLOOKUP($A14,'détails investissements'!$A$71:$B$88,2,FALSE)+1,FALSE))),'détails investissements'!$U$6:$AB$7,2,FALSE),""),FALSE),"")</f>
        <v/>
      </c>
      <c r="CF14" s="45" t="str">
        <f>IF(IF(IF(CF$3-VLOOKUP($A14,'détails investissements'!$A$71:$B$88,2,FALSE)&lt;=0,"",IF(VLOOKUP($A14,'détails investissements'!$A$26:$DE$43,CF$3-VLOOKUP($A14,'détails investissements'!$A$71:$B$88,2,FALSE)+1,FALSE)="","",VLOOKUP($A14,'détails investissements'!$A$26:$DE$43,CF$3-VLOOKUP($A14,'détails investissements'!$A$71:$B$88,2,FALSE)+1,FALSE)))&lt;&gt;"",HLOOKUP(IF(CF$3-VLOOKUP($A14,'détails investissements'!$A$71:$B$88,2,FALSE)&lt;=0,"",IF(VLOOKUP($A14,'détails investissements'!$A$26:$DE$43,CF$3-VLOOKUP($A14,'détails investissements'!$A$71:$B$88,2,FALSE)+1,FALSE)="","",VLOOKUP($A14,'détails investissements'!$A$26:$DE$43,CF$3-VLOOKUP($A14,'détails investissements'!$A$71:$B$88,2,FALSE)+1,FALSE))),'détails investissements'!$U$6:$AB$7,2,FALSE),"")&lt;&gt;"",VLOOKUP($A14,'détails investissements'!$A$7:$H$21,1+IF(IF(CF$3-VLOOKUP($A14,'détails investissements'!$A$71:$B$88,2,FALSE)&lt;=0,"",IF(VLOOKUP($A14,'détails investissements'!$A$26:$DE$43,CF$3-VLOOKUP($A14,'détails investissements'!$A$71:$B$88,2,FALSE)+1,FALSE)="","",VLOOKUP($A14,'détails investissements'!$A$26:$DE$43,CF$3-VLOOKUP($A14,'détails investissements'!$A$71:$B$88,2,FALSE)+1,FALSE)))&lt;&gt;"",HLOOKUP(IF(CF$3-VLOOKUP($A14,'détails investissements'!$A$71:$B$88,2,FALSE)&lt;=0,"",IF(VLOOKUP($A14,'détails investissements'!$A$26:$DE$43,CF$3-VLOOKUP($A14,'détails investissements'!$A$71:$B$88,2,FALSE)+1,FALSE)="","",VLOOKUP($A14,'détails investissements'!$A$26:$DE$43,CF$3-VLOOKUP($A14,'détails investissements'!$A$71:$B$88,2,FALSE)+1,FALSE))),'détails investissements'!$U$6:$AB$7,2,FALSE),""),FALSE),"")</f>
        <v/>
      </c>
      <c r="CG14" s="45" t="str">
        <f>IF(IF(IF(CG$3-VLOOKUP($A14,'détails investissements'!$A$71:$B$88,2,FALSE)&lt;=0,"",IF(VLOOKUP($A14,'détails investissements'!$A$26:$DE$43,CG$3-VLOOKUP($A14,'détails investissements'!$A$71:$B$88,2,FALSE)+1,FALSE)="","",VLOOKUP($A14,'détails investissements'!$A$26:$DE$43,CG$3-VLOOKUP($A14,'détails investissements'!$A$71:$B$88,2,FALSE)+1,FALSE)))&lt;&gt;"",HLOOKUP(IF(CG$3-VLOOKUP($A14,'détails investissements'!$A$71:$B$88,2,FALSE)&lt;=0,"",IF(VLOOKUP($A14,'détails investissements'!$A$26:$DE$43,CG$3-VLOOKUP($A14,'détails investissements'!$A$71:$B$88,2,FALSE)+1,FALSE)="","",VLOOKUP($A14,'détails investissements'!$A$26:$DE$43,CG$3-VLOOKUP($A14,'détails investissements'!$A$71:$B$88,2,FALSE)+1,FALSE))),'détails investissements'!$U$6:$AB$7,2,FALSE),"")&lt;&gt;"",VLOOKUP($A14,'détails investissements'!$A$7:$H$21,1+IF(IF(CG$3-VLOOKUP($A14,'détails investissements'!$A$71:$B$88,2,FALSE)&lt;=0,"",IF(VLOOKUP($A14,'détails investissements'!$A$26:$DE$43,CG$3-VLOOKUP($A14,'détails investissements'!$A$71:$B$88,2,FALSE)+1,FALSE)="","",VLOOKUP($A14,'détails investissements'!$A$26:$DE$43,CG$3-VLOOKUP($A14,'détails investissements'!$A$71:$B$88,2,FALSE)+1,FALSE)))&lt;&gt;"",HLOOKUP(IF(CG$3-VLOOKUP($A14,'détails investissements'!$A$71:$B$88,2,FALSE)&lt;=0,"",IF(VLOOKUP($A14,'détails investissements'!$A$26:$DE$43,CG$3-VLOOKUP($A14,'détails investissements'!$A$71:$B$88,2,FALSE)+1,FALSE)="","",VLOOKUP($A14,'détails investissements'!$A$26:$DE$43,CG$3-VLOOKUP($A14,'détails investissements'!$A$71:$B$88,2,FALSE)+1,FALSE))),'détails investissements'!$U$6:$AB$7,2,FALSE),""),FALSE),"")</f>
        <v/>
      </c>
      <c r="CH14" s="45" t="str">
        <f>IF(IF(IF(CH$3-VLOOKUP($A14,'détails investissements'!$A$71:$B$88,2,FALSE)&lt;=0,"",IF(VLOOKUP($A14,'détails investissements'!$A$26:$DE$43,CH$3-VLOOKUP($A14,'détails investissements'!$A$71:$B$88,2,FALSE)+1,FALSE)="","",VLOOKUP($A14,'détails investissements'!$A$26:$DE$43,CH$3-VLOOKUP($A14,'détails investissements'!$A$71:$B$88,2,FALSE)+1,FALSE)))&lt;&gt;"",HLOOKUP(IF(CH$3-VLOOKUP($A14,'détails investissements'!$A$71:$B$88,2,FALSE)&lt;=0,"",IF(VLOOKUP($A14,'détails investissements'!$A$26:$DE$43,CH$3-VLOOKUP($A14,'détails investissements'!$A$71:$B$88,2,FALSE)+1,FALSE)="","",VLOOKUP($A14,'détails investissements'!$A$26:$DE$43,CH$3-VLOOKUP($A14,'détails investissements'!$A$71:$B$88,2,FALSE)+1,FALSE))),'détails investissements'!$U$6:$AB$7,2,FALSE),"")&lt;&gt;"",VLOOKUP($A14,'détails investissements'!$A$7:$H$21,1+IF(IF(CH$3-VLOOKUP($A14,'détails investissements'!$A$71:$B$88,2,FALSE)&lt;=0,"",IF(VLOOKUP($A14,'détails investissements'!$A$26:$DE$43,CH$3-VLOOKUP($A14,'détails investissements'!$A$71:$B$88,2,FALSE)+1,FALSE)="","",VLOOKUP($A14,'détails investissements'!$A$26:$DE$43,CH$3-VLOOKUP($A14,'détails investissements'!$A$71:$B$88,2,FALSE)+1,FALSE)))&lt;&gt;"",HLOOKUP(IF(CH$3-VLOOKUP($A14,'détails investissements'!$A$71:$B$88,2,FALSE)&lt;=0,"",IF(VLOOKUP($A14,'détails investissements'!$A$26:$DE$43,CH$3-VLOOKUP($A14,'détails investissements'!$A$71:$B$88,2,FALSE)+1,FALSE)="","",VLOOKUP($A14,'détails investissements'!$A$26:$DE$43,CH$3-VLOOKUP($A14,'détails investissements'!$A$71:$B$88,2,FALSE)+1,FALSE))),'détails investissements'!$U$6:$AB$7,2,FALSE),""),FALSE),"")</f>
        <v/>
      </c>
      <c r="CI14" s="45" t="str">
        <f>IF(IF(IF(CI$3-VLOOKUP($A14,'détails investissements'!$A$71:$B$88,2,FALSE)&lt;=0,"",IF(VLOOKUP($A14,'détails investissements'!$A$26:$DE$43,CI$3-VLOOKUP($A14,'détails investissements'!$A$71:$B$88,2,FALSE)+1,FALSE)="","",VLOOKUP($A14,'détails investissements'!$A$26:$DE$43,CI$3-VLOOKUP($A14,'détails investissements'!$A$71:$B$88,2,FALSE)+1,FALSE)))&lt;&gt;"",HLOOKUP(IF(CI$3-VLOOKUP($A14,'détails investissements'!$A$71:$B$88,2,FALSE)&lt;=0,"",IF(VLOOKUP($A14,'détails investissements'!$A$26:$DE$43,CI$3-VLOOKUP($A14,'détails investissements'!$A$71:$B$88,2,FALSE)+1,FALSE)="","",VLOOKUP($A14,'détails investissements'!$A$26:$DE$43,CI$3-VLOOKUP($A14,'détails investissements'!$A$71:$B$88,2,FALSE)+1,FALSE))),'détails investissements'!$U$6:$AB$7,2,FALSE),"")&lt;&gt;"",VLOOKUP($A14,'détails investissements'!$A$7:$H$21,1+IF(IF(CI$3-VLOOKUP($A14,'détails investissements'!$A$71:$B$88,2,FALSE)&lt;=0,"",IF(VLOOKUP($A14,'détails investissements'!$A$26:$DE$43,CI$3-VLOOKUP($A14,'détails investissements'!$A$71:$B$88,2,FALSE)+1,FALSE)="","",VLOOKUP($A14,'détails investissements'!$A$26:$DE$43,CI$3-VLOOKUP($A14,'détails investissements'!$A$71:$B$88,2,FALSE)+1,FALSE)))&lt;&gt;"",HLOOKUP(IF(CI$3-VLOOKUP($A14,'détails investissements'!$A$71:$B$88,2,FALSE)&lt;=0,"",IF(VLOOKUP($A14,'détails investissements'!$A$26:$DE$43,CI$3-VLOOKUP($A14,'détails investissements'!$A$71:$B$88,2,FALSE)+1,FALSE)="","",VLOOKUP($A14,'détails investissements'!$A$26:$DE$43,CI$3-VLOOKUP($A14,'détails investissements'!$A$71:$B$88,2,FALSE)+1,FALSE))),'détails investissements'!$U$6:$AB$7,2,FALSE),""),FALSE),"")</f>
        <v/>
      </c>
      <c r="CJ14" s="45" t="str">
        <f>IF(IF(IF(CJ$3-VLOOKUP($A14,'détails investissements'!$A$71:$B$88,2,FALSE)&lt;=0,"",IF(VLOOKUP($A14,'détails investissements'!$A$26:$DE$43,CJ$3-VLOOKUP($A14,'détails investissements'!$A$71:$B$88,2,FALSE)+1,FALSE)="","",VLOOKUP($A14,'détails investissements'!$A$26:$DE$43,CJ$3-VLOOKUP($A14,'détails investissements'!$A$71:$B$88,2,FALSE)+1,FALSE)))&lt;&gt;"",HLOOKUP(IF(CJ$3-VLOOKUP($A14,'détails investissements'!$A$71:$B$88,2,FALSE)&lt;=0,"",IF(VLOOKUP($A14,'détails investissements'!$A$26:$DE$43,CJ$3-VLOOKUP($A14,'détails investissements'!$A$71:$B$88,2,FALSE)+1,FALSE)="","",VLOOKUP($A14,'détails investissements'!$A$26:$DE$43,CJ$3-VLOOKUP($A14,'détails investissements'!$A$71:$B$88,2,FALSE)+1,FALSE))),'détails investissements'!$U$6:$AB$7,2,FALSE),"")&lt;&gt;"",VLOOKUP($A14,'détails investissements'!$A$7:$H$21,1+IF(IF(CJ$3-VLOOKUP($A14,'détails investissements'!$A$71:$B$88,2,FALSE)&lt;=0,"",IF(VLOOKUP($A14,'détails investissements'!$A$26:$DE$43,CJ$3-VLOOKUP($A14,'détails investissements'!$A$71:$B$88,2,FALSE)+1,FALSE)="","",VLOOKUP($A14,'détails investissements'!$A$26:$DE$43,CJ$3-VLOOKUP($A14,'détails investissements'!$A$71:$B$88,2,FALSE)+1,FALSE)))&lt;&gt;"",HLOOKUP(IF(CJ$3-VLOOKUP($A14,'détails investissements'!$A$71:$B$88,2,FALSE)&lt;=0,"",IF(VLOOKUP($A14,'détails investissements'!$A$26:$DE$43,CJ$3-VLOOKUP($A14,'détails investissements'!$A$71:$B$88,2,FALSE)+1,FALSE)="","",VLOOKUP($A14,'détails investissements'!$A$26:$DE$43,CJ$3-VLOOKUP($A14,'détails investissements'!$A$71:$B$88,2,FALSE)+1,FALSE))),'détails investissements'!$U$6:$AB$7,2,FALSE),""),FALSE),"")</f>
        <v/>
      </c>
      <c r="CK14" s="45" t="str">
        <f>IF(IF(IF(CK$3-VLOOKUP($A14,'détails investissements'!$A$71:$B$88,2,FALSE)&lt;=0,"",IF(VLOOKUP($A14,'détails investissements'!$A$26:$DE$43,CK$3-VLOOKUP($A14,'détails investissements'!$A$71:$B$88,2,FALSE)+1,FALSE)="","",VLOOKUP($A14,'détails investissements'!$A$26:$DE$43,CK$3-VLOOKUP($A14,'détails investissements'!$A$71:$B$88,2,FALSE)+1,FALSE)))&lt;&gt;"",HLOOKUP(IF(CK$3-VLOOKUP($A14,'détails investissements'!$A$71:$B$88,2,FALSE)&lt;=0,"",IF(VLOOKUP($A14,'détails investissements'!$A$26:$DE$43,CK$3-VLOOKUP($A14,'détails investissements'!$A$71:$B$88,2,FALSE)+1,FALSE)="","",VLOOKUP($A14,'détails investissements'!$A$26:$DE$43,CK$3-VLOOKUP($A14,'détails investissements'!$A$71:$B$88,2,FALSE)+1,FALSE))),'détails investissements'!$U$6:$AB$7,2,FALSE),"")&lt;&gt;"",VLOOKUP($A14,'détails investissements'!$A$7:$H$21,1+IF(IF(CK$3-VLOOKUP($A14,'détails investissements'!$A$71:$B$88,2,FALSE)&lt;=0,"",IF(VLOOKUP($A14,'détails investissements'!$A$26:$DE$43,CK$3-VLOOKUP($A14,'détails investissements'!$A$71:$B$88,2,FALSE)+1,FALSE)="","",VLOOKUP($A14,'détails investissements'!$A$26:$DE$43,CK$3-VLOOKUP($A14,'détails investissements'!$A$71:$B$88,2,FALSE)+1,FALSE)))&lt;&gt;"",HLOOKUP(IF(CK$3-VLOOKUP($A14,'détails investissements'!$A$71:$B$88,2,FALSE)&lt;=0,"",IF(VLOOKUP($A14,'détails investissements'!$A$26:$DE$43,CK$3-VLOOKUP($A14,'détails investissements'!$A$71:$B$88,2,FALSE)+1,FALSE)="","",VLOOKUP($A14,'détails investissements'!$A$26:$DE$43,CK$3-VLOOKUP($A14,'détails investissements'!$A$71:$B$88,2,FALSE)+1,FALSE))),'détails investissements'!$U$6:$AB$7,2,FALSE),""),FALSE),"")</f>
        <v/>
      </c>
      <c r="CL14" s="45" t="str">
        <f>IF(IF(IF(CL$3-VLOOKUP($A14,'détails investissements'!$A$71:$B$88,2,FALSE)&lt;=0,"",IF(VLOOKUP($A14,'détails investissements'!$A$26:$DE$43,CL$3-VLOOKUP($A14,'détails investissements'!$A$71:$B$88,2,FALSE)+1,FALSE)="","",VLOOKUP($A14,'détails investissements'!$A$26:$DE$43,CL$3-VLOOKUP($A14,'détails investissements'!$A$71:$B$88,2,FALSE)+1,FALSE)))&lt;&gt;"",HLOOKUP(IF(CL$3-VLOOKUP($A14,'détails investissements'!$A$71:$B$88,2,FALSE)&lt;=0,"",IF(VLOOKUP($A14,'détails investissements'!$A$26:$DE$43,CL$3-VLOOKUP($A14,'détails investissements'!$A$71:$B$88,2,FALSE)+1,FALSE)="","",VLOOKUP($A14,'détails investissements'!$A$26:$DE$43,CL$3-VLOOKUP($A14,'détails investissements'!$A$71:$B$88,2,FALSE)+1,FALSE))),'détails investissements'!$U$6:$AB$7,2,FALSE),"")&lt;&gt;"",VLOOKUP($A14,'détails investissements'!$A$7:$H$21,1+IF(IF(CL$3-VLOOKUP($A14,'détails investissements'!$A$71:$B$88,2,FALSE)&lt;=0,"",IF(VLOOKUP($A14,'détails investissements'!$A$26:$DE$43,CL$3-VLOOKUP($A14,'détails investissements'!$A$71:$B$88,2,FALSE)+1,FALSE)="","",VLOOKUP($A14,'détails investissements'!$A$26:$DE$43,CL$3-VLOOKUP($A14,'détails investissements'!$A$71:$B$88,2,FALSE)+1,FALSE)))&lt;&gt;"",HLOOKUP(IF(CL$3-VLOOKUP($A14,'détails investissements'!$A$71:$B$88,2,FALSE)&lt;=0,"",IF(VLOOKUP($A14,'détails investissements'!$A$26:$DE$43,CL$3-VLOOKUP($A14,'détails investissements'!$A$71:$B$88,2,FALSE)+1,FALSE)="","",VLOOKUP($A14,'détails investissements'!$A$26:$DE$43,CL$3-VLOOKUP($A14,'détails investissements'!$A$71:$B$88,2,FALSE)+1,FALSE))),'détails investissements'!$U$6:$AB$7,2,FALSE),""),FALSE),"")</f>
        <v/>
      </c>
      <c r="CM14" s="45" t="str">
        <f>IF(IF(IF(CM$3-VLOOKUP($A14,'détails investissements'!$A$71:$B$88,2,FALSE)&lt;=0,"",IF(VLOOKUP($A14,'détails investissements'!$A$26:$DE$43,CM$3-VLOOKUP($A14,'détails investissements'!$A$71:$B$88,2,FALSE)+1,FALSE)="","",VLOOKUP($A14,'détails investissements'!$A$26:$DE$43,CM$3-VLOOKUP($A14,'détails investissements'!$A$71:$B$88,2,FALSE)+1,FALSE)))&lt;&gt;"",HLOOKUP(IF(CM$3-VLOOKUP($A14,'détails investissements'!$A$71:$B$88,2,FALSE)&lt;=0,"",IF(VLOOKUP($A14,'détails investissements'!$A$26:$DE$43,CM$3-VLOOKUP($A14,'détails investissements'!$A$71:$B$88,2,FALSE)+1,FALSE)="","",VLOOKUP($A14,'détails investissements'!$A$26:$DE$43,CM$3-VLOOKUP($A14,'détails investissements'!$A$71:$B$88,2,FALSE)+1,FALSE))),'détails investissements'!$U$6:$AB$7,2,FALSE),"")&lt;&gt;"",VLOOKUP($A14,'détails investissements'!$A$7:$H$21,1+IF(IF(CM$3-VLOOKUP($A14,'détails investissements'!$A$71:$B$88,2,FALSE)&lt;=0,"",IF(VLOOKUP($A14,'détails investissements'!$A$26:$DE$43,CM$3-VLOOKUP($A14,'détails investissements'!$A$71:$B$88,2,FALSE)+1,FALSE)="","",VLOOKUP($A14,'détails investissements'!$A$26:$DE$43,CM$3-VLOOKUP($A14,'détails investissements'!$A$71:$B$88,2,FALSE)+1,FALSE)))&lt;&gt;"",HLOOKUP(IF(CM$3-VLOOKUP($A14,'détails investissements'!$A$71:$B$88,2,FALSE)&lt;=0,"",IF(VLOOKUP($A14,'détails investissements'!$A$26:$DE$43,CM$3-VLOOKUP($A14,'détails investissements'!$A$71:$B$88,2,FALSE)+1,FALSE)="","",VLOOKUP($A14,'détails investissements'!$A$26:$DE$43,CM$3-VLOOKUP($A14,'détails investissements'!$A$71:$B$88,2,FALSE)+1,FALSE))),'détails investissements'!$U$6:$AB$7,2,FALSE),""),FALSE),"")</f>
        <v/>
      </c>
      <c r="CN14" s="45" t="str">
        <f>IF(IF(IF(CN$3-VLOOKUP($A14,'détails investissements'!$A$71:$B$88,2,FALSE)&lt;=0,"",IF(VLOOKUP($A14,'détails investissements'!$A$26:$DE$43,CN$3-VLOOKUP($A14,'détails investissements'!$A$71:$B$88,2,FALSE)+1,FALSE)="","",VLOOKUP($A14,'détails investissements'!$A$26:$DE$43,CN$3-VLOOKUP($A14,'détails investissements'!$A$71:$B$88,2,FALSE)+1,FALSE)))&lt;&gt;"",HLOOKUP(IF(CN$3-VLOOKUP($A14,'détails investissements'!$A$71:$B$88,2,FALSE)&lt;=0,"",IF(VLOOKUP($A14,'détails investissements'!$A$26:$DE$43,CN$3-VLOOKUP($A14,'détails investissements'!$A$71:$B$88,2,FALSE)+1,FALSE)="","",VLOOKUP($A14,'détails investissements'!$A$26:$DE$43,CN$3-VLOOKUP($A14,'détails investissements'!$A$71:$B$88,2,FALSE)+1,FALSE))),'détails investissements'!$U$6:$AB$7,2,FALSE),"")&lt;&gt;"",VLOOKUP($A14,'détails investissements'!$A$7:$H$21,1+IF(IF(CN$3-VLOOKUP($A14,'détails investissements'!$A$71:$B$88,2,FALSE)&lt;=0,"",IF(VLOOKUP($A14,'détails investissements'!$A$26:$DE$43,CN$3-VLOOKUP($A14,'détails investissements'!$A$71:$B$88,2,FALSE)+1,FALSE)="","",VLOOKUP($A14,'détails investissements'!$A$26:$DE$43,CN$3-VLOOKUP($A14,'détails investissements'!$A$71:$B$88,2,FALSE)+1,FALSE)))&lt;&gt;"",HLOOKUP(IF(CN$3-VLOOKUP($A14,'détails investissements'!$A$71:$B$88,2,FALSE)&lt;=0,"",IF(VLOOKUP($A14,'détails investissements'!$A$26:$DE$43,CN$3-VLOOKUP($A14,'détails investissements'!$A$71:$B$88,2,FALSE)+1,FALSE)="","",VLOOKUP($A14,'détails investissements'!$A$26:$DE$43,CN$3-VLOOKUP($A14,'détails investissements'!$A$71:$B$88,2,FALSE)+1,FALSE))),'détails investissements'!$U$6:$AB$7,2,FALSE),""),FALSE),"")</f>
        <v/>
      </c>
      <c r="CO14" s="45" t="str">
        <f>IF(IF(IF(CO$3-VLOOKUP($A14,'détails investissements'!$A$71:$B$88,2,FALSE)&lt;=0,"",IF(VLOOKUP($A14,'détails investissements'!$A$26:$DE$43,CO$3-VLOOKUP($A14,'détails investissements'!$A$71:$B$88,2,FALSE)+1,FALSE)="","",VLOOKUP($A14,'détails investissements'!$A$26:$DE$43,CO$3-VLOOKUP($A14,'détails investissements'!$A$71:$B$88,2,FALSE)+1,FALSE)))&lt;&gt;"",HLOOKUP(IF(CO$3-VLOOKUP($A14,'détails investissements'!$A$71:$B$88,2,FALSE)&lt;=0,"",IF(VLOOKUP($A14,'détails investissements'!$A$26:$DE$43,CO$3-VLOOKUP($A14,'détails investissements'!$A$71:$B$88,2,FALSE)+1,FALSE)="","",VLOOKUP($A14,'détails investissements'!$A$26:$DE$43,CO$3-VLOOKUP($A14,'détails investissements'!$A$71:$B$88,2,FALSE)+1,FALSE))),'détails investissements'!$U$6:$AB$7,2,FALSE),"")&lt;&gt;"",VLOOKUP($A14,'détails investissements'!$A$7:$H$21,1+IF(IF(CO$3-VLOOKUP($A14,'détails investissements'!$A$71:$B$88,2,FALSE)&lt;=0,"",IF(VLOOKUP($A14,'détails investissements'!$A$26:$DE$43,CO$3-VLOOKUP($A14,'détails investissements'!$A$71:$B$88,2,FALSE)+1,FALSE)="","",VLOOKUP($A14,'détails investissements'!$A$26:$DE$43,CO$3-VLOOKUP($A14,'détails investissements'!$A$71:$B$88,2,FALSE)+1,FALSE)))&lt;&gt;"",HLOOKUP(IF(CO$3-VLOOKUP($A14,'détails investissements'!$A$71:$B$88,2,FALSE)&lt;=0,"",IF(VLOOKUP($A14,'détails investissements'!$A$26:$DE$43,CO$3-VLOOKUP($A14,'détails investissements'!$A$71:$B$88,2,FALSE)+1,FALSE)="","",VLOOKUP($A14,'détails investissements'!$A$26:$DE$43,CO$3-VLOOKUP($A14,'détails investissements'!$A$71:$B$88,2,FALSE)+1,FALSE))),'détails investissements'!$U$6:$AB$7,2,FALSE),""),FALSE),"")</f>
        <v/>
      </c>
      <c r="CP14" s="45" t="str">
        <f>IF(IF(IF(CP$3-VLOOKUP($A14,'détails investissements'!$A$71:$B$88,2,FALSE)&lt;=0,"",IF(VLOOKUP($A14,'détails investissements'!$A$26:$DE$43,CP$3-VLOOKUP($A14,'détails investissements'!$A$71:$B$88,2,FALSE)+1,FALSE)="","",VLOOKUP($A14,'détails investissements'!$A$26:$DE$43,CP$3-VLOOKUP($A14,'détails investissements'!$A$71:$B$88,2,FALSE)+1,FALSE)))&lt;&gt;"",HLOOKUP(IF(CP$3-VLOOKUP($A14,'détails investissements'!$A$71:$B$88,2,FALSE)&lt;=0,"",IF(VLOOKUP($A14,'détails investissements'!$A$26:$DE$43,CP$3-VLOOKUP($A14,'détails investissements'!$A$71:$B$88,2,FALSE)+1,FALSE)="","",VLOOKUP($A14,'détails investissements'!$A$26:$DE$43,CP$3-VLOOKUP($A14,'détails investissements'!$A$71:$B$88,2,FALSE)+1,FALSE))),'détails investissements'!$U$6:$AB$7,2,FALSE),"")&lt;&gt;"",VLOOKUP($A14,'détails investissements'!$A$7:$H$21,1+IF(IF(CP$3-VLOOKUP($A14,'détails investissements'!$A$71:$B$88,2,FALSE)&lt;=0,"",IF(VLOOKUP($A14,'détails investissements'!$A$26:$DE$43,CP$3-VLOOKUP($A14,'détails investissements'!$A$71:$B$88,2,FALSE)+1,FALSE)="","",VLOOKUP($A14,'détails investissements'!$A$26:$DE$43,CP$3-VLOOKUP($A14,'détails investissements'!$A$71:$B$88,2,FALSE)+1,FALSE)))&lt;&gt;"",HLOOKUP(IF(CP$3-VLOOKUP($A14,'détails investissements'!$A$71:$B$88,2,FALSE)&lt;=0,"",IF(VLOOKUP($A14,'détails investissements'!$A$26:$DE$43,CP$3-VLOOKUP($A14,'détails investissements'!$A$71:$B$88,2,FALSE)+1,FALSE)="","",VLOOKUP($A14,'détails investissements'!$A$26:$DE$43,CP$3-VLOOKUP($A14,'détails investissements'!$A$71:$B$88,2,FALSE)+1,FALSE))),'détails investissements'!$U$6:$AB$7,2,FALSE),""),FALSE),"")</f>
        <v/>
      </c>
      <c r="CQ14" s="45" t="str">
        <f>IF(IF(IF(CQ$3-VLOOKUP($A14,'détails investissements'!$A$71:$B$88,2,FALSE)&lt;=0,"",IF(VLOOKUP($A14,'détails investissements'!$A$26:$DE$43,CQ$3-VLOOKUP($A14,'détails investissements'!$A$71:$B$88,2,FALSE)+1,FALSE)="","",VLOOKUP($A14,'détails investissements'!$A$26:$DE$43,CQ$3-VLOOKUP($A14,'détails investissements'!$A$71:$B$88,2,FALSE)+1,FALSE)))&lt;&gt;"",HLOOKUP(IF(CQ$3-VLOOKUP($A14,'détails investissements'!$A$71:$B$88,2,FALSE)&lt;=0,"",IF(VLOOKUP($A14,'détails investissements'!$A$26:$DE$43,CQ$3-VLOOKUP($A14,'détails investissements'!$A$71:$B$88,2,FALSE)+1,FALSE)="","",VLOOKUP($A14,'détails investissements'!$A$26:$DE$43,CQ$3-VLOOKUP($A14,'détails investissements'!$A$71:$B$88,2,FALSE)+1,FALSE))),'détails investissements'!$U$6:$AB$7,2,FALSE),"")&lt;&gt;"",VLOOKUP($A14,'détails investissements'!$A$7:$H$21,1+IF(IF(CQ$3-VLOOKUP($A14,'détails investissements'!$A$71:$B$88,2,FALSE)&lt;=0,"",IF(VLOOKUP($A14,'détails investissements'!$A$26:$DE$43,CQ$3-VLOOKUP($A14,'détails investissements'!$A$71:$B$88,2,FALSE)+1,FALSE)="","",VLOOKUP($A14,'détails investissements'!$A$26:$DE$43,CQ$3-VLOOKUP($A14,'détails investissements'!$A$71:$B$88,2,FALSE)+1,FALSE)))&lt;&gt;"",HLOOKUP(IF(CQ$3-VLOOKUP($A14,'détails investissements'!$A$71:$B$88,2,FALSE)&lt;=0,"",IF(VLOOKUP($A14,'détails investissements'!$A$26:$DE$43,CQ$3-VLOOKUP($A14,'détails investissements'!$A$71:$B$88,2,FALSE)+1,FALSE)="","",VLOOKUP($A14,'détails investissements'!$A$26:$DE$43,CQ$3-VLOOKUP($A14,'détails investissements'!$A$71:$B$88,2,FALSE)+1,FALSE))),'détails investissements'!$U$6:$AB$7,2,FALSE),""),FALSE),"")</f>
        <v/>
      </c>
      <c r="CR14" s="45" t="str">
        <f>IF(IF(IF(CR$3-VLOOKUP($A14,'détails investissements'!$A$71:$B$88,2,FALSE)&lt;=0,"",IF(VLOOKUP($A14,'détails investissements'!$A$26:$DE$43,CR$3-VLOOKUP($A14,'détails investissements'!$A$71:$B$88,2,FALSE)+1,FALSE)="","",VLOOKUP($A14,'détails investissements'!$A$26:$DE$43,CR$3-VLOOKUP($A14,'détails investissements'!$A$71:$B$88,2,FALSE)+1,FALSE)))&lt;&gt;"",HLOOKUP(IF(CR$3-VLOOKUP($A14,'détails investissements'!$A$71:$B$88,2,FALSE)&lt;=0,"",IF(VLOOKUP($A14,'détails investissements'!$A$26:$DE$43,CR$3-VLOOKUP($A14,'détails investissements'!$A$71:$B$88,2,FALSE)+1,FALSE)="","",VLOOKUP($A14,'détails investissements'!$A$26:$DE$43,CR$3-VLOOKUP($A14,'détails investissements'!$A$71:$B$88,2,FALSE)+1,FALSE))),'détails investissements'!$U$6:$AB$7,2,FALSE),"")&lt;&gt;"",VLOOKUP($A14,'détails investissements'!$A$7:$H$21,1+IF(IF(CR$3-VLOOKUP($A14,'détails investissements'!$A$71:$B$88,2,FALSE)&lt;=0,"",IF(VLOOKUP($A14,'détails investissements'!$A$26:$DE$43,CR$3-VLOOKUP($A14,'détails investissements'!$A$71:$B$88,2,FALSE)+1,FALSE)="","",VLOOKUP($A14,'détails investissements'!$A$26:$DE$43,CR$3-VLOOKUP($A14,'détails investissements'!$A$71:$B$88,2,FALSE)+1,FALSE)))&lt;&gt;"",HLOOKUP(IF(CR$3-VLOOKUP($A14,'détails investissements'!$A$71:$B$88,2,FALSE)&lt;=0,"",IF(VLOOKUP($A14,'détails investissements'!$A$26:$DE$43,CR$3-VLOOKUP($A14,'détails investissements'!$A$71:$B$88,2,FALSE)+1,FALSE)="","",VLOOKUP($A14,'détails investissements'!$A$26:$DE$43,CR$3-VLOOKUP($A14,'détails investissements'!$A$71:$B$88,2,FALSE)+1,FALSE))),'détails investissements'!$U$6:$AB$7,2,FALSE),""),FALSE),"")</f>
        <v/>
      </c>
      <c r="CS14" s="45" t="str">
        <f>IF(IF(IF(CS$3-VLOOKUP($A14,'détails investissements'!$A$71:$B$88,2,FALSE)&lt;=0,"",IF(VLOOKUP($A14,'détails investissements'!$A$26:$DE$43,CS$3-VLOOKUP($A14,'détails investissements'!$A$71:$B$88,2,FALSE)+1,FALSE)="","",VLOOKUP($A14,'détails investissements'!$A$26:$DE$43,CS$3-VLOOKUP($A14,'détails investissements'!$A$71:$B$88,2,FALSE)+1,FALSE)))&lt;&gt;"",HLOOKUP(IF(CS$3-VLOOKUP($A14,'détails investissements'!$A$71:$B$88,2,FALSE)&lt;=0,"",IF(VLOOKUP($A14,'détails investissements'!$A$26:$DE$43,CS$3-VLOOKUP($A14,'détails investissements'!$A$71:$B$88,2,FALSE)+1,FALSE)="","",VLOOKUP($A14,'détails investissements'!$A$26:$DE$43,CS$3-VLOOKUP($A14,'détails investissements'!$A$71:$B$88,2,FALSE)+1,FALSE))),'détails investissements'!$U$6:$AB$7,2,FALSE),"")&lt;&gt;"",VLOOKUP($A14,'détails investissements'!$A$7:$H$21,1+IF(IF(CS$3-VLOOKUP($A14,'détails investissements'!$A$71:$B$88,2,FALSE)&lt;=0,"",IF(VLOOKUP($A14,'détails investissements'!$A$26:$DE$43,CS$3-VLOOKUP($A14,'détails investissements'!$A$71:$B$88,2,FALSE)+1,FALSE)="","",VLOOKUP($A14,'détails investissements'!$A$26:$DE$43,CS$3-VLOOKUP($A14,'détails investissements'!$A$71:$B$88,2,FALSE)+1,FALSE)))&lt;&gt;"",HLOOKUP(IF(CS$3-VLOOKUP($A14,'détails investissements'!$A$71:$B$88,2,FALSE)&lt;=0,"",IF(VLOOKUP($A14,'détails investissements'!$A$26:$DE$43,CS$3-VLOOKUP($A14,'détails investissements'!$A$71:$B$88,2,FALSE)+1,FALSE)="","",VLOOKUP($A14,'détails investissements'!$A$26:$DE$43,CS$3-VLOOKUP($A14,'détails investissements'!$A$71:$B$88,2,FALSE)+1,FALSE))),'détails investissements'!$U$6:$AB$7,2,FALSE),""),FALSE),"")</f>
        <v/>
      </c>
      <c r="CT14" s="45" t="str">
        <f>IF(IF(IF(CT$3-VLOOKUP($A14,'détails investissements'!$A$71:$B$88,2,FALSE)&lt;=0,"",IF(VLOOKUP($A14,'détails investissements'!$A$26:$DE$43,CT$3-VLOOKUP($A14,'détails investissements'!$A$71:$B$88,2,FALSE)+1,FALSE)="","",VLOOKUP($A14,'détails investissements'!$A$26:$DE$43,CT$3-VLOOKUP($A14,'détails investissements'!$A$71:$B$88,2,FALSE)+1,FALSE)))&lt;&gt;"",HLOOKUP(IF(CT$3-VLOOKUP($A14,'détails investissements'!$A$71:$B$88,2,FALSE)&lt;=0,"",IF(VLOOKUP($A14,'détails investissements'!$A$26:$DE$43,CT$3-VLOOKUP($A14,'détails investissements'!$A$71:$B$88,2,FALSE)+1,FALSE)="","",VLOOKUP($A14,'détails investissements'!$A$26:$DE$43,CT$3-VLOOKUP($A14,'détails investissements'!$A$71:$B$88,2,FALSE)+1,FALSE))),'détails investissements'!$U$6:$AB$7,2,FALSE),"")&lt;&gt;"",VLOOKUP($A14,'détails investissements'!$A$7:$H$21,1+IF(IF(CT$3-VLOOKUP($A14,'détails investissements'!$A$71:$B$88,2,FALSE)&lt;=0,"",IF(VLOOKUP($A14,'détails investissements'!$A$26:$DE$43,CT$3-VLOOKUP($A14,'détails investissements'!$A$71:$B$88,2,FALSE)+1,FALSE)="","",VLOOKUP($A14,'détails investissements'!$A$26:$DE$43,CT$3-VLOOKUP($A14,'détails investissements'!$A$71:$B$88,2,FALSE)+1,FALSE)))&lt;&gt;"",HLOOKUP(IF(CT$3-VLOOKUP($A14,'détails investissements'!$A$71:$B$88,2,FALSE)&lt;=0,"",IF(VLOOKUP($A14,'détails investissements'!$A$26:$DE$43,CT$3-VLOOKUP($A14,'détails investissements'!$A$71:$B$88,2,FALSE)+1,FALSE)="","",VLOOKUP($A14,'détails investissements'!$A$26:$DE$43,CT$3-VLOOKUP($A14,'détails investissements'!$A$71:$B$88,2,FALSE)+1,FALSE))),'détails investissements'!$U$6:$AB$7,2,FALSE),""),FALSE),"")</f>
        <v/>
      </c>
      <c r="CU14" s="45" t="str">
        <f>IF(IF(IF(CU$3-VLOOKUP($A14,'détails investissements'!$A$71:$B$88,2,FALSE)&lt;=0,"",IF(VLOOKUP($A14,'détails investissements'!$A$26:$DE$43,CU$3-VLOOKUP($A14,'détails investissements'!$A$71:$B$88,2,FALSE)+1,FALSE)="","",VLOOKUP($A14,'détails investissements'!$A$26:$DE$43,CU$3-VLOOKUP($A14,'détails investissements'!$A$71:$B$88,2,FALSE)+1,FALSE)))&lt;&gt;"",HLOOKUP(IF(CU$3-VLOOKUP($A14,'détails investissements'!$A$71:$B$88,2,FALSE)&lt;=0,"",IF(VLOOKUP($A14,'détails investissements'!$A$26:$DE$43,CU$3-VLOOKUP($A14,'détails investissements'!$A$71:$B$88,2,FALSE)+1,FALSE)="","",VLOOKUP($A14,'détails investissements'!$A$26:$DE$43,CU$3-VLOOKUP($A14,'détails investissements'!$A$71:$B$88,2,FALSE)+1,FALSE))),'détails investissements'!$U$6:$AB$7,2,FALSE),"")&lt;&gt;"",VLOOKUP($A14,'détails investissements'!$A$7:$H$21,1+IF(IF(CU$3-VLOOKUP($A14,'détails investissements'!$A$71:$B$88,2,FALSE)&lt;=0,"",IF(VLOOKUP($A14,'détails investissements'!$A$26:$DE$43,CU$3-VLOOKUP($A14,'détails investissements'!$A$71:$B$88,2,FALSE)+1,FALSE)="","",VLOOKUP($A14,'détails investissements'!$A$26:$DE$43,CU$3-VLOOKUP($A14,'détails investissements'!$A$71:$B$88,2,FALSE)+1,FALSE)))&lt;&gt;"",HLOOKUP(IF(CU$3-VLOOKUP($A14,'détails investissements'!$A$71:$B$88,2,FALSE)&lt;=0,"",IF(VLOOKUP($A14,'détails investissements'!$A$26:$DE$43,CU$3-VLOOKUP($A14,'détails investissements'!$A$71:$B$88,2,FALSE)+1,FALSE)="","",VLOOKUP($A14,'détails investissements'!$A$26:$DE$43,CU$3-VLOOKUP($A14,'détails investissements'!$A$71:$B$88,2,FALSE)+1,FALSE))),'détails investissements'!$U$6:$AB$7,2,FALSE),""),FALSE),"")</f>
        <v/>
      </c>
      <c r="CV14" s="45" t="str">
        <f>IF(IF(IF(CV$3-VLOOKUP($A14,'détails investissements'!$A$71:$B$88,2,FALSE)&lt;=0,"",IF(VLOOKUP($A14,'détails investissements'!$A$26:$DE$43,CV$3-VLOOKUP($A14,'détails investissements'!$A$71:$B$88,2,FALSE)+1,FALSE)="","",VLOOKUP($A14,'détails investissements'!$A$26:$DE$43,CV$3-VLOOKUP($A14,'détails investissements'!$A$71:$B$88,2,FALSE)+1,FALSE)))&lt;&gt;"",HLOOKUP(IF(CV$3-VLOOKUP($A14,'détails investissements'!$A$71:$B$88,2,FALSE)&lt;=0,"",IF(VLOOKUP($A14,'détails investissements'!$A$26:$DE$43,CV$3-VLOOKUP($A14,'détails investissements'!$A$71:$B$88,2,FALSE)+1,FALSE)="","",VLOOKUP($A14,'détails investissements'!$A$26:$DE$43,CV$3-VLOOKUP($A14,'détails investissements'!$A$71:$B$88,2,FALSE)+1,FALSE))),'détails investissements'!$U$6:$AB$7,2,FALSE),"")&lt;&gt;"",VLOOKUP($A14,'détails investissements'!$A$7:$H$21,1+IF(IF(CV$3-VLOOKUP($A14,'détails investissements'!$A$71:$B$88,2,FALSE)&lt;=0,"",IF(VLOOKUP($A14,'détails investissements'!$A$26:$DE$43,CV$3-VLOOKUP($A14,'détails investissements'!$A$71:$B$88,2,FALSE)+1,FALSE)="","",VLOOKUP($A14,'détails investissements'!$A$26:$DE$43,CV$3-VLOOKUP($A14,'détails investissements'!$A$71:$B$88,2,FALSE)+1,FALSE)))&lt;&gt;"",HLOOKUP(IF(CV$3-VLOOKUP($A14,'détails investissements'!$A$71:$B$88,2,FALSE)&lt;=0,"",IF(VLOOKUP($A14,'détails investissements'!$A$26:$DE$43,CV$3-VLOOKUP($A14,'détails investissements'!$A$71:$B$88,2,FALSE)+1,FALSE)="","",VLOOKUP($A14,'détails investissements'!$A$26:$DE$43,CV$3-VLOOKUP($A14,'détails investissements'!$A$71:$B$88,2,FALSE)+1,FALSE))),'détails investissements'!$U$6:$AB$7,2,FALSE),""),FALSE),"")</f>
        <v/>
      </c>
      <c r="CW14" s="45" t="str">
        <f>IF(IF(IF(CW$3-VLOOKUP($A14,'détails investissements'!$A$71:$B$88,2,FALSE)&lt;=0,"",IF(VLOOKUP($A14,'détails investissements'!$A$26:$DE$43,CW$3-VLOOKUP($A14,'détails investissements'!$A$71:$B$88,2,FALSE)+1,FALSE)="","",VLOOKUP($A14,'détails investissements'!$A$26:$DE$43,CW$3-VLOOKUP($A14,'détails investissements'!$A$71:$B$88,2,FALSE)+1,FALSE)))&lt;&gt;"",HLOOKUP(IF(CW$3-VLOOKUP($A14,'détails investissements'!$A$71:$B$88,2,FALSE)&lt;=0,"",IF(VLOOKUP($A14,'détails investissements'!$A$26:$DE$43,CW$3-VLOOKUP($A14,'détails investissements'!$A$71:$B$88,2,FALSE)+1,FALSE)="","",VLOOKUP($A14,'détails investissements'!$A$26:$DE$43,CW$3-VLOOKUP($A14,'détails investissements'!$A$71:$B$88,2,FALSE)+1,FALSE))),'détails investissements'!$U$6:$AB$7,2,FALSE),"")&lt;&gt;"",VLOOKUP($A14,'détails investissements'!$A$7:$H$21,1+IF(IF(CW$3-VLOOKUP($A14,'détails investissements'!$A$71:$B$88,2,FALSE)&lt;=0,"",IF(VLOOKUP($A14,'détails investissements'!$A$26:$DE$43,CW$3-VLOOKUP($A14,'détails investissements'!$A$71:$B$88,2,FALSE)+1,FALSE)="","",VLOOKUP($A14,'détails investissements'!$A$26:$DE$43,CW$3-VLOOKUP($A14,'détails investissements'!$A$71:$B$88,2,FALSE)+1,FALSE)))&lt;&gt;"",HLOOKUP(IF(CW$3-VLOOKUP($A14,'détails investissements'!$A$71:$B$88,2,FALSE)&lt;=0,"",IF(VLOOKUP($A14,'détails investissements'!$A$26:$DE$43,CW$3-VLOOKUP($A14,'détails investissements'!$A$71:$B$88,2,FALSE)+1,FALSE)="","",VLOOKUP($A14,'détails investissements'!$A$26:$DE$43,CW$3-VLOOKUP($A14,'détails investissements'!$A$71:$B$88,2,FALSE)+1,FALSE))),'détails investissements'!$U$6:$AB$7,2,FALSE),""),FALSE),"")</f>
        <v/>
      </c>
      <c r="CX14" s="45" t="str">
        <f>IF(IF(IF(CX$3-VLOOKUP($A14,'détails investissements'!$A$71:$B$88,2,FALSE)&lt;=0,"",IF(VLOOKUP($A14,'détails investissements'!$A$26:$DE$43,CX$3-VLOOKUP($A14,'détails investissements'!$A$71:$B$88,2,FALSE)+1,FALSE)="","",VLOOKUP($A14,'détails investissements'!$A$26:$DE$43,CX$3-VLOOKUP($A14,'détails investissements'!$A$71:$B$88,2,FALSE)+1,FALSE)))&lt;&gt;"",HLOOKUP(IF(CX$3-VLOOKUP($A14,'détails investissements'!$A$71:$B$88,2,FALSE)&lt;=0,"",IF(VLOOKUP($A14,'détails investissements'!$A$26:$DE$43,CX$3-VLOOKUP($A14,'détails investissements'!$A$71:$B$88,2,FALSE)+1,FALSE)="","",VLOOKUP($A14,'détails investissements'!$A$26:$DE$43,CX$3-VLOOKUP($A14,'détails investissements'!$A$71:$B$88,2,FALSE)+1,FALSE))),'détails investissements'!$U$6:$AB$7,2,FALSE),"")&lt;&gt;"",VLOOKUP($A14,'détails investissements'!$A$7:$H$21,1+IF(IF(CX$3-VLOOKUP($A14,'détails investissements'!$A$71:$B$88,2,FALSE)&lt;=0,"",IF(VLOOKUP($A14,'détails investissements'!$A$26:$DE$43,CX$3-VLOOKUP($A14,'détails investissements'!$A$71:$B$88,2,FALSE)+1,FALSE)="","",VLOOKUP($A14,'détails investissements'!$A$26:$DE$43,CX$3-VLOOKUP($A14,'détails investissements'!$A$71:$B$88,2,FALSE)+1,FALSE)))&lt;&gt;"",HLOOKUP(IF(CX$3-VLOOKUP($A14,'détails investissements'!$A$71:$B$88,2,FALSE)&lt;=0,"",IF(VLOOKUP($A14,'détails investissements'!$A$26:$DE$43,CX$3-VLOOKUP($A14,'détails investissements'!$A$71:$B$88,2,FALSE)+1,FALSE)="","",VLOOKUP($A14,'détails investissements'!$A$26:$DE$43,CX$3-VLOOKUP($A14,'détails investissements'!$A$71:$B$88,2,FALSE)+1,FALSE))),'détails investissements'!$U$6:$AB$7,2,FALSE),""),FALSE),"")</f>
        <v/>
      </c>
      <c r="CY14" s="45" t="str">
        <f>IF(IF(IF(CY$3-VLOOKUP($A14,'détails investissements'!$A$71:$B$88,2,FALSE)&lt;=0,"",IF(VLOOKUP($A14,'détails investissements'!$A$26:$DE$43,CY$3-VLOOKUP($A14,'détails investissements'!$A$71:$B$88,2,FALSE)+1,FALSE)="","",VLOOKUP($A14,'détails investissements'!$A$26:$DE$43,CY$3-VLOOKUP($A14,'détails investissements'!$A$71:$B$88,2,FALSE)+1,FALSE)))&lt;&gt;"",HLOOKUP(IF(CY$3-VLOOKUP($A14,'détails investissements'!$A$71:$B$88,2,FALSE)&lt;=0,"",IF(VLOOKUP($A14,'détails investissements'!$A$26:$DE$43,CY$3-VLOOKUP($A14,'détails investissements'!$A$71:$B$88,2,FALSE)+1,FALSE)="","",VLOOKUP($A14,'détails investissements'!$A$26:$DE$43,CY$3-VLOOKUP($A14,'détails investissements'!$A$71:$B$88,2,FALSE)+1,FALSE))),'détails investissements'!$U$6:$AB$7,2,FALSE),"")&lt;&gt;"",VLOOKUP($A14,'détails investissements'!$A$7:$H$21,1+IF(IF(CY$3-VLOOKUP($A14,'détails investissements'!$A$71:$B$88,2,FALSE)&lt;=0,"",IF(VLOOKUP($A14,'détails investissements'!$A$26:$DE$43,CY$3-VLOOKUP($A14,'détails investissements'!$A$71:$B$88,2,FALSE)+1,FALSE)="","",VLOOKUP($A14,'détails investissements'!$A$26:$DE$43,CY$3-VLOOKUP($A14,'détails investissements'!$A$71:$B$88,2,FALSE)+1,FALSE)))&lt;&gt;"",HLOOKUP(IF(CY$3-VLOOKUP($A14,'détails investissements'!$A$71:$B$88,2,FALSE)&lt;=0,"",IF(VLOOKUP($A14,'détails investissements'!$A$26:$DE$43,CY$3-VLOOKUP($A14,'détails investissements'!$A$71:$B$88,2,FALSE)+1,FALSE)="","",VLOOKUP($A14,'détails investissements'!$A$26:$DE$43,CY$3-VLOOKUP($A14,'détails investissements'!$A$71:$B$88,2,FALSE)+1,FALSE))),'détails investissements'!$U$6:$AB$7,2,FALSE),""),FALSE),"")</f>
        <v/>
      </c>
      <c r="CZ14" s="45" t="str">
        <f>IF(IF(IF(CZ$3-VLOOKUP($A14,'détails investissements'!$A$71:$B$88,2,FALSE)&lt;=0,"",IF(VLOOKUP($A14,'détails investissements'!$A$26:$DE$43,CZ$3-VLOOKUP($A14,'détails investissements'!$A$71:$B$88,2,FALSE)+1,FALSE)="","",VLOOKUP($A14,'détails investissements'!$A$26:$DE$43,CZ$3-VLOOKUP($A14,'détails investissements'!$A$71:$B$88,2,FALSE)+1,FALSE)))&lt;&gt;"",HLOOKUP(IF(CZ$3-VLOOKUP($A14,'détails investissements'!$A$71:$B$88,2,FALSE)&lt;=0,"",IF(VLOOKUP($A14,'détails investissements'!$A$26:$DE$43,CZ$3-VLOOKUP($A14,'détails investissements'!$A$71:$B$88,2,FALSE)+1,FALSE)="","",VLOOKUP($A14,'détails investissements'!$A$26:$DE$43,CZ$3-VLOOKUP($A14,'détails investissements'!$A$71:$B$88,2,FALSE)+1,FALSE))),'détails investissements'!$U$6:$AB$7,2,FALSE),"")&lt;&gt;"",VLOOKUP($A14,'détails investissements'!$A$7:$H$21,1+IF(IF(CZ$3-VLOOKUP($A14,'détails investissements'!$A$71:$B$88,2,FALSE)&lt;=0,"",IF(VLOOKUP($A14,'détails investissements'!$A$26:$DE$43,CZ$3-VLOOKUP($A14,'détails investissements'!$A$71:$B$88,2,FALSE)+1,FALSE)="","",VLOOKUP($A14,'détails investissements'!$A$26:$DE$43,CZ$3-VLOOKUP($A14,'détails investissements'!$A$71:$B$88,2,FALSE)+1,FALSE)))&lt;&gt;"",HLOOKUP(IF(CZ$3-VLOOKUP($A14,'détails investissements'!$A$71:$B$88,2,FALSE)&lt;=0,"",IF(VLOOKUP($A14,'détails investissements'!$A$26:$DE$43,CZ$3-VLOOKUP($A14,'détails investissements'!$A$71:$B$88,2,FALSE)+1,FALSE)="","",VLOOKUP($A14,'détails investissements'!$A$26:$DE$43,CZ$3-VLOOKUP($A14,'détails investissements'!$A$71:$B$88,2,FALSE)+1,FALSE))),'détails investissements'!$U$6:$AB$7,2,FALSE),""),FALSE),"")</f>
        <v/>
      </c>
      <c r="DA14" s="45" t="str">
        <f>IF(IF(IF(DA$3-VLOOKUP($A14,'détails investissements'!$A$71:$B$88,2,FALSE)&lt;=0,"",IF(VLOOKUP($A14,'détails investissements'!$A$26:$DE$43,DA$3-VLOOKUP($A14,'détails investissements'!$A$71:$B$88,2,FALSE)+1,FALSE)="","",VLOOKUP($A14,'détails investissements'!$A$26:$DE$43,DA$3-VLOOKUP($A14,'détails investissements'!$A$71:$B$88,2,FALSE)+1,FALSE)))&lt;&gt;"",HLOOKUP(IF(DA$3-VLOOKUP($A14,'détails investissements'!$A$71:$B$88,2,FALSE)&lt;=0,"",IF(VLOOKUP($A14,'détails investissements'!$A$26:$DE$43,DA$3-VLOOKUP($A14,'détails investissements'!$A$71:$B$88,2,FALSE)+1,FALSE)="","",VLOOKUP($A14,'détails investissements'!$A$26:$DE$43,DA$3-VLOOKUP($A14,'détails investissements'!$A$71:$B$88,2,FALSE)+1,FALSE))),'détails investissements'!$U$6:$AB$7,2,FALSE),"")&lt;&gt;"",VLOOKUP($A14,'détails investissements'!$A$7:$H$21,1+IF(IF(DA$3-VLOOKUP($A14,'détails investissements'!$A$71:$B$88,2,FALSE)&lt;=0,"",IF(VLOOKUP($A14,'détails investissements'!$A$26:$DE$43,DA$3-VLOOKUP($A14,'détails investissements'!$A$71:$B$88,2,FALSE)+1,FALSE)="","",VLOOKUP($A14,'détails investissements'!$A$26:$DE$43,DA$3-VLOOKUP($A14,'détails investissements'!$A$71:$B$88,2,FALSE)+1,FALSE)))&lt;&gt;"",HLOOKUP(IF(DA$3-VLOOKUP($A14,'détails investissements'!$A$71:$B$88,2,FALSE)&lt;=0,"",IF(VLOOKUP($A14,'détails investissements'!$A$26:$DE$43,DA$3-VLOOKUP($A14,'détails investissements'!$A$71:$B$88,2,FALSE)+1,FALSE)="","",VLOOKUP($A14,'détails investissements'!$A$26:$DE$43,DA$3-VLOOKUP($A14,'détails investissements'!$A$71:$B$88,2,FALSE)+1,FALSE))),'détails investissements'!$U$6:$AB$7,2,FALSE),""),FALSE),"")</f>
        <v/>
      </c>
      <c r="DB14" s="45" t="str">
        <f>IF(IF(IF(DB$3-VLOOKUP($A14,'détails investissements'!$A$71:$B$88,2,FALSE)&lt;=0,"",IF(VLOOKUP($A14,'détails investissements'!$A$26:$DE$43,DB$3-VLOOKUP($A14,'détails investissements'!$A$71:$B$88,2,FALSE)+1,FALSE)="","",VLOOKUP($A14,'détails investissements'!$A$26:$DE$43,DB$3-VLOOKUP($A14,'détails investissements'!$A$71:$B$88,2,FALSE)+1,FALSE)))&lt;&gt;"",HLOOKUP(IF(DB$3-VLOOKUP($A14,'détails investissements'!$A$71:$B$88,2,FALSE)&lt;=0,"",IF(VLOOKUP($A14,'détails investissements'!$A$26:$DE$43,DB$3-VLOOKUP($A14,'détails investissements'!$A$71:$B$88,2,FALSE)+1,FALSE)="","",VLOOKUP($A14,'détails investissements'!$A$26:$DE$43,DB$3-VLOOKUP($A14,'détails investissements'!$A$71:$B$88,2,FALSE)+1,FALSE))),'détails investissements'!$U$6:$AB$7,2,FALSE),"")&lt;&gt;"",VLOOKUP($A14,'détails investissements'!$A$7:$H$21,1+IF(IF(DB$3-VLOOKUP($A14,'détails investissements'!$A$71:$B$88,2,FALSE)&lt;=0,"",IF(VLOOKUP($A14,'détails investissements'!$A$26:$DE$43,DB$3-VLOOKUP($A14,'détails investissements'!$A$71:$B$88,2,FALSE)+1,FALSE)="","",VLOOKUP($A14,'détails investissements'!$A$26:$DE$43,DB$3-VLOOKUP($A14,'détails investissements'!$A$71:$B$88,2,FALSE)+1,FALSE)))&lt;&gt;"",HLOOKUP(IF(DB$3-VLOOKUP($A14,'détails investissements'!$A$71:$B$88,2,FALSE)&lt;=0,"",IF(VLOOKUP($A14,'détails investissements'!$A$26:$DE$43,DB$3-VLOOKUP($A14,'détails investissements'!$A$71:$B$88,2,FALSE)+1,FALSE)="","",VLOOKUP($A14,'détails investissements'!$A$26:$DE$43,DB$3-VLOOKUP($A14,'détails investissements'!$A$71:$B$88,2,FALSE)+1,FALSE))),'détails investissements'!$U$6:$AB$7,2,FALSE),""),FALSE),"")</f>
        <v/>
      </c>
      <c r="DC14" s="45" t="str">
        <f>IF(IF(IF(DC$3-VLOOKUP($A14,'détails investissements'!$A$71:$B$88,2,FALSE)&lt;=0,"",IF(VLOOKUP($A14,'détails investissements'!$A$26:$DE$43,DC$3-VLOOKUP($A14,'détails investissements'!$A$71:$B$88,2,FALSE)+1,FALSE)="","",VLOOKUP($A14,'détails investissements'!$A$26:$DE$43,DC$3-VLOOKUP($A14,'détails investissements'!$A$71:$B$88,2,FALSE)+1,FALSE)))&lt;&gt;"",HLOOKUP(IF(DC$3-VLOOKUP($A14,'détails investissements'!$A$71:$B$88,2,FALSE)&lt;=0,"",IF(VLOOKUP($A14,'détails investissements'!$A$26:$DE$43,DC$3-VLOOKUP($A14,'détails investissements'!$A$71:$B$88,2,FALSE)+1,FALSE)="","",VLOOKUP($A14,'détails investissements'!$A$26:$DE$43,DC$3-VLOOKUP($A14,'détails investissements'!$A$71:$B$88,2,FALSE)+1,FALSE))),'détails investissements'!$U$6:$AB$7,2,FALSE),"")&lt;&gt;"",VLOOKUP($A14,'détails investissements'!$A$7:$H$21,1+IF(IF(DC$3-VLOOKUP($A14,'détails investissements'!$A$71:$B$88,2,FALSE)&lt;=0,"",IF(VLOOKUP($A14,'détails investissements'!$A$26:$DE$43,DC$3-VLOOKUP($A14,'détails investissements'!$A$71:$B$88,2,FALSE)+1,FALSE)="","",VLOOKUP($A14,'détails investissements'!$A$26:$DE$43,DC$3-VLOOKUP($A14,'détails investissements'!$A$71:$B$88,2,FALSE)+1,FALSE)))&lt;&gt;"",HLOOKUP(IF(DC$3-VLOOKUP($A14,'détails investissements'!$A$71:$B$88,2,FALSE)&lt;=0,"",IF(VLOOKUP($A14,'détails investissements'!$A$26:$DE$43,DC$3-VLOOKUP($A14,'détails investissements'!$A$71:$B$88,2,FALSE)+1,FALSE)="","",VLOOKUP($A14,'détails investissements'!$A$26:$DE$43,DC$3-VLOOKUP($A14,'détails investissements'!$A$71:$B$88,2,FALSE)+1,FALSE))),'détails investissements'!$U$6:$AB$7,2,FALSE),""),FALSE),"")</f>
        <v/>
      </c>
      <c r="DD14" s="45" t="str">
        <f>IF(IF(IF(DD$3-VLOOKUP($A14,'détails investissements'!$A$71:$B$88,2,FALSE)&lt;=0,"",IF(VLOOKUP($A14,'détails investissements'!$A$26:$DE$43,DD$3-VLOOKUP($A14,'détails investissements'!$A$71:$B$88,2,FALSE)+1,FALSE)="","",VLOOKUP($A14,'détails investissements'!$A$26:$DE$43,DD$3-VLOOKUP($A14,'détails investissements'!$A$71:$B$88,2,FALSE)+1,FALSE)))&lt;&gt;"",HLOOKUP(IF(DD$3-VLOOKUP($A14,'détails investissements'!$A$71:$B$88,2,FALSE)&lt;=0,"",IF(VLOOKUP($A14,'détails investissements'!$A$26:$DE$43,DD$3-VLOOKUP($A14,'détails investissements'!$A$71:$B$88,2,FALSE)+1,FALSE)="","",VLOOKUP($A14,'détails investissements'!$A$26:$DE$43,DD$3-VLOOKUP($A14,'détails investissements'!$A$71:$B$88,2,FALSE)+1,FALSE))),'détails investissements'!$U$6:$AB$7,2,FALSE),"")&lt;&gt;"",VLOOKUP($A14,'détails investissements'!$A$7:$H$21,1+IF(IF(DD$3-VLOOKUP($A14,'détails investissements'!$A$71:$B$88,2,FALSE)&lt;=0,"",IF(VLOOKUP($A14,'détails investissements'!$A$26:$DE$43,DD$3-VLOOKUP($A14,'détails investissements'!$A$71:$B$88,2,FALSE)+1,FALSE)="","",VLOOKUP($A14,'détails investissements'!$A$26:$DE$43,DD$3-VLOOKUP($A14,'détails investissements'!$A$71:$B$88,2,FALSE)+1,FALSE)))&lt;&gt;"",HLOOKUP(IF(DD$3-VLOOKUP($A14,'détails investissements'!$A$71:$B$88,2,FALSE)&lt;=0,"",IF(VLOOKUP($A14,'détails investissements'!$A$26:$DE$43,DD$3-VLOOKUP($A14,'détails investissements'!$A$71:$B$88,2,FALSE)+1,FALSE)="","",VLOOKUP($A14,'détails investissements'!$A$26:$DE$43,DD$3-VLOOKUP($A14,'détails investissements'!$A$71:$B$88,2,FALSE)+1,FALSE))),'détails investissements'!$U$6:$AB$7,2,FALSE),""),FALSE),"")</f>
        <v/>
      </c>
      <c r="DE14" s="45" t="str">
        <f>IF(IF(IF(DE$3-VLOOKUP($A14,'détails investissements'!$A$71:$B$88,2,FALSE)&lt;=0,"",IF(VLOOKUP($A14,'détails investissements'!$A$26:$DE$43,DE$3-VLOOKUP($A14,'détails investissements'!$A$71:$B$88,2,FALSE)+1,FALSE)="","",VLOOKUP($A14,'détails investissements'!$A$26:$DE$43,DE$3-VLOOKUP($A14,'détails investissements'!$A$71:$B$88,2,FALSE)+1,FALSE)))&lt;&gt;"",HLOOKUP(IF(DE$3-VLOOKUP($A14,'détails investissements'!$A$71:$B$88,2,FALSE)&lt;=0,"",IF(VLOOKUP($A14,'détails investissements'!$A$26:$DE$43,DE$3-VLOOKUP($A14,'détails investissements'!$A$71:$B$88,2,FALSE)+1,FALSE)="","",VLOOKUP($A14,'détails investissements'!$A$26:$DE$43,DE$3-VLOOKUP($A14,'détails investissements'!$A$71:$B$88,2,FALSE)+1,FALSE))),'détails investissements'!$U$6:$AB$7,2,FALSE),"")&lt;&gt;"",VLOOKUP($A14,'détails investissements'!$A$7:$H$21,1+IF(IF(DE$3-VLOOKUP($A14,'détails investissements'!$A$71:$B$88,2,FALSE)&lt;=0,"",IF(VLOOKUP($A14,'détails investissements'!$A$26:$DE$43,DE$3-VLOOKUP($A14,'détails investissements'!$A$71:$B$88,2,FALSE)+1,FALSE)="","",VLOOKUP($A14,'détails investissements'!$A$26:$DE$43,DE$3-VLOOKUP($A14,'détails investissements'!$A$71:$B$88,2,FALSE)+1,FALSE)))&lt;&gt;"",HLOOKUP(IF(DE$3-VLOOKUP($A14,'détails investissements'!$A$71:$B$88,2,FALSE)&lt;=0,"",IF(VLOOKUP($A14,'détails investissements'!$A$26:$DE$43,DE$3-VLOOKUP($A14,'détails investissements'!$A$71:$B$88,2,FALSE)+1,FALSE)="","",VLOOKUP($A14,'détails investissements'!$A$26:$DE$43,DE$3-VLOOKUP($A14,'détails investissements'!$A$71:$B$88,2,FALSE)+1,FALSE))),'détails investissements'!$U$6:$AB$7,2,FALSE),""),FALSE),"")</f>
        <v/>
      </c>
      <c r="DF14" s="45" t="str">
        <f>IF(IF(IF(DF$3-VLOOKUP($A14,'détails investissements'!$A$71:$B$88,2,FALSE)&lt;=0,"",IF(VLOOKUP($A14,'détails investissements'!$A$26:$DE$43,DF$3-VLOOKUP($A14,'détails investissements'!$A$71:$B$88,2,FALSE)+1,FALSE)="","",VLOOKUP($A14,'détails investissements'!$A$26:$DE$43,DF$3-VLOOKUP($A14,'détails investissements'!$A$71:$B$88,2,FALSE)+1,FALSE)))&lt;&gt;"",HLOOKUP(IF(DF$3-VLOOKUP($A14,'détails investissements'!$A$71:$B$88,2,FALSE)&lt;=0,"",IF(VLOOKUP($A14,'détails investissements'!$A$26:$DE$43,DF$3-VLOOKUP($A14,'détails investissements'!$A$71:$B$88,2,FALSE)+1,FALSE)="","",VLOOKUP($A14,'détails investissements'!$A$26:$DE$43,DF$3-VLOOKUP($A14,'détails investissements'!$A$71:$B$88,2,FALSE)+1,FALSE))),'détails investissements'!$U$6:$AB$7,2,FALSE),"")&lt;&gt;"",VLOOKUP($A14,'détails investissements'!$A$7:$H$21,1+IF(IF(DF$3-VLOOKUP($A14,'détails investissements'!$A$71:$B$88,2,FALSE)&lt;=0,"",IF(VLOOKUP($A14,'détails investissements'!$A$26:$DE$43,DF$3-VLOOKUP($A14,'détails investissements'!$A$71:$B$88,2,FALSE)+1,FALSE)="","",VLOOKUP($A14,'détails investissements'!$A$26:$DE$43,DF$3-VLOOKUP($A14,'détails investissements'!$A$71:$B$88,2,FALSE)+1,FALSE)))&lt;&gt;"",HLOOKUP(IF(DF$3-VLOOKUP($A14,'détails investissements'!$A$71:$B$88,2,FALSE)&lt;=0,"",IF(VLOOKUP($A14,'détails investissements'!$A$26:$DE$43,DF$3-VLOOKUP($A14,'détails investissements'!$A$71:$B$88,2,FALSE)+1,FALSE)="","",VLOOKUP($A14,'détails investissements'!$A$26:$DE$43,DF$3-VLOOKUP($A14,'détails investissements'!$A$71:$B$88,2,FALSE)+1,FALSE))),'détails investissements'!$U$6:$AB$7,2,FALSE),""),FALSE),"")</f>
        <v/>
      </c>
      <c r="DG14">
        <f t="shared" si="0"/>
        <v>1</v>
      </c>
    </row>
    <row r="15" spans="1:111" x14ac:dyDescent="0.2">
      <c r="A15" s="15" t="str">
        <f>'[4]Données investissements'!A35</f>
        <v>Terrain (Avril 2014)</v>
      </c>
      <c r="B15" s="23">
        <f>'détails investissements'!B103</f>
        <v>0.43</v>
      </c>
      <c r="C15" s="45">
        <f>IF(IF(IF(C$3-VLOOKUP($A15,'détails investissements'!$A$71:$B$88,2,FALSE)&lt;=0,"",IF(VLOOKUP($A15,'détails investissements'!$A$26:$DE$43,C$3-VLOOKUP($A15,'détails investissements'!$A$71:$B$88,2,FALSE)+1,FALSE)="","",VLOOKUP($A15,'détails investissements'!$A$26:$DE$43,C$3-VLOOKUP($A15,'détails investissements'!$A$71:$B$88,2,FALSE)+1,FALSE)))&lt;&gt;"",HLOOKUP(IF(C$3-VLOOKUP($A15,'détails investissements'!$A$71:$B$88,2,FALSE)&lt;=0,"",IF(VLOOKUP($A15,'détails investissements'!$A$26:$DE$43,C$3-VLOOKUP($A15,'détails investissements'!$A$71:$B$88,2,FALSE)+1,FALSE)="","",VLOOKUP($A15,'détails investissements'!$A$26:$DE$43,C$3-VLOOKUP($A15,'détails investissements'!$A$71:$B$88,2,FALSE)+1,FALSE))),'détails investissements'!$U$6:$AB$7,2,FALSE),"")&lt;&gt;"",VLOOKUP($A15,'détails investissements'!$A$7:$H$21,1+IF(IF(C$3-VLOOKUP($A15,'détails investissements'!$A$71:$B$88,2,FALSE)&lt;=0,"",IF(VLOOKUP($A15,'détails investissements'!$A$26:$DE$43,C$3-VLOOKUP($A15,'détails investissements'!$A$71:$B$88,2,FALSE)+1,FALSE)="","",VLOOKUP($A15,'détails investissements'!$A$26:$DE$43,C$3-VLOOKUP($A15,'détails investissements'!$A$71:$B$88,2,FALSE)+1,FALSE)))&lt;&gt;"",HLOOKUP(IF(C$3-VLOOKUP($A15,'détails investissements'!$A$71:$B$88,2,FALSE)&lt;=0,"",IF(VLOOKUP($A15,'détails investissements'!$A$26:$DE$43,C$3-VLOOKUP($A15,'détails investissements'!$A$71:$B$88,2,FALSE)+1,FALSE)="","",VLOOKUP($A15,'détails investissements'!$A$26:$DE$43,C$3-VLOOKUP($A15,'détails investissements'!$A$71:$B$88,2,FALSE)+1,FALSE))),'détails investissements'!$U$6:$AB$7,2,FALSE),""),FALSE),"")</f>
        <v>1</v>
      </c>
      <c r="D15" s="45" t="str">
        <f>IF(IF(IF(D$3-VLOOKUP($A15,'détails investissements'!$A$71:$B$88,2,FALSE)&lt;=0,"",IF(VLOOKUP($A15,'détails investissements'!$A$26:$DE$43,D$3-VLOOKUP($A15,'détails investissements'!$A$71:$B$88,2,FALSE)+1,FALSE)="","",VLOOKUP($A15,'détails investissements'!$A$26:$DE$43,D$3-VLOOKUP($A15,'détails investissements'!$A$71:$B$88,2,FALSE)+1,FALSE)))&lt;&gt;"",HLOOKUP(IF(D$3-VLOOKUP($A15,'détails investissements'!$A$71:$B$88,2,FALSE)&lt;=0,"",IF(VLOOKUP($A15,'détails investissements'!$A$26:$DE$43,D$3-VLOOKUP($A15,'détails investissements'!$A$71:$B$88,2,FALSE)+1,FALSE)="","",VLOOKUP($A15,'détails investissements'!$A$26:$DE$43,D$3-VLOOKUP($A15,'détails investissements'!$A$71:$B$88,2,FALSE)+1,FALSE))),'détails investissements'!$U$6:$AB$7,2,FALSE),"")&lt;&gt;"",VLOOKUP($A15,'détails investissements'!$A$7:$H$21,1+IF(IF(D$3-VLOOKUP($A15,'détails investissements'!$A$71:$B$88,2,FALSE)&lt;=0,"",IF(VLOOKUP($A15,'détails investissements'!$A$26:$DE$43,D$3-VLOOKUP($A15,'détails investissements'!$A$71:$B$88,2,FALSE)+1,FALSE)="","",VLOOKUP($A15,'détails investissements'!$A$26:$DE$43,D$3-VLOOKUP($A15,'détails investissements'!$A$71:$B$88,2,FALSE)+1,FALSE)))&lt;&gt;"",HLOOKUP(IF(D$3-VLOOKUP($A15,'détails investissements'!$A$71:$B$88,2,FALSE)&lt;=0,"",IF(VLOOKUP($A15,'détails investissements'!$A$26:$DE$43,D$3-VLOOKUP($A15,'détails investissements'!$A$71:$B$88,2,FALSE)+1,FALSE)="","",VLOOKUP($A15,'détails investissements'!$A$26:$DE$43,D$3-VLOOKUP($A15,'détails investissements'!$A$71:$B$88,2,FALSE)+1,FALSE))),'détails investissements'!$U$6:$AB$7,2,FALSE),""),FALSE),"")</f>
        <v/>
      </c>
      <c r="E15" s="45" t="str">
        <f>IF(IF(IF(E$3-VLOOKUP($A15,'détails investissements'!$A$71:$B$88,2,FALSE)&lt;=0,"",IF(VLOOKUP($A15,'détails investissements'!$A$26:$DE$43,E$3-VLOOKUP($A15,'détails investissements'!$A$71:$B$88,2,FALSE)+1,FALSE)="","",VLOOKUP($A15,'détails investissements'!$A$26:$DE$43,E$3-VLOOKUP($A15,'détails investissements'!$A$71:$B$88,2,FALSE)+1,FALSE)))&lt;&gt;"",HLOOKUP(IF(E$3-VLOOKUP($A15,'détails investissements'!$A$71:$B$88,2,FALSE)&lt;=0,"",IF(VLOOKUP($A15,'détails investissements'!$A$26:$DE$43,E$3-VLOOKUP($A15,'détails investissements'!$A$71:$B$88,2,FALSE)+1,FALSE)="","",VLOOKUP($A15,'détails investissements'!$A$26:$DE$43,E$3-VLOOKUP($A15,'détails investissements'!$A$71:$B$88,2,FALSE)+1,FALSE))),'détails investissements'!$U$6:$AB$7,2,FALSE),"")&lt;&gt;"",VLOOKUP($A15,'détails investissements'!$A$7:$H$21,1+IF(IF(E$3-VLOOKUP($A15,'détails investissements'!$A$71:$B$88,2,FALSE)&lt;=0,"",IF(VLOOKUP($A15,'détails investissements'!$A$26:$DE$43,E$3-VLOOKUP($A15,'détails investissements'!$A$71:$B$88,2,FALSE)+1,FALSE)="","",VLOOKUP($A15,'détails investissements'!$A$26:$DE$43,E$3-VLOOKUP($A15,'détails investissements'!$A$71:$B$88,2,FALSE)+1,FALSE)))&lt;&gt;"",HLOOKUP(IF(E$3-VLOOKUP($A15,'détails investissements'!$A$71:$B$88,2,FALSE)&lt;=0,"",IF(VLOOKUP($A15,'détails investissements'!$A$26:$DE$43,E$3-VLOOKUP($A15,'détails investissements'!$A$71:$B$88,2,FALSE)+1,FALSE)="","",VLOOKUP($A15,'détails investissements'!$A$26:$DE$43,E$3-VLOOKUP($A15,'détails investissements'!$A$71:$B$88,2,FALSE)+1,FALSE))),'détails investissements'!$U$6:$AB$7,2,FALSE),""),FALSE),"")</f>
        <v/>
      </c>
      <c r="F15" s="45" t="str">
        <f>IF(IF(IF(F$3-VLOOKUP($A15,'détails investissements'!$A$71:$B$88,2,FALSE)&lt;=0,"",IF(VLOOKUP($A15,'détails investissements'!$A$26:$DE$43,F$3-VLOOKUP($A15,'détails investissements'!$A$71:$B$88,2,FALSE)+1,FALSE)="","",VLOOKUP($A15,'détails investissements'!$A$26:$DE$43,F$3-VLOOKUP($A15,'détails investissements'!$A$71:$B$88,2,FALSE)+1,FALSE)))&lt;&gt;"",HLOOKUP(IF(F$3-VLOOKUP($A15,'détails investissements'!$A$71:$B$88,2,FALSE)&lt;=0,"",IF(VLOOKUP($A15,'détails investissements'!$A$26:$DE$43,F$3-VLOOKUP($A15,'détails investissements'!$A$71:$B$88,2,FALSE)+1,FALSE)="","",VLOOKUP($A15,'détails investissements'!$A$26:$DE$43,F$3-VLOOKUP($A15,'détails investissements'!$A$71:$B$88,2,FALSE)+1,FALSE))),'détails investissements'!$U$6:$AB$7,2,FALSE),"")&lt;&gt;"",VLOOKUP($A15,'détails investissements'!$A$7:$H$21,1+IF(IF(F$3-VLOOKUP($A15,'détails investissements'!$A$71:$B$88,2,FALSE)&lt;=0,"",IF(VLOOKUP($A15,'détails investissements'!$A$26:$DE$43,F$3-VLOOKUP($A15,'détails investissements'!$A$71:$B$88,2,FALSE)+1,FALSE)="","",VLOOKUP($A15,'détails investissements'!$A$26:$DE$43,F$3-VLOOKUP($A15,'détails investissements'!$A$71:$B$88,2,FALSE)+1,FALSE)))&lt;&gt;"",HLOOKUP(IF(F$3-VLOOKUP($A15,'détails investissements'!$A$71:$B$88,2,FALSE)&lt;=0,"",IF(VLOOKUP($A15,'détails investissements'!$A$26:$DE$43,F$3-VLOOKUP($A15,'détails investissements'!$A$71:$B$88,2,FALSE)+1,FALSE)="","",VLOOKUP($A15,'détails investissements'!$A$26:$DE$43,F$3-VLOOKUP($A15,'détails investissements'!$A$71:$B$88,2,FALSE)+1,FALSE))),'détails investissements'!$U$6:$AB$7,2,FALSE),""),FALSE),"")</f>
        <v/>
      </c>
      <c r="G15" s="45" t="str">
        <f>IF(IF(IF(G$3-VLOOKUP($A15,'détails investissements'!$A$71:$B$88,2,FALSE)&lt;=0,"",IF(VLOOKUP($A15,'détails investissements'!$A$26:$DE$43,G$3-VLOOKUP($A15,'détails investissements'!$A$71:$B$88,2,FALSE)+1,FALSE)="","",VLOOKUP($A15,'détails investissements'!$A$26:$DE$43,G$3-VLOOKUP($A15,'détails investissements'!$A$71:$B$88,2,FALSE)+1,FALSE)))&lt;&gt;"",HLOOKUP(IF(G$3-VLOOKUP($A15,'détails investissements'!$A$71:$B$88,2,FALSE)&lt;=0,"",IF(VLOOKUP($A15,'détails investissements'!$A$26:$DE$43,G$3-VLOOKUP($A15,'détails investissements'!$A$71:$B$88,2,FALSE)+1,FALSE)="","",VLOOKUP($A15,'détails investissements'!$A$26:$DE$43,G$3-VLOOKUP($A15,'détails investissements'!$A$71:$B$88,2,FALSE)+1,FALSE))),'détails investissements'!$U$6:$AB$7,2,FALSE),"")&lt;&gt;"",VLOOKUP($A15,'détails investissements'!$A$7:$H$21,1+IF(IF(G$3-VLOOKUP($A15,'détails investissements'!$A$71:$B$88,2,FALSE)&lt;=0,"",IF(VLOOKUP($A15,'détails investissements'!$A$26:$DE$43,G$3-VLOOKUP($A15,'détails investissements'!$A$71:$B$88,2,FALSE)+1,FALSE)="","",VLOOKUP($A15,'détails investissements'!$A$26:$DE$43,G$3-VLOOKUP($A15,'détails investissements'!$A$71:$B$88,2,FALSE)+1,FALSE)))&lt;&gt;"",HLOOKUP(IF(G$3-VLOOKUP($A15,'détails investissements'!$A$71:$B$88,2,FALSE)&lt;=0,"",IF(VLOOKUP($A15,'détails investissements'!$A$26:$DE$43,G$3-VLOOKUP($A15,'détails investissements'!$A$71:$B$88,2,FALSE)+1,FALSE)="","",VLOOKUP($A15,'détails investissements'!$A$26:$DE$43,G$3-VLOOKUP($A15,'détails investissements'!$A$71:$B$88,2,FALSE)+1,FALSE))),'détails investissements'!$U$6:$AB$7,2,FALSE),""),FALSE),"")</f>
        <v/>
      </c>
      <c r="H15" s="45" t="str">
        <f>IF(IF(IF(H$3-VLOOKUP($A15,'détails investissements'!$A$71:$B$88,2,FALSE)&lt;=0,"",IF(VLOOKUP($A15,'détails investissements'!$A$26:$DE$43,H$3-VLOOKUP($A15,'détails investissements'!$A$71:$B$88,2,FALSE)+1,FALSE)="","",VLOOKUP($A15,'détails investissements'!$A$26:$DE$43,H$3-VLOOKUP($A15,'détails investissements'!$A$71:$B$88,2,FALSE)+1,FALSE)))&lt;&gt;"",HLOOKUP(IF(H$3-VLOOKUP($A15,'détails investissements'!$A$71:$B$88,2,FALSE)&lt;=0,"",IF(VLOOKUP($A15,'détails investissements'!$A$26:$DE$43,H$3-VLOOKUP($A15,'détails investissements'!$A$71:$B$88,2,FALSE)+1,FALSE)="","",VLOOKUP($A15,'détails investissements'!$A$26:$DE$43,H$3-VLOOKUP($A15,'détails investissements'!$A$71:$B$88,2,FALSE)+1,FALSE))),'détails investissements'!$U$6:$AB$7,2,FALSE),"")&lt;&gt;"",VLOOKUP($A15,'détails investissements'!$A$7:$H$21,1+IF(IF(H$3-VLOOKUP($A15,'détails investissements'!$A$71:$B$88,2,FALSE)&lt;=0,"",IF(VLOOKUP($A15,'détails investissements'!$A$26:$DE$43,H$3-VLOOKUP($A15,'détails investissements'!$A$71:$B$88,2,FALSE)+1,FALSE)="","",VLOOKUP($A15,'détails investissements'!$A$26:$DE$43,H$3-VLOOKUP($A15,'détails investissements'!$A$71:$B$88,2,FALSE)+1,FALSE)))&lt;&gt;"",HLOOKUP(IF(H$3-VLOOKUP($A15,'détails investissements'!$A$71:$B$88,2,FALSE)&lt;=0,"",IF(VLOOKUP($A15,'détails investissements'!$A$26:$DE$43,H$3-VLOOKUP($A15,'détails investissements'!$A$71:$B$88,2,FALSE)+1,FALSE)="","",VLOOKUP($A15,'détails investissements'!$A$26:$DE$43,H$3-VLOOKUP($A15,'détails investissements'!$A$71:$B$88,2,FALSE)+1,FALSE))),'détails investissements'!$U$6:$AB$7,2,FALSE),""),FALSE),"")</f>
        <v/>
      </c>
      <c r="I15" s="45" t="str">
        <f>IF(IF(IF(I$3-VLOOKUP($A15,'détails investissements'!$A$71:$B$88,2,FALSE)&lt;=0,"",IF(VLOOKUP($A15,'détails investissements'!$A$26:$DE$43,I$3-VLOOKUP($A15,'détails investissements'!$A$71:$B$88,2,FALSE)+1,FALSE)="","",VLOOKUP($A15,'détails investissements'!$A$26:$DE$43,I$3-VLOOKUP($A15,'détails investissements'!$A$71:$B$88,2,FALSE)+1,FALSE)))&lt;&gt;"",HLOOKUP(IF(I$3-VLOOKUP($A15,'détails investissements'!$A$71:$B$88,2,FALSE)&lt;=0,"",IF(VLOOKUP($A15,'détails investissements'!$A$26:$DE$43,I$3-VLOOKUP($A15,'détails investissements'!$A$71:$B$88,2,FALSE)+1,FALSE)="","",VLOOKUP($A15,'détails investissements'!$A$26:$DE$43,I$3-VLOOKUP($A15,'détails investissements'!$A$71:$B$88,2,FALSE)+1,FALSE))),'détails investissements'!$U$6:$AB$7,2,FALSE),"")&lt;&gt;"",VLOOKUP($A15,'détails investissements'!$A$7:$H$21,1+IF(IF(I$3-VLOOKUP($A15,'détails investissements'!$A$71:$B$88,2,FALSE)&lt;=0,"",IF(VLOOKUP($A15,'détails investissements'!$A$26:$DE$43,I$3-VLOOKUP($A15,'détails investissements'!$A$71:$B$88,2,FALSE)+1,FALSE)="","",VLOOKUP($A15,'détails investissements'!$A$26:$DE$43,I$3-VLOOKUP($A15,'détails investissements'!$A$71:$B$88,2,FALSE)+1,FALSE)))&lt;&gt;"",HLOOKUP(IF(I$3-VLOOKUP($A15,'détails investissements'!$A$71:$B$88,2,FALSE)&lt;=0,"",IF(VLOOKUP($A15,'détails investissements'!$A$26:$DE$43,I$3-VLOOKUP($A15,'détails investissements'!$A$71:$B$88,2,FALSE)+1,FALSE)="","",VLOOKUP($A15,'détails investissements'!$A$26:$DE$43,I$3-VLOOKUP($A15,'détails investissements'!$A$71:$B$88,2,FALSE)+1,FALSE))),'détails investissements'!$U$6:$AB$7,2,FALSE),""),FALSE),"")</f>
        <v/>
      </c>
      <c r="J15" s="45" t="str">
        <f>IF(IF(IF(J$3-VLOOKUP($A15,'détails investissements'!$A$71:$B$88,2,FALSE)&lt;=0,"",IF(VLOOKUP($A15,'détails investissements'!$A$26:$DE$43,J$3-VLOOKUP($A15,'détails investissements'!$A$71:$B$88,2,FALSE)+1,FALSE)="","",VLOOKUP($A15,'détails investissements'!$A$26:$DE$43,J$3-VLOOKUP($A15,'détails investissements'!$A$71:$B$88,2,FALSE)+1,FALSE)))&lt;&gt;"",HLOOKUP(IF(J$3-VLOOKUP($A15,'détails investissements'!$A$71:$B$88,2,FALSE)&lt;=0,"",IF(VLOOKUP($A15,'détails investissements'!$A$26:$DE$43,J$3-VLOOKUP($A15,'détails investissements'!$A$71:$B$88,2,FALSE)+1,FALSE)="","",VLOOKUP($A15,'détails investissements'!$A$26:$DE$43,J$3-VLOOKUP($A15,'détails investissements'!$A$71:$B$88,2,FALSE)+1,FALSE))),'détails investissements'!$U$6:$AB$7,2,FALSE),"")&lt;&gt;"",VLOOKUP($A15,'détails investissements'!$A$7:$H$21,1+IF(IF(J$3-VLOOKUP($A15,'détails investissements'!$A$71:$B$88,2,FALSE)&lt;=0,"",IF(VLOOKUP($A15,'détails investissements'!$A$26:$DE$43,J$3-VLOOKUP($A15,'détails investissements'!$A$71:$B$88,2,FALSE)+1,FALSE)="","",VLOOKUP($A15,'détails investissements'!$A$26:$DE$43,J$3-VLOOKUP($A15,'détails investissements'!$A$71:$B$88,2,FALSE)+1,FALSE)))&lt;&gt;"",HLOOKUP(IF(J$3-VLOOKUP($A15,'détails investissements'!$A$71:$B$88,2,FALSE)&lt;=0,"",IF(VLOOKUP($A15,'détails investissements'!$A$26:$DE$43,J$3-VLOOKUP($A15,'détails investissements'!$A$71:$B$88,2,FALSE)+1,FALSE)="","",VLOOKUP($A15,'détails investissements'!$A$26:$DE$43,J$3-VLOOKUP($A15,'détails investissements'!$A$71:$B$88,2,FALSE)+1,FALSE))),'détails investissements'!$U$6:$AB$7,2,FALSE),""),FALSE),"")</f>
        <v/>
      </c>
      <c r="K15" s="45" t="str">
        <f>IF(IF(IF(K$3-VLOOKUP($A15,'détails investissements'!$A$71:$B$88,2,FALSE)&lt;=0,"",IF(VLOOKUP($A15,'détails investissements'!$A$26:$DE$43,K$3-VLOOKUP($A15,'détails investissements'!$A$71:$B$88,2,FALSE)+1,FALSE)="","",VLOOKUP($A15,'détails investissements'!$A$26:$DE$43,K$3-VLOOKUP($A15,'détails investissements'!$A$71:$B$88,2,FALSE)+1,FALSE)))&lt;&gt;"",HLOOKUP(IF(K$3-VLOOKUP($A15,'détails investissements'!$A$71:$B$88,2,FALSE)&lt;=0,"",IF(VLOOKUP($A15,'détails investissements'!$A$26:$DE$43,K$3-VLOOKUP($A15,'détails investissements'!$A$71:$B$88,2,FALSE)+1,FALSE)="","",VLOOKUP($A15,'détails investissements'!$A$26:$DE$43,K$3-VLOOKUP($A15,'détails investissements'!$A$71:$B$88,2,FALSE)+1,FALSE))),'détails investissements'!$U$6:$AB$7,2,FALSE),"")&lt;&gt;"",VLOOKUP($A15,'détails investissements'!$A$7:$H$21,1+IF(IF(K$3-VLOOKUP($A15,'détails investissements'!$A$71:$B$88,2,FALSE)&lt;=0,"",IF(VLOOKUP($A15,'détails investissements'!$A$26:$DE$43,K$3-VLOOKUP($A15,'détails investissements'!$A$71:$B$88,2,FALSE)+1,FALSE)="","",VLOOKUP($A15,'détails investissements'!$A$26:$DE$43,K$3-VLOOKUP($A15,'détails investissements'!$A$71:$B$88,2,FALSE)+1,FALSE)))&lt;&gt;"",HLOOKUP(IF(K$3-VLOOKUP($A15,'détails investissements'!$A$71:$B$88,2,FALSE)&lt;=0,"",IF(VLOOKUP($A15,'détails investissements'!$A$26:$DE$43,K$3-VLOOKUP($A15,'détails investissements'!$A$71:$B$88,2,FALSE)+1,FALSE)="","",VLOOKUP($A15,'détails investissements'!$A$26:$DE$43,K$3-VLOOKUP($A15,'détails investissements'!$A$71:$B$88,2,FALSE)+1,FALSE))),'détails investissements'!$U$6:$AB$7,2,FALSE),""),FALSE),"")</f>
        <v/>
      </c>
      <c r="L15" s="45" t="str">
        <f>IF(IF(IF(L$3-VLOOKUP($A15,'détails investissements'!$A$71:$B$88,2,FALSE)&lt;=0,"",IF(VLOOKUP($A15,'détails investissements'!$A$26:$DE$43,L$3-VLOOKUP($A15,'détails investissements'!$A$71:$B$88,2,FALSE)+1,FALSE)="","",VLOOKUP($A15,'détails investissements'!$A$26:$DE$43,L$3-VLOOKUP($A15,'détails investissements'!$A$71:$B$88,2,FALSE)+1,FALSE)))&lt;&gt;"",HLOOKUP(IF(L$3-VLOOKUP($A15,'détails investissements'!$A$71:$B$88,2,FALSE)&lt;=0,"",IF(VLOOKUP($A15,'détails investissements'!$A$26:$DE$43,L$3-VLOOKUP($A15,'détails investissements'!$A$71:$B$88,2,FALSE)+1,FALSE)="","",VLOOKUP($A15,'détails investissements'!$A$26:$DE$43,L$3-VLOOKUP($A15,'détails investissements'!$A$71:$B$88,2,FALSE)+1,FALSE))),'détails investissements'!$U$6:$AB$7,2,FALSE),"")&lt;&gt;"",VLOOKUP($A15,'détails investissements'!$A$7:$H$21,1+IF(IF(L$3-VLOOKUP($A15,'détails investissements'!$A$71:$B$88,2,FALSE)&lt;=0,"",IF(VLOOKUP($A15,'détails investissements'!$A$26:$DE$43,L$3-VLOOKUP($A15,'détails investissements'!$A$71:$B$88,2,FALSE)+1,FALSE)="","",VLOOKUP($A15,'détails investissements'!$A$26:$DE$43,L$3-VLOOKUP($A15,'détails investissements'!$A$71:$B$88,2,FALSE)+1,FALSE)))&lt;&gt;"",HLOOKUP(IF(L$3-VLOOKUP($A15,'détails investissements'!$A$71:$B$88,2,FALSE)&lt;=0,"",IF(VLOOKUP($A15,'détails investissements'!$A$26:$DE$43,L$3-VLOOKUP($A15,'détails investissements'!$A$71:$B$88,2,FALSE)+1,FALSE)="","",VLOOKUP($A15,'détails investissements'!$A$26:$DE$43,L$3-VLOOKUP($A15,'détails investissements'!$A$71:$B$88,2,FALSE)+1,FALSE))),'détails investissements'!$U$6:$AB$7,2,FALSE),""),FALSE),"")</f>
        <v/>
      </c>
      <c r="M15" s="45" t="str">
        <f>IF(IF(IF(M$3-VLOOKUP($A15,'détails investissements'!$A$71:$B$88,2,FALSE)&lt;=0,"",IF(VLOOKUP($A15,'détails investissements'!$A$26:$DE$43,M$3-VLOOKUP($A15,'détails investissements'!$A$71:$B$88,2,FALSE)+1,FALSE)="","",VLOOKUP($A15,'détails investissements'!$A$26:$DE$43,M$3-VLOOKUP($A15,'détails investissements'!$A$71:$B$88,2,FALSE)+1,FALSE)))&lt;&gt;"",HLOOKUP(IF(M$3-VLOOKUP($A15,'détails investissements'!$A$71:$B$88,2,FALSE)&lt;=0,"",IF(VLOOKUP($A15,'détails investissements'!$A$26:$DE$43,M$3-VLOOKUP($A15,'détails investissements'!$A$71:$B$88,2,FALSE)+1,FALSE)="","",VLOOKUP($A15,'détails investissements'!$A$26:$DE$43,M$3-VLOOKUP($A15,'détails investissements'!$A$71:$B$88,2,FALSE)+1,FALSE))),'détails investissements'!$U$6:$AB$7,2,FALSE),"")&lt;&gt;"",VLOOKUP($A15,'détails investissements'!$A$7:$H$21,1+IF(IF(M$3-VLOOKUP($A15,'détails investissements'!$A$71:$B$88,2,FALSE)&lt;=0,"",IF(VLOOKUP($A15,'détails investissements'!$A$26:$DE$43,M$3-VLOOKUP($A15,'détails investissements'!$A$71:$B$88,2,FALSE)+1,FALSE)="","",VLOOKUP($A15,'détails investissements'!$A$26:$DE$43,M$3-VLOOKUP($A15,'détails investissements'!$A$71:$B$88,2,FALSE)+1,FALSE)))&lt;&gt;"",HLOOKUP(IF(M$3-VLOOKUP($A15,'détails investissements'!$A$71:$B$88,2,FALSE)&lt;=0,"",IF(VLOOKUP($A15,'détails investissements'!$A$26:$DE$43,M$3-VLOOKUP($A15,'détails investissements'!$A$71:$B$88,2,FALSE)+1,FALSE)="","",VLOOKUP($A15,'détails investissements'!$A$26:$DE$43,M$3-VLOOKUP($A15,'détails investissements'!$A$71:$B$88,2,FALSE)+1,FALSE))),'détails investissements'!$U$6:$AB$7,2,FALSE),""),FALSE),"")</f>
        <v/>
      </c>
      <c r="N15" s="45" t="str">
        <f>IF(IF(IF(N$3-VLOOKUP($A15,'détails investissements'!$A$71:$B$88,2,FALSE)&lt;=0,"",IF(VLOOKUP($A15,'détails investissements'!$A$26:$DE$43,N$3-VLOOKUP($A15,'détails investissements'!$A$71:$B$88,2,FALSE)+1,FALSE)="","",VLOOKUP($A15,'détails investissements'!$A$26:$DE$43,N$3-VLOOKUP($A15,'détails investissements'!$A$71:$B$88,2,FALSE)+1,FALSE)))&lt;&gt;"",HLOOKUP(IF(N$3-VLOOKUP($A15,'détails investissements'!$A$71:$B$88,2,FALSE)&lt;=0,"",IF(VLOOKUP($A15,'détails investissements'!$A$26:$DE$43,N$3-VLOOKUP($A15,'détails investissements'!$A$71:$B$88,2,FALSE)+1,FALSE)="","",VLOOKUP($A15,'détails investissements'!$A$26:$DE$43,N$3-VLOOKUP($A15,'détails investissements'!$A$71:$B$88,2,FALSE)+1,FALSE))),'détails investissements'!$U$6:$AB$7,2,FALSE),"")&lt;&gt;"",VLOOKUP($A15,'détails investissements'!$A$7:$H$21,1+IF(IF(N$3-VLOOKUP($A15,'détails investissements'!$A$71:$B$88,2,FALSE)&lt;=0,"",IF(VLOOKUP($A15,'détails investissements'!$A$26:$DE$43,N$3-VLOOKUP($A15,'détails investissements'!$A$71:$B$88,2,FALSE)+1,FALSE)="","",VLOOKUP($A15,'détails investissements'!$A$26:$DE$43,N$3-VLOOKUP($A15,'détails investissements'!$A$71:$B$88,2,FALSE)+1,FALSE)))&lt;&gt;"",HLOOKUP(IF(N$3-VLOOKUP($A15,'détails investissements'!$A$71:$B$88,2,FALSE)&lt;=0,"",IF(VLOOKUP($A15,'détails investissements'!$A$26:$DE$43,N$3-VLOOKUP($A15,'détails investissements'!$A$71:$B$88,2,FALSE)+1,FALSE)="","",VLOOKUP($A15,'détails investissements'!$A$26:$DE$43,N$3-VLOOKUP($A15,'détails investissements'!$A$71:$B$88,2,FALSE)+1,FALSE))),'détails investissements'!$U$6:$AB$7,2,FALSE),""),FALSE),"")</f>
        <v/>
      </c>
      <c r="O15" s="45" t="str">
        <f>IF(IF(IF(O$3-VLOOKUP($A15,'détails investissements'!$A$71:$B$88,2,FALSE)&lt;=0,"",IF(VLOOKUP($A15,'détails investissements'!$A$26:$DE$43,O$3-VLOOKUP($A15,'détails investissements'!$A$71:$B$88,2,FALSE)+1,FALSE)="","",VLOOKUP($A15,'détails investissements'!$A$26:$DE$43,O$3-VLOOKUP($A15,'détails investissements'!$A$71:$B$88,2,FALSE)+1,FALSE)))&lt;&gt;"",HLOOKUP(IF(O$3-VLOOKUP($A15,'détails investissements'!$A$71:$B$88,2,FALSE)&lt;=0,"",IF(VLOOKUP($A15,'détails investissements'!$A$26:$DE$43,O$3-VLOOKUP($A15,'détails investissements'!$A$71:$B$88,2,FALSE)+1,FALSE)="","",VLOOKUP($A15,'détails investissements'!$A$26:$DE$43,O$3-VLOOKUP($A15,'détails investissements'!$A$71:$B$88,2,FALSE)+1,FALSE))),'détails investissements'!$U$6:$AB$7,2,FALSE),"")&lt;&gt;"",VLOOKUP($A15,'détails investissements'!$A$7:$H$21,1+IF(IF(O$3-VLOOKUP($A15,'détails investissements'!$A$71:$B$88,2,FALSE)&lt;=0,"",IF(VLOOKUP($A15,'détails investissements'!$A$26:$DE$43,O$3-VLOOKUP($A15,'détails investissements'!$A$71:$B$88,2,FALSE)+1,FALSE)="","",VLOOKUP($A15,'détails investissements'!$A$26:$DE$43,O$3-VLOOKUP($A15,'détails investissements'!$A$71:$B$88,2,FALSE)+1,FALSE)))&lt;&gt;"",HLOOKUP(IF(O$3-VLOOKUP($A15,'détails investissements'!$A$71:$B$88,2,FALSE)&lt;=0,"",IF(VLOOKUP($A15,'détails investissements'!$A$26:$DE$43,O$3-VLOOKUP($A15,'détails investissements'!$A$71:$B$88,2,FALSE)+1,FALSE)="","",VLOOKUP($A15,'détails investissements'!$A$26:$DE$43,O$3-VLOOKUP($A15,'détails investissements'!$A$71:$B$88,2,FALSE)+1,FALSE))),'détails investissements'!$U$6:$AB$7,2,FALSE),""),FALSE),"")</f>
        <v/>
      </c>
      <c r="P15" s="45" t="str">
        <f>IF(IF(IF(P$3-VLOOKUP($A15,'détails investissements'!$A$71:$B$88,2,FALSE)&lt;=0,"",IF(VLOOKUP($A15,'détails investissements'!$A$26:$DE$43,P$3-VLOOKUP($A15,'détails investissements'!$A$71:$B$88,2,FALSE)+1,FALSE)="","",VLOOKUP($A15,'détails investissements'!$A$26:$DE$43,P$3-VLOOKUP($A15,'détails investissements'!$A$71:$B$88,2,FALSE)+1,FALSE)))&lt;&gt;"",HLOOKUP(IF(P$3-VLOOKUP($A15,'détails investissements'!$A$71:$B$88,2,FALSE)&lt;=0,"",IF(VLOOKUP($A15,'détails investissements'!$A$26:$DE$43,P$3-VLOOKUP($A15,'détails investissements'!$A$71:$B$88,2,FALSE)+1,FALSE)="","",VLOOKUP($A15,'détails investissements'!$A$26:$DE$43,P$3-VLOOKUP($A15,'détails investissements'!$A$71:$B$88,2,FALSE)+1,FALSE))),'détails investissements'!$U$6:$AB$7,2,FALSE),"")&lt;&gt;"",VLOOKUP($A15,'détails investissements'!$A$7:$H$21,1+IF(IF(P$3-VLOOKUP($A15,'détails investissements'!$A$71:$B$88,2,FALSE)&lt;=0,"",IF(VLOOKUP($A15,'détails investissements'!$A$26:$DE$43,P$3-VLOOKUP($A15,'détails investissements'!$A$71:$B$88,2,FALSE)+1,FALSE)="","",VLOOKUP($A15,'détails investissements'!$A$26:$DE$43,P$3-VLOOKUP($A15,'détails investissements'!$A$71:$B$88,2,FALSE)+1,FALSE)))&lt;&gt;"",HLOOKUP(IF(P$3-VLOOKUP($A15,'détails investissements'!$A$71:$B$88,2,FALSE)&lt;=0,"",IF(VLOOKUP($A15,'détails investissements'!$A$26:$DE$43,P$3-VLOOKUP($A15,'détails investissements'!$A$71:$B$88,2,FALSE)+1,FALSE)="","",VLOOKUP($A15,'détails investissements'!$A$26:$DE$43,P$3-VLOOKUP($A15,'détails investissements'!$A$71:$B$88,2,FALSE)+1,FALSE))),'détails investissements'!$U$6:$AB$7,2,FALSE),""),FALSE),"")</f>
        <v/>
      </c>
      <c r="Q15" s="45" t="str">
        <f>IF(IF(IF(Q$3-VLOOKUP($A15,'détails investissements'!$A$71:$B$88,2,FALSE)&lt;=0,"",IF(VLOOKUP($A15,'détails investissements'!$A$26:$DE$43,Q$3-VLOOKUP($A15,'détails investissements'!$A$71:$B$88,2,FALSE)+1,FALSE)="","",VLOOKUP($A15,'détails investissements'!$A$26:$DE$43,Q$3-VLOOKUP($A15,'détails investissements'!$A$71:$B$88,2,FALSE)+1,FALSE)))&lt;&gt;"",HLOOKUP(IF(Q$3-VLOOKUP($A15,'détails investissements'!$A$71:$B$88,2,FALSE)&lt;=0,"",IF(VLOOKUP($A15,'détails investissements'!$A$26:$DE$43,Q$3-VLOOKUP($A15,'détails investissements'!$A$71:$B$88,2,FALSE)+1,FALSE)="","",VLOOKUP($A15,'détails investissements'!$A$26:$DE$43,Q$3-VLOOKUP($A15,'détails investissements'!$A$71:$B$88,2,FALSE)+1,FALSE))),'détails investissements'!$U$6:$AB$7,2,FALSE),"")&lt;&gt;"",VLOOKUP($A15,'détails investissements'!$A$7:$H$21,1+IF(IF(Q$3-VLOOKUP($A15,'détails investissements'!$A$71:$B$88,2,FALSE)&lt;=0,"",IF(VLOOKUP($A15,'détails investissements'!$A$26:$DE$43,Q$3-VLOOKUP($A15,'détails investissements'!$A$71:$B$88,2,FALSE)+1,FALSE)="","",VLOOKUP($A15,'détails investissements'!$A$26:$DE$43,Q$3-VLOOKUP($A15,'détails investissements'!$A$71:$B$88,2,FALSE)+1,FALSE)))&lt;&gt;"",HLOOKUP(IF(Q$3-VLOOKUP($A15,'détails investissements'!$A$71:$B$88,2,FALSE)&lt;=0,"",IF(VLOOKUP($A15,'détails investissements'!$A$26:$DE$43,Q$3-VLOOKUP($A15,'détails investissements'!$A$71:$B$88,2,FALSE)+1,FALSE)="","",VLOOKUP($A15,'détails investissements'!$A$26:$DE$43,Q$3-VLOOKUP($A15,'détails investissements'!$A$71:$B$88,2,FALSE)+1,FALSE))),'détails investissements'!$U$6:$AB$7,2,FALSE),""),FALSE),"")</f>
        <v/>
      </c>
      <c r="R15" s="45" t="str">
        <f>IF(IF(IF(R$3-VLOOKUP($A15,'détails investissements'!$A$71:$B$88,2,FALSE)&lt;=0,"",IF(VLOOKUP($A15,'détails investissements'!$A$26:$DE$43,R$3-VLOOKUP($A15,'détails investissements'!$A$71:$B$88,2,FALSE)+1,FALSE)="","",VLOOKUP($A15,'détails investissements'!$A$26:$DE$43,R$3-VLOOKUP($A15,'détails investissements'!$A$71:$B$88,2,FALSE)+1,FALSE)))&lt;&gt;"",HLOOKUP(IF(R$3-VLOOKUP($A15,'détails investissements'!$A$71:$B$88,2,FALSE)&lt;=0,"",IF(VLOOKUP($A15,'détails investissements'!$A$26:$DE$43,R$3-VLOOKUP($A15,'détails investissements'!$A$71:$B$88,2,FALSE)+1,FALSE)="","",VLOOKUP($A15,'détails investissements'!$A$26:$DE$43,R$3-VLOOKUP($A15,'détails investissements'!$A$71:$B$88,2,FALSE)+1,FALSE))),'détails investissements'!$U$6:$AB$7,2,FALSE),"")&lt;&gt;"",VLOOKUP($A15,'détails investissements'!$A$7:$H$21,1+IF(IF(R$3-VLOOKUP($A15,'détails investissements'!$A$71:$B$88,2,FALSE)&lt;=0,"",IF(VLOOKUP($A15,'détails investissements'!$A$26:$DE$43,R$3-VLOOKUP($A15,'détails investissements'!$A$71:$B$88,2,FALSE)+1,FALSE)="","",VLOOKUP($A15,'détails investissements'!$A$26:$DE$43,R$3-VLOOKUP($A15,'détails investissements'!$A$71:$B$88,2,FALSE)+1,FALSE)))&lt;&gt;"",HLOOKUP(IF(R$3-VLOOKUP($A15,'détails investissements'!$A$71:$B$88,2,FALSE)&lt;=0,"",IF(VLOOKUP($A15,'détails investissements'!$A$26:$DE$43,R$3-VLOOKUP($A15,'détails investissements'!$A$71:$B$88,2,FALSE)+1,FALSE)="","",VLOOKUP($A15,'détails investissements'!$A$26:$DE$43,R$3-VLOOKUP($A15,'détails investissements'!$A$71:$B$88,2,FALSE)+1,FALSE))),'détails investissements'!$U$6:$AB$7,2,FALSE),""),FALSE),"")</f>
        <v/>
      </c>
      <c r="S15" s="45" t="str">
        <f>IF(IF(IF(S$3-VLOOKUP($A15,'détails investissements'!$A$71:$B$88,2,FALSE)&lt;=0,"",IF(VLOOKUP($A15,'détails investissements'!$A$26:$DE$43,S$3-VLOOKUP($A15,'détails investissements'!$A$71:$B$88,2,FALSE)+1,FALSE)="","",VLOOKUP($A15,'détails investissements'!$A$26:$DE$43,S$3-VLOOKUP($A15,'détails investissements'!$A$71:$B$88,2,FALSE)+1,FALSE)))&lt;&gt;"",HLOOKUP(IF(S$3-VLOOKUP($A15,'détails investissements'!$A$71:$B$88,2,FALSE)&lt;=0,"",IF(VLOOKUP($A15,'détails investissements'!$A$26:$DE$43,S$3-VLOOKUP($A15,'détails investissements'!$A$71:$B$88,2,FALSE)+1,FALSE)="","",VLOOKUP($A15,'détails investissements'!$A$26:$DE$43,S$3-VLOOKUP($A15,'détails investissements'!$A$71:$B$88,2,FALSE)+1,FALSE))),'détails investissements'!$U$6:$AB$7,2,FALSE),"")&lt;&gt;"",VLOOKUP($A15,'détails investissements'!$A$7:$H$21,1+IF(IF(S$3-VLOOKUP($A15,'détails investissements'!$A$71:$B$88,2,FALSE)&lt;=0,"",IF(VLOOKUP($A15,'détails investissements'!$A$26:$DE$43,S$3-VLOOKUP($A15,'détails investissements'!$A$71:$B$88,2,FALSE)+1,FALSE)="","",VLOOKUP($A15,'détails investissements'!$A$26:$DE$43,S$3-VLOOKUP($A15,'détails investissements'!$A$71:$B$88,2,FALSE)+1,FALSE)))&lt;&gt;"",HLOOKUP(IF(S$3-VLOOKUP($A15,'détails investissements'!$A$71:$B$88,2,FALSE)&lt;=0,"",IF(VLOOKUP($A15,'détails investissements'!$A$26:$DE$43,S$3-VLOOKUP($A15,'détails investissements'!$A$71:$B$88,2,FALSE)+1,FALSE)="","",VLOOKUP($A15,'détails investissements'!$A$26:$DE$43,S$3-VLOOKUP($A15,'détails investissements'!$A$71:$B$88,2,FALSE)+1,FALSE))),'détails investissements'!$U$6:$AB$7,2,FALSE),""),FALSE),"")</f>
        <v/>
      </c>
      <c r="T15" s="45" t="str">
        <f>IF(IF(IF(T$3-VLOOKUP($A15,'détails investissements'!$A$71:$B$88,2,FALSE)&lt;=0,"",IF(VLOOKUP($A15,'détails investissements'!$A$26:$DE$43,T$3-VLOOKUP($A15,'détails investissements'!$A$71:$B$88,2,FALSE)+1,FALSE)="","",VLOOKUP($A15,'détails investissements'!$A$26:$DE$43,T$3-VLOOKUP($A15,'détails investissements'!$A$71:$B$88,2,FALSE)+1,FALSE)))&lt;&gt;"",HLOOKUP(IF(T$3-VLOOKUP($A15,'détails investissements'!$A$71:$B$88,2,FALSE)&lt;=0,"",IF(VLOOKUP($A15,'détails investissements'!$A$26:$DE$43,T$3-VLOOKUP($A15,'détails investissements'!$A$71:$B$88,2,FALSE)+1,FALSE)="","",VLOOKUP($A15,'détails investissements'!$A$26:$DE$43,T$3-VLOOKUP($A15,'détails investissements'!$A$71:$B$88,2,FALSE)+1,FALSE))),'détails investissements'!$U$6:$AB$7,2,FALSE),"")&lt;&gt;"",VLOOKUP($A15,'détails investissements'!$A$7:$H$21,1+IF(IF(T$3-VLOOKUP($A15,'détails investissements'!$A$71:$B$88,2,FALSE)&lt;=0,"",IF(VLOOKUP($A15,'détails investissements'!$A$26:$DE$43,T$3-VLOOKUP($A15,'détails investissements'!$A$71:$B$88,2,FALSE)+1,FALSE)="","",VLOOKUP($A15,'détails investissements'!$A$26:$DE$43,T$3-VLOOKUP($A15,'détails investissements'!$A$71:$B$88,2,FALSE)+1,FALSE)))&lt;&gt;"",HLOOKUP(IF(T$3-VLOOKUP($A15,'détails investissements'!$A$71:$B$88,2,FALSE)&lt;=0,"",IF(VLOOKUP($A15,'détails investissements'!$A$26:$DE$43,T$3-VLOOKUP($A15,'détails investissements'!$A$71:$B$88,2,FALSE)+1,FALSE)="","",VLOOKUP($A15,'détails investissements'!$A$26:$DE$43,T$3-VLOOKUP($A15,'détails investissements'!$A$71:$B$88,2,FALSE)+1,FALSE))),'détails investissements'!$U$6:$AB$7,2,FALSE),""),FALSE),"")</f>
        <v/>
      </c>
      <c r="U15" s="45" t="str">
        <f>IF(IF(IF(U$3-VLOOKUP($A15,'détails investissements'!$A$71:$B$88,2,FALSE)&lt;=0,"",IF(VLOOKUP($A15,'détails investissements'!$A$26:$DE$43,U$3-VLOOKUP($A15,'détails investissements'!$A$71:$B$88,2,FALSE)+1,FALSE)="","",VLOOKUP($A15,'détails investissements'!$A$26:$DE$43,U$3-VLOOKUP($A15,'détails investissements'!$A$71:$B$88,2,FALSE)+1,FALSE)))&lt;&gt;"",HLOOKUP(IF(U$3-VLOOKUP($A15,'détails investissements'!$A$71:$B$88,2,FALSE)&lt;=0,"",IF(VLOOKUP($A15,'détails investissements'!$A$26:$DE$43,U$3-VLOOKUP($A15,'détails investissements'!$A$71:$B$88,2,FALSE)+1,FALSE)="","",VLOOKUP($A15,'détails investissements'!$A$26:$DE$43,U$3-VLOOKUP($A15,'détails investissements'!$A$71:$B$88,2,FALSE)+1,FALSE))),'détails investissements'!$U$6:$AB$7,2,FALSE),"")&lt;&gt;"",VLOOKUP($A15,'détails investissements'!$A$7:$H$21,1+IF(IF(U$3-VLOOKUP($A15,'détails investissements'!$A$71:$B$88,2,FALSE)&lt;=0,"",IF(VLOOKUP($A15,'détails investissements'!$A$26:$DE$43,U$3-VLOOKUP($A15,'détails investissements'!$A$71:$B$88,2,FALSE)+1,FALSE)="","",VLOOKUP($A15,'détails investissements'!$A$26:$DE$43,U$3-VLOOKUP($A15,'détails investissements'!$A$71:$B$88,2,FALSE)+1,FALSE)))&lt;&gt;"",HLOOKUP(IF(U$3-VLOOKUP($A15,'détails investissements'!$A$71:$B$88,2,FALSE)&lt;=0,"",IF(VLOOKUP($A15,'détails investissements'!$A$26:$DE$43,U$3-VLOOKUP($A15,'détails investissements'!$A$71:$B$88,2,FALSE)+1,FALSE)="","",VLOOKUP($A15,'détails investissements'!$A$26:$DE$43,U$3-VLOOKUP($A15,'détails investissements'!$A$71:$B$88,2,FALSE)+1,FALSE))),'détails investissements'!$U$6:$AB$7,2,FALSE),""),FALSE),"")</f>
        <v/>
      </c>
      <c r="V15" s="45" t="str">
        <f>IF(IF(IF(V$3-VLOOKUP($A15,'détails investissements'!$A$71:$B$88,2,FALSE)&lt;=0,"",IF(VLOOKUP($A15,'détails investissements'!$A$26:$DE$43,V$3-VLOOKUP($A15,'détails investissements'!$A$71:$B$88,2,FALSE)+1,FALSE)="","",VLOOKUP($A15,'détails investissements'!$A$26:$DE$43,V$3-VLOOKUP($A15,'détails investissements'!$A$71:$B$88,2,FALSE)+1,FALSE)))&lt;&gt;"",HLOOKUP(IF(V$3-VLOOKUP($A15,'détails investissements'!$A$71:$B$88,2,FALSE)&lt;=0,"",IF(VLOOKUP($A15,'détails investissements'!$A$26:$DE$43,V$3-VLOOKUP($A15,'détails investissements'!$A$71:$B$88,2,FALSE)+1,FALSE)="","",VLOOKUP($A15,'détails investissements'!$A$26:$DE$43,V$3-VLOOKUP($A15,'détails investissements'!$A$71:$B$88,2,FALSE)+1,FALSE))),'détails investissements'!$U$6:$AB$7,2,FALSE),"")&lt;&gt;"",VLOOKUP($A15,'détails investissements'!$A$7:$H$21,1+IF(IF(V$3-VLOOKUP($A15,'détails investissements'!$A$71:$B$88,2,FALSE)&lt;=0,"",IF(VLOOKUP($A15,'détails investissements'!$A$26:$DE$43,V$3-VLOOKUP($A15,'détails investissements'!$A$71:$B$88,2,FALSE)+1,FALSE)="","",VLOOKUP($A15,'détails investissements'!$A$26:$DE$43,V$3-VLOOKUP($A15,'détails investissements'!$A$71:$B$88,2,FALSE)+1,FALSE)))&lt;&gt;"",HLOOKUP(IF(V$3-VLOOKUP($A15,'détails investissements'!$A$71:$B$88,2,FALSE)&lt;=0,"",IF(VLOOKUP($A15,'détails investissements'!$A$26:$DE$43,V$3-VLOOKUP($A15,'détails investissements'!$A$71:$B$88,2,FALSE)+1,FALSE)="","",VLOOKUP($A15,'détails investissements'!$A$26:$DE$43,V$3-VLOOKUP($A15,'détails investissements'!$A$71:$B$88,2,FALSE)+1,FALSE))),'détails investissements'!$U$6:$AB$7,2,FALSE),""),FALSE),"")</f>
        <v/>
      </c>
      <c r="W15" s="45" t="str">
        <f>IF(IF(IF(W$3-VLOOKUP($A15,'détails investissements'!$A$71:$B$88,2,FALSE)&lt;=0,"",IF(VLOOKUP($A15,'détails investissements'!$A$26:$DE$43,W$3-VLOOKUP($A15,'détails investissements'!$A$71:$B$88,2,FALSE)+1,FALSE)="","",VLOOKUP($A15,'détails investissements'!$A$26:$DE$43,W$3-VLOOKUP($A15,'détails investissements'!$A$71:$B$88,2,FALSE)+1,FALSE)))&lt;&gt;"",HLOOKUP(IF(W$3-VLOOKUP($A15,'détails investissements'!$A$71:$B$88,2,FALSE)&lt;=0,"",IF(VLOOKUP($A15,'détails investissements'!$A$26:$DE$43,W$3-VLOOKUP($A15,'détails investissements'!$A$71:$B$88,2,FALSE)+1,FALSE)="","",VLOOKUP($A15,'détails investissements'!$A$26:$DE$43,W$3-VLOOKUP($A15,'détails investissements'!$A$71:$B$88,2,FALSE)+1,FALSE))),'détails investissements'!$U$6:$AB$7,2,FALSE),"")&lt;&gt;"",VLOOKUP($A15,'détails investissements'!$A$7:$H$21,1+IF(IF(W$3-VLOOKUP($A15,'détails investissements'!$A$71:$B$88,2,FALSE)&lt;=0,"",IF(VLOOKUP($A15,'détails investissements'!$A$26:$DE$43,W$3-VLOOKUP($A15,'détails investissements'!$A$71:$B$88,2,FALSE)+1,FALSE)="","",VLOOKUP($A15,'détails investissements'!$A$26:$DE$43,W$3-VLOOKUP($A15,'détails investissements'!$A$71:$B$88,2,FALSE)+1,FALSE)))&lt;&gt;"",HLOOKUP(IF(W$3-VLOOKUP($A15,'détails investissements'!$A$71:$B$88,2,FALSE)&lt;=0,"",IF(VLOOKUP($A15,'détails investissements'!$A$26:$DE$43,W$3-VLOOKUP($A15,'détails investissements'!$A$71:$B$88,2,FALSE)+1,FALSE)="","",VLOOKUP($A15,'détails investissements'!$A$26:$DE$43,W$3-VLOOKUP($A15,'détails investissements'!$A$71:$B$88,2,FALSE)+1,FALSE))),'détails investissements'!$U$6:$AB$7,2,FALSE),""),FALSE),"")</f>
        <v/>
      </c>
      <c r="X15" s="45" t="str">
        <f>IF(IF(IF(X$3-VLOOKUP($A15,'détails investissements'!$A$71:$B$88,2,FALSE)&lt;=0,"",IF(VLOOKUP($A15,'détails investissements'!$A$26:$DE$43,X$3-VLOOKUP($A15,'détails investissements'!$A$71:$B$88,2,FALSE)+1,FALSE)="","",VLOOKUP($A15,'détails investissements'!$A$26:$DE$43,X$3-VLOOKUP($A15,'détails investissements'!$A$71:$B$88,2,FALSE)+1,FALSE)))&lt;&gt;"",HLOOKUP(IF(X$3-VLOOKUP($A15,'détails investissements'!$A$71:$B$88,2,FALSE)&lt;=0,"",IF(VLOOKUP($A15,'détails investissements'!$A$26:$DE$43,X$3-VLOOKUP($A15,'détails investissements'!$A$71:$B$88,2,FALSE)+1,FALSE)="","",VLOOKUP($A15,'détails investissements'!$A$26:$DE$43,X$3-VLOOKUP($A15,'détails investissements'!$A$71:$B$88,2,FALSE)+1,FALSE))),'détails investissements'!$U$6:$AB$7,2,FALSE),"")&lt;&gt;"",VLOOKUP($A15,'détails investissements'!$A$7:$H$21,1+IF(IF(X$3-VLOOKUP($A15,'détails investissements'!$A$71:$B$88,2,FALSE)&lt;=0,"",IF(VLOOKUP($A15,'détails investissements'!$A$26:$DE$43,X$3-VLOOKUP($A15,'détails investissements'!$A$71:$B$88,2,FALSE)+1,FALSE)="","",VLOOKUP($A15,'détails investissements'!$A$26:$DE$43,X$3-VLOOKUP($A15,'détails investissements'!$A$71:$B$88,2,FALSE)+1,FALSE)))&lt;&gt;"",HLOOKUP(IF(X$3-VLOOKUP($A15,'détails investissements'!$A$71:$B$88,2,FALSE)&lt;=0,"",IF(VLOOKUP($A15,'détails investissements'!$A$26:$DE$43,X$3-VLOOKUP($A15,'détails investissements'!$A$71:$B$88,2,FALSE)+1,FALSE)="","",VLOOKUP($A15,'détails investissements'!$A$26:$DE$43,X$3-VLOOKUP($A15,'détails investissements'!$A$71:$B$88,2,FALSE)+1,FALSE))),'détails investissements'!$U$6:$AB$7,2,FALSE),""),FALSE),"")</f>
        <v/>
      </c>
      <c r="Y15" s="45" t="str">
        <f>IF(IF(IF(Y$3-VLOOKUP($A15,'détails investissements'!$A$71:$B$88,2,FALSE)&lt;=0,"",IF(VLOOKUP($A15,'détails investissements'!$A$26:$DE$43,Y$3-VLOOKUP($A15,'détails investissements'!$A$71:$B$88,2,FALSE)+1,FALSE)="","",VLOOKUP($A15,'détails investissements'!$A$26:$DE$43,Y$3-VLOOKUP($A15,'détails investissements'!$A$71:$B$88,2,FALSE)+1,FALSE)))&lt;&gt;"",HLOOKUP(IF(Y$3-VLOOKUP($A15,'détails investissements'!$A$71:$B$88,2,FALSE)&lt;=0,"",IF(VLOOKUP($A15,'détails investissements'!$A$26:$DE$43,Y$3-VLOOKUP($A15,'détails investissements'!$A$71:$B$88,2,FALSE)+1,FALSE)="","",VLOOKUP($A15,'détails investissements'!$A$26:$DE$43,Y$3-VLOOKUP($A15,'détails investissements'!$A$71:$B$88,2,FALSE)+1,FALSE))),'détails investissements'!$U$6:$AB$7,2,FALSE),"")&lt;&gt;"",VLOOKUP($A15,'détails investissements'!$A$7:$H$21,1+IF(IF(Y$3-VLOOKUP($A15,'détails investissements'!$A$71:$B$88,2,FALSE)&lt;=0,"",IF(VLOOKUP($A15,'détails investissements'!$A$26:$DE$43,Y$3-VLOOKUP($A15,'détails investissements'!$A$71:$B$88,2,FALSE)+1,FALSE)="","",VLOOKUP($A15,'détails investissements'!$A$26:$DE$43,Y$3-VLOOKUP($A15,'détails investissements'!$A$71:$B$88,2,FALSE)+1,FALSE)))&lt;&gt;"",HLOOKUP(IF(Y$3-VLOOKUP($A15,'détails investissements'!$A$71:$B$88,2,FALSE)&lt;=0,"",IF(VLOOKUP($A15,'détails investissements'!$A$26:$DE$43,Y$3-VLOOKUP($A15,'détails investissements'!$A$71:$B$88,2,FALSE)+1,FALSE)="","",VLOOKUP($A15,'détails investissements'!$A$26:$DE$43,Y$3-VLOOKUP($A15,'détails investissements'!$A$71:$B$88,2,FALSE)+1,FALSE))),'détails investissements'!$U$6:$AB$7,2,FALSE),""),FALSE),"")</f>
        <v/>
      </c>
      <c r="Z15" s="45" t="str">
        <f>IF(IF(IF(Z$3-VLOOKUP($A15,'détails investissements'!$A$71:$B$88,2,FALSE)&lt;=0,"",IF(VLOOKUP($A15,'détails investissements'!$A$26:$DE$43,Z$3-VLOOKUP($A15,'détails investissements'!$A$71:$B$88,2,FALSE)+1,FALSE)="","",VLOOKUP($A15,'détails investissements'!$A$26:$DE$43,Z$3-VLOOKUP($A15,'détails investissements'!$A$71:$B$88,2,FALSE)+1,FALSE)))&lt;&gt;"",HLOOKUP(IF(Z$3-VLOOKUP($A15,'détails investissements'!$A$71:$B$88,2,FALSE)&lt;=0,"",IF(VLOOKUP($A15,'détails investissements'!$A$26:$DE$43,Z$3-VLOOKUP($A15,'détails investissements'!$A$71:$B$88,2,FALSE)+1,FALSE)="","",VLOOKUP($A15,'détails investissements'!$A$26:$DE$43,Z$3-VLOOKUP($A15,'détails investissements'!$A$71:$B$88,2,FALSE)+1,FALSE))),'détails investissements'!$U$6:$AB$7,2,FALSE),"")&lt;&gt;"",VLOOKUP($A15,'détails investissements'!$A$7:$H$21,1+IF(IF(Z$3-VLOOKUP($A15,'détails investissements'!$A$71:$B$88,2,FALSE)&lt;=0,"",IF(VLOOKUP($A15,'détails investissements'!$A$26:$DE$43,Z$3-VLOOKUP($A15,'détails investissements'!$A$71:$B$88,2,FALSE)+1,FALSE)="","",VLOOKUP($A15,'détails investissements'!$A$26:$DE$43,Z$3-VLOOKUP($A15,'détails investissements'!$A$71:$B$88,2,FALSE)+1,FALSE)))&lt;&gt;"",HLOOKUP(IF(Z$3-VLOOKUP($A15,'détails investissements'!$A$71:$B$88,2,FALSE)&lt;=0,"",IF(VLOOKUP($A15,'détails investissements'!$A$26:$DE$43,Z$3-VLOOKUP($A15,'détails investissements'!$A$71:$B$88,2,FALSE)+1,FALSE)="","",VLOOKUP($A15,'détails investissements'!$A$26:$DE$43,Z$3-VLOOKUP($A15,'détails investissements'!$A$71:$B$88,2,FALSE)+1,FALSE))),'détails investissements'!$U$6:$AB$7,2,FALSE),""),FALSE),"")</f>
        <v/>
      </c>
      <c r="AA15" s="45" t="str">
        <f>IF(IF(IF(AA$3-VLOOKUP($A15,'détails investissements'!$A$71:$B$88,2,FALSE)&lt;=0,"",IF(VLOOKUP($A15,'détails investissements'!$A$26:$DE$43,AA$3-VLOOKUP($A15,'détails investissements'!$A$71:$B$88,2,FALSE)+1,FALSE)="","",VLOOKUP($A15,'détails investissements'!$A$26:$DE$43,AA$3-VLOOKUP($A15,'détails investissements'!$A$71:$B$88,2,FALSE)+1,FALSE)))&lt;&gt;"",HLOOKUP(IF(AA$3-VLOOKUP($A15,'détails investissements'!$A$71:$B$88,2,FALSE)&lt;=0,"",IF(VLOOKUP($A15,'détails investissements'!$A$26:$DE$43,AA$3-VLOOKUP($A15,'détails investissements'!$A$71:$B$88,2,FALSE)+1,FALSE)="","",VLOOKUP($A15,'détails investissements'!$A$26:$DE$43,AA$3-VLOOKUP($A15,'détails investissements'!$A$71:$B$88,2,FALSE)+1,FALSE))),'détails investissements'!$U$6:$AB$7,2,FALSE),"")&lt;&gt;"",VLOOKUP($A15,'détails investissements'!$A$7:$H$21,1+IF(IF(AA$3-VLOOKUP($A15,'détails investissements'!$A$71:$B$88,2,FALSE)&lt;=0,"",IF(VLOOKUP($A15,'détails investissements'!$A$26:$DE$43,AA$3-VLOOKUP($A15,'détails investissements'!$A$71:$B$88,2,FALSE)+1,FALSE)="","",VLOOKUP($A15,'détails investissements'!$A$26:$DE$43,AA$3-VLOOKUP($A15,'détails investissements'!$A$71:$B$88,2,FALSE)+1,FALSE)))&lt;&gt;"",HLOOKUP(IF(AA$3-VLOOKUP($A15,'détails investissements'!$A$71:$B$88,2,FALSE)&lt;=0,"",IF(VLOOKUP($A15,'détails investissements'!$A$26:$DE$43,AA$3-VLOOKUP($A15,'détails investissements'!$A$71:$B$88,2,FALSE)+1,FALSE)="","",VLOOKUP($A15,'détails investissements'!$A$26:$DE$43,AA$3-VLOOKUP($A15,'détails investissements'!$A$71:$B$88,2,FALSE)+1,FALSE))),'détails investissements'!$U$6:$AB$7,2,FALSE),""),FALSE),"")</f>
        <v/>
      </c>
      <c r="AB15" s="45" t="str">
        <f>IF(IF(IF(AB$3-VLOOKUP($A15,'détails investissements'!$A$71:$B$88,2,FALSE)&lt;=0,"",IF(VLOOKUP($A15,'détails investissements'!$A$26:$DE$43,AB$3-VLOOKUP($A15,'détails investissements'!$A$71:$B$88,2,FALSE)+1,FALSE)="","",VLOOKUP($A15,'détails investissements'!$A$26:$DE$43,AB$3-VLOOKUP($A15,'détails investissements'!$A$71:$B$88,2,FALSE)+1,FALSE)))&lt;&gt;"",HLOOKUP(IF(AB$3-VLOOKUP($A15,'détails investissements'!$A$71:$B$88,2,FALSE)&lt;=0,"",IF(VLOOKUP($A15,'détails investissements'!$A$26:$DE$43,AB$3-VLOOKUP($A15,'détails investissements'!$A$71:$B$88,2,FALSE)+1,FALSE)="","",VLOOKUP($A15,'détails investissements'!$A$26:$DE$43,AB$3-VLOOKUP($A15,'détails investissements'!$A$71:$B$88,2,FALSE)+1,FALSE))),'détails investissements'!$U$6:$AB$7,2,FALSE),"")&lt;&gt;"",VLOOKUP($A15,'détails investissements'!$A$7:$H$21,1+IF(IF(AB$3-VLOOKUP($A15,'détails investissements'!$A$71:$B$88,2,FALSE)&lt;=0,"",IF(VLOOKUP($A15,'détails investissements'!$A$26:$DE$43,AB$3-VLOOKUP($A15,'détails investissements'!$A$71:$B$88,2,FALSE)+1,FALSE)="","",VLOOKUP($A15,'détails investissements'!$A$26:$DE$43,AB$3-VLOOKUP($A15,'détails investissements'!$A$71:$B$88,2,FALSE)+1,FALSE)))&lt;&gt;"",HLOOKUP(IF(AB$3-VLOOKUP($A15,'détails investissements'!$A$71:$B$88,2,FALSE)&lt;=0,"",IF(VLOOKUP($A15,'détails investissements'!$A$26:$DE$43,AB$3-VLOOKUP($A15,'détails investissements'!$A$71:$B$88,2,FALSE)+1,FALSE)="","",VLOOKUP($A15,'détails investissements'!$A$26:$DE$43,AB$3-VLOOKUP($A15,'détails investissements'!$A$71:$B$88,2,FALSE)+1,FALSE))),'détails investissements'!$U$6:$AB$7,2,FALSE),""),FALSE),"")</f>
        <v/>
      </c>
      <c r="AC15" s="45" t="str">
        <f>IF(IF(IF(AC$3-VLOOKUP($A15,'détails investissements'!$A$71:$B$88,2,FALSE)&lt;=0,"",IF(VLOOKUP($A15,'détails investissements'!$A$26:$DE$43,AC$3-VLOOKUP($A15,'détails investissements'!$A$71:$B$88,2,FALSE)+1,FALSE)="","",VLOOKUP($A15,'détails investissements'!$A$26:$DE$43,AC$3-VLOOKUP($A15,'détails investissements'!$A$71:$B$88,2,FALSE)+1,FALSE)))&lt;&gt;"",HLOOKUP(IF(AC$3-VLOOKUP($A15,'détails investissements'!$A$71:$B$88,2,FALSE)&lt;=0,"",IF(VLOOKUP($A15,'détails investissements'!$A$26:$DE$43,AC$3-VLOOKUP($A15,'détails investissements'!$A$71:$B$88,2,FALSE)+1,FALSE)="","",VLOOKUP($A15,'détails investissements'!$A$26:$DE$43,AC$3-VLOOKUP($A15,'détails investissements'!$A$71:$B$88,2,FALSE)+1,FALSE))),'détails investissements'!$U$6:$AB$7,2,FALSE),"")&lt;&gt;"",VLOOKUP($A15,'détails investissements'!$A$7:$H$21,1+IF(IF(AC$3-VLOOKUP($A15,'détails investissements'!$A$71:$B$88,2,FALSE)&lt;=0,"",IF(VLOOKUP($A15,'détails investissements'!$A$26:$DE$43,AC$3-VLOOKUP($A15,'détails investissements'!$A$71:$B$88,2,FALSE)+1,FALSE)="","",VLOOKUP($A15,'détails investissements'!$A$26:$DE$43,AC$3-VLOOKUP($A15,'détails investissements'!$A$71:$B$88,2,FALSE)+1,FALSE)))&lt;&gt;"",HLOOKUP(IF(AC$3-VLOOKUP($A15,'détails investissements'!$A$71:$B$88,2,FALSE)&lt;=0,"",IF(VLOOKUP($A15,'détails investissements'!$A$26:$DE$43,AC$3-VLOOKUP($A15,'détails investissements'!$A$71:$B$88,2,FALSE)+1,FALSE)="","",VLOOKUP($A15,'détails investissements'!$A$26:$DE$43,AC$3-VLOOKUP($A15,'détails investissements'!$A$71:$B$88,2,FALSE)+1,FALSE))),'détails investissements'!$U$6:$AB$7,2,FALSE),""),FALSE),"")</f>
        <v/>
      </c>
      <c r="AD15" s="45" t="str">
        <f>IF(IF(IF(AD$3-VLOOKUP($A15,'détails investissements'!$A$71:$B$88,2,FALSE)&lt;=0,"",IF(VLOOKUP($A15,'détails investissements'!$A$26:$DE$43,AD$3-VLOOKUP($A15,'détails investissements'!$A$71:$B$88,2,FALSE)+1,FALSE)="","",VLOOKUP($A15,'détails investissements'!$A$26:$DE$43,AD$3-VLOOKUP($A15,'détails investissements'!$A$71:$B$88,2,FALSE)+1,FALSE)))&lt;&gt;"",HLOOKUP(IF(AD$3-VLOOKUP($A15,'détails investissements'!$A$71:$B$88,2,FALSE)&lt;=0,"",IF(VLOOKUP($A15,'détails investissements'!$A$26:$DE$43,AD$3-VLOOKUP($A15,'détails investissements'!$A$71:$B$88,2,FALSE)+1,FALSE)="","",VLOOKUP($A15,'détails investissements'!$A$26:$DE$43,AD$3-VLOOKUP($A15,'détails investissements'!$A$71:$B$88,2,FALSE)+1,FALSE))),'détails investissements'!$U$6:$AB$7,2,FALSE),"")&lt;&gt;"",VLOOKUP($A15,'détails investissements'!$A$7:$H$21,1+IF(IF(AD$3-VLOOKUP($A15,'détails investissements'!$A$71:$B$88,2,FALSE)&lt;=0,"",IF(VLOOKUP($A15,'détails investissements'!$A$26:$DE$43,AD$3-VLOOKUP($A15,'détails investissements'!$A$71:$B$88,2,FALSE)+1,FALSE)="","",VLOOKUP($A15,'détails investissements'!$A$26:$DE$43,AD$3-VLOOKUP($A15,'détails investissements'!$A$71:$B$88,2,FALSE)+1,FALSE)))&lt;&gt;"",HLOOKUP(IF(AD$3-VLOOKUP($A15,'détails investissements'!$A$71:$B$88,2,FALSE)&lt;=0,"",IF(VLOOKUP($A15,'détails investissements'!$A$26:$DE$43,AD$3-VLOOKUP($A15,'détails investissements'!$A$71:$B$88,2,FALSE)+1,FALSE)="","",VLOOKUP($A15,'détails investissements'!$A$26:$DE$43,AD$3-VLOOKUP($A15,'détails investissements'!$A$71:$B$88,2,FALSE)+1,FALSE))),'détails investissements'!$U$6:$AB$7,2,FALSE),""),FALSE),"")</f>
        <v/>
      </c>
      <c r="AE15" s="45" t="str">
        <f>IF(IF(IF(AE$3-VLOOKUP($A15,'détails investissements'!$A$71:$B$88,2,FALSE)&lt;=0,"",IF(VLOOKUP($A15,'détails investissements'!$A$26:$DE$43,AE$3-VLOOKUP($A15,'détails investissements'!$A$71:$B$88,2,FALSE)+1,FALSE)="","",VLOOKUP($A15,'détails investissements'!$A$26:$DE$43,AE$3-VLOOKUP($A15,'détails investissements'!$A$71:$B$88,2,FALSE)+1,FALSE)))&lt;&gt;"",HLOOKUP(IF(AE$3-VLOOKUP($A15,'détails investissements'!$A$71:$B$88,2,FALSE)&lt;=0,"",IF(VLOOKUP($A15,'détails investissements'!$A$26:$DE$43,AE$3-VLOOKUP($A15,'détails investissements'!$A$71:$B$88,2,FALSE)+1,FALSE)="","",VLOOKUP($A15,'détails investissements'!$A$26:$DE$43,AE$3-VLOOKUP($A15,'détails investissements'!$A$71:$B$88,2,FALSE)+1,FALSE))),'détails investissements'!$U$6:$AB$7,2,FALSE),"")&lt;&gt;"",VLOOKUP($A15,'détails investissements'!$A$7:$H$21,1+IF(IF(AE$3-VLOOKUP($A15,'détails investissements'!$A$71:$B$88,2,FALSE)&lt;=0,"",IF(VLOOKUP($A15,'détails investissements'!$A$26:$DE$43,AE$3-VLOOKUP($A15,'détails investissements'!$A$71:$B$88,2,FALSE)+1,FALSE)="","",VLOOKUP($A15,'détails investissements'!$A$26:$DE$43,AE$3-VLOOKUP($A15,'détails investissements'!$A$71:$B$88,2,FALSE)+1,FALSE)))&lt;&gt;"",HLOOKUP(IF(AE$3-VLOOKUP($A15,'détails investissements'!$A$71:$B$88,2,FALSE)&lt;=0,"",IF(VLOOKUP($A15,'détails investissements'!$A$26:$DE$43,AE$3-VLOOKUP($A15,'détails investissements'!$A$71:$B$88,2,FALSE)+1,FALSE)="","",VLOOKUP($A15,'détails investissements'!$A$26:$DE$43,AE$3-VLOOKUP($A15,'détails investissements'!$A$71:$B$88,2,FALSE)+1,FALSE))),'détails investissements'!$U$6:$AB$7,2,FALSE),""),FALSE),"")</f>
        <v/>
      </c>
      <c r="AF15" s="45" t="str">
        <f>IF(IF(IF(AF$3-VLOOKUP($A15,'détails investissements'!$A$71:$B$88,2,FALSE)&lt;=0,"",IF(VLOOKUP($A15,'détails investissements'!$A$26:$DE$43,AF$3-VLOOKUP($A15,'détails investissements'!$A$71:$B$88,2,FALSE)+1,FALSE)="","",VLOOKUP($A15,'détails investissements'!$A$26:$DE$43,AF$3-VLOOKUP($A15,'détails investissements'!$A$71:$B$88,2,FALSE)+1,FALSE)))&lt;&gt;"",HLOOKUP(IF(AF$3-VLOOKUP($A15,'détails investissements'!$A$71:$B$88,2,FALSE)&lt;=0,"",IF(VLOOKUP($A15,'détails investissements'!$A$26:$DE$43,AF$3-VLOOKUP($A15,'détails investissements'!$A$71:$B$88,2,FALSE)+1,FALSE)="","",VLOOKUP($A15,'détails investissements'!$A$26:$DE$43,AF$3-VLOOKUP($A15,'détails investissements'!$A$71:$B$88,2,FALSE)+1,FALSE))),'détails investissements'!$U$6:$AB$7,2,FALSE),"")&lt;&gt;"",VLOOKUP($A15,'détails investissements'!$A$7:$H$21,1+IF(IF(AF$3-VLOOKUP($A15,'détails investissements'!$A$71:$B$88,2,FALSE)&lt;=0,"",IF(VLOOKUP($A15,'détails investissements'!$A$26:$DE$43,AF$3-VLOOKUP($A15,'détails investissements'!$A$71:$B$88,2,FALSE)+1,FALSE)="","",VLOOKUP($A15,'détails investissements'!$A$26:$DE$43,AF$3-VLOOKUP($A15,'détails investissements'!$A$71:$B$88,2,FALSE)+1,FALSE)))&lt;&gt;"",HLOOKUP(IF(AF$3-VLOOKUP($A15,'détails investissements'!$A$71:$B$88,2,FALSE)&lt;=0,"",IF(VLOOKUP($A15,'détails investissements'!$A$26:$DE$43,AF$3-VLOOKUP($A15,'détails investissements'!$A$71:$B$88,2,FALSE)+1,FALSE)="","",VLOOKUP($A15,'détails investissements'!$A$26:$DE$43,AF$3-VLOOKUP($A15,'détails investissements'!$A$71:$B$88,2,FALSE)+1,FALSE))),'détails investissements'!$U$6:$AB$7,2,FALSE),""),FALSE),"")</f>
        <v/>
      </c>
      <c r="AG15" s="45" t="str">
        <f>IF(IF(IF(AG$3-VLOOKUP($A15,'détails investissements'!$A$71:$B$88,2,FALSE)&lt;=0,"",IF(VLOOKUP($A15,'détails investissements'!$A$26:$DE$43,AG$3-VLOOKUP($A15,'détails investissements'!$A$71:$B$88,2,FALSE)+1,FALSE)="","",VLOOKUP($A15,'détails investissements'!$A$26:$DE$43,AG$3-VLOOKUP($A15,'détails investissements'!$A$71:$B$88,2,FALSE)+1,FALSE)))&lt;&gt;"",HLOOKUP(IF(AG$3-VLOOKUP($A15,'détails investissements'!$A$71:$B$88,2,FALSE)&lt;=0,"",IF(VLOOKUP($A15,'détails investissements'!$A$26:$DE$43,AG$3-VLOOKUP($A15,'détails investissements'!$A$71:$B$88,2,FALSE)+1,FALSE)="","",VLOOKUP($A15,'détails investissements'!$A$26:$DE$43,AG$3-VLOOKUP($A15,'détails investissements'!$A$71:$B$88,2,FALSE)+1,FALSE))),'détails investissements'!$U$6:$AB$7,2,FALSE),"")&lt;&gt;"",VLOOKUP($A15,'détails investissements'!$A$7:$H$21,1+IF(IF(AG$3-VLOOKUP($A15,'détails investissements'!$A$71:$B$88,2,FALSE)&lt;=0,"",IF(VLOOKUP($A15,'détails investissements'!$A$26:$DE$43,AG$3-VLOOKUP($A15,'détails investissements'!$A$71:$B$88,2,FALSE)+1,FALSE)="","",VLOOKUP($A15,'détails investissements'!$A$26:$DE$43,AG$3-VLOOKUP($A15,'détails investissements'!$A$71:$B$88,2,FALSE)+1,FALSE)))&lt;&gt;"",HLOOKUP(IF(AG$3-VLOOKUP($A15,'détails investissements'!$A$71:$B$88,2,FALSE)&lt;=0,"",IF(VLOOKUP($A15,'détails investissements'!$A$26:$DE$43,AG$3-VLOOKUP($A15,'détails investissements'!$A$71:$B$88,2,FALSE)+1,FALSE)="","",VLOOKUP($A15,'détails investissements'!$A$26:$DE$43,AG$3-VLOOKUP($A15,'détails investissements'!$A$71:$B$88,2,FALSE)+1,FALSE))),'détails investissements'!$U$6:$AB$7,2,FALSE),""),FALSE),"")</f>
        <v/>
      </c>
      <c r="AH15" s="45" t="str">
        <f>IF(IF(IF(AH$3-VLOOKUP($A15,'détails investissements'!$A$71:$B$88,2,FALSE)&lt;=0,"",IF(VLOOKUP($A15,'détails investissements'!$A$26:$DE$43,AH$3-VLOOKUP($A15,'détails investissements'!$A$71:$B$88,2,FALSE)+1,FALSE)="","",VLOOKUP($A15,'détails investissements'!$A$26:$DE$43,AH$3-VLOOKUP($A15,'détails investissements'!$A$71:$B$88,2,FALSE)+1,FALSE)))&lt;&gt;"",HLOOKUP(IF(AH$3-VLOOKUP($A15,'détails investissements'!$A$71:$B$88,2,FALSE)&lt;=0,"",IF(VLOOKUP($A15,'détails investissements'!$A$26:$DE$43,AH$3-VLOOKUP($A15,'détails investissements'!$A$71:$B$88,2,FALSE)+1,FALSE)="","",VLOOKUP($A15,'détails investissements'!$A$26:$DE$43,AH$3-VLOOKUP($A15,'détails investissements'!$A$71:$B$88,2,FALSE)+1,FALSE))),'détails investissements'!$U$6:$AB$7,2,FALSE),"")&lt;&gt;"",VLOOKUP($A15,'détails investissements'!$A$7:$H$21,1+IF(IF(AH$3-VLOOKUP($A15,'détails investissements'!$A$71:$B$88,2,FALSE)&lt;=0,"",IF(VLOOKUP($A15,'détails investissements'!$A$26:$DE$43,AH$3-VLOOKUP($A15,'détails investissements'!$A$71:$B$88,2,FALSE)+1,FALSE)="","",VLOOKUP($A15,'détails investissements'!$A$26:$DE$43,AH$3-VLOOKUP($A15,'détails investissements'!$A$71:$B$88,2,FALSE)+1,FALSE)))&lt;&gt;"",HLOOKUP(IF(AH$3-VLOOKUP($A15,'détails investissements'!$A$71:$B$88,2,FALSE)&lt;=0,"",IF(VLOOKUP($A15,'détails investissements'!$A$26:$DE$43,AH$3-VLOOKUP($A15,'détails investissements'!$A$71:$B$88,2,FALSE)+1,FALSE)="","",VLOOKUP($A15,'détails investissements'!$A$26:$DE$43,AH$3-VLOOKUP($A15,'détails investissements'!$A$71:$B$88,2,FALSE)+1,FALSE))),'détails investissements'!$U$6:$AB$7,2,FALSE),""),FALSE),"")</f>
        <v/>
      </c>
      <c r="AI15" s="45" t="str">
        <f>IF(IF(IF(AI$3-VLOOKUP($A15,'détails investissements'!$A$71:$B$88,2,FALSE)&lt;=0,"",IF(VLOOKUP($A15,'détails investissements'!$A$26:$DE$43,AI$3-VLOOKUP($A15,'détails investissements'!$A$71:$B$88,2,FALSE)+1,FALSE)="","",VLOOKUP($A15,'détails investissements'!$A$26:$DE$43,AI$3-VLOOKUP($A15,'détails investissements'!$A$71:$B$88,2,FALSE)+1,FALSE)))&lt;&gt;"",HLOOKUP(IF(AI$3-VLOOKUP($A15,'détails investissements'!$A$71:$B$88,2,FALSE)&lt;=0,"",IF(VLOOKUP($A15,'détails investissements'!$A$26:$DE$43,AI$3-VLOOKUP($A15,'détails investissements'!$A$71:$B$88,2,FALSE)+1,FALSE)="","",VLOOKUP($A15,'détails investissements'!$A$26:$DE$43,AI$3-VLOOKUP($A15,'détails investissements'!$A$71:$B$88,2,FALSE)+1,FALSE))),'détails investissements'!$U$6:$AB$7,2,FALSE),"")&lt;&gt;"",VLOOKUP($A15,'détails investissements'!$A$7:$H$21,1+IF(IF(AI$3-VLOOKUP($A15,'détails investissements'!$A$71:$B$88,2,FALSE)&lt;=0,"",IF(VLOOKUP($A15,'détails investissements'!$A$26:$DE$43,AI$3-VLOOKUP($A15,'détails investissements'!$A$71:$B$88,2,FALSE)+1,FALSE)="","",VLOOKUP($A15,'détails investissements'!$A$26:$DE$43,AI$3-VLOOKUP($A15,'détails investissements'!$A$71:$B$88,2,FALSE)+1,FALSE)))&lt;&gt;"",HLOOKUP(IF(AI$3-VLOOKUP($A15,'détails investissements'!$A$71:$B$88,2,FALSE)&lt;=0,"",IF(VLOOKUP($A15,'détails investissements'!$A$26:$DE$43,AI$3-VLOOKUP($A15,'détails investissements'!$A$71:$B$88,2,FALSE)+1,FALSE)="","",VLOOKUP($A15,'détails investissements'!$A$26:$DE$43,AI$3-VLOOKUP($A15,'détails investissements'!$A$71:$B$88,2,FALSE)+1,FALSE))),'détails investissements'!$U$6:$AB$7,2,FALSE),""),FALSE),"")</f>
        <v/>
      </c>
      <c r="AJ15" s="45" t="str">
        <f>IF(IF(IF(AJ$3-VLOOKUP($A15,'détails investissements'!$A$71:$B$88,2,FALSE)&lt;=0,"",IF(VLOOKUP($A15,'détails investissements'!$A$26:$DE$43,AJ$3-VLOOKUP($A15,'détails investissements'!$A$71:$B$88,2,FALSE)+1,FALSE)="","",VLOOKUP($A15,'détails investissements'!$A$26:$DE$43,AJ$3-VLOOKUP($A15,'détails investissements'!$A$71:$B$88,2,FALSE)+1,FALSE)))&lt;&gt;"",HLOOKUP(IF(AJ$3-VLOOKUP($A15,'détails investissements'!$A$71:$B$88,2,FALSE)&lt;=0,"",IF(VLOOKUP($A15,'détails investissements'!$A$26:$DE$43,AJ$3-VLOOKUP($A15,'détails investissements'!$A$71:$B$88,2,FALSE)+1,FALSE)="","",VLOOKUP($A15,'détails investissements'!$A$26:$DE$43,AJ$3-VLOOKUP($A15,'détails investissements'!$A$71:$B$88,2,FALSE)+1,FALSE))),'détails investissements'!$U$6:$AB$7,2,FALSE),"")&lt;&gt;"",VLOOKUP($A15,'détails investissements'!$A$7:$H$21,1+IF(IF(AJ$3-VLOOKUP($A15,'détails investissements'!$A$71:$B$88,2,FALSE)&lt;=0,"",IF(VLOOKUP($A15,'détails investissements'!$A$26:$DE$43,AJ$3-VLOOKUP($A15,'détails investissements'!$A$71:$B$88,2,FALSE)+1,FALSE)="","",VLOOKUP($A15,'détails investissements'!$A$26:$DE$43,AJ$3-VLOOKUP($A15,'détails investissements'!$A$71:$B$88,2,FALSE)+1,FALSE)))&lt;&gt;"",HLOOKUP(IF(AJ$3-VLOOKUP($A15,'détails investissements'!$A$71:$B$88,2,FALSE)&lt;=0,"",IF(VLOOKUP($A15,'détails investissements'!$A$26:$DE$43,AJ$3-VLOOKUP($A15,'détails investissements'!$A$71:$B$88,2,FALSE)+1,FALSE)="","",VLOOKUP($A15,'détails investissements'!$A$26:$DE$43,AJ$3-VLOOKUP($A15,'détails investissements'!$A$71:$B$88,2,FALSE)+1,FALSE))),'détails investissements'!$U$6:$AB$7,2,FALSE),""),FALSE),"")</f>
        <v/>
      </c>
      <c r="AK15" s="45" t="str">
        <f>IF(IF(IF(AK$3-VLOOKUP($A15,'détails investissements'!$A$71:$B$88,2,FALSE)&lt;=0,"",IF(VLOOKUP($A15,'détails investissements'!$A$26:$DE$43,AK$3-VLOOKUP($A15,'détails investissements'!$A$71:$B$88,2,FALSE)+1,FALSE)="","",VLOOKUP($A15,'détails investissements'!$A$26:$DE$43,AK$3-VLOOKUP($A15,'détails investissements'!$A$71:$B$88,2,FALSE)+1,FALSE)))&lt;&gt;"",HLOOKUP(IF(AK$3-VLOOKUP($A15,'détails investissements'!$A$71:$B$88,2,FALSE)&lt;=0,"",IF(VLOOKUP($A15,'détails investissements'!$A$26:$DE$43,AK$3-VLOOKUP($A15,'détails investissements'!$A$71:$B$88,2,FALSE)+1,FALSE)="","",VLOOKUP($A15,'détails investissements'!$A$26:$DE$43,AK$3-VLOOKUP($A15,'détails investissements'!$A$71:$B$88,2,FALSE)+1,FALSE))),'détails investissements'!$U$6:$AB$7,2,FALSE),"")&lt;&gt;"",VLOOKUP($A15,'détails investissements'!$A$7:$H$21,1+IF(IF(AK$3-VLOOKUP($A15,'détails investissements'!$A$71:$B$88,2,FALSE)&lt;=0,"",IF(VLOOKUP($A15,'détails investissements'!$A$26:$DE$43,AK$3-VLOOKUP($A15,'détails investissements'!$A$71:$B$88,2,FALSE)+1,FALSE)="","",VLOOKUP($A15,'détails investissements'!$A$26:$DE$43,AK$3-VLOOKUP($A15,'détails investissements'!$A$71:$B$88,2,FALSE)+1,FALSE)))&lt;&gt;"",HLOOKUP(IF(AK$3-VLOOKUP($A15,'détails investissements'!$A$71:$B$88,2,FALSE)&lt;=0,"",IF(VLOOKUP($A15,'détails investissements'!$A$26:$DE$43,AK$3-VLOOKUP($A15,'détails investissements'!$A$71:$B$88,2,FALSE)+1,FALSE)="","",VLOOKUP($A15,'détails investissements'!$A$26:$DE$43,AK$3-VLOOKUP($A15,'détails investissements'!$A$71:$B$88,2,FALSE)+1,FALSE))),'détails investissements'!$U$6:$AB$7,2,FALSE),""),FALSE),"")</f>
        <v/>
      </c>
      <c r="AL15" s="45" t="str">
        <f>IF(IF(IF(AL$3-VLOOKUP($A15,'détails investissements'!$A$71:$B$88,2,FALSE)&lt;=0,"",IF(VLOOKUP($A15,'détails investissements'!$A$26:$DE$43,AL$3-VLOOKUP($A15,'détails investissements'!$A$71:$B$88,2,FALSE)+1,FALSE)="","",VLOOKUP($A15,'détails investissements'!$A$26:$DE$43,AL$3-VLOOKUP($A15,'détails investissements'!$A$71:$B$88,2,FALSE)+1,FALSE)))&lt;&gt;"",HLOOKUP(IF(AL$3-VLOOKUP($A15,'détails investissements'!$A$71:$B$88,2,FALSE)&lt;=0,"",IF(VLOOKUP($A15,'détails investissements'!$A$26:$DE$43,AL$3-VLOOKUP($A15,'détails investissements'!$A$71:$B$88,2,FALSE)+1,FALSE)="","",VLOOKUP($A15,'détails investissements'!$A$26:$DE$43,AL$3-VLOOKUP($A15,'détails investissements'!$A$71:$B$88,2,FALSE)+1,FALSE))),'détails investissements'!$U$6:$AB$7,2,FALSE),"")&lt;&gt;"",VLOOKUP($A15,'détails investissements'!$A$7:$H$21,1+IF(IF(AL$3-VLOOKUP($A15,'détails investissements'!$A$71:$B$88,2,FALSE)&lt;=0,"",IF(VLOOKUP($A15,'détails investissements'!$A$26:$DE$43,AL$3-VLOOKUP($A15,'détails investissements'!$A$71:$B$88,2,FALSE)+1,FALSE)="","",VLOOKUP($A15,'détails investissements'!$A$26:$DE$43,AL$3-VLOOKUP($A15,'détails investissements'!$A$71:$B$88,2,FALSE)+1,FALSE)))&lt;&gt;"",HLOOKUP(IF(AL$3-VLOOKUP($A15,'détails investissements'!$A$71:$B$88,2,FALSE)&lt;=0,"",IF(VLOOKUP($A15,'détails investissements'!$A$26:$DE$43,AL$3-VLOOKUP($A15,'détails investissements'!$A$71:$B$88,2,FALSE)+1,FALSE)="","",VLOOKUP($A15,'détails investissements'!$A$26:$DE$43,AL$3-VLOOKUP($A15,'détails investissements'!$A$71:$B$88,2,FALSE)+1,FALSE))),'détails investissements'!$U$6:$AB$7,2,FALSE),""),FALSE),"")</f>
        <v/>
      </c>
      <c r="AM15" s="45" t="str">
        <f>IF(IF(IF(AM$3-VLOOKUP($A15,'détails investissements'!$A$71:$B$88,2,FALSE)&lt;=0,"",IF(VLOOKUP($A15,'détails investissements'!$A$26:$DE$43,AM$3-VLOOKUP($A15,'détails investissements'!$A$71:$B$88,2,FALSE)+1,FALSE)="","",VLOOKUP($A15,'détails investissements'!$A$26:$DE$43,AM$3-VLOOKUP($A15,'détails investissements'!$A$71:$B$88,2,FALSE)+1,FALSE)))&lt;&gt;"",HLOOKUP(IF(AM$3-VLOOKUP($A15,'détails investissements'!$A$71:$B$88,2,FALSE)&lt;=0,"",IF(VLOOKUP($A15,'détails investissements'!$A$26:$DE$43,AM$3-VLOOKUP($A15,'détails investissements'!$A$71:$B$88,2,FALSE)+1,FALSE)="","",VLOOKUP($A15,'détails investissements'!$A$26:$DE$43,AM$3-VLOOKUP($A15,'détails investissements'!$A$71:$B$88,2,FALSE)+1,FALSE))),'détails investissements'!$U$6:$AB$7,2,FALSE),"")&lt;&gt;"",VLOOKUP($A15,'détails investissements'!$A$7:$H$21,1+IF(IF(AM$3-VLOOKUP($A15,'détails investissements'!$A$71:$B$88,2,FALSE)&lt;=0,"",IF(VLOOKUP($A15,'détails investissements'!$A$26:$DE$43,AM$3-VLOOKUP($A15,'détails investissements'!$A$71:$B$88,2,FALSE)+1,FALSE)="","",VLOOKUP($A15,'détails investissements'!$A$26:$DE$43,AM$3-VLOOKUP($A15,'détails investissements'!$A$71:$B$88,2,FALSE)+1,FALSE)))&lt;&gt;"",HLOOKUP(IF(AM$3-VLOOKUP($A15,'détails investissements'!$A$71:$B$88,2,FALSE)&lt;=0,"",IF(VLOOKUP($A15,'détails investissements'!$A$26:$DE$43,AM$3-VLOOKUP($A15,'détails investissements'!$A$71:$B$88,2,FALSE)+1,FALSE)="","",VLOOKUP($A15,'détails investissements'!$A$26:$DE$43,AM$3-VLOOKUP($A15,'détails investissements'!$A$71:$B$88,2,FALSE)+1,FALSE))),'détails investissements'!$U$6:$AB$7,2,FALSE),""),FALSE),"")</f>
        <v/>
      </c>
      <c r="AN15" s="45" t="str">
        <f>IF(IF(IF(AN$3-VLOOKUP($A15,'détails investissements'!$A$71:$B$88,2,FALSE)&lt;=0,"",IF(VLOOKUP($A15,'détails investissements'!$A$26:$DE$43,AN$3-VLOOKUP($A15,'détails investissements'!$A$71:$B$88,2,FALSE)+1,FALSE)="","",VLOOKUP($A15,'détails investissements'!$A$26:$DE$43,AN$3-VLOOKUP($A15,'détails investissements'!$A$71:$B$88,2,FALSE)+1,FALSE)))&lt;&gt;"",HLOOKUP(IF(AN$3-VLOOKUP($A15,'détails investissements'!$A$71:$B$88,2,FALSE)&lt;=0,"",IF(VLOOKUP($A15,'détails investissements'!$A$26:$DE$43,AN$3-VLOOKUP($A15,'détails investissements'!$A$71:$B$88,2,FALSE)+1,FALSE)="","",VLOOKUP($A15,'détails investissements'!$A$26:$DE$43,AN$3-VLOOKUP($A15,'détails investissements'!$A$71:$B$88,2,FALSE)+1,FALSE))),'détails investissements'!$U$6:$AB$7,2,FALSE),"")&lt;&gt;"",VLOOKUP($A15,'détails investissements'!$A$7:$H$21,1+IF(IF(AN$3-VLOOKUP($A15,'détails investissements'!$A$71:$B$88,2,FALSE)&lt;=0,"",IF(VLOOKUP($A15,'détails investissements'!$A$26:$DE$43,AN$3-VLOOKUP($A15,'détails investissements'!$A$71:$B$88,2,FALSE)+1,FALSE)="","",VLOOKUP($A15,'détails investissements'!$A$26:$DE$43,AN$3-VLOOKUP($A15,'détails investissements'!$A$71:$B$88,2,FALSE)+1,FALSE)))&lt;&gt;"",HLOOKUP(IF(AN$3-VLOOKUP($A15,'détails investissements'!$A$71:$B$88,2,FALSE)&lt;=0,"",IF(VLOOKUP($A15,'détails investissements'!$A$26:$DE$43,AN$3-VLOOKUP($A15,'détails investissements'!$A$71:$B$88,2,FALSE)+1,FALSE)="","",VLOOKUP($A15,'détails investissements'!$A$26:$DE$43,AN$3-VLOOKUP($A15,'détails investissements'!$A$71:$B$88,2,FALSE)+1,FALSE))),'détails investissements'!$U$6:$AB$7,2,FALSE),""),FALSE),"")</f>
        <v/>
      </c>
      <c r="AO15" s="45" t="str">
        <f>IF(IF(IF(AO$3-VLOOKUP($A15,'détails investissements'!$A$71:$B$88,2,FALSE)&lt;=0,"",IF(VLOOKUP($A15,'détails investissements'!$A$26:$DE$43,AO$3-VLOOKUP($A15,'détails investissements'!$A$71:$B$88,2,FALSE)+1,FALSE)="","",VLOOKUP($A15,'détails investissements'!$A$26:$DE$43,AO$3-VLOOKUP($A15,'détails investissements'!$A$71:$B$88,2,FALSE)+1,FALSE)))&lt;&gt;"",HLOOKUP(IF(AO$3-VLOOKUP($A15,'détails investissements'!$A$71:$B$88,2,FALSE)&lt;=0,"",IF(VLOOKUP($A15,'détails investissements'!$A$26:$DE$43,AO$3-VLOOKUP($A15,'détails investissements'!$A$71:$B$88,2,FALSE)+1,FALSE)="","",VLOOKUP($A15,'détails investissements'!$A$26:$DE$43,AO$3-VLOOKUP($A15,'détails investissements'!$A$71:$B$88,2,FALSE)+1,FALSE))),'détails investissements'!$U$6:$AB$7,2,FALSE),"")&lt;&gt;"",VLOOKUP($A15,'détails investissements'!$A$7:$H$21,1+IF(IF(AO$3-VLOOKUP($A15,'détails investissements'!$A$71:$B$88,2,FALSE)&lt;=0,"",IF(VLOOKUP($A15,'détails investissements'!$A$26:$DE$43,AO$3-VLOOKUP($A15,'détails investissements'!$A$71:$B$88,2,FALSE)+1,FALSE)="","",VLOOKUP($A15,'détails investissements'!$A$26:$DE$43,AO$3-VLOOKUP($A15,'détails investissements'!$A$71:$B$88,2,FALSE)+1,FALSE)))&lt;&gt;"",HLOOKUP(IF(AO$3-VLOOKUP($A15,'détails investissements'!$A$71:$B$88,2,FALSE)&lt;=0,"",IF(VLOOKUP($A15,'détails investissements'!$A$26:$DE$43,AO$3-VLOOKUP($A15,'détails investissements'!$A$71:$B$88,2,FALSE)+1,FALSE)="","",VLOOKUP($A15,'détails investissements'!$A$26:$DE$43,AO$3-VLOOKUP($A15,'détails investissements'!$A$71:$B$88,2,FALSE)+1,FALSE))),'détails investissements'!$U$6:$AB$7,2,FALSE),""),FALSE),"")</f>
        <v/>
      </c>
      <c r="AP15" s="45" t="str">
        <f>IF(IF(IF(AP$3-VLOOKUP($A15,'détails investissements'!$A$71:$B$88,2,FALSE)&lt;=0,"",IF(VLOOKUP($A15,'détails investissements'!$A$26:$DE$43,AP$3-VLOOKUP($A15,'détails investissements'!$A$71:$B$88,2,FALSE)+1,FALSE)="","",VLOOKUP($A15,'détails investissements'!$A$26:$DE$43,AP$3-VLOOKUP($A15,'détails investissements'!$A$71:$B$88,2,FALSE)+1,FALSE)))&lt;&gt;"",HLOOKUP(IF(AP$3-VLOOKUP($A15,'détails investissements'!$A$71:$B$88,2,FALSE)&lt;=0,"",IF(VLOOKUP($A15,'détails investissements'!$A$26:$DE$43,AP$3-VLOOKUP($A15,'détails investissements'!$A$71:$B$88,2,FALSE)+1,FALSE)="","",VLOOKUP($A15,'détails investissements'!$A$26:$DE$43,AP$3-VLOOKUP($A15,'détails investissements'!$A$71:$B$88,2,FALSE)+1,FALSE))),'détails investissements'!$U$6:$AB$7,2,FALSE),"")&lt;&gt;"",VLOOKUP($A15,'détails investissements'!$A$7:$H$21,1+IF(IF(AP$3-VLOOKUP($A15,'détails investissements'!$A$71:$B$88,2,FALSE)&lt;=0,"",IF(VLOOKUP($A15,'détails investissements'!$A$26:$DE$43,AP$3-VLOOKUP($A15,'détails investissements'!$A$71:$B$88,2,FALSE)+1,FALSE)="","",VLOOKUP($A15,'détails investissements'!$A$26:$DE$43,AP$3-VLOOKUP($A15,'détails investissements'!$A$71:$B$88,2,FALSE)+1,FALSE)))&lt;&gt;"",HLOOKUP(IF(AP$3-VLOOKUP($A15,'détails investissements'!$A$71:$B$88,2,FALSE)&lt;=0,"",IF(VLOOKUP($A15,'détails investissements'!$A$26:$DE$43,AP$3-VLOOKUP($A15,'détails investissements'!$A$71:$B$88,2,FALSE)+1,FALSE)="","",VLOOKUP($A15,'détails investissements'!$A$26:$DE$43,AP$3-VLOOKUP($A15,'détails investissements'!$A$71:$B$88,2,FALSE)+1,FALSE))),'détails investissements'!$U$6:$AB$7,2,FALSE),""),FALSE),"")</f>
        <v/>
      </c>
      <c r="AQ15" s="45" t="str">
        <f>IF(IF(IF(AQ$3-VLOOKUP($A15,'détails investissements'!$A$71:$B$88,2,FALSE)&lt;=0,"",IF(VLOOKUP($A15,'détails investissements'!$A$26:$DE$43,AQ$3-VLOOKUP($A15,'détails investissements'!$A$71:$B$88,2,FALSE)+1,FALSE)="","",VLOOKUP($A15,'détails investissements'!$A$26:$DE$43,AQ$3-VLOOKUP($A15,'détails investissements'!$A$71:$B$88,2,FALSE)+1,FALSE)))&lt;&gt;"",HLOOKUP(IF(AQ$3-VLOOKUP($A15,'détails investissements'!$A$71:$B$88,2,FALSE)&lt;=0,"",IF(VLOOKUP($A15,'détails investissements'!$A$26:$DE$43,AQ$3-VLOOKUP($A15,'détails investissements'!$A$71:$B$88,2,FALSE)+1,FALSE)="","",VLOOKUP($A15,'détails investissements'!$A$26:$DE$43,AQ$3-VLOOKUP($A15,'détails investissements'!$A$71:$B$88,2,FALSE)+1,FALSE))),'détails investissements'!$U$6:$AB$7,2,FALSE),"")&lt;&gt;"",VLOOKUP($A15,'détails investissements'!$A$7:$H$21,1+IF(IF(AQ$3-VLOOKUP($A15,'détails investissements'!$A$71:$B$88,2,FALSE)&lt;=0,"",IF(VLOOKUP($A15,'détails investissements'!$A$26:$DE$43,AQ$3-VLOOKUP($A15,'détails investissements'!$A$71:$B$88,2,FALSE)+1,FALSE)="","",VLOOKUP($A15,'détails investissements'!$A$26:$DE$43,AQ$3-VLOOKUP($A15,'détails investissements'!$A$71:$B$88,2,FALSE)+1,FALSE)))&lt;&gt;"",HLOOKUP(IF(AQ$3-VLOOKUP($A15,'détails investissements'!$A$71:$B$88,2,FALSE)&lt;=0,"",IF(VLOOKUP($A15,'détails investissements'!$A$26:$DE$43,AQ$3-VLOOKUP($A15,'détails investissements'!$A$71:$B$88,2,FALSE)+1,FALSE)="","",VLOOKUP($A15,'détails investissements'!$A$26:$DE$43,AQ$3-VLOOKUP($A15,'détails investissements'!$A$71:$B$88,2,FALSE)+1,FALSE))),'détails investissements'!$U$6:$AB$7,2,FALSE),""),FALSE),"")</f>
        <v/>
      </c>
      <c r="AR15" s="45" t="str">
        <f>IF(IF(IF(AR$3-VLOOKUP($A15,'détails investissements'!$A$71:$B$88,2,FALSE)&lt;=0,"",IF(VLOOKUP($A15,'détails investissements'!$A$26:$DE$43,AR$3-VLOOKUP($A15,'détails investissements'!$A$71:$B$88,2,FALSE)+1,FALSE)="","",VLOOKUP($A15,'détails investissements'!$A$26:$DE$43,AR$3-VLOOKUP($A15,'détails investissements'!$A$71:$B$88,2,FALSE)+1,FALSE)))&lt;&gt;"",HLOOKUP(IF(AR$3-VLOOKUP($A15,'détails investissements'!$A$71:$B$88,2,FALSE)&lt;=0,"",IF(VLOOKUP($A15,'détails investissements'!$A$26:$DE$43,AR$3-VLOOKUP($A15,'détails investissements'!$A$71:$B$88,2,FALSE)+1,FALSE)="","",VLOOKUP($A15,'détails investissements'!$A$26:$DE$43,AR$3-VLOOKUP($A15,'détails investissements'!$A$71:$B$88,2,FALSE)+1,FALSE))),'détails investissements'!$U$6:$AB$7,2,FALSE),"")&lt;&gt;"",VLOOKUP($A15,'détails investissements'!$A$7:$H$21,1+IF(IF(AR$3-VLOOKUP($A15,'détails investissements'!$A$71:$B$88,2,FALSE)&lt;=0,"",IF(VLOOKUP($A15,'détails investissements'!$A$26:$DE$43,AR$3-VLOOKUP($A15,'détails investissements'!$A$71:$B$88,2,FALSE)+1,FALSE)="","",VLOOKUP($A15,'détails investissements'!$A$26:$DE$43,AR$3-VLOOKUP($A15,'détails investissements'!$A$71:$B$88,2,FALSE)+1,FALSE)))&lt;&gt;"",HLOOKUP(IF(AR$3-VLOOKUP($A15,'détails investissements'!$A$71:$B$88,2,FALSE)&lt;=0,"",IF(VLOOKUP($A15,'détails investissements'!$A$26:$DE$43,AR$3-VLOOKUP($A15,'détails investissements'!$A$71:$B$88,2,FALSE)+1,FALSE)="","",VLOOKUP($A15,'détails investissements'!$A$26:$DE$43,AR$3-VLOOKUP($A15,'détails investissements'!$A$71:$B$88,2,FALSE)+1,FALSE))),'détails investissements'!$U$6:$AB$7,2,FALSE),""),FALSE),"")</f>
        <v/>
      </c>
      <c r="AS15" s="45" t="str">
        <f>IF(IF(IF(AS$3-VLOOKUP($A15,'détails investissements'!$A$71:$B$88,2,FALSE)&lt;=0,"",IF(VLOOKUP($A15,'détails investissements'!$A$26:$DE$43,AS$3-VLOOKUP($A15,'détails investissements'!$A$71:$B$88,2,FALSE)+1,FALSE)="","",VLOOKUP($A15,'détails investissements'!$A$26:$DE$43,AS$3-VLOOKUP($A15,'détails investissements'!$A$71:$B$88,2,FALSE)+1,FALSE)))&lt;&gt;"",HLOOKUP(IF(AS$3-VLOOKUP($A15,'détails investissements'!$A$71:$B$88,2,FALSE)&lt;=0,"",IF(VLOOKUP($A15,'détails investissements'!$A$26:$DE$43,AS$3-VLOOKUP($A15,'détails investissements'!$A$71:$B$88,2,FALSE)+1,FALSE)="","",VLOOKUP($A15,'détails investissements'!$A$26:$DE$43,AS$3-VLOOKUP($A15,'détails investissements'!$A$71:$B$88,2,FALSE)+1,FALSE))),'détails investissements'!$U$6:$AB$7,2,FALSE),"")&lt;&gt;"",VLOOKUP($A15,'détails investissements'!$A$7:$H$21,1+IF(IF(AS$3-VLOOKUP($A15,'détails investissements'!$A$71:$B$88,2,FALSE)&lt;=0,"",IF(VLOOKUP($A15,'détails investissements'!$A$26:$DE$43,AS$3-VLOOKUP($A15,'détails investissements'!$A$71:$B$88,2,FALSE)+1,FALSE)="","",VLOOKUP($A15,'détails investissements'!$A$26:$DE$43,AS$3-VLOOKUP($A15,'détails investissements'!$A$71:$B$88,2,FALSE)+1,FALSE)))&lt;&gt;"",HLOOKUP(IF(AS$3-VLOOKUP($A15,'détails investissements'!$A$71:$B$88,2,FALSE)&lt;=0,"",IF(VLOOKUP($A15,'détails investissements'!$A$26:$DE$43,AS$3-VLOOKUP($A15,'détails investissements'!$A$71:$B$88,2,FALSE)+1,FALSE)="","",VLOOKUP($A15,'détails investissements'!$A$26:$DE$43,AS$3-VLOOKUP($A15,'détails investissements'!$A$71:$B$88,2,FALSE)+1,FALSE))),'détails investissements'!$U$6:$AB$7,2,FALSE),""),FALSE),"")</f>
        <v/>
      </c>
      <c r="AT15" s="45" t="str">
        <f>IF(IF(IF(AT$3-VLOOKUP($A15,'détails investissements'!$A$71:$B$88,2,FALSE)&lt;=0,"",IF(VLOOKUP($A15,'détails investissements'!$A$26:$DE$43,AT$3-VLOOKUP($A15,'détails investissements'!$A$71:$B$88,2,FALSE)+1,FALSE)="","",VLOOKUP($A15,'détails investissements'!$A$26:$DE$43,AT$3-VLOOKUP($A15,'détails investissements'!$A$71:$B$88,2,FALSE)+1,FALSE)))&lt;&gt;"",HLOOKUP(IF(AT$3-VLOOKUP($A15,'détails investissements'!$A$71:$B$88,2,FALSE)&lt;=0,"",IF(VLOOKUP($A15,'détails investissements'!$A$26:$DE$43,AT$3-VLOOKUP($A15,'détails investissements'!$A$71:$B$88,2,FALSE)+1,FALSE)="","",VLOOKUP($A15,'détails investissements'!$A$26:$DE$43,AT$3-VLOOKUP($A15,'détails investissements'!$A$71:$B$88,2,FALSE)+1,FALSE))),'détails investissements'!$U$6:$AB$7,2,FALSE),"")&lt;&gt;"",VLOOKUP($A15,'détails investissements'!$A$7:$H$21,1+IF(IF(AT$3-VLOOKUP($A15,'détails investissements'!$A$71:$B$88,2,FALSE)&lt;=0,"",IF(VLOOKUP($A15,'détails investissements'!$A$26:$DE$43,AT$3-VLOOKUP($A15,'détails investissements'!$A$71:$B$88,2,FALSE)+1,FALSE)="","",VLOOKUP($A15,'détails investissements'!$A$26:$DE$43,AT$3-VLOOKUP($A15,'détails investissements'!$A$71:$B$88,2,FALSE)+1,FALSE)))&lt;&gt;"",HLOOKUP(IF(AT$3-VLOOKUP($A15,'détails investissements'!$A$71:$B$88,2,FALSE)&lt;=0,"",IF(VLOOKUP($A15,'détails investissements'!$A$26:$DE$43,AT$3-VLOOKUP($A15,'détails investissements'!$A$71:$B$88,2,FALSE)+1,FALSE)="","",VLOOKUP($A15,'détails investissements'!$A$26:$DE$43,AT$3-VLOOKUP($A15,'détails investissements'!$A$71:$B$88,2,FALSE)+1,FALSE))),'détails investissements'!$U$6:$AB$7,2,FALSE),""),FALSE),"")</f>
        <v/>
      </c>
      <c r="AU15" s="45" t="str">
        <f>IF(IF(IF(AU$3-VLOOKUP($A15,'détails investissements'!$A$71:$B$88,2,FALSE)&lt;=0,"",IF(VLOOKUP($A15,'détails investissements'!$A$26:$DE$43,AU$3-VLOOKUP($A15,'détails investissements'!$A$71:$B$88,2,FALSE)+1,FALSE)="","",VLOOKUP($A15,'détails investissements'!$A$26:$DE$43,AU$3-VLOOKUP($A15,'détails investissements'!$A$71:$B$88,2,FALSE)+1,FALSE)))&lt;&gt;"",HLOOKUP(IF(AU$3-VLOOKUP($A15,'détails investissements'!$A$71:$B$88,2,FALSE)&lt;=0,"",IF(VLOOKUP($A15,'détails investissements'!$A$26:$DE$43,AU$3-VLOOKUP($A15,'détails investissements'!$A$71:$B$88,2,FALSE)+1,FALSE)="","",VLOOKUP($A15,'détails investissements'!$A$26:$DE$43,AU$3-VLOOKUP($A15,'détails investissements'!$A$71:$B$88,2,FALSE)+1,FALSE))),'détails investissements'!$U$6:$AB$7,2,FALSE),"")&lt;&gt;"",VLOOKUP($A15,'détails investissements'!$A$7:$H$21,1+IF(IF(AU$3-VLOOKUP($A15,'détails investissements'!$A$71:$B$88,2,FALSE)&lt;=0,"",IF(VLOOKUP($A15,'détails investissements'!$A$26:$DE$43,AU$3-VLOOKUP($A15,'détails investissements'!$A$71:$B$88,2,FALSE)+1,FALSE)="","",VLOOKUP($A15,'détails investissements'!$A$26:$DE$43,AU$3-VLOOKUP($A15,'détails investissements'!$A$71:$B$88,2,FALSE)+1,FALSE)))&lt;&gt;"",HLOOKUP(IF(AU$3-VLOOKUP($A15,'détails investissements'!$A$71:$B$88,2,FALSE)&lt;=0,"",IF(VLOOKUP($A15,'détails investissements'!$A$26:$DE$43,AU$3-VLOOKUP($A15,'détails investissements'!$A$71:$B$88,2,FALSE)+1,FALSE)="","",VLOOKUP($A15,'détails investissements'!$A$26:$DE$43,AU$3-VLOOKUP($A15,'détails investissements'!$A$71:$B$88,2,FALSE)+1,FALSE))),'détails investissements'!$U$6:$AB$7,2,FALSE),""),FALSE),"")</f>
        <v/>
      </c>
      <c r="AV15" s="45" t="str">
        <f>IF(IF(IF(AV$3-VLOOKUP($A15,'détails investissements'!$A$71:$B$88,2,FALSE)&lt;=0,"",IF(VLOOKUP($A15,'détails investissements'!$A$26:$DE$43,AV$3-VLOOKUP($A15,'détails investissements'!$A$71:$B$88,2,FALSE)+1,FALSE)="","",VLOOKUP($A15,'détails investissements'!$A$26:$DE$43,AV$3-VLOOKUP($A15,'détails investissements'!$A$71:$B$88,2,FALSE)+1,FALSE)))&lt;&gt;"",HLOOKUP(IF(AV$3-VLOOKUP($A15,'détails investissements'!$A$71:$B$88,2,FALSE)&lt;=0,"",IF(VLOOKUP($A15,'détails investissements'!$A$26:$DE$43,AV$3-VLOOKUP($A15,'détails investissements'!$A$71:$B$88,2,FALSE)+1,FALSE)="","",VLOOKUP($A15,'détails investissements'!$A$26:$DE$43,AV$3-VLOOKUP($A15,'détails investissements'!$A$71:$B$88,2,FALSE)+1,FALSE))),'détails investissements'!$U$6:$AB$7,2,FALSE),"")&lt;&gt;"",VLOOKUP($A15,'détails investissements'!$A$7:$H$21,1+IF(IF(AV$3-VLOOKUP($A15,'détails investissements'!$A$71:$B$88,2,FALSE)&lt;=0,"",IF(VLOOKUP($A15,'détails investissements'!$A$26:$DE$43,AV$3-VLOOKUP($A15,'détails investissements'!$A$71:$B$88,2,FALSE)+1,FALSE)="","",VLOOKUP($A15,'détails investissements'!$A$26:$DE$43,AV$3-VLOOKUP($A15,'détails investissements'!$A$71:$B$88,2,FALSE)+1,FALSE)))&lt;&gt;"",HLOOKUP(IF(AV$3-VLOOKUP($A15,'détails investissements'!$A$71:$B$88,2,FALSE)&lt;=0,"",IF(VLOOKUP($A15,'détails investissements'!$A$26:$DE$43,AV$3-VLOOKUP($A15,'détails investissements'!$A$71:$B$88,2,FALSE)+1,FALSE)="","",VLOOKUP($A15,'détails investissements'!$A$26:$DE$43,AV$3-VLOOKUP($A15,'détails investissements'!$A$71:$B$88,2,FALSE)+1,FALSE))),'détails investissements'!$U$6:$AB$7,2,FALSE),""),FALSE),"")</f>
        <v/>
      </c>
      <c r="AW15" s="45" t="str">
        <f>IF(IF(IF(AW$3-VLOOKUP($A15,'détails investissements'!$A$71:$B$88,2,FALSE)&lt;=0,"",IF(VLOOKUP($A15,'détails investissements'!$A$26:$DE$43,AW$3-VLOOKUP($A15,'détails investissements'!$A$71:$B$88,2,FALSE)+1,FALSE)="","",VLOOKUP($A15,'détails investissements'!$A$26:$DE$43,AW$3-VLOOKUP($A15,'détails investissements'!$A$71:$B$88,2,FALSE)+1,FALSE)))&lt;&gt;"",HLOOKUP(IF(AW$3-VLOOKUP($A15,'détails investissements'!$A$71:$B$88,2,FALSE)&lt;=0,"",IF(VLOOKUP($A15,'détails investissements'!$A$26:$DE$43,AW$3-VLOOKUP($A15,'détails investissements'!$A$71:$B$88,2,FALSE)+1,FALSE)="","",VLOOKUP($A15,'détails investissements'!$A$26:$DE$43,AW$3-VLOOKUP($A15,'détails investissements'!$A$71:$B$88,2,FALSE)+1,FALSE))),'détails investissements'!$U$6:$AB$7,2,FALSE),"")&lt;&gt;"",VLOOKUP($A15,'détails investissements'!$A$7:$H$21,1+IF(IF(AW$3-VLOOKUP($A15,'détails investissements'!$A$71:$B$88,2,FALSE)&lt;=0,"",IF(VLOOKUP($A15,'détails investissements'!$A$26:$DE$43,AW$3-VLOOKUP($A15,'détails investissements'!$A$71:$B$88,2,FALSE)+1,FALSE)="","",VLOOKUP($A15,'détails investissements'!$A$26:$DE$43,AW$3-VLOOKUP($A15,'détails investissements'!$A$71:$B$88,2,FALSE)+1,FALSE)))&lt;&gt;"",HLOOKUP(IF(AW$3-VLOOKUP($A15,'détails investissements'!$A$71:$B$88,2,FALSE)&lt;=0,"",IF(VLOOKUP($A15,'détails investissements'!$A$26:$DE$43,AW$3-VLOOKUP($A15,'détails investissements'!$A$71:$B$88,2,FALSE)+1,FALSE)="","",VLOOKUP($A15,'détails investissements'!$A$26:$DE$43,AW$3-VLOOKUP($A15,'détails investissements'!$A$71:$B$88,2,FALSE)+1,FALSE))),'détails investissements'!$U$6:$AB$7,2,FALSE),""),FALSE),"")</f>
        <v/>
      </c>
      <c r="AX15" s="45" t="str">
        <f>IF(IF(IF(AX$3-VLOOKUP($A15,'détails investissements'!$A$71:$B$88,2,FALSE)&lt;=0,"",IF(VLOOKUP($A15,'détails investissements'!$A$26:$DE$43,AX$3-VLOOKUP($A15,'détails investissements'!$A$71:$B$88,2,FALSE)+1,FALSE)="","",VLOOKUP($A15,'détails investissements'!$A$26:$DE$43,AX$3-VLOOKUP($A15,'détails investissements'!$A$71:$B$88,2,FALSE)+1,FALSE)))&lt;&gt;"",HLOOKUP(IF(AX$3-VLOOKUP($A15,'détails investissements'!$A$71:$B$88,2,FALSE)&lt;=0,"",IF(VLOOKUP($A15,'détails investissements'!$A$26:$DE$43,AX$3-VLOOKUP($A15,'détails investissements'!$A$71:$B$88,2,FALSE)+1,FALSE)="","",VLOOKUP($A15,'détails investissements'!$A$26:$DE$43,AX$3-VLOOKUP($A15,'détails investissements'!$A$71:$B$88,2,FALSE)+1,FALSE))),'détails investissements'!$U$6:$AB$7,2,FALSE),"")&lt;&gt;"",VLOOKUP($A15,'détails investissements'!$A$7:$H$21,1+IF(IF(AX$3-VLOOKUP($A15,'détails investissements'!$A$71:$B$88,2,FALSE)&lt;=0,"",IF(VLOOKUP($A15,'détails investissements'!$A$26:$DE$43,AX$3-VLOOKUP($A15,'détails investissements'!$A$71:$B$88,2,FALSE)+1,FALSE)="","",VLOOKUP($A15,'détails investissements'!$A$26:$DE$43,AX$3-VLOOKUP($A15,'détails investissements'!$A$71:$B$88,2,FALSE)+1,FALSE)))&lt;&gt;"",HLOOKUP(IF(AX$3-VLOOKUP($A15,'détails investissements'!$A$71:$B$88,2,FALSE)&lt;=0,"",IF(VLOOKUP($A15,'détails investissements'!$A$26:$DE$43,AX$3-VLOOKUP($A15,'détails investissements'!$A$71:$B$88,2,FALSE)+1,FALSE)="","",VLOOKUP($A15,'détails investissements'!$A$26:$DE$43,AX$3-VLOOKUP($A15,'détails investissements'!$A$71:$B$88,2,FALSE)+1,FALSE))),'détails investissements'!$U$6:$AB$7,2,FALSE),""),FALSE),"")</f>
        <v/>
      </c>
      <c r="AY15" s="45" t="str">
        <f>IF(IF(IF(AY$3-VLOOKUP($A15,'détails investissements'!$A$71:$B$88,2,FALSE)&lt;=0,"",IF(VLOOKUP($A15,'détails investissements'!$A$26:$DE$43,AY$3-VLOOKUP($A15,'détails investissements'!$A$71:$B$88,2,FALSE)+1,FALSE)="","",VLOOKUP($A15,'détails investissements'!$A$26:$DE$43,AY$3-VLOOKUP($A15,'détails investissements'!$A$71:$B$88,2,FALSE)+1,FALSE)))&lt;&gt;"",HLOOKUP(IF(AY$3-VLOOKUP($A15,'détails investissements'!$A$71:$B$88,2,FALSE)&lt;=0,"",IF(VLOOKUP($A15,'détails investissements'!$A$26:$DE$43,AY$3-VLOOKUP($A15,'détails investissements'!$A$71:$B$88,2,FALSE)+1,FALSE)="","",VLOOKUP($A15,'détails investissements'!$A$26:$DE$43,AY$3-VLOOKUP($A15,'détails investissements'!$A$71:$B$88,2,FALSE)+1,FALSE))),'détails investissements'!$U$6:$AB$7,2,FALSE),"")&lt;&gt;"",VLOOKUP($A15,'détails investissements'!$A$7:$H$21,1+IF(IF(AY$3-VLOOKUP($A15,'détails investissements'!$A$71:$B$88,2,FALSE)&lt;=0,"",IF(VLOOKUP($A15,'détails investissements'!$A$26:$DE$43,AY$3-VLOOKUP($A15,'détails investissements'!$A$71:$B$88,2,FALSE)+1,FALSE)="","",VLOOKUP($A15,'détails investissements'!$A$26:$DE$43,AY$3-VLOOKUP($A15,'détails investissements'!$A$71:$B$88,2,FALSE)+1,FALSE)))&lt;&gt;"",HLOOKUP(IF(AY$3-VLOOKUP($A15,'détails investissements'!$A$71:$B$88,2,FALSE)&lt;=0,"",IF(VLOOKUP($A15,'détails investissements'!$A$26:$DE$43,AY$3-VLOOKUP($A15,'détails investissements'!$A$71:$B$88,2,FALSE)+1,FALSE)="","",VLOOKUP($A15,'détails investissements'!$A$26:$DE$43,AY$3-VLOOKUP($A15,'détails investissements'!$A$71:$B$88,2,FALSE)+1,FALSE))),'détails investissements'!$U$6:$AB$7,2,FALSE),""),FALSE),"")</f>
        <v/>
      </c>
      <c r="AZ15" s="45" t="str">
        <f>IF(IF(IF(AZ$3-VLOOKUP($A15,'détails investissements'!$A$71:$B$88,2,FALSE)&lt;=0,"",IF(VLOOKUP($A15,'détails investissements'!$A$26:$DE$43,AZ$3-VLOOKUP($A15,'détails investissements'!$A$71:$B$88,2,FALSE)+1,FALSE)="","",VLOOKUP($A15,'détails investissements'!$A$26:$DE$43,AZ$3-VLOOKUP($A15,'détails investissements'!$A$71:$B$88,2,FALSE)+1,FALSE)))&lt;&gt;"",HLOOKUP(IF(AZ$3-VLOOKUP($A15,'détails investissements'!$A$71:$B$88,2,FALSE)&lt;=0,"",IF(VLOOKUP($A15,'détails investissements'!$A$26:$DE$43,AZ$3-VLOOKUP($A15,'détails investissements'!$A$71:$B$88,2,FALSE)+1,FALSE)="","",VLOOKUP($A15,'détails investissements'!$A$26:$DE$43,AZ$3-VLOOKUP($A15,'détails investissements'!$A$71:$B$88,2,FALSE)+1,FALSE))),'détails investissements'!$U$6:$AB$7,2,FALSE),"")&lt;&gt;"",VLOOKUP($A15,'détails investissements'!$A$7:$H$21,1+IF(IF(AZ$3-VLOOKUP($A15,'détails investissements'!$A$71:$B$88,2,FALSE)&lt;=0,"",IF(VLOOKUP($A15,'détails investissements'!$A$26:$DE$43,AZ$3-VLOOKUP($A15,'détails investissements'!$A$71:$B$88,2,FALSE)+1,FALSE)="","",VLOOKUP($A15,'détails investissements'!$A$26:$DE$43,AZ$3-VLOOKUP($A15,'détails investissements'!$A$71:$B$88,2,FALSE)+1,FALSE)))&lt;&gt;"",HLOOKUP(IF(AZ$3-VLOOKUP($A15,'détails investissements'!$A$71:$B$88,2,FALSE)&lt;=0,"",IF(VLOOKUP($A15,'détails investissements'!$A$26:$DE$43,AZ$3-VLOOKUP($A15,'détails investissements'!$A$71:$B$88,2,FALSE)+1,FALSE)="","",VLOOKUP($A15,'détails investissements'!$A$26:$DE$43,AZ$3-VLOOKUP($A15,'détails investissements'!$A$71:$B$88,2,FALSE)+1,FALSE))),'détails investissements'!$U$6:$AB$7,2,FALSE),""),FALSE),"")</f>
        <v/>
      </c>
      <c r="BA15" s="45" t="str">
        <f>IF(IF(IF(BA$3-VLOOKUP($A15,'détails investissements'!$A$71:$B$88,2,FALSE)&lt;=0,"",IF(VLOOKUP($A15,'détails investissements'!$A$26:$DE$43,BA$3-VLOOKUP($A15,'détails investissements'!$A$71:$B$88,2,FALSE)+1,FALSE)="","",VLOOKUP($A15,'détails investissements'!$A$26:$DE$43,BA$3-VLOOKUP($A15,'détails investissements'!$A$71:$B$88,2,FALSE)+1,FALSE)))&lt;&gt;"",HLOOKUP(IF(BA$3-VLOOKUP($A15,'détails investissements'!$A$71:$B$88,2,FALSE)&lt;=0,"",IF(VLOOKUP($A15,'détails investissements'!$A$26:$DE$43,BA$3-VLOOKUP($A15,'détails investissements'!$A$71:$B$88,2,FALSE)+1,FALSE)="","",VLOOKUP($A15,'détails investissements'!$A$26:$DE$43,BA$3-VLOOKUP($A15,'détails investissements'!$A$71:$B$88,2,FALSE)+1,FALSE))),'détails investissements'!$U$6:$AB$7,2,FALSE),"")&lt;&gt;"",VLOOKUP($A15,'détails investissements'!$A$7:$H$21,1+IF(IF(BA$3-VLOOKUP($A15,'détails investissements'!$A$71:$B$88,2,FALSE)&lt;=0,"",IF(VLOOKUP($A15,'détails investissements'!$A$26:$DE$43,BA$3-VLOOKUP($A15,'détails investissements'!$A$71:$B$88,2,FALSE)+1,FALSE)="","",VLOOKUP($A15,'détails investissements'!$A$26:$DE$43,BA$3-VLOOKUP($A15,'détails investissements'!$A$71:$B$88,2,FALSE)+1,FALSE)))&lt;&gt;"",HLOOKUP(IF(BA$3-VLOOKUP($A15,'détails investissements'!$A$71:$B$88,2,FALSE)&lt;=0,"",IF(VLOOKUP($A15,'détails investissements'!$A$26:$DE$43,BA$3-VLOOKUP($A15,'détails investissements'!$A$71:$B$88,2,FALSE)+1,FALSE)="","",VLOOKUP($A15,'détails investissements'!$A$26:$DE$43,BA$3-VLOOKUP($A15,'détails investissements'!$A$71:$B$88,2,FALSE)+1,FALSE))),'détails investissements'!$U$6:$AB$7,2,FALSE),""),FALSE),"")</f>
        <v/>
      </c>
      <c r="BB15" s="45" t="str">
        <f>IF(IF(IF(BB$3-VLOOKUP($A15,'détails investissements'!$A$71:$B$88,2,FALSE)&lt;=0,"",IF(VLOOKUP($A15,'détails investissements'!$A$26:$DE$43,BB$3-VLOOKUP($A15,'détails investissements'!$A$71:$B$88,2,FALSE)+1,FALSE)="","",VLOOKUP($A15,'détails investissements'!$A$26:$DE$43,BB$3-VLOOKUP($A15,'détails investissements'!$A$71:$B$88,2,FALSE)+1,FALSE)))&lt;&gt;"",HLOOKUP(IF(BB$3-VLOOKUP($A15,'détails investissements'!$A$71:$B$88,2,FALSE)&lt;=0,"",IF(VLOOKUP($A15,'détails investissements'!$A$26:$DE$43,BB$3-VLOOKUP($A15,'détails investissements'!$A$71:$B$88,2,FALSE)+1,FALSE)="","",VLOOKUP($A15,'détails investissements'!$A$26:$DE$43,BB$3-VLOOKUP($A15,'détails investissements'!$A$71:$B$88,2,FALSE)+1,FALSE))),'détails investissements'!$U$6:$AB$7,2,FALSE),"")&lt;&gt;"",VLOOKUP($A15,'détails investissements'!$A$7:$H$21,1+IF(IF(BB$3-VLOOKUP($A15,'détails investissements'!$A$71:$B$88,2,FALSE)&lt;=0,"",IF(VLOOKUP($A15,'détails investissements'!$A$26:$DE$43,BB$3-VLOOKUP($A15,'détails investissements'!$A$71:$B$88,2,FALSE)+1,FALSE)="","",VLOOKUP($A15,'détails investissements'!$A$26:$DE$43,BB$3-VLOOKUP($A15,'détails investissements'!$A$71:$B$88,2,FALSE)+1,FALSE)))&lt;&gt;"",HLOOKUP(IF(BB$3-VLOOKUP($A15,'détails investissements'!$A$71:$B$88,2,FALSE)&lt;=0,"",IF(VLOOKUP($A15,'détails investissements'!$A$26:$DE$43,BB$3-VLOOKUP($A15,'détails investissements'!$A$71:$B$88,2,FALSE)+1,FALSE)="","",VLOOKUP($A15,'détails investissements'!$A$26:$DE$43,BB$3-VLOOKUP($A15,'détails investissements'!$A$71:$B$88,2,FALSE)+1,FALSE))),'détails investissements'!$U$6:$AB$7,2,FALSE),""),FALSE),"")</f>
        <v/>
      </c>
      <c r="BC15" s="45" t="str">
        <f>IF(IF(IF(BC$3-VLOOKUP($A15,'détails investissements'!$A$71:$B$88,2,FALSE)&lt;=0,"",IF(VLOOKUP($A15,'détails investissements'!$A$26:$DE$43,BC$3-VLOOKUP($A15,'détails investissements'!$A$71:$B$88,2,FALSE)+1,FALSE)="","",VLOOKUP($A15,'détails investissements'!$A$26:$DE$43,BC$3-VLOOKUP($A15,'détails investissements'!$A$71:$B$88,2,FALSE)+1,FALSE)))&lt;&gt;"",HLOOKUP(IF(BC$3-VLOOKUP($A15,'détails investissements'!$A$71:$B$88,2,FALSE)&lt;=0,"",IF(VLOOKUP($A15,'détails investissements'!$A$26:$DE$43,BC$3-VLOOKUP($A15,'détails investissements'!$A$71:$B$88,2,FALSE)+1,FALSE)="","",VLOOKUP($A15,'détails investissements'!$A$26:$DE$43,BC$3-VLOOKUP($A15,'détails investissements'!$A$71:$B$88,2,FALSE)+1,FALSE))),'détails investissements'!$U$6:$AB$7,2,FALSE),"")&lt;&gt;"",VLOOKUP($A15,'détails investissements'!$A$7:$H$21,1+IF(IF(BC$3-VLOOKUP($A15,'détails investissements'!$A$71:$B$88,2,FALSE)&lt;=0,"",IF(VLOOKUP($A15,'détails investissements'!$A$26:$DE$43,BC$3-VLOOKUP($A15,'détails investissements'!$A$71:$B$88,2,FALSE)+1,FALSE)="","",VLOOKUP($A15,'détails investissements'!$A$26:$DE$43,BC$3-VLOOKUP($A15,'détails investissements'!$A$71:$B$88,2,FALSE)+1,FALSE)))&lt;&gt;"",HLOOKUP(IF(BC$3-VLOOKUP($A15,'détails investissements'!$A$71:$B$88,2,FALSE)&lt;=0,"",IF(VLOOKUP($A15,'détails investissements'!$A$26:$DE$43,BC$3-VLOOKUP($A15,'détails investissements'!$A$71:$B$88,2,FALSE)+1,FALSE)="","",VLOOKUP($A15,'détails investissements'!$A$26:$DE$43,BC$3-VLOOKUP($A15,'détails investissements'!$A$71:$B$88,2,FALSE)+1,FALSE))),'détails investissements'!$U$6:$AB$7,2,FALSE),""),FALSE),"")</f>
        <v/>
      </c>
      <c r="BD15" s="45" t="str">
        <f>IF(IF(IF(BD$3-VLOOKUP($A15,'détails investissements'!$A$71:$B$88,2,FALSE)&lt;=0,"",IF(VLOOKUP($A15,'détails investissements'!$A$26:$DE$43,BD$3-VLOOKUP($A15,'détails investissements'!$A$71:$B$88,2,FALSE)+1,FALSE)="","",VLOOKUP($A15,'détails investissements'!$A$26:$DE$43,BD$3-VLOOKUP($A15,'détails investissements'!$A$71:$B$88,2,FALSE)+1,FALSE)))&lt;&gt;"",HLOOKUP(IF(BD$3-VLOOKUP($A15,'détails investissements'!$A$71:$B$88,2,FALSE)&lt;=0,"",IF(VLOOKUP($A15,'détails investissements'!$A$26:$DE$43,BD$3-VLOOKUP($A15,'détails investissements'!$A$71:$B$88,2,FALSE)+1,FALSE)="","",VLOOKUP($A15,'détails investissements'!$A$26:$DE$43,BD$3-VLOOKUP($A15,'détails investissements'!$A$71:$B$88,2,FALSE)+1,FALSE))),'détails investissements'!$U$6:$AB$7,2,FALSE),"")&lt;&gt;"",VLOOKUP($A15,'détails investissements'!$A$7:$H$21,1+IF(IF(BD$3-VLOOKUP($A15,'détails investissements'!$A$71:$B$88,2,FALSE)&lt;=0,"",IF(VLOOKUP($A15,'détails investissements'!$A$26:$DE$43,BD$3-VLOOKUP($A15,'détails investissements'!$A$71:$B$88,2,FALSE)+1,FALSE)="","",VLOOKUP($A15,'détails investissements'!$A$26:$DE$43,BD$3-VLOOKUP($A15,'détails investissements'!$A$71:$B$88,2,FALSE)+1,FALSE)))&lt;&gt;"",HLOOKUP(IF(BD$3-VLOOKUP($A15,'détails investissements'!$A$71:$B$88,2,FALSE)&lt;=0,"",IF(VLOOKUP($A15,'détails investissements'!$A$26:$DE$43,BD$3-VLOOKUP($A15,'détails investissements'!$A$71:$B$88,2,FALSE)+1,FALSE)="","",VLOOKUP($A15,'détails investissements'!$A$26:$DE$43,BD$3-VLOOKUP($A15,'détails investissements'!$A$71:$B$88,2,FALSE)+1,FALSE))),'détails investissements'!$U$6:$AB$7,2,FALSE),""),FALSE),"")</f>
        <v/>
      </c>
      <c r="BE15" s="45" t="str">
        <f>IF(IF(IF(BE$3-VLOOKUP($A15,'détails investissements'!$A$71:$B$88,2,FALSE)&lt;=0,"",IF(VLOOKUP($A15,'détails investissements'!$A$26:$DE$43,BE$3-VLOOKUP($A15,'détails investissements'!$A$71:$B$88,2,FALSE)+1,FALSE)="","",VLOOKUP($A15,'détails investissements'!$A$26:$DE$43,BE$3-VLOOKUP($A15,'détails investissements'!$A$71:$B$88,2,FALSE)+1,FALSE)))&lt;&gt;"",HLOOKUP(IF(BE$3-VLOOKUP($A15,'détails investissements'!$A$71:$B$88,2,FALSE)&lt;=0,"",IF(VLOOKUP($A15,'détails investissements'!$A$26:$DE$43,BE$3-VLOOKUP($A15,'détails investissements'!$A$71:$B$88,2,FALSE)+1,FALSE)="","",VLOOKUP($A15,'détails investissements'!$A$26:$DE$43,BE$3-VLOOKUP($A15,'détails investissements'!$A$71:$B$88,2,FALSE)+1,FALSE))),'détails investissements'!$U$6:$AB$7,2,FALSE),"")&lt;&gt;"",VLOOKUP($A15,'détails investissements'!$A$7:$H$21,1+IF(IF(BE$3-VLOOKUP($A15,'détails investissements'!$A$71:$B$88,2,FALSE)&lt;=0,"",IF(VLOOKUP($A15,'détails investissements'!$A$26:$DE$43,BE$3-VLOOKUP($A15,'détails investissements'!$A$71:$B$88,2,FALSE)+1,FALSE)="","",VLOOKUP($A15,'détails investissements'!$A$26:$DE$43,BE$3-VLOOKUP($A15,'détails investissements'!$A$71:$B$88,2,FALSE)+1,FALSE)))&lt;&gt;"",HLOOKUP(IF(BE$3-VLOOKUP($A15,'détails investissements'!$A$71:$B$88,2,FALSE)&lt;=0,"",IF(VLOOKUP($A15,'détails investissements'!$A$26:$DE$43,BE$3-VLOOKUP($A15,'détails investissements'!$A$71:$B$88,2,FALSE)+1,FALSE)="","",VLOOKUP($A15,'détails investissements'!$A$26:$DE$43,BE$3-VLOOKUP($A15,'détails investissements'!$A$71:$B$88,2,FALSE)+1,FALSE))),'détails investissements'!$U$6:$AB$7,2,FALSE),""),FALSE),"")</f>
        <v/>
      </c>
      <c r="BF15" s="45" t="str">
        <f>IF(IF(IF(BF$3-VLOOKUP($A15,'détails investissements'!$A$71:$B$88,2,FALSE)&lt;=0,"",IF(VLOOKUP($A15,'détails investissements'!$A$26:$DE$43,BF$3-VLOOKUP($A15,'détails investissements'!$A$71:$B$88,2,FALSE)+1,FALSE)="","",VLOOKUP($A15,'détails investissements'!$A$26:$DE$43,BF$3-VLOOKUP($A15,'détails investissements'!$A$71:$B$88,2,FALSE)+1,FALSE)))&lt;&gt;"",HLOOKUP(IF(BF$3-VLOOKUP($A15,'détails investissements'!$A$71:$B$88,2,FALSE)&lt;=0,"",IF(VLOOKUP($A15,'détails investissements'!$A$26:$DE$43,BF$3-VLOOKUP($A15,'détails investissements'!$A$71:$B$88,2,FALSE)+1,FALSE)="","",VLOOKUP($A15,'détails investissements'!$A$26:$DE$43,BF$3-VLOOKUP($A15,'détails investissements'!$A$71:$B$88,2,FALSE)+1,FALSE))),'détails investissements'!$U$6:$AB$7,2,FALSE),"")&lt;&gt;"",VLOOKUP($A15,'détails investissements'!$A$7:$H$21,1+IF(IF(BF$3-VLOOKUP($A15,'détails investissements'!$A$71:$B$88,2,FALSE)&lt;=0,"",IF(VLOOKUP($A15,'détails investissements'!$A$26:$DE$43,BF$3-VLOOKUP($A15,'détails investissements'!$A$71:$B$88,2,FALSE)+1,FALSE)="","",VLOOKUP($A15,'détails investissements'!$A$26:$DE$43,BF$3-VLOOKUP($A15,'détails investissements'!$A$71:$B$88,2,FALSE)+1,FALSE)))&lt;&gt;"",HLOOKUP(IF(BF$3-VLOOKUP($A15,'détails investissements'!$A$71:$B$88,2,FALSE)&lt;=0,"",IF(VLOOKUP($A15,'détails investissements'!$A$26:$DE$43,BF$3-VLOOKUP($A15,'détails investissements'!$A$71:$B$88,2,FALSE)+1,FALSE)="","",VLOOKUP($A15,'détails investissements'!$A$26:$DE$43,BF$3-VLOOKUP($A15,'détails investissements'!$A$71:$B$88,2,FALSE)+1,FALSE))),'détails investissements'!$U$6:$AB$7,2,FALSE),""),FALSE),"")</f>
        <v/>
      </c>
      <c r="BG15" s="45" t="str">
        <f>IF(IF(IF(BG$3-VLOOKUP($A15,'détails investissements'!$A$71:$B$88,2,FALSE)&lt;=0,"",IF(VLOOKUP($A15,'détails investissements'!$A$26:$DE$43,BG$3-VLOOKUP($A15,'détails investissements'!$A$71:$B$88,2,FALSE)+1,FALSE)="","",VLOOKUP($A15,'détails investissements'!$A$26:$DE$43,BG$3-VLOOKUP($A15,'détails investissements'!$A$71:$B$88,2,FALSE)+1,FALSE)))&lt;&gt;"",HLOOKUP(IF(BG$3-VLOOKUP($A15,'détails investissements'!$A$71:$B$88,2,FALSE)&lt;=0,"",IF(VLOOKUP($A15,'détails investissements'!$A$26:$DE$43,BG$3-VLOOKUP($A15,'détails investissements'!$A$71:$B$88,2,FALSE)+1,FALSE)="","",VLOOKUP($A15,'détails investissements'!$A$26:$DE$43,BG$3-VLOOKUP($A15,'détails investissements'!$A$71:$B$88,2,FALSE)+1,FALSE))),'détails investissements'!$U$6:$AB$7,2,FALSE),"")&lt;&gt;"",VLOOKUP($A15,'détails investissements'!$A$7:$H$21,1+IF(IF(BG$3-VLOOKUP($A15,'détails investissements'!$A$71:$B$88,2,FALSE)&lt;=0,"",IF(VLOOKUP($A15,'détails investissements'!$A$26:$DE$43,BG$3-VLOOKUP($A15,'détails investissements'!$A$71:$B$88,2,FALSE)+1,FALSE)="","",VLOOKUP($A15,'détails investissements'!$A$26:$DE$43,BG$3-VLOOKUP($A15,'détails investissements'!$A$71:$B$88,2,FALSE)+1,FALSE)))&lt;&gt;"",HLOOKUP(IF(BG$3-VLOOKUP($A15,'détails investissements'!$A$71:$B$88,2,FALSE)&lt;=0,"",IF(VLOOKUP($A15,'détails investissements'!$A$26:$DE$43,BG$3-VLOOKUP($A15,'détails investissements'!$A$71:$B$88,2,FALSE)+1,FALSE)="","",VLOOKUP($A15,'détails investissements'!$A$26:$DE$43,BG$3-VLOOKUP($A15,'détails investissements'!$A$71:$B$88,2,FALSE)+1,FALSE))),'détails investissements'!$U$6:$AB$7,2,FALSE),""),FALSE),"")</f>
        <v/>
      </c>
      <c r="BH15" s="45" t="str">
        <f>IF(IF(IF(BH$3-VLOOKUP($A15,'détails investissements'!$A$71:$B$88,2,FALSE)&lt;=0,"",IF(VLOOKUP($A15,'détails investissements'!$A$26:$DE$43,BH$3-VLOOKUP($A15,'détails investissements'!$A$71:$B$88,2,FALSE)+1,FALSE)="","",VLOOKUP($A15,'détails investissements'!$A$26:$DE$43,BH$3-VLOOKUP($A15,'détails investissements'!$A$71:$B$88,2,FALSE)+1,FALSE)))&lt;&gt;"",HLOOKUP(IF(BH$3-VLOOKUP($A15,'détails investissements'!$A$71:$B$88,2,FALSE)&lt;=0,"",IF(VLOOKUP($A15,'détails investissements'!$A$26:$DE$43,BH$3-VLOOKUP($A15,'détails investissements'!$A$71:$B$88,2,FALSE)+1,FALSE)="","",VLOOKUP($A15,'détails investissements'!$A$26:$DE$43,BH$3-VLOOKUP($A15,'détails investissements'!$A$71:$B$88,2,FALSE)+1,FALSE))),'détails investissements'!$U$6:$AB$7,2,FALSE),"")&lt;&gt;"",VLOOKUP($A15,'détails investissements'!$A$7:$H$21,1+IF(IF(BH$3-VLOOKUP($A15,'détails investissements'!$A$71:$B$88,2,FALSE)&lt;=0,"",IF(VLOOKUP($A15,'détails investissements'!$A$26:$DE$43,BH$3-VLOOKUP($A15,'détails investissements'!$A$71:$B$88,2,FALSE)+1,FALSE)="","",VLOOKUP($A15,'détails investissements'!$A$26:$DE$43,BH$3-VLOOKUP($A15,'détails investissements'!$A$71:$B$88,2,FALSE)+1,FALSE)))&lt;&gt;"",HLOOKUP(IF(BH$3-VLOOKUP($A15,'détails investissements'!$A$71:$B$88,2,FALSE)&lt;=0,"",IF(VLOOKUP($A15,'détails investissements'!$A$26:$DE$43,BH$3-VLOOKUP($A15,'détails investissements'!$A$71:$B$88,2,FALSE)+1,FALSE)="","",VLOOKUP($A15,'détails investissements'!$A$26:$DE$43,BH$3-VLOOKUP($A15,'détails investissements'!$A$71:$B$88,2,FALSE)+1,FALSE))),'détails investissements'!$U$6:$AB$7,2,FALSE),""),FALSE),"")</f>
        <v/>
      </c>
      <c r="BI15" s="45" t="str">
        <f>IF(IF(IF(BI$3-VLOOKUP($A15,'détails investissements'!$A$71:$B$88,2,FALSE)&lt;=0,"",IF(VLOOKUP($A15,'détails investissements'!$A$26:$DE$43,BI$3-VLOOKUP($A15,'détails investissements'!$A$71:$B$88,2,FALSE)+1,FALSE)="","",VLOOKUP($A15,'détails investissements'!$A$26:$DE$43,BI$3-VLOOKUP($A15,'détails investissements'!$A$71:$B$88,2,FALSE)+1,FALSE)))&lt;&gt;"",HLOOKUP(IF(BI$3-VLOOKUP($A15,'détails investissements'!$A$71:$B$88,2,FALSE)&lt;=0,"",IF(VLOOKUP($A15,'détails investissements'!$A$26:$DE$43,BI$3-VLOOKUP($A15,'détails investissements'!$A$71:$B$88,2,FALSE)+1,FALSE)="","",VLOOKUP($A15,'détails investissements'!$A$26:$DE$43,BI$3-VLOOKUP($A15,'détails investissements'!$A$71:$B$88,2,FALSE)+1,FALSE))),'détails investissements'!$U$6:$AB$7,2,FALSE),"")&lt;&gt;"",VLOOKUP($A15,'détails investissements'!$A$7:$H$21,1+IF(IF(BI$3-VLOOKUP($A15,'détails investissements'!$A$71:$B$88,2,FALSE)&lt;=0,"",IF(VLOOKUP($A15,'détails investissements'!$A$26:$DE$43,BI$3-VLOOKUP($A15,'détails investissements'!$A$71:$B$88,2,FALSE)+1,FALSE)="","",VLOOKUP($A15,'détails investissements'!$A$26:$DE$43,BI$3-VLOOKUP($A15,'détails investissements'!$A$71:$B$88,2,FALSE)+1,FALSE)))&lt;&gt;"",HLOOKUP(IF(BI$3-VLOOKUP($A15,'détails investissements'!$A$71:$B$88,2,FALSE)&lt;=0,"",IF(VLOOKUP($A15,'détails investissements'!$A$26:$DE$43,BI$3-VLOOKUP($A15,'détails investissements'!$A$71:$B$88,2,FALSE)+1,FALSE)="","",VLOOKUP($A15,'détails investissements'!$A$26:$DE$43,BI$3-VLOOKUP($A15,'détails investissements'!$A$71:$B$88,2,FALSE)+1,FALSE))),'détails investissements'!$U$6:$AB$7,2,FALSE),""),FALSE),"")</f>
        <v/>
      </c>
      <c r="BJ15" s="45" t="str">
        <f>IF(IF(IF(BJ$3-VLOOKUP($A15,'détails investissements'!$A$71:$B$88,2,FALSE)&lt;=0,"",IF(VLOOKUP($A15,'détails investissements'!$A$26:$DE$43,BJ$3-VLOOKUP($A15,'détails investissements'!$A$71:$B$88,2,FALSE)+1,FALSE)="","",VLOOKUP($A15,'détails investissements'!$A$26:$DE$43,BJ$3-VLOOKUP($A15,'détails investissements'!$A$71:$B$88,2,FALSE)+1,FALSE)))&lt;&gt;"",HLOOKUP(IF(BJ$3-VLOOKUP($A15,'détails investissements'!$A$71:$B$88,2,FALSE)&lt;=0,"",IF(VLOOKUP($A15,'détails investissements'!$A$26:$DE$43,BJ$3-VLOOKUP($A15,'détails investissements'!$A$71:$B$88,2,FALSE)+1,FALSE)="","",VLOOKUP($A15,'détails investissements'!$A$26:$DE$43,BJ$3-VLOOKUP($A15,'détails investissements'!$A$71:$B$88,2,FALSE)+1,FALSE))),'détails investissements'!$U$6:$AB$7,2,FALSE),"")&lt;&gt;"",VLOOKUP($A15,'détails investissements'!$A$7:$H$21,1+IF(IF(BJ$3-VLOOKUP($A15,'détails investissements'!$A$71:$B$88,2,FALSE)&lt;=0,"",IF(VLOOKUP($A15,'détails investissements'!$A$26:$DE$43,BJ$3-VLOOKUP($A15,'détails investissements'!$A$71:$B$88,2,FALSE)+1,FALSE)="","",VLOOKUP($A15,'détails investissements'!$A$26:$DE$43,BJ$3-VLOOKUP($A15,'détails investissements'!$A$71:$B$88,2,FALSE)+1,FALSE)))&lt;&gt;"",HLOOKUP(IF(BJ$3-VLOOKUP($A15,'détails investissements'!$A$71:$B$88,2,FALSE)&lt;=0,"",IF(VLOOKUP($A15,'détails investissements'!$A$26:$DE$43,BJ$3-VLOOKUP($A15,'détails investissements'!$A$71:$B$88,2,FALSE)+1,FALSE)="","",VLOOKUP($A15,'détails investissements'!$A$26:$DE$43,BJ$3-VLOOKUP($A15,'détails investissements'!$A$71:$B$88,2,FALSE)+1,FALSE))),'détails investissements'!$U$6:$AB$7,2,FALSE),""),FALSE),"")</f>
        <v/>
      </c>
      <c r="BK15" s="45" t="str">
        <f>IF(IF(IF(BK$3-VLOOKUP($A15,'détails investissements'!$A$71:$B$88,2,FALSE)&lt;=0,"",IF(VLOOKUP($A15,'détails investissements'!$A$26:$DE$43,BK$3-VLOOKUP($A15,'détails investissements'!$A$71:$B$88,2,FALSE)+1,FALSE)="","",VLOOKUP($A15,'détails investissements'!$A$26:$DE$43,BK$3-VLOOKUP($A15,'détails investissements'!$A$71:$B$88,2,FALSE)+1,FALSE)))&lt;&gt;"",HLOOKUP(IF(BK$3-VLOOKUP($A15,'détails investissements'!$A$71:$B$88,2,FALSE)&lt;=0,"",IF(VLOOKUP($A15,'détails investissements'!$A$26:$DE$43,BK$3-VLOOKUP($A15,'détails investissements'!$A$71:$B$88,2,FALSE)+1,FALSE)="","",VLOOKUP($A15,'détails investissements'!$A$26:$DE$43,BK$3-VLOOKUP($A15,'détails investissements'!$A$71:$B$88,2,FALSE)+1,FALSE))),'détails investissements'!$U$6:$AB$7,2,FALSE),"")&lt;&gt;"",VLOOKUP($A15,'détails investissements'!$A$7:$H$21,1+IF(IF(BK$3-VLOOKUP($A15,'détails investissements'!$A$71:$B$88,2,FALSE)&lt;=0,"",IF(VLOOKUP($A15,'détails investissements'!$A$26:$DE$43,BK$3-VLOOKUP($A15,'détails investissements'!$A$71:$B$88,2,FALSE)+1,FALSE)="","",VLOOKUP($A15,'détails investissements'!$A$26:$DE$43,BK$3-VLOOKUP($A15,'détails investissements'!$A$71:$B$88,2,FALSE)+1,FALSE)))&lt;&gt;"",HLOOKUP(IF(BK$3-VLOOKUP($A15,'détails investissements'!$A$71:$B$88,2,FALSE)&lt;=0,"",IF(VLOOKUP($A15,'détails investissements'!$A$26:$DE$43,BK$3-VLOOKUP($A15,'détails investissements'!$A$71:$B$88,2,FALSE)+1,FALSE)="","",VLOOKUP($A15,'détails investissements'!$A$26:$DE$43,BK$3-VLOOKUP($A15,'détails investissements'!$A$71:$B$88,2,FALSE)+1,FALSE))),'détails investissements'!$U$6:$AB$7,2,FALSE),""),FALSE),"")</f>
        <v/>
      </c>
      <c r="BL15" s="45" t="str">
        <f>IF(IF(IF(BL$3-VLOOKUP($A15,'détails investissements'!$A$71:$B$88,2,FALSE)&lt;=0,"",IF(VLOOKUP($A15,'détails investissements'!$A$26:$DE$43,BL$3-VLOOKUP($A15,'détails investissements'!$A$71:$B$88,2,FALSE)+1,FALSE)="","",VLOOKUP($A15,'détails investissements'!$A$26:$DE$43,BL$3-VLOOKUP($A15,'détails investissements'!$A$71:$B$88,2,FALSE)+1,FALSE)))&lt;&gt;"",HLOOKUP(IF(BL$3-VLOOKUP($A15,'détails investissements'!$A$71:$B$88,2,FALSE)&lt;=0,"",IF(VLOOKUP($A15,'détails investissements'!$A$26:$DE$43,BL$3-VLOOKUP($A15,'détails investissements'!$A$71:$B$88,2,FALSE)+1,FALSE)="","",VLOOKUP($A15,'détails investissements'!$A$26:$DE$43,BL$3-VLOOKUP($A15,'détails investissements'!$A$71:$B$88,2,FALSE)+1,FALSE))),'détails investissements'!$U$6:$AB$7,2,FALSE),"")&lt;&gt;"",VLOOKUP($A15,'détails investissements'!$A$7:$H$21,1+IF(IF(BL$3-VLOOKUP($A15,'détails investissements'!$A$71:$B$88,2,FALSE)&lt;=0,"",IF(VLOOKUP($A15,'détails investissements'!$A$26:$DE$43,BL$3-VLOOKUP($A15,'détails investissements'!$A$71:$B$88,2,FALSE)+1,FALSE)="","",VLOOKUP($A15,'détails investissements'!$A$26:$DE$43,BL$3-VLOOKUP($A15,'détails investissements'!$A$71:$B$88,2,FALSE)+1,FALSE)))&lt;&gt;"",HLOOKUP(IF(BL$3-VLOOKUP($A15,'détails investissements'!$A$71:$B$88,2,FALSE)&lt;=0,"",IF(VLOOKUP($A15,'détails investissements'!$A$26:$DE$43,BL$3-VLOOKUP($A15,'détails investissements'!$A$71:$B$88,2,FALSE)+1,FALSE)="","",VLOOKUP($A15,'détails investissements'!$A$26:$DE$43,BL$3-VLOOKUP($A15,'détails investissements'!$A$71:$B$88,2,FALSE)+1,FALSE))),'détails investissements'!$U$6:$AB$7,2,FALSE),""),FALSE),"")</f>
        <v/>
      </c>
      <c r="BM15" s="45" t="str">
        <f>IF(IF(IF(BM$3-VLOOKUP($A15,'détails investissements'!$A$71:$B$88,2,FALSE)&lt;=0,"",IF(VLOOKUP($A15,'détails investissements'!$A$26:$DE$43,BM$3-VLOOKUP($A15,'détails investissements'!$A$71:$B$88,2,FALSE)+1,FALSE)="","",VLOOKUP($A15,'détails investissements'!$A$26:$DE$43,BM$3-VLOOKUP($A15,'détails investissements'!$A$71:$B$88,2,FALSE)+1,FALSE)))&lt;&gt;"",HLOOKUP(IF(BM$3-VLOOKUP($A15,'détails investissements'!$A$71:$B$88,2,FALSE)&lt;=0,"",IF(VLOOKUP($A15,'détails investissements'!$A$26:$DE$43,BM$3-VLOOKUP($A15,'détails investissements'!$A$71:$B$88,2,FALSE)+1,FALSE)="","",VLOOKUP($A15,'détails investissements'!$A$26:$DE$43,BM$3-VLOOKUP($A15,'détails investissements'!$A$71:$B$88,2,FALSE)+1,FALSE))),'détails investissements'!$U$6:$AB$7,2,FALSE),"")&lt;&gt;"",VLOOKUP($A15,'détails investissements'!$A$7:$H$21,1+IF(IF(BM$3-VLOOKUP($A15,'détails investissements'!$A$71:$B$88,2,FALSE)&lt;=0,"",IF(VLOOKUP($A15,'détails investissements'!$A$26:$DE$43,BM$3-VLOOKUP($A15,'détails investissements'!$A$71:$B$88,2,FALSE)+1,FALSE)="","",VLOOKUP($A15,'détails investissements'!$A$26:$DE$43,BM$3-VLOOKUP($A15,'détails investissements'!$A$71:$B$88,2,FALSE)+1,FALSE)))&lt;&gt;"",HLOOKUP(IF(BM$3-VLOOKUP($A15,'détails investissements'!$A$71:$B$88,2,FALSE)&lt;=0,"",IF(VLOOKUP($A15,'détails investissements'!$A$26:$DE$43,BM$3-VLOOKUP($A15,'détails investissements'!$A$71:$B$88,2,FALSE)+1,FALSE)="","",VLOOKUP($A15,'détails investissements'!$A$26:$DE$43,BM$3-VLOOKUP($A15,'détails investissements'!$A$71:$B$88,2,FALSE)+1,FALSE))),'détails investissements'!$U$6:$AB$7,2,FALSE),""),FALSE),"")</f>
        <v/>
      </c>
      <c r="BN15" s="45" t="str">
        <f>IF(IF(IF(BN$3-VLOOKUP($A15,'détails investissements'!$A$71:$B$88,2,FALSE)&lt;=0,"",IF(VLOOKUP($A15,'détails investissements'!$A$26:$DE$43,BN$3-VLOOKUP($A15,'détails investissements'!$A$71:$B$88,2,FALSE)+1,FALSE)="","",VLOOKUP($A15,'détails investissements'!$A$26:$DE$43,BN$3-VLOOKUP($A15,'détails investissements'!$A$71:$B$88,2,FALSE)+1,FALSE)))&lt;&gt;"",HLOOKUP(IF(BN$3-VLOOKUP($A15,'détails investissements'!$A$71:$B$88,2,FALSE)&lt;=0,"",IF(VLOOKUP($A15,'détails investissements'!$A$26:$DE$43,BN$3-VLOOKUP($A15,'détails investissements'!$A$71:$B$88,2,FALSE)+1,FALSE)="","",VLOOKUP($A15,'détails investissements'!$A$26:$DE$43,BN$3-VLOOKUP($A15,'détails investissements'!$A$71:$B$88,2,FALSE)+1,FALSE))),'détails investissements'!$U$6:$AB$7,2,FALSE),"")&lt;&gt;"",VLOOKUP($A15,'détails investissements'!$A$7:$H$21,1+IF(IF(BN$3-VLOOKUP($A15,'détails investissements'!$A$71:$B$88,2,FALSE)&lt;=0,"",IF(VLOOKUP($A15,'détails investissements'!$A$26:$DE$43,BN$3-VLOOKUP($A15,'détails investissements'!$A$71:$B$88,2,FALSE)+1,FALSE)="","",VLOOKUP($A15,'détails investissements'!$A$26:$DE$43,BN$3-VLOOKUP($A15,'détails investissements'!$A$71:$B$88,2,FALSE)+1,FALSE)))&lt;&gt;"",HLOOKUP(IF(BN$3-VLOOKUP($A15,'détails investissements'!$A$71:$B$88,2,FALSE)&lt;=0,"",IF(VLOOKUP($A15,'détails investissements'!$A$26:$DE$43,BN$3-VLOOKUP($A15,'détails investissements'!$A$71:$B$88,2,FALSE)+1,FALSE)="","",VLOOKUP($A15,'détails investissements'!$A$26:$DE$43,BN$3-VLOOKUP($A15,'détails investissements'!$A$71:$B$88,2,FALSE)+1,FALSE))),'détails investissements'!$U$6:$AB$7,2,FALSE),""),FALSE),"")</f>
        <v/>
      </c>
      <c r="BO15" s="45" t="str">
        <f>IF(IF(IF(BO$3-VLOOKUP($A15,'détails investissements'!$A$71:$B$88,2,FALSE)&lt;=0,"",IF(VLOOKUP($A15,'détails investissements'!$A$26:$DE$43,BO$3-VLOOKUP($A15,'détails investissements'!$A$71:$B$88,2,FALSE)+1,FALSE)="","",VLOOKUP($A15,'détails investissements'!$A$26:$DE$43,BO$3-VLOOKUP($A15,'détails investissements'!$A$71:$B$88,2,FALSE)+1,FALSE)))&lt;&gt;"",HLOOKUP(IF(BO$3-VLOOKUP($A15,'détails investissements'!$A$71:$B$88,2,FALSE)&lt;=0,"",IF(VLOOKUP($A15,'détails investissements'!$A$26:$DE$43,BO$3-VLOOKUP($A15,'détails investissements'!$A$71:$B$88,2,FALSE)+1,FALSE)="","",VLOOKUP($A15,'détails investissements'!$A$26:$DE$43,BO$3-VLOOKUP($A15,'détails investissements'!$A$71:$B$88,2,FALSE)+1,FALSE))),'détails investissements'!$U$6:$AB$7,2,FALSE),"")&lt;&gt;"",VLOOKUP($A15,'détails investissements'!$A$7:$H$21,1+IF(IF(BO$3-VLOOKUP($A15,'détails investissements'!$A$71:$B$88,2,FALSE)&lt;=0,"",IF(VLOOKUP($A15,'détails investissements'!$A$26:$DE$43,BO$3-VLOOKUP($A15,'détails investissements'!$A$71:$B$88,2,FALSE)+1,FALSE)="","",VLOOKUP($A15,'détails investissements'!$A$26:$DE$43,BO$3-VLOOKUP($A15,'détails investissements'!$A$71:$B$88,2,FALSE)+1,FALSE)))&lt;&gt;"",HLOOKUP(IF(BO$3-VLOOKUP($A15,'détails investissements'!$A$71:$B$88,2,FALSE)&lt;=0,"",IF(VLOOKUP($A15,'détails investissements'!$A$26:$DE$43,BO$3-VLOOKUP($A15,'détails investissements'!$A$71:$B$88,2,FALSE)+1,FALSE)="","",VLOOKUP($A15,'détails investissements'!$A$26:$DE$43,BO$3-VLOOKUP($A15,'détails investissements'!$A$71:$B$88,2,FALSE)+1,FALSE))),'détails investissements'!$U$6:$AB$7,2,FALSE),""),FALSE),"")</f>
        <v/>
      </c>
      <c r="BP15" s="45" t="str">
        <f>IF(IF(IF(BP$3-VLOOKUP($A15,'détails investissements'!$A$71:$B$88,2,FALSE)&lt;=0,"",IF(VLOOKUP($A15,'détails investissements'!$A$26:$DE$43,BP$3-VLOOKUP($A15,'détails investissements'!$A$71:$B$88,2,FALSE)+1,FALSE)="","",VLOOKUP($A15,'détails investissements'!$A$26:$DE$43,BP$3-VLOOKUP($A15,'détails investissements'!$A$71:$B$88,2,FALSE)+1,FALSE)))&lt;&gt;"",HLOOKUP(IF(BP$3-VLOOKUP($A15,'détails investissements'!$A$71:$B$88,2,FALSE)&lt;=0,"",IF(VLOOKUP($A15,'détails investissements'!$A$26:$DE$43,BP$3-VLOOKUP($A15,'détails investissements'!$A$71:$B$88,2,FALSE)+1,FALSE)="","",VLOOKUP($A15,'détails investissements'!$A$26:$DE$43,BP$3-VLOOKUP($A15,'détails investissements'!$A$71:$B$88,2,FALSE)+1,FALSE))),'détails investissements'!$U$6:$AB$7,2,FALSE),"")&lt;&gt;"",VLOOKUP($A15,'détails investissements'!$A$7:$H$21,1+IF(IF(BP$3-VLOOKUP($A15,'détails investissements'!$A$71:$B$88,2,FALSE)&lt;=0,"",IF(VLOOKUP($A15,'détails investissements'!$A$26:$DE$43,BP$3-VLOOKUP($A15,'détails investissements'!$A$71:$B$88,2,FALSE)+1,FALSE)="","",VLOOKUP($A15,'détails investissements'!$A$26:$DE$43,BP$3-VLOOKUP($A15,'détails investissements'!$A$71:$B$88,2,FALSE)+1,FALSE)))&lt;&gt;"",HLOOKUP(IF(BP$3-VLOOKUP($A15,'détails investissements'!$A$71:$B$88,2,FALSE)&lt;=0,"",IF(VLOOKUP($A15,'détails investissements'!$A$26:$DE$43,BP$3-VLOOKUP($A15,'détails investissements'!$A$71:$B$88,2,FALSE)+1,FALSE)="","",VLOOKUP($A15,'détails investissements'!$A$26:$DE$43,BP$3-VLOOKUP($A15,'détails investissements'!$A$71:$B$88,2,FALSE)+1,FALSE))),'détails investissements'!$U$6:$AB$7,2,FALSE),""),FALSE),"")</f>
        <v/>
      </c>
      <c r="BQ15" s="45" t="str">
        <f>IF(IF(IF(BQ$3-VLOOKUP($A15,'détails investissements'!$A$71:$B$88,2,FALSE)&lt;=0,"",IF(VLOOKUP($A15,'détails investissements'!$A$26:$DE$43,BQ$3-VLOOKUP($A15,'détails investissements'!$A$71:$B$88,2,FALSE)+1,FALSE)="","",VLOOKUP($A15,'détails investissements'!$A$26:$DE$43,BQ$3-VLOOKUP($A15,'détails investissements'!$A$71:$B$88,2,FALSE)+1,FALSE)))&lt;&gt;"",HLOOKUP(IF(BQ$3-VLOOKUP($A15,'détails investissements'!$A$71:$B$88,2,FALSE)&lt;=0,"",IF(VLOOKUP($A15,'détails investissements'!$A$26:$DE$43,BQ$3-VLOOKUP($A15,'détails investissements'!$A$71:$B$88,2,FALSE)+1,FALSE)="","",VLOOKUP($A15,'détails investissements'!$A$26:$DE$43,BQ$3-VLOOKUP($A15,'détails investissements'!$A$71:$B$88,2,FALSE)+1,FALSE))),'détails investissements'!$U$6:$AB$7,2,FALSE),"")&lt;&gt;"",VLOOKUP($A15,'détails investissements'!$A$7:$H$21,1+IF(IF(BQ$3-VLOOKUP($A15,'détails investissements'!$A$71:$B$88,2,FALSE)&lt;=0,"",IF(VLOOKUP($A15,'détails investissements'!$A$26:$DE$43,BQ$3-VLOOKUP($A15,'détails investissements'!$A$71:$B$88,2,FALSE)+1,FALSE)="","",VLOOKUP($A15,'détails investissements'!$A$26:$DE$43,BQ$3-VLOOKUP($A15,'détails investissements'!$A$71:$B$88,2,FALSE)+1,FALSE)))&lt;&gt;"",HLOOKUP(IF(BQ$3-VLOOKUP($A15,'détails investissements'!$A$71:$B$88,2,FALSE)&lt;=0,"",IF(VLOOKUP($A15,'détails investissements'!$A$26:$DE$43,BQ$3-VLOOKUP($A15,'détails investissements'!$A$71:$B$88,2,FALSE)+1,FALSE)="","",VLOOKUP($A15,'détails investissements'!$A$26:$DE$43,BQ$3-VLOOKUP($A15,'détails investissements'!$A$71:$B$88,2,FALSE)+1,FALSE))),'détails investissements'!$U$6:$AB$7,2,FALSE),""),FALSE),"")</f>
        <v/>
      </c>
      <c r="BR15" s="45" t="str">
        <f>IF(IF(IF(BR$3-VLOOKUP($A15,'détails investissements'!$A$71:$B$88,2,FALSE)&lt;=0,"",IF(VLOOKUP($A15,'détails investissements'!$A$26:$DE$43,BR$3-VLOOKUP($A15,'détails investissements'!$A$71:$B$88,2,FALSE)+1,FALSE)="","",VLOOKUP($A15,'détails investissements'!$A$26:$DE$43,BR$3-VLOOKUP($A15,'détails investissements'!$A$71:$B$88,2,FALSE)+1,FALSE)))&lt;&gt;"",HLOOKUP(IF(BR$3-VLOOKUP($A15,'détails investissements'!$A$71:$B$88,2,FALSE)&lt;=0,"",IF(VLOOKUP($A15,'détails investissements'!$A$26:$DE$43,BR$3-VLOOKUP($A15,'détails investissements'!$A$71:$B$88,2,FALSE)+1,FALSE)="","",VLOOKUP($A15,'détails investissements'!$A$26:$DE$43,BR$3-VLOOKUP($A15,'détails investissements'!$A$71:$B$88,2,FALSE)+1,FALSE))),'détails investissements'!$U$6:$AB$7,2,FALSE),"")&lt;&gt;"",VLOOKUP($A15,'détails investissements'!$A$7:$H$21,1+IF(IF(BR$3-VLOOKUP($A15,'détails investissements'!$A$71:$B$88,2,FALSE)&lt;=0,"",IF(VLOOKUP($A15,'détails investissements'!$A$26:$DE$43,BR$3-VLOOKUP($A15,'détails investissements'!$A$71:$B$88,2,FALSE)+1,FALSE)="","",VLOOKUP($A15,'détails investissements'!$A$26:$DE$43,BR$3-VLOOKUP($A15,'détails investissements'!$A$71:$B$88,2,FALSE)+1,FALSE)))&lt;&gt;"",HLOOKUP(IF(BR$3-VLOOKUP($A15,'détails investissements'!$A$71:$B$88,2,FALSE)&lt;=0,"",IF(VLOOKUP($A15,'détails investissements'!$A$26:$DE$43,BR$3-VLOOKUP($A15,'détails investissements'!$A$71:$B$88,2,FALSE)+1,FALSE)="","",VLOOKUP($A15,'détails investissements'!$A$26:$DE$43,BR$3-VLOOKUP($A15,'détails investissements'!$A$71:$B$88,2,FALSE)+1,FALSE))),'détails investissements'!$U$6:$AB$7,2,FALSE),""),FALSE),"")</f>
        <v/>
      </c>
      <c r="BS15" s="45" t="str">
        <f>IF(IF(IF(BS$3-VLOOKUP($A15,'détails investissements'!$A$71:$B$88,2,FALSE)&lt;=0,"",IF(VLOOKUP($A15,'détails investissements'!$A$26:$DE$43,BS$3-VLOOKUP($A15,'détails investissements'!$A$71:$B$88,2,FALSE)+1,FALSE)="","",VLOOKUP($A15,'détails investissements'!$A$26:$DE$43,BS$3-VLOOKUP($A15,'détails investissements'!$A$71:$B$88,2,FALSE)+1,FALSE)))&lt;&gt;"",HLOOKUP(IF(BS$3-VLOOKUP($A15,'détails investissements'!$A$71:$B$88,2,FALSE)&lt;=0,"",IF(VLOOKUP($A15,'détails investissements'!$A$26:$DE$43,BS$3-VLOOKUP($A15,'détails investissements'!$A$71:$B$88,2,FALSE)+1,FALSE)="","",VLOOKUP($A15,'détails investissements'!$A$26:$DE$43,BS$3-VLOOKUP($A15,'détails investissements'!$A$71:$B$88,2,FALSE)+1,FALSE))),'détails investissements'!$U$6:$AB$7,2,FALSE),"")&lt;&gt;"",VLOOKUP($A15,'détails investissements'!$A$7:$H$21,1+IF(IF(BS$3-VLOOKUP($A15,'détails investissements'!$A$71:$B$88,2,FALSE)&lt;=0,"",IF(VLOOKUP($A15,'détails investissements'!$A$26:$DE$43,BS$3-VLOOKUP($A15,'détails investissements'!$A$71:$B$88,2,FALSE)+1,FALSE)="","",VLOOKUP($A15,'détails investissements'!$A$26:$DE$43,BS$3-VLOOKUP($A15,'détails investissements'!$A$71:$B$88,2,FALSE)+1,FALSE)))&lt;&gt;"",HLOOKUP(IF(BS$3-VLOOKUP($A15,'détails investissements'!$A$71:$B$88,2,FALSE)&lt;=0,"",IF(VLOOKUP($A15,'détails investissements'!$A$26:$DE$43,BS$3-VLOOKUP($A15,'détails investissements'!$A$71:$B$88,2,FALSE)+1,FALSE)="","",VLOOKUP($A15,'détails investissements'!$A$26:$DE$43,BS$3-VLOOKUP($A15,'détails investissements'!$A$71:$B$88,2,FALSE)+1,FALSE))),'détails investissements'!$U$6:$AB$7,2,FALSE),""),FALSE),"")</f>
        <v/>
      </c>
      <c r="BT15" s="45" t="str">
        <f>IF(IF(IF(BT$3-VLOOKUP($A15,'détails investissements'!$A$71:$B$88,2,FALSE)&lt;=0,"",IF(VLOOKUP($A15,'détails investissements'!$A$26:$DE$43,BT$3-VLOOKUP($A15,'détails investissements'!$A$71:$B$88,2,FALSE)+1,FALSE)="","",VLOOKUP($A15,'détails investissements'!$A$26:$DE$43,BT$3-VLOOKUP($A15,'détails investissements'!$A$71:$B$88,2,FALSE)+1,FALSE)))&lt;&gt;"",HLOOKUP(IF(BT$3-VLOOKUP($A15,'détails investissements'!$A$71:$B$88,2,FALSE)&lt;=0,"",IF(VLOOKUP($A15,'détails investissements'!$A$26:$DE$43,BT$3-VLOOKUP($A15,'détails investissements'!$A$71:$B$88,2,FALSE)+1,FALSE)="","",VLOOKUP($A15,'détails investissements'!$A$26:$DE$43,BT$3-VLOOKUP($A15,'détails investissements'!$A$71:$B$88,2,FALSE)+1,FALSE))),'détails investissements'!$U$6:$AB$7,2,FALSE),"")&lt;&gt;"",VLOOKUP($A15,'détails investissements'!$A$7:$H$21,1+IF(IF(BT$3-VLOOKUP($A15,'détails investissements'!$A$71:$B$88,2,FALSE)&lt;=0,"",IF(VLOOKUP($A15,'détails investissements'!$A$26:$DE$43,BT$3-VLOOKUP($A15,'détails investissements'!$A$71:$B$88,2,FALSE)+1,FALSE)="","",VLOOKUP($A15,'détails investissements'!$A$26:$DE$43,BT$3-VLOOKUP($A15,'détails investissements'!$A$71:$B$88,2,FALSE)+1,FALSE)))&lt;&gt;"",HLOOKUP(IF(BT$3-VLOOKUP($A15,'détails investissements'!$A$71:$B$88,2,FALSE)&lt;=0,"",IF(VLOOKUP($A15,'détails investissements'!$A$26:$DE$43,BT$3-VLOOKUP($A15,'détails investissements'!$A$71:$B$88,2,FALSE)+1,FALSE)="","",VLOOKUP($A15,'détails investissements'!$A$26:$DE$43,BT$3-VLOOKUP($A15,'détails investissements'!$A$71:$B$88,2,FALSE)+1,FALSE))),'détails investissements'!$U$6:$AB$7,2,FALSE),""),FALSE),"")</f>
        <v/>
      </c>
      <c r="BU15" s="45" t="str">
        <f>IF(IF(IF(BU$3-VLOOKUP($A15,'détails investissements'!$A$71:$B$88,2,FALSE)&lt;=0,"",IF(VLOOKUP($A15,'détails investissements'!$A$26:$DE$43,BU$3-VLOOKUP($A15,'détails investissements'!$A$71:$B$88,2,FALSE)+1,FALSE)="","",VLOOKUP($A15,'détails investissements'!$A$26:$DE$43,BU$3-VLOOKUP($A15,'détails investissements'!$A$71:$B$88,2,FALSE)+1,FALSE)))&lt;&gt;"",HLOOKUP(IF(BU$3-VLOOKUP($A15,'détails investissements'!$A$71:$B$88,2,FALSE)&lt;=0,"",IF(VLOOKUP($A15,'détails investissements'!$A$26:$DE$43,BU$3-VLOOKUP($A15,'détails investissements'!$A$71:$B$88,2,FALSE)+1,FALSE)="","",VLOOKUP($A15,'détails investissements'!$A$26:$DE$43,BU$3-VLOOKUP($A15,'détails investissements'!$A$71:$B$88,2,FALSE)+1,FALSE))),'détails investissements'!$U$6:$AB$7,2,FALSE),"")&lt;&gt;"",VLOOKUP($A15,'détails investissements'!$A$7:$H$21,1+IF(IF(BU$3-VLOOKUP($A15,'détails investissements'!$A$71:$B$88,2,FALSE)&lt;=0,"",IF(VLOOKUP($A15,'détails investissements'!$A$26:$DE$43,BU$3-VLOOKUP($A15,'détails investissements'!$A$71:$B$88,2,FALSE)+1,FALSE)="","",VLOOKUP($A15,'détails investissements'!$A$26:$DE$43,BU$3-VLOOKUP($A15,'détails investissements'!$A$71:$B$88,2,FALSE)+1,FALSE)))&lt;&gt;"",HLOOKUP(IF(BU$3-VLOOKUP($A15,'détails investissements'!$A$71:$B$88,2,FALSE)&lt;=0,"",IF(VLOOKUP($A15,'détails investissements'!$A$26:$DE$43,BU$3-VLOOKUP($A15,'détails investissements'!$A$71:$B$88,2,FALSE)+1,FALSE)="","",VLOOKUP($A15,'détails investissements'!$A$26:$DE$43,BU$3-VLOOKUP($A15,'détails investissements'!$A$71:$B$88,2,FALSE)+1,FALSE))),'détails investissements'!$U$6:$AB$7,2,FALSE),""),FALSE),"")</f>
        <v/>
      </c>
      <c r="BV15" s="45" t="str">
        <f>IF(IF(IF(BV$3-VLOOKUP($A15,'détails investissements'!$A$71:$B$88,2,FALSE)&lt;=0,"",IF(VLOOKUP($A15,'détails investissements'!$A$26:$DE$43,BV$3-VLOOKUP($A15,'détails investissements'!$A$71:$B$88,2,FALSE)+1,FALSE)="","",VLOOKUP($A15,'détails investissements'!$A$26:$DE$43,BV$3-VLOOKUP($A15,'détails investissements'!$A$71:$B$88,2,FALSE)+1,FALSE)))&lt;&gt;"",HLOOKUP(IF(BV$3-VLOOKUP($A15,'détails investissements'!$A$71:$B$88,2,FALSE)&lt;=0,"",IF(VLOOKUP($A15,'détails investissements'!$A$26:$DE$43,BV$3-VLOOKUP($A15,'détails investissements'!$A$71:$B$88,2,FALSE)+1,FALSE)="","",VLOOKUP($A15,'détails investissements'!$A$26:$DE$43,BV$3-VLOOKUP($A15,'détails investissements'!$A$71:$B$88,2,FALSE)+1,FALSE))),'détails investissements'!$U$6:$AB$7,2,FALSE),"")&lt;&gt;"",VLOOKUP($A15,'détails investissements'!$A$7:$H$21,1+IF(IF(BV$3-VLOOKUP($A15,'détails investissements'!$A$71:$B$88,2,FALSE)&lt;=0,"",IF(VLOOKUP($A15,'détails investissements'!$A$26:$DE$43,BV$3-VLOOKUP($A15,'détails investissements'!$A$71:$B$88,2,FALSE)+1,FALSE)="","",VLOOKUP($A15,'détails investissements'!$A$26:$DE$43,BV$3-VLOOKUP($A15,'détails investissements'!$A$71:$B$88,2,FALSE)+1,FALSE)))&lt;&gt;"",HLOOKUP(IF(BV$3-VLOOKUP($A15,'détails investissements'!$A$71:$B$88,2,FALSE)&lt;=0,"",IF(VLOOKUP($A15,'détails investissements'!$A$26:$DE$43,BV$3-VLOOKUP($A15,'détails investissements'!$A$71:$B$88,2,FALSE)+1,FALSE)="","",VLOOKUP($A15,'détails investissements'!$A$26:$DE$43,BV$3-VLOOKUP($A15,'détails investissements'!$A$71:$B$88,2,FALSE)+1,FALSE))),'détails investissements'!$U$6:$AB$7,2,FALSE),""),FALSE),"")</f>
        <v/>
      </c>
      <c r="BW15" s="45" t="str">
        <f>IF(IF(IF(BW$3-VLOOKUP($A15,'détails investissements'!$A$71:$B$88,2,FALSE)&lt;=0,"",IF(VLOOKUP($A15,'détails investissements'!$A$26:$DE$43,BW$3-VLOOKUP($A15,'détails investissements'!$A$71:$B$88,2,FALSE)+1,FALSE)="","",VLOOKUP($A15,'détails investissements'!$A$26:$DE$43,BW$3-VLOOKUP($A15,'détails investissements'!$A$71:$B$88,2,FALSE)+1,FALSE)))&lt;&gt;"",HLOOKUP(IF(BW$3-VLOOKUP($A15,'détails investissements'!$A$71:$B$88,2,FALSE)&lt;=0,"",IF(VLOOKUP($A15,'détails investissements'!$A$26:$DE$43,BW$3-VLOOKUP($A15,'détails investissements'!$A$71:$B$88,2,FALSE)+1,FALSE)="","",VLOOKUP($A15,'détails investissements'!$A$26:$DE$43,BW$3-VLOOKUP($A15,'détails investissements'!$A$71:$B$88,2,FALSE)+1,FALSE))),'détails investissements'!$U$6:$AB$7,2,FALSE),"")&lt;&gt;"",VLOOKUP($A15,'détails investissements'!$A$7:$H$21,1+IF(IF(BW$3-VLOOKUP($A15,'détails investissements'!$A$71:$B$88,2,FALSE)&lt;=0,"",IF(VLOOKUP($A15,'détails investissements'!$A$26:$DE$43,BW$3-VLOOKUP($A15,'détails investissements'!$A$71:$B$88,2,FALSE)+1,FALSE)="","",VLOOKUP($A15,'détails investissements'!$A$26:$DE$43,BW$3-VLOOKUP($A15,'détails investissements'!$A$71:$B$88,2,FALSE)+1,FALSE)))&lt;&gt;"",HLOOKUP(IF(BW$3-VLOOKUP($A15,'détails investissements'!$A$71:$B$88,2,FALSE)&lt;=0,"",IF(VLOOKUP($A15,'détails investissements'!$A$26:$DE$43,BW$3-VLOOKUP($A15,'détails investissements'!$A$71:$B$88,2,FALSE)+1,FALSE)="","",VLOOKUP($A15,'détails investissements'!$A$26:$DE$43,BW$3-VLOOKUP($A15,'détails investissements'!$A$71:$B$88,2,FALSE)+1,FALSE))),'détails investissements'!$U$6:$AB$7,2,FALSE),""),FALSE),"")</f>
        <v/>
      </c>
      <c r="BX15" s="45" t="str">
        <f>IF(IF(IF(BX$3-VLOOKUP($A15,'détails investissements'!$A$71:$B$88,2,FALSE)&lt;=0,"",IF(VLOOKUP($A15,'détails investissements'!$A$26:$DE$43,BX$3-VLOOKUP($A15,'détails investissements'!$A$71:$B$88,2,FALSE)+1,FALSE)="","",VLOOKUP($A15,'détails investissements'!$A$26:$DE$43,BX$3-VLOOKUP($A15,'détails investissements'!$A$71:$B$88,2,FALSE)+1,FALSE)))&lt;&gt;"",HLOOKUP(IF(BX$3-VLOOKUP($A15,'détails investissements'!$A$71:$B$88,2,FALSE)&lt;=0,"",IF(VLOOKUP($A15,'détails investissements'!$A$26:$DE$43,BX$3-VLOOKUP($A15,'détails investissements'!$A$71:$B$88,2,FALSE)+1,FALSE)="","",VLOOKUP($A15,'détails investissements'!$A$26:$DE$43,BX$3-VLOOKUP($A15,'détails investissements'!$A$71:$B$88,2,FALSE)+1,FALSE))),'détails investissements'!$U$6:$AB$7,2,FALSE),"")&lt;&gt;"",VLOOKUP($A15,'détails investissements'!$A$7:$H$21,1+IF(IF(BX$3-VLOOKUP($A15,'détails investissements'!$A$71:$B$88,2,FALSE)&lt;=0,"",IF(VLOOKUP($A15,'détails investissements'!$A$26:$DE$43,BX$3-VLOOKUP($A15,'détails investissements'!$A$71:$B$88,2,FALSE)+1,FALSE)="","",VLOOKUP($A15,'détails investissements'!$A$26:$DE$43,BX$3-VLOOKUP($A15,'détails investissements'!$A$71:$B$88,2,FALSE)+1,FALSE)))&lt;&gt;"",HLOOKUP(IF(BX$3-VLOOKUP($A15,'détails investissements'!$A$71:$B$88,2,FALSE)&lt;=0,"",IF(VLOOKUP($A15,'détails investissements'!$A$26:$DE$43,BX$3-VLOOKUP($A15,'détails investissements'!$A$71:$B$88,2,FALSE)+1,FALSE)="","",VLOOKUP($A15,'détails investissements'!$A$26:$DE$43,BX$3-VLOOKUP($A15,'détails investissements'!$A$71:$B$88,2,FALSE)+1,FALSE))),'détails investissements'!$U$6:$AB$7,2,FALSE),""),FALSE),"")</f>
        <v/>
      </c>
      <c r="BY15" s="45" t="str">
        <f>IF(IF(IF(BY$3-VLOOKUP($A15,'détails investissements'!$A$71:$B$88,2,FALSE)&lt;=0,"",IF(VLOOKUP($A15,'détails investissements'!$A$26:$DE$43,BY$3-VLOOKUP($A15,'détails investissements'!$A$71:$B$88,2,FALSE)+1,FALSE)="","",VLOOKUP($A15,'détails investissements'!$A$26:$DE$43,BY$3-VLOOKUP($A15,'détails investissements'!$A$71:$B$88,2,FALSE)+1,FALSE)))&lt;&gt;"",HLOOKUP(IF(BY$3-VLOOKUP($A15,'détails investissements'!$A$71:$B$88,2,FALSE)&lt;=0,"",IF(VLOOKUP($A15,'détails investissements'!$A$26:$DE$43,BY$3-VLOOKUP($A15,'détails investissements'!$A$71:$B$88,2,FALSE)+1,FALSE)="","",VLOOKUP($A15,'détails investissements'!$A$26:$DE$43,BY$3-VLOOKUP($A15,'détails investissements'!$A$71:$B$88,2,FALSE)+1,FALSE))),'détails investissements'!$U$6:$AB$7,2,FALSE),"")&lt;&gt;"",VLOOKUP($A15,'détails investissements'!$A$7:$H$21,1+IF(IF(BY$3-VLOOKUP($A15,'détails investissements'!$A$71:$B$88,2,FALSE)&lt;=0,"",IF(VLOOKUP($A15,'détails investissements'!$A$26:$DE$43,BY$3-VLOOKUP($A15,'détails investissements'!$A$71:$B$88,2,FALSE)+1,FALSE)="","",VLOOKUP($A15,'détails investissements'!$A$26:$DE$43,BY$3-VLOOKUP($A15,'détails investissements'!$A$71:$B$88,2,FALSE)+1,FALSE)))&lt;&gt;"",HLOOKUP(IF(BY$3-VLOOKUP($A15,'détails investissements'!$A$71:$B$88,2,FALSE)&lt;=0,"",IF(VLOOKUP($A15,'détails investissements'!$A$26:$DE$43,BY$3-VLOOKUP($A15,'détails investissements'!$A$71:$B$88,2,FALSE)+1,FALSE)="","",VLOOKUP($A15,'détails investissements'!$A$26:$DE$43,BY$3-VLOOKUP($A15,'détails investissements'!$A$71:$B$88,2,FALSE)+1,FALSE))),'détails investissements'!$U$6:$AB$7,2,FALSE),""),FALSE),"")</f>
        <v/>
      </c>
      <c r="BZ15" s="45" t="str">
        <f>IF(IF(IF(BZ$3-VLOOKUP($A15,'détails investissements'!$A$71:$B$88,2,FALSE)&lt;=0,"",IF(VLOOKUP($A15,'détails investissements'!$A$26:$DE$43,BZ$3-VLOOKUP($A15,'détails investissements'!$A$71:$B$88,2,FALSE)+1,FALSE)="","",VLOOKUP($A15,'détails investissements'!$A$26:$DE$43,BZ$3-VLOOKUP($A15,'détails investissements'!$A$71:$B$88,2,FALSE)+1,FALSE)))&lt;&gt;"",HLOOKUP(IF(BZ$3-VLOOKUP($A15,'détails investissements'!$A$71:$B$88,2,FALSE)&lt;=0,"",IF(VLOOKUP($A15,'détails investissements'!$A$26:$DE$43,BZ$3-VLOOKUP($A15,'détails investissements'!$A$71:$B$88,2,FALSE)+1,FALSE)="","",VLOOKUP($A15,'détails investissements'!$A$26:$DE$43,BZ$3-VLOOKUP($A15,'détails investissements'!$A$71:$B$88,2,FALSE)+1,FALSE))),'détails investissements'!$U$6:$AB$7,2,FALSE),"")&lt;&gt;"",VLOOKUP($A15,'détails investissements'!$A$7:$H$21,1+IF(IF(BZ$3-VLOOKUP($A15,'détails investissements'!$A$71:$B$88,2,FALSE)&lt;=0,"",IF(VLOOKUP($A15,'détails investissements'!$A$26:$DE$43,BZ$3-VLOOKUP($A15,'détails investissements'!$A$71:$B$88,2,FALSE)+1,FALSE)="","",VLOOKUP($A15,'détails investissements'!$A$26:$DE$43,BZ$3-VLOOKUP($A15,'détails investissements'!$A$71:$B$88,2,FALSE)+1,FALSE)))&lt;&gt;"",HLOOKUP(IF(BZ$3-VLOOKUP($A15,'détails investissements'!$A$71:$B$88,2,FALSE)&lt;=0,"",IF(VLOOKUP($A15,'détails investissements'!$A$26:$DE$43,BZ$3-VLOOKUP($A15,'détails investissements'!$A$71:$B$88,2,FALSE)+1,FALSE)="","",VLOOKUP($A15,'détails investissements'!$A$26:$DE$43,BZ$3-VLOOKUP($A15,'détails investissements'!$A$71:$B$88,2,FALSE)+1,FALSE))),'détails investissements'!$U$6:$AB$7,2,FALSE),""),FALSE),"")</f>
        <v/>
      </c>
      <c r="CA15" s="45" t="str">
        <f>IF(IF(IF(CA$3-VLOOKUP($A15,'détails investissements'!$A$71:$B$88,2,FALSE)&lt;=0,"",IF(VLOOKUP($A15,'détails investissements'!$A$26:$DE$43,CA$3-VLOOKUP($A15,'détails investissements'!$A$71:$B$88,2,FALSE)+1,FALSE)="","",VLOOKUP($A15,'détails investissements'!$A$26:$DE$43,CA$3-VLOOKUP($A15,'détails investissements'!$A$71:$B$88,2,FALSE)+1,FALSE)))&lt;&gt;"",HLOOKUP(IF(CA$3-VLOOKUP($A15,'détails investissements'!$A$71:$B$88,2,FALSE)&lt;=0,"",IF(VLOOKUP($A15,'détails investissements'!$A$26:$DE$43,CA$3-VLOOKUP($A15,'détails investissements'!$A$71:$B$88,2,FALSE)+1,FALSE)="","",VLOOKUP($A15,'détails investissements'!$A$26:$DE$43,CA$3-VLOOKUP($A15,'détails investissements'!$A$71:$B$88,2,FALSE)+1,FALSE))),'détails investissements'!$U$6:$AB$7,2,FALSE),"")&lt;&gt;"",VLOOKUP($A15,'détails investissements'!$A$7:$H$21,1+IF(IF(CA$3-VLOOKUP($A15,'détails investissements'!$A$71:$B$88,2,FALSE)&lt;=0,"",IF(VLOOKUP($A15,'détails investissements'!$A$26:$DE$43,CA$3-VLOOKUP($A15,'détails investissements'!$A$71:$B$88,2,FALSE)+1,FALSE)="","",VLOOKUP($A15,'détails investissements'!$A$26:$DE$43,CA$3-VLOOKUP($A15,'détails investissements'!$A$71:$B$88,2,FALSE)+1,FALSE)))&lt;&gt;"",HLOOKUP(IF(CA$3-VLOOKUP($A15,'détails investissements'!$A$71:$B$88,2,FALSE)&lt;=0,"",IF(VLOOKUP($A15,'détails investissements'!$A$26:$DE$43,CA$3-VLOOKUP($A15,'détails investissements'!$A$71:$B$88,2,FALSE)+1,FALSE)="","",VLOOKUP($A15,'détails investissements'!$A$26:$DE$43,CA$3-VLOOKUP($A15,'détails investissements'!$A$71:$B$88,2,FALSE)+1,FALSE))),'détails investissements'!$U$6:$AB$7,2,FALSE),""),FALSE),"")</f>
        <v/>
      </c>
      <c r="CB15" s="45" t="str">
        <f>IF(IF(IF(CB$3-VLOOKUP($A15,'détails investissements'!$A$71:$B$88,2,FALSE)&lt;=0,"",IF(VLOOKUP($A15,'détails investissements'!$A$26:$DE$43,CB$3-VLOOKUP($A15,'détails investissements'!$A$71:$B$88,2,FALSE)+1,FALSE)="","",VLOOKUP($A15,'détails investissements'!$A$26:$DE$43,CB$3-VLOOKUP($A15,'détails investissements'!$A$71:$B$88,2,FALSE)+1,FALSE)))&lt;&gt;"",HLOOKUP(IF(CB$3-VLOOKUP($A15,'détails investissements'!$A$71:$B$88,2,FALSE)&lt;=0,"",IF(VLOOKUP($A15,'détails investissements'!$A$26:$DE$43,CB$3-VLOOKUP($A15,'détails investissements'!$A$71:$B$88,2,FALSE)+1,FALSE)="","",VLOOKUP($A15,'détails investissements'!$A$26:$DE$43,CB$3-VLOOKUP($A15,'détails investissements'!$A$71:$B$88,2,FALSE)+1,FALSE))),'détails investissements'!$U$6:$AB$7,2,FALSE),"")&lt;&gt;"",VLOOKUP($A15,'détails investissements'!$A$7:$H$21,1+IF(IF(CB$3-VLOOKUP($A15,'détails investissements'!$A$71:$B$88,2,FALSE)&lt;=0,"",IF(VLOOKUP($A15,'détails investissements'!$A$26:$DE$43,CB$3-VLOOKUP($A15,'détails investissements'!$A$71:$B$88,2,FALSE)+1,FALSE)="","",VLOOKUP($A15,'détails investissements'!$A$26:$DE$43,CB$3-VLOOKUP($A15,'détails investissements'!$A$71:$B$88,2,FALSE)+1,FALSE)))&lt;&gt;"",HLOOKUP(IF(CB$3-VLOOKUP($A15,'détails investissements'!$A$71:$B$88,2,FALSE)&lt;=0,"",IF(VLOOKUP($A15,'détails investissements'!$A$26:$DE$43,CB$3-VLOOKUP($A15,'détails investissements'!$A$71:$B$88,2,FALSE)+1,FALSE)="","",VLOOKUP($A15,'détails investissements'!$A$26:$DE$43,CB$3-VLOOKUP($A15,'détails investissements'!$A$71:$B$88,2,FALSE)+1,FALSE))),'détails investissements'!$U$6:$AB$7,2,FALSE),""),FALSE),"")</f>
        <v/>
      </c>
      <c r="CC15" s="45" t="str">
        <f>IF(IF(IF(CC$3-VLOOKUP($A15,'détails investissements'!$A$71:$B$88,2,FALSE)&lt;=0,"",IF(VLOOKUP($A15,'détails investissements'!$A$26:$DE$43,CC$3-VLOOKUP($A15,'détails investissements'!$A$71:$B$88,2,FALSE)+1,FALSE)="","",VLOOKUP($A15,'détails investissements'!$A$26:$DE$43,CC$3-VLOOKUP($A15,'détails investissements'!$A$71:$B$88,2,FALSE)+1,FALSE)))&lt;&gt;"",HLOOKUP(IF(CC$3-VLOOKUP($A15,'détails investissements'!$A$71:$B$88,2,FALSE)&lt;=0,"",IF(VLOOKUP($A15,'détails investissements'!$A$26:$DE$43,CC$3-VLOOKUP($A15,'détails investissements'!$A$71:$B$88,2,FALSE)+1,FALSE)="","",VLOOKUP($A15,'détails investissements'!$A$26:$DE$43,CC$3-VLOOKUP($A15,'détails investissements'!$A$71:$B$88,2,FALSE)+1,FALSE))),'détails investissements'!$U$6:$AB$7,2,FALSE),"")&lt;&gt;"",VLOOKUP($A15,'détails investissements'!$A$7:$H$21,1+IF(IF(CC$3-VLOOKUP($A15,'détails investissements'!$A$71:$B$88,2,FALSE)&lt;=0,"",IF(VLOOKUP($A15,'détails investissements'!$A$26:$DE$43,CC$3-VLOOKUP($A15,'détails investissements'!$A$71:$B$88,2,FALSE)+1,FALSE)="","",VLOOKUP($A15,'détails investissements'!$A$26:$DE$43,CC$3-VLOOKUP($A15,'détails investissements'!$A$71:$B$88,2,FALSE)+1,FALSE)))&lt;&gt;"",HLOOKUP(IF(CC$3-VLOOKUP($A15,'détails investissements'!$A$71:$B$88,2,FALSE)&lt;=0,"",IF(VLOOKUP($A15,'détails investissements'!$A$26:$DE$43,CC$3-VLOOKUP($A15,'détails investissements'!$A$71:$B$88,2,FALSE)+1,FALSE)="","",VLOOKUP($A15,'détails investissements'!$A$26:$DE$43,CC$3-VLOOKUP($A15,'détails investissements'!$A$71:$B$88,2,FALSE)+1,FALSE))),'détails investissements'!$U$6:$AB$7,2,FALSE),""),FALSE),"")</f>
        <v/>
      </c>
      <c r="CD15" s="45" t="str">
        <f>IF(IF(IF(CD$3-VLOOKUP($A15,'détails investissements'!$A$71:$B$88,2,FALSE)&lt;=0,"",IF(VLOOKUP($A15,'détails investissements'!$A$26:$DE$43,CD$3-VLOOKUP($A15,'détails investissements'!$A$71:$B$88,2,FALSE)+1,FALSE)="","",VLOOKUP($A15,'détails investissements'!$A$26:$DE$43,CD$3-VLOOKUP($A15,'détails investissements'!$A$71:$B$88,2,FALSE)+1,FALSE)))&lt;&gt;"",HLOOKUP(IF(CD$3-VLOOKUP($A15,'détails investissements'!$A$71:$B$88,2,FALSE)&lt;=0,"",IF(VLOOKUP($A15,'détails investissements'!$A$26:$DE$43,CD$3-VLOOKUP($A15,'détails investissements'!$A$71:$B$88,2,FALSE)+1,FALSE)="","",VLOOKUP($A15,'détails investissements'!$A$26:$DE$43,CD$3-VLOOKUP($A15,'détails investissements'!$A$71:$B$88,2,FALSE)+1,FALSE))),'détails investissements'!$U$6:$AB$7,2,FALSE),"")&lt;&gt;"",VLOOKUP($A15,'détails investissements'!$A$7:$H$21,1+IF(IF(CD$3-VLOOKUP($A15,'détails investissements'!$A$71:$B$88,2,FALSE)&lt;=0,"",IF(VLOOKUP($A15,'détails investissements'!$A$26:$DE$43,CD$3-VLOOKUP($A15,'détails investissements'!$A$71:$B$88,2,FALSE)+1,FALSE)="","",VLOOKUP($A15,'détails investissements'!$A$26:$DE$43,CD$3-VLOOKUP($A15,'détails investissements'!$A$71:$B$88,2,FALSE)+1,FALSE)))&lt;&gt;"",HLOOKUP(IF(CD$3-VLOOKUP($A15,'détails investissements'!$A$71:$B$88,2,FALSE)&lt;=0,"",IF(VLOOKUP($A15,'détails investissements'!$A$26:$DE$43,CD$3-VLOOKUP($A15,'détails investissements'!$A$71:$B$88,2,FALSE)+1,FALSE)="","",VLOOKUP($A15,'détails investissements'!$A$26:$DE$43,CD$3-VLOOKUP($A15,'détails investissements'!$A$71:$B$88,2,FALSE)+1,FALSE))),'détails investissements'!$U$6:$AB$7,2,FALSE),""),FALSE),"")</f>
        <v/>
      </c>
      <c r="CE15" s="45" t="str">
        <f>IF(IF(IF(CE$3-VLOOKUP($A15,'détails investissements'!$A$71:$B$88,2,FALSE)&lt;=0,"",IF(VLOOKUP($A15,'détails investissements'!$A$26:$DE$43,CE$3-VLOOKUP($A15,'détails investissements'!$A$71:$B$88,2,FALSE)+1,FALSE)="","",VLOOKUP($A15,'détails investissements'!$A$26:$DE$43,CE$3-VLOOKUP($A15,'détails investissements'!$A$71:$B$88,2,FALSE)+1,FALSE)))&lt;&gt;"",HLOOKUP(IF(CE$3-VLOOKUP($A15,'détails investissements'!$A$71:$B$88,2,FALSE)&lt;=0,"",IF(VLOOKUP($A15,'détails investissements'!$A$26:$DE$43,CE$3-VLOOKUP($A15,'détails investissements'!$A$71:$B$88,2,FALSE)+1,FALSE)="","",VLOOKUP($A15,'détails investissements'!$A$26:$DE$43,CE$3-VLOOKUP($A15,'détails investissements'!$A$71:$B$88,2,FALSE)+1,FALSE))),'détails investissements'!$U$6:$AB$7,2,FALSE),"")&lt;&gt;"",VLOOKUP($A15,'détails investissements'!$A$7:$H$21,1+IF(IF(CE$3-VLOOKUP($A15,'détails investissements'!$A$71:$B$88,2,FALSE)&lt;=0,"",IF(VLOOKUP($A15,'détails investissements'!$A$26:$DE$43,CE$3-VLOOKUP($A15,'détails investissements'!$A$71:$B$88,2,FALSE)+1,FALSE)="","",VLOOKUP($A15,'détails investissements'!$A$26:$DE$43,CE$3-VLOOKUP($A15,'détails investissements'!$A$71:$B$88,2,FALSE)+1,FALSE)))&lt;&gt;"",HLOOKUP(IF(CE$3-VLOOKUP($A15,'détails investissements'!$A$71:$B$88,2,FALSE)&lt;=0,"",IF(VLOOKUP($A15,'détails investissements'!$A$26:$DE$43,CE$3-VLOOKUP($A15,'détails investissements'!$A$71:$B$88,2,FALSE)+1,FALSE)="","",VLOOKUP($A15,'détails investissements'!$A$26:$DE$43,CE$3-VLOOKUP($A15,'détails investissements'!$A$71:$B$88,2,FALSE)+1,FALSE))),'détails investissements'!$U$6:$AB$7,2,FALSE),""),FALSE),"")</f>
        <v/>
      </c>
      <c r="CF15" s="45" t="str">
        <f>IF(IF(IF(CF$3-VLOOKUP($A15,'détails investissements'!$A$71:$B$88,2,FALSE)&lt;=0,"",IF(VLOOKUP($A15,'détails investissements'!$A$26:$DE$43,CF$3-VLOOKUP($A15,'détails investissements'!$A$71:$B$88,2,FALSE)+1,FALSE)="","",VLOOKUP($A15,'détails investissements'!$A$26:$DE$43,CF$3-VLOOKUP($A15,'détails investissements'!$A$71:$B$88,2,FALSE)+1,FALSE)))&lt;&gt;"",HLOOKUP(IF(CF$3-VLOOKUP($A15,'détails investissements'!$A$71:$B$88,2,FALSE)&lt;=0,"",IF(VLOOKUP($A15,'détails investissements'!$A$26:$DE$43,CF$3-VLOOKUP($A15,'détails investissements'!$A$71:$B$88,2,FALSE)+1,FALSE)="","",VLOOKUP($A15,'détails investissements'!$A$26:$DE$43,CF$3-VLOOKUP($A15,'détails investissements'!$A$71:$B$88,2,FALSE)+1,FALSE))),'détails investissements'!$U$6:$AB$7,2,FALSE),"")&lt;&gt;"",VLOOKUP($A15,'détails investissements'!$A$7:$H$21,1+IF(IF(CF$3-VLOOKUP($A15,'détails investissements'!$A$71:$B$88,2,FALSE)&lt;=0,"",IF(VLOOKUP($A15,'détails investissements'!$A$26:$DE$43,CF$3-VLOOKUP($A15,'détails investissements'!$A$71:$B$88,2,FALSE)+1,FALSE)="","",VLOOKUP($A15,'détails investissements'!$A$26:$DE$43,CF$3-VLOOKUP($A15,'détails investissements'!$A$71:$B$88,2,FALSE)+1,FALSE)))&lt;&gt;"",HLOOKUP(IF(CF$3-VLOOKUP($A15,'détails investissements'!$A$71:$B$88,2,FALSE)&lt;=0,"",IF(VLOOKUP($A15,'détails investissements'!$A$26:$DE$43,CF$3-VLOOKUP($A15,'détails investissements'!$A$71:$B$88,2,FALSE)+1,FALSE)="","",VLOOKUP($A15,'détails investissements'!$A$26:$DE$43,CF$3-VLOOKUP($A15,'détails investissements'!$A$71:$B$88,2,FALSE)+1,FALSE))),'détails investissements'!$U$6:$AB$7,2,FALSE),""),FALSE),"")</f>
        <v/>
      </c>
      <c r="CG15" s="45" t="str">
        <f>IF(IF(IF(CG$3-VLOOKUP($A15,'détails investissements'!$A$71:$B$88,2,FALSE)&lt;=0,"",IF(VLOOKUP($A15,'détails investissements'!$A$26:$DE$43,CG$3-VLOOKUP($A15,'détails investissements'!$A$71:$B$88,2,FALSE)+1,FALSE)="","",VLOOKUP($A15,'détails investissements'!$A$26:$DE$43,CG$3-VLOOKUP($A15,'détails investissements'!$A$71:$B$88,2,FALSE)+1,FALSE)))&lt;&gt;"",HLOOKUP(IF(CG$3-VLOOKUP($A15,'détails investissements'!$A$71:$B$88,2,FALSE)&lt;=0,"",IF(VLOOKUP($A15,'détails investissements'!$A$26:$DE$43,CG$3-VLOOKUP($A15,'détails investissements'!$A$71:$B$88,2,FALSE)+1,FALSE)="","",VLOOKUP($A15,'détails investissements'!$A$26:$DE$43,CG$3-VLOOKUP($A15,'détails investissements'!$A$71:$B$88,2,FALSE)+1,FALSE))),'détails investissements'!$U$6:$AB$7,2,FALSE),"")&lt;&gt;"",VLOOKUP($A15,'détails investissements'!$A$7:$H$21,1+IF(IF(CG$3-VLOOKUP($A15,'détails investissements'!$A$71:$B$88,2,FALSE)&lt;=0,"",IF(VLOOKUP($A15,'détails investissements'!$A$26:$DE$43,CG$3-VLOOKUP($A15,'détails investissements'!$A$71:$B$88,2,FALSE)+1,FALSE)="","",VLOOKUP($A15,'détails investissements'!$A$26:$DE$43,CG$3-VLOOKUP($A15,'détails investissements'!$A$71:$B$88,2,FALSE)+1,FALSE)))&lt;&gt;"",HLOOKUP(IF(CG$3-VLOOKUP($A15,'détails investissements'!$A$71:$B$88,2,FALSE)&lt;=0,"",IF(VLOOKUP($A15,'détails investissements'!$A$26:$DE$43,CG$3-VLOOKUP($A15,'détails investissements'!$A$71:$B$88,2,FALSE)+1,FALSE)="","",VLOOKUP($A15,'détails investissements'!$A$26:$DE$43,CG$3-VLOOKUP($A15,'détails investissements'!$A$71:$B$88,2,FALSE)+1,FALSE))),'détails investissements'!$U$6:$AB$7,2,FALSE),""),FALSE),"")</f>
        <v/>
      </c>
      <c r="CH15" s="45" t="str">
        <f>IF(IF(IF(CH$3-VLOOKUP($A15,'détails investissements'!$A$71:$B$88,2,FALSE)&lt;=0,"",IF(VLOOKUP($A15,'détails investissements'!$A$26:$DE$43,CH$3-VLOOKUP($A15,'détails investissements'!$A$71:$B$88,2,FALSE)+1,FALSE)="","",VLOOKUP($A15,'détails investissements'!$A$26:$DE$43,CH$3-VLOOKUP($A15,'détails investissements'!$A$71:$B$88,2,FALSE)+1,FALSE)))&lt;&gt;"",HLOOKUP(IF(CH$3-VLOOKUP($A15,'détails investissements'!$A$71:$B$88,2,FALSE)&lt;=0,"",IF(VLOOKUP($A15,'détails investissements'!$A$26:$DE$43,CH$3-VLOOKUP($A15,'détails investissements'!$A$71:$B$88,2,FALSE)+1,FALSE)="","",VLOOKUP($A15,'détails investissements'!$A$26:$DE$43,CH$3-VLOOKUP($A15,'détails investissements'!$A$71:$B$88,2,FALSE)+1,FALSE))),'détails investissements'!$U$6:$AB$7,2,FALSE),"")&lt;&gt;"",VLOOKUP($A15,'détails investissements'!$A$7:$H$21,1+IF(IF(CH$3-VLOOKUP($A15,'détails investissements'!$A$71:$B$88,2,FALSE)&lt;=0,"",IF(VLOOKUP($A15,'détails investissements'!$A$26:$DE$43,CH$3-VLOOKUP($A15,'détails investissements'!$A$71:$B$88,2,FALSE)+1,FALSE)="","",VLOOKUP($A15,'détails investissements'!$A$26:$DE$43,CH$3-VLOOKUP($A15,'détails investissements'!$A$71:$B$88,2,FALSE)+1,FALSE)))&lt;&gt;"",HLOOKUP(IF(CH$3-VLOOKUP($A15,'détails investissements'!$A$71:$B$88,2,FALSE)&lt;=0,"",IF(VLOOKUP($A15,'détails investissements'!$A$26:$DE$43,CH$3-VLOOKUP($A15,'détails investissements'!$A$71:$B$88,2,FALSE)+1,FALSE)="","",VLOOKUP($A15,'détails investissements'!$A$26:$DE$43,CH$3-VLOOKUP($A15,'détails investissements'!$A$71:$B$88,2,FALSE)+1,FALSE))),'détails investissements'!$U$6:$AB$7,2,FALSE),""),FALSE),"")</f>
        <v/>
      </c>
      <c r="CI15" s="45" t="str">
        <f>IF(IF(IF(CI$3-VLOOKUP($A15,'détails investissements'!$A$71:$B$88,2,FALSE)&lt;=0,"",IF(VLOOKUP($A15,'détails investissements'!$A$26:$DE$43,CI$3-VLOOKUP($A15,'détails investissements'!$A$71:$B$88,2,FALSE)+1,FALSE)="","",VLOOKUP($A15,'détails investissements'!$A$26:$DE$43,CI$3-VLOOKUP($A15,'détails investissements'!$A$71:$B$88,2,FALSE)+1,FALSE)))&lt;&gt;"",HLOOKUP(IF(CI$3-VLOOKUP($A15,'détails investissements'!$A$71:$B$88,2,FALSE)&lt;=0,"",IF(VLOOKUP($A15,'détails investissements'!$A$26:$DE$43,CI$3-VLOOKUP($A15,'détails investissements'!$A$71:$B$88,2,FALSE)+1,FALSE)="","",VLOOKUP($A15,'détails investissements'!$A$26:$DE$43,CI$3-VLOOKUP($A15,'détails investissements'!$A$71:$B$88,2,FALSE)+1,FALSE))),'détails investissements'!$U$6:$AB$7,2,FALSE),"")&lt;&gt;"",VLOOKUP($A15,'détails investissements'!$A$7:$H$21,1+IF(IF(CI$3-VLOOKUP($A15,'détails investissements'!$A$71:$B$88,2,FALSE)&lt;=0,"",IF(VLOOKUP($A15,'détails investissements'!$A$26:$DE$43,CI$3-VLOOKUP($A15,'détails investissements'!$A$71:$B$88,2,FALSE)+1,FALSE)="","",VLOOKUP($A15,'détails investissements'!$A$26:$DE$43,CI$3-VLOOKUP($A15,'détails investissements'!$A$71:$B$88,2,FALSE)+1,FALSE)))&lt;&gt;"",HLOOKUP(IF(CI$3-VLOOKUP($A15,'détails investissements'!$A$71:$B$88,2,FALSE)&lt;=0,"",IF(VLOOKUP($A15,'détails investissements'!$A$26:$DE$43,CI$3-VLOOKUP($A15,'détails investissements'!$A$71:$B$88,2,FALSE)+1,FALSE)="","",VLOOKUP($A15,'détails investissements'!$A$26:$DE$43,CI$3-VLOOKUP($A15,'détails investissements'!$A$71:$B$88,2,FALSE)+1,FALSE))),'détails investissements'!$U$6:$AB$7,2,FALSE),""),FALSE),"")</f>
        <v/>
      </c>
      <c r="CJ15" s="45" t="str">
        <f>IF(IF(IF(CJ$3-VLOOKUP($A15,'détails investissements'!$A$71:$B$88,2,FALSE)&lt;=0,"",IF(VLOOKUP($A15,'détails investissements'!$A$26:$DE$43,CJ$3-VLOOKUP($A15,'détails investissements'!$A$71:$B$88,2,FALSE)+1,FALSE)="","",VLOOKUP($A15,'détails investissements'!$A$26:$DE$43,CJ$3-VLOOKUP($A15,'détails investissements'!$A$71:$B$88,2,FALSE)+1,FALSE)))&lt;&gt;"",HLOOKUP(IF(CJ$3-VLOOKUP($A15,'détails investissements'!$A$71:$B$88,2,FALSE)&lt;=0,"",IF(VLOOKUP($A15,'détails investissements'!$A$26:$DE$43,CJ$3-VLOOKUP($A15,'détails investissements'!$A$71:$B$88,2,FALSE)+1,FALSE)="","",VLOOKUP($A15,'détails investissements'!$A$26:$DE$43,CJ$3-VLOOKUP($A15,'détails investissements'!$A$71:$B$88,2,FALSE)+1,FALSE))),'détails investissements'!$U$6:$AB$7,2,FALSE),"")&lt;&gt;"",VLOOKUP($A15,'détails investissements'!$A$7:$H$21,1+IF(IF(CJ$3-VLOOKUP($A15,'détails investissements'!$A$71:$B$88,2,FALSE)&lt;=0,"",IF(VLOOKUP($A15,'détails investissements'!$A$26:$DE$43,CJ$3-VLOOKUP($A15,'détails investissements'!$A$71:$B$88,2,FALSE)+1,FALSE)="","",VLOOKUP($A15,'détails investissements'!$A$26:$DE$43,CJ$3-VLOOKUP($A15,'détails investissements'!$A$71:$B$88,2,FALSE)+1,FALSE)))&lt;&gt;"",HLOOKUP(IF(CJ$3-VLOOKUP($A15,'détails investissements'!$A$71:$B$88,2,FALSE)&lt;=0,"",IF(VLOOKUP($A15,'détails investissements'!$A$26:$DE$43,CJ$3-VLOOKUP($A15,'détails investissements'!$A$71:$B$88,2,FALSE)+1,FALSE)="","",VLOOKUP($A15,'détails investissements'!$A$26:$DE$43,CJ$3-VLOOKUP($A15,'détails investissements'!$A$71:$B$88,2,FALSE)+1,FALSE))),'détails investissements'!$U$6:$AB$7,2,FALSE),""),FALSE),"")</f>
        <v/>
      </c>
      <c r="CK15" s="45" t="str">
        <f>IF(IF(IF(CK$3-VLOOKUP($A15,'détails investissements'!$A$71:$B$88,2,FALSE)&lt;=0,"",IF(VLOOKUP($A15,'détails investissements'!$A$26:$DE$43,CK$3-VLOOKUP($A15,'détails investissements'!$A$71:$B$88,2,FALSE)+1,FALSE)="","",VLOOKUP($A15,'détails investissements'!$A$26:$DE$43,CK$3-VLOOKUP($A15,'détails investissements'!$A$71:$B$88,2,FALSE)+1,FALSE)))&lt;&gt;"",HLOOKUP(IF(CK$3-VLOOKUP($A15,'détails investissements'!$A$71:$B$88,2,FALSE)&lt;=0,"",IF(VLOOKUP($A15,'détails investissements'!$A$26:$DE$43,CK$3-VLOOKUP($A15,'détails investissements'!$A$71:$B$88,2,FALSE)+1,FALSE)="","",VLOOKUP($A15,'détails investissements'!$A$26:$DE$43,CK$3-VLOOKUP($A15,'détails investissements'!$A$71:$B$88,2,FALSE)+1,FALSE))),'détails investissements'!$U$6:$AB$7,2,FALSE),"")&lt;&gt;"",VLOOKUP($A15,'détails investissements'!$A$7:$H$21,1+IF(IF(CK$3-VLOOKUP($A15,'détails investissements'!$A$71:$B$88,2,FALSE)&lt;=0,"",IF(VLOOKUP($A15,'détails investissements'!$A$26:$DE$43,CK$3-VLOOKUP($A15,'détails investissements'!$A$71:$B$88,2,FALSE)+1,FALSE)="","",VLOOKUP($A15,'détails investissements'!$A$26:$DE$43,CK$3-VLOOKUP($A15,'détails investissements'!$A$71:$B$88,2,FALSE)+1,FALSE)))&lt;&gt;"",HLOOKUP(IF(CK$3-VLOOKUP($A15,'détails investissements'!$A$71:$B$88,2,FALSE)&lt;=0,"",IF(VLOOKUP($A15,'détails investissements'!$A$26:$DE$43,CK$3-VLOOKUP($A15,'détails investissements'!$A$71:$B$88,2,FALSE)+1,FALSE)="","",VLOOKUP($A15,'détails investissements'!$A$26:$DE$43,CK$3-VLOOKUP($A15,'détails investissements'!$A$71:$B$88,2,FALSE)+1,FALSE))),'détails investissements'!$U$6:$AB$7,2,FALSE),""),FALSE),"")</f>
        <v/>
      </c>
      <c r="CL15" s="45" t="str">
        <f>IF(IF(IF(CL$3-VLOOKUP($A15,'détails investissements'!$A$71:$B$88,2,FALSE)&lt;=0,"",IF(VLOOKUP($A15,'détails investissements'!$A$26:$DE$43,CL$3-VLOOKUP($A15,'détails investissements'!$A$71:$B$88,2,FALSE)+1,FALSE)="","",VLOOKUP($A15,'détails investissements'!$A$26:$DE$43,CL$3-VLOOKUP($A15,'détails investissements'!$A$71:$B$88,2,FALSE)+1,FALSE)))&lt;&gt;"",HLOOKUP(IF(CL$3-VLOOKUP($A15,'détails investissements'!$A$71:$B$88,2,FALSE)&lt;=0,"",IF(VLOOKUP($A15,'détails investissements'!$A$26:$DE$43,CL$3-VLOOKUP($A15,'détails investissements'!$A$71:$B$88,2,FALSE)+1,FALSE)="","",VLOOKUP($A15,'détails investissements'!$A$26:$DE$43,CL$3-VLOOKUP($A15,'détails investissements'!$A$71:$B$88,2,FALSE)+1,FALSE))),'détails investissements'!$U$6:$AB$7,2,FALSE),"")&lt;&gt;"",VLOOKUP($A15,'détails investissements'!$A$7:$H$21,1+IF(IF(CL$3-VLOOKUP($A15,'détails investissements'!$A$71:$B$88,2,FALSE)&lt;=0,"",IF(VLOOKUP($A15,'détails investissements'!$A$26:$DE$43,CL$3-VLOOKUP($A15,'détails investissements'!$A$71:$B$88,2,FALSE)+1,FALSE)="","",VLOOKUP($A15,'détails investissements'!$A$26:$DE$43,CL$3-VLOOKUP($A15,'détails investissements'!$A$71:$B$88,2,FALSE)+1,FALSE)))&lt;&gt;"",HLOOKUP(IF(CL$3-VLOOKUP($A15,'détails investissements'!$A$71:$B$88,2,FALSE)&lt;=0,"",IF(VLOOKUP($A15,'détails investissements'!$A$26:$DE$43,CL$3-VLOOKUP($A15,'détails investissements'!$A$71:$B$88,2,FALSE)+1,FALSE)="","",VLOOKUP($A15,'détails investissements'!$A$26:$DE$43,CL$3-VLOOKUP($A15,'détails investissements'!$A$71:$B$88,2,FALSE)+1,FALSE))),'détails investissements'!$U$6:$AB$7,2,FALSE),""),FALSE),"")</f>
        <v/>
      </c>
      <c r="CM15" s="45" t="str">
        <f>IF(IF(IF(CM$3-VLOOKUP($A15,'détails investissements'!$A$71:$B$88,2,FALSE)&lt;=0,"",IF(VLOOKUP($A15,'détails investissements'!$A$26:$DE$43,CM$3-VLOOKUP($A15,'détails investissements'!$A$71:$B$88,2,FALSE)+1,FALSE)="","",VLOOKUP($A15,'détails investissements'!$A$26:$DE$43,CM$3-VLOOKUP($A15,'détails investissements'!$A$71:$B$88,2,FALSE)+1,FALSE)))&lt;&gt;"",HLOOKUP(IF(CM$3-VLOOKUP($A15,'détails investissements'!$A$71:$B$88,2,FALSE)&lt;=0,"",IF(VLOOKUP($A15,'détails investissements'!$A$26:$DE$43,CM$3-VLOOKUP($A15,'détails investissements'!$A$71:$B$88,2,FALSE)+1,FALSE)="","",VLOOKUP($A15,'détails investissements'!$A$26:$DE$43,CM$3-VLOOKUP($A15,'détails investissements'!$A$71:$B$88,2,FALSE)+1,FALSE))),'détails investissements'!$U$6:$AB$7,2,FALSE),"")&lt;&gt;"",VLOOKUP($A15,'détails investissements'!$A$7:$H$21,1+IF(IF(CM$3-VLOOKUP($A15,'détails investissements'!$A$71:$B$88,2,FALSE)&lt;=0,"",IF(VLOOKUP($A15,'détails investissements'!$A$26:$DE$43,CM$3-VLOOKUP($A15,'détails investissements'!$A$71:$B$88,2,FALSE)+1,FALSE)="","",VLOOKUP($A15,'détails investissements'!$A$26:$DE$43,CM$3-VLOOKUP($A15,'détails investissements'!$A$71:$B$88,2,FALSE)+1,FALSE)))&lt;&gt;"",HLOOKUP(IF(CM$3-VLOOKUP($A15,'détails investissements'!$A$71:$B$88,2,FALSE)&lt;=0,"",IF(VLOOKUP($A15,'détails investissements'!$A$26:$DE$43,CM$3-VLOOKUP($A15,'détails investissements'!$A$71:$B$88,2,FALSE)+1,FALSE)="","",VLOOKUP($A15,'détails investissements'!$A$26:$DE$43,CM$3-VLOOKUP($A15,'détails investissements'!$A$71:$B$88,2,FALSE)+1,FALSE))),'détails investissements'!$U$6:$AB$7,2,FALSE),""),FALSE),"")</f>
        <v/>
      </c>
      <c r="CN15" s="45" t="str">
        <f>IF(IF(IF(CN$3-VLOOKUP($A15,'détails investissements'!$A$71:$B$88,2,FALSE)&lt;=0,"",IF(VLOOKUP($A15,'détails investissements'!$A$26:$DE$43,CN$3-VLOOKUP($A15,'détails investissements'!$A$71:$B$88,2,FALSE)+1,FALSE)="","",VLOOKUP($A15,'détails investissements'!$A$26:$DE$43,CN$3-VLOOKUP($A15,'détails investissements'!$A$71:$B$88,2,FALSE)+1,FALSE)))&lt;&gt;"",HLOOKUP(IF(CN$3-VLOOKUP($A15,'détails investissements'!$A$71:$B$88,2,FALSE)&lt;=0,"",IF(VLOOKUP($A15,'détails investissements'!$A$26:$DE$43,CN$3-VLOOKUP($A15,'détails investissements'!$A$71:$B$88,2,FALSE)+1,FALSE)="","",VLOOKUP($A15,'détails investissements'!$A$26:$DE$43,CN$3-VLOOKUP($A15,'détails investissements'!$A$71:$B$88,2,FALSE)+1,FALSE))),'détails investissements'!$U$6:$AB$7,2,FALSE),"")&lt;&gt;"",VLOOKUP($A15,'détails investissements'!$A$7:$H$21,1+IF(IF(CN$3-VLOOKUP($A15,'détails investissements'!$A$71:$B$88,2,FALSE)&lt;=0,"",IF(VLOOKUP($A15,'détails investissements'!$A$26:$DE$43,CN$3-VLOOKUP($A15,'détails investissements'!$A$71:$B$88,2,FALSE)+1,FALSE)="","",VLOOKUP($A15,'détails investissements'!$A$26:$DE$43,CN$3-VLOOKUP($A15,'détails investissements'!$A$71:$B$88,2,FALSE)+1,FALSE)))&lt;&gt;"",HLOOKUP(IF(CN$3-VLOOKUP($A15,'détails investissements'!$A$71:$B$88,2,FALSE)&lt;=0,"",IF(VLOOKUP($A15,'détails investissements'!$A$26:$DE$43,CN$3-VLOOKUP($A15,'détails investissements'!$A$71:$B$88,2,FALSE)+1,FALSE)="","",VLOOKUP($A15,'détails investissements'!$A$26:$DE$43,CN$3-VLOOKUP($A15,'détails investissements'!$A$71:$B$88,2,FALSE)+1,FALSE))),'détails investissements'!$U$6:$AB$7,2,FALSE),""),FALSE),"")</f>
        <v/>
      </c>
      <c r="CO15" s="45" t="str">
        <f>IF(IF(IF(CO$3-VLOOKUP($A15,'détails investissements'!$A$71:$B$88,2,FALSE)&lt;=0,"",IF(VLOOKUP($A15,'détails investissements'!$A$26:$DE$43,CO$3-VLOOKUP($A15,'détails investissements'!$A$71:$B$88,2,FALSE)+1,FALSE)="","",VLOOKUP($A15,'détails investissements'!$A$26:$DE$43,CO$3-VLOOKUP($A15,'détails investissements'!$A$71:$B$88,2,FALSE)+1,FALSE)))&lt;&gt;"",HLOOKUP(IF(CO$3-VLOOKUP($A15,'détails investissements'!$A$71:$B$88,2,FALSE)&lt;=0,"",IF(VLOOKUP($A15,'détails investissements'!$A$26:$DE$43,CO$3-VLOOKUP($A15,'détails investissements'!$A$71:$B$88,2,FALSE)+1,FALSE)="","",VLOOKUP($A15,'détails investissements'!$A$26:$DE$43,CO$3-VLOOKUP($A15,'détails investissements'!$A$71:$B$88,2,FALSE)+1,FALSE))),'détails investissements'!$U$6:$AB$7,2,FALSE),"")&lt;&gt;"",VLOOKUP($A15,'détails investissements'!$A$7:$H$21,1+IF(IF(CO$3-VLOOKUP($A15,'détails investissements'!$A$71:$B$88,2,FALSE)&lt;=0,"",IF(VLOOKUP($A15,'détails investissements'!$A$26:$DE$43,CO$3-VLOOKUP($A15,'détails investissements'!$A$71:$B$88,2,FALSE)+1,FALSE)="","",VLOOKUP($A15,'détails investissements'!$A$26:$DE$43,CO$3-VLOOKUP($A15,'détails investissements'!$A$71:$B$88,2,FALSE)+1,FALSE)))&lt;&gt;"",HLOOKUP(IF(CO$3-VLOOKUP($A15,'détails investissements'!$A$71:$B$88,2,FALSE)&lt;=0,"",IF(VLOOKUP($A15,'détails investissements'!$A$26:$DE$43,CO$3-VLOOKUP($A15,'détails investissements'!$A$71:$B$88,2,FALSE)+1,FALSE)="","",VLOOKUP($A15,'détails investissements'!$A$26:$DE$43,CO$3-VLOOKUP($A15,'détails investissements'!$A$71:$B$88,2,FALSE)+1,FALSE))),'détails investissements'!$U$6:$AB$7,2,FALSE),""),FALSE),"")</f>
        <v/>
      </c>
      <c r="CP15" s="45" t="str">
        <f>IF(IF(IF(CP$3-VLOOKUP($A15,'détails investissements'!$A$71:$B$88,2,FALSE)&lt;=0,"",IF(VLOOKUP($A15,'détails investissements'!$A$26:$DE$43,CP$3-VLOOKUP($A15,'détails investissements'!$A$71:$B$88,2,FALSE)+1,FALSE)="","",VLOOKUP($A15,'détails investissements'!$A$26:$DE$43,CP$3-VLOOKUP($A15,'détails investissements'!$A$71:$B$88,2,FALSE)+1,FALSE)))&lt;&gt;"",HLOOKUP(IF(CP$3-VLOOKUP($A15,'détails investissements'!$A$71:$B$88,2,FALSE)&lt;=0,"",IF(VLOOKUP($A15,'détails investissements'!$A$26:$DE$43,CP$3-VLOOKUP($A15,'détails investissements'!$A$71:$B$88,2,FALSE)+1,FALSE)="","",VLOOKUP($A15,'détails investissements'!$A$26:$DE$43,CP$3-VLOOKUP($A15,'détails investissements'!$A$71:$B$88,2,FALSE)+1,FALSE))),'détails investissements'!$U$6:$AB$7,2,FALSE),"")&lt;&gt;"",VLOOKUP($A15,'détails investissements'!$A$7:$H$21,1+IF(IF(CP$3-VLOOKUP($A15,'détails investissements'!$A$71:$B$88,2,FALSE)&lt;=0,"",IF(VLOOKUP($A15,'détails investissements'!$A$26:$DE$43,CP$3-VLOOKUP($A15,'détails investissements'!$A$71:$B$88,2,FALSE)+1,FALSE)="","",VLOOKUP($A15,'détails investissements'!$A$26:$DE$43,CP$3-VLOOKUP($A15,'détails investissements'!$A$71:$B$88,2,FALSE)+1,FALSE)))&lt;&gt;"",HLOOKUP(IF(CP$3-VLOOKUP($A15,'détails investissements'!$A$71:$B$88,2,FALSE)&lt;=0,"",IF(VLOOKUP($A15,'détails investissements'!$A$26:$DE$43,CP$3-VLOOKUP($A15,'détails investissements'!$A$71:$B$88,2,FALSE)+1,FALSE)="","",VLOOKUP($A15,'détails investissements'!$A$26:$DE$43,CP$3-VLOOKUP($A15,'détails investissements'!$A$71:$B$88,2,FALSE)+1,FALSE))),'détails investissements'!$U$6:$AB$7,2,FALSE),""),FALSE),"")</f>
        <v/>
      </c>
      <c r="CQ15" s="45" t="str">
        <f>IF(IF(IF(CQ$3-VLOOKUP($A15,'détails investissements'!$A$71:$B$88,2,FALSE)&lt;=0,"",IF(VLOOKUP($A15,'détails investissements'!$A$26:$DE$43,CQ$3-VLOOKUP($A15,'détails investissements'!$A$71:$B$88,2,FALSE)+1,FALSE)="","",VLOOKUP($A15,'détails investissements'!$A$26:$DE$43,CQ$3-VLOOKUP($A15,'détails investissements'!$A$71:$B$88,2,FALSE)+1,FALSE)))&lt;&gt;"",HLOOKUP(IF(CQ$3-VLOOKUP($A15,'détails investissements'!$A$71:$B$88,2,FALSE)&lt;=0,"",IF(VLOOKUP($A15,'détails investissements'!$A$26:$DE$43,CQ$3-VLOOKUP($A15,'détails investissements'!$A$71:$B$88,2,FALSE)+1,FALSE)="","",VLOOKUP($A15,'détails investissements'!$A$26:$DE$43,CQ$3-VLOOKUP($A15,'détails investissements'!$A$71:$B$88,2,FALSE)+1,FALSE))),'détails investissements'!$U$6:$AB$7,2,FALSE),"")&lt;&gt;"",VLOOKUP($A15,'détails investissements'!$A$7:$H$21,1+IF(IF(CQ$3-VLOOKUP($A15,'détails investissements'!$A$71:$B$88,2,FALSE)&lt;=0,"",IF(VLOOKUP($A15,'détails investissements'!$A$26:$DE$43,CQ$3-VLOOKUP($A15,'détails investissements'!$A$71:$B$88,2,FALSE)+1,FALSE)="","",VLOOKUP($A15,'détails investissements'!$A$26:$DE$43,CQ$3-VLOOKUP($A15,'détails investissements'!$A$71:$B$88,2,FALSE)+1,FALSE)))&lt;&gt;"",HLOOKUP(IF(CQ$3-VLOOKUP($A15,'détails investissements'!$A$71:$B$88,2,FALSE)&lt;=0,"",IF(VLOOKUP($A15,'détails investissements'!$A$26:$DE$43,CQ$3-VLOOKUP($A15,'détails investissements'!$A$71:$B$88,2,FALSE)+1,FALSE)="","",VLOOKUP($A15,'détails investissements'!$A$26:$DE$43,CQ$3-VLOOKUP($A15,'détails investissements'!$A$71:$B$88,2,FALSE)+1,FALSE))),'détails investissements'!$U$6:$AB$7,2,FALSE),""),FALSE),"")</f>
        <v/>
      </c>
      <c r="CR15" s="45" t="str">
        <f>IF(IF(IF(CR$3-VLOOKUP($A15,'détails investissements'!$A$71:$B$88,2,FALSE)&lt;=0,"",IF(VLOOKUP($A15,'détails investissements'!$A$26:$DE$43,CR$3-VLOOKUP($A15,'détails investissements'!$A$71:$B$88,2,FALSE)+1,FALSE)="","",VLOOKUP($A15,'détails investissements'!$A$26:$DE$43,CR$3-VLOOKUP($A15,'détails investissements'!$A$71:$B$88,2,FALSE)+1,FALSE)))&lt;&gt;"",HLOOKUP(IF(CR$3-VLOOKUP($A15,'détails investissements'!$A$71:$B$88,2,FALSE)&lt;=0,"",IF(VLOOKUP($A15,'détails investissements'!$A$26:$DE$43,CR$3-VLOOKUP($A15,'détails investissements'!$A$71:$B$88,2,FALSE)+1,FALSE)="","",VLOOKUP($A15,'détails investissements'!$A$26:$DE$43,CR$3-VLOOKUP($A15,'détails investissements'!$A$71:$B$88,2,FALSE)+1,FALSE))),'détails investissements'!$U$6:$AB$7,2,FALSE),"")&lt;&gt;"",VLOOKUP($A15,'détails investissements'!$A$7:$H$21,1+IF(IF(CR$3-VLOOKUP($A15,'détails investissements'!$A$71:$B$88,2,FALSE)&lt;=0,"",IF(VLOOKUP($A15,'détails investissements'!$A$26:$DE$43,CR$3-VLOOKUP($A15,'détails investissements'!$A$71:$B$88,2,FALSE)+1,FALSE)="","",VLOOKUP($A15,'détails investissements'!$A$26:$DE$43,CR$3-VLOOKUP($A15,'détails investissements'!$A$71:$B$88,2,FALSE)+1,FALSE)))&lt;&gt;"",HLOOKUP(IF(CR$3-VLOOKUP($A15,'détails investissements'!$A$71:$B$88,2,FALSE)&lt;=0,"",IF(VLOOKUP($A15,'détails investissements'!$A$26:$DE$43,CR$3-VLOOKUP($A15,'détails investissements'!$A$71:$B$88,2,FALSE)+1,FALSE)="","",VLOOKUP($A15,'détails investissements'!$A$26:$DE$43,CR$3-VLOOKUP($A15,'détails investissements'!$A$71:$B$88,2,FALSE)+1,FALSE))),'détails investissements'!$U$6:$AB$7,2,FALSE),""),FALSE),"")</f>
        <v/>
      </c>
      <c r="CS15" s="45" t="str">
        <f>IF(IF(IF(CS$3-VLOOKUP($A15,'détails investissements'!$A$71:$B$88,2,FALSE)&lt;=0,"",IF(VLOOKUP($A15,'détails investissements'!$A$26:$DE$43,CS$3-VLOOKUP($A15,'détails investissements'!$A$71:$B$88,2,FALSE)+1,FALSE)="","",VLOOKUP($A15,'détails investissements'!$A$26:$DE$43,CS$3-VLOOKUP($A15,'détails investissements'!$A$71:$B$88,2,FALSE)+1,FALSE)))&lt;&gt;"",HLOOKUP(IF(CS$3-VLOOKUP($A15,'détails investissements'!$A$71:$B$88,2,FALSE)&lt;=0,"",IF(VLOOKUP($A15,'détails investissements'!$A$26:$DE$43,CS$3-VLOOKUP($A15,'détails investissements'!$A$71:$B$88,2,FALSE)+1,FALSE)="","",VLOOKUP($A15,'détails investissements'!$A$26:$DE$43,CS$3-VLOOKUP($A15,'détails investissements'!$A$71:$B$88,2,FALSE)+1,FALSE))),'détails investissements'!$U$6:$AB$7,2,FALSE),"")&lt;&gt;"",VLOOKUP($A15,'détails investissements'!$A$7:$H$21,1+IF(IF(CS$3-VLOOKUP($A15,'détails investissements'!$A$71:$B$88,2,FALSE)&lt;=0,"",IF(VLOOKUP($A15,'détails investissements'!$A$26:$DE$43,CS$3-VLOOKUP($A15,'détails investissements'!$A$71:$B$88,2,FALSE)+1,FALSE)="","",VLOOKUP($A15,'détails investissements'!$A$26:$DE$43,CS$3-VLOOKUP($A15,'détails investissements'!$A$71:$B$88,2,FALSE)+1,FALSE)))&lt;&gt;"",HLOOKUP(IF(CS$3-VLOOKUP($A15,'détails investissements'!$A$71:$B$88,2,FALSE)&lt;=0,"",IF(VLOOKUP($A15,'détails investissements'!$A$26:$DE$43,CS$3-VLOOKUP($A15,'détails investissements'!$A$71:$B$88,2,FALSE)+1,FALSE)="","",VLOOKUP($A15,'détails investissements'!$A$26:$DE$43,CS$3-VLOOKUP($A15,'détails investissements'!$A$71:$B$88,2,FALSE)+1,FALSE))),'détails investissements'!$U$6:$AB$7,2,FALSE),""),FALSE),"")</f>
        <v/>
      </c>
      <c r="CT15" s="45" t="str">
        <f>IF(IF(IF(CT$3-VLOOKUP($A15,'détails investissements'!$A$71:$B$88,2,FALSE)&lt;=0,"",IF(VLOOKUP($A15,'détails investissements'!$A$26:$DE$43,CT$3-VLOOKUP($A15,'détails investissements'!$A$71:$B$88,2,FALSE)+1,FALSE)="","",VLOOKUP($A15,'détails investissements'!$A$26:$DE$43,CT$3-VLOOKUP($A15,'détails investissements'!$A$71:$B$88,2,FALSE)+1,FALSE)))&lt;&gt;"",HLOOKUP(IF(CT$3-VLOOKUP($A15,'détails investissements'!$A$71:$B$88,2,FALSE)&lt;=0,"",IF(VLOOKUP($A15,'détails investissements'!$A$26:$DE$43,CT$3-VLOOKUP($A15,'détails investissements'!$A$71:$B$88,2,FALSE)+1,FALSE)="","",VLOOKUP($A15,'détails investissements'!$A$26:$DE$43,CT$3-VLOOKUP($A15,'détails investissements'!$A$71:$B$88,2,FALSE)+1,FALSE))),'détails investissements'!$U$6:$AB$7,2,FALSE),"")&lt;&gt;"",VLOOKUP($A15,'détails investissements'!$A$7:$H$21,1+IF(IF(CT$3-VLOOKUP($A15,'détails investissements'!$A$71:$B$88,2,FALSE)&lt;=0,"",IF(VLOOKUP($A15,'détails investissements'!$A$26:$DE$43,CT$3-VLOOKUP($A15,'détails investissements'!$A$71:$B$88,2,FALSE)+1,FALSE)="","",VLOOKUP($A15,'détails investissements'!$A$26:$DE$43,CT$3-VLOOKUP($A15,'détails investissements'!$A$71:$B$88,2,FALSE)+1,FALSE)))&lt;&gt;"",HLOOKUP(IF(CT$3-VLOOKUP($A15,'détails investissements'!$A$71:$B$88,2,FALSE)&lt;=0,"",IF(VLOOKUP($A15,'détails investissements'!$A$26:$DE$43,CT$3-VLOOKUP($A15,'détails investissements'!$A$71:$B$88,2,FALSE)+1,FALSE)="","",VLOOKUP($A15,'détails investissements'!$A$26:$DE$43,CT$3-VLOOKUP($A15,'détails investissements'!$A$71:$B$88,2,FALSE)+1,FALSE))),'détails investissements'!$U$6:$AB$7,2,FALSE),""),FALSE),"")</f>
        <v/>
      </c>
      <c r="CU15" s="45" t="str">
        <f>IF(IF(IF(CU$3-VLOOKUP($A15,'détails investissements'!$A$71:$B$88,2,FALSE)&lt;=0,"",IF(VLOOKUP($A15,'détails investissements'!$A$26:$DE$43,CU$3-VLOOKUP($A15,'détails investissements'!$A$71:$B$88,2,FALSE)+1,FALSE)="","",VLOOKUP($A15,'détails investissements'!$A$26:$DE$43,CU$3-VLOOKUP($A15,'détails investissements'!$A$71:$B$88,2,FALSE)+1,FALSE)))&lt;&gt;"",HLOOKUP(IF(CU$3-VLOOKUP($A15,'détails investissements'!$A$71:$B$88,2,FALSE)&lt;=0,"",IF(VLOOKUP($A15,'détails investissements'!$A$26:$DE$43,CU$3-VLOOKUP($A15,'détails investissements'!$A$71:$B$88,2,FALSE)+1,FALSE)="","",VLOOKUP($A15,'détails investissements'!$A$26:$DE$43,CU$3-VLOOKUP($A15,'détails investissements'!$A$71:$B$88,2,FALSE)+1,FALSE))),'détails investissements'!$U$6:$AB$7,2,FALSE),"")&lt;&gt;"",VLOOKUP($A15,'détails investissements'!$A$7:$H$21,1+IF(IF(CU$3-VLOOKUP($A15,'détails investissements'!$A$71:$B$88,2,FALSE)&lt;=0,"",IF(VLOOKUP($A15,'détails investissements'!$A$26:$DE$43,CU$3-VLOOKUP($A15,'détails investissements'!$A$71:$B$88,2,FALSE)+1,FALSE)="","",VLOOKUP($A15,'détails investissements'!$A$26:$DE$43,CU$3-VLOOKUP($A15,'détails investissements'!$A$71:$B$88,2,FALSE)+1,FALSE)))&lt;&gt;"",HLOOKUP(IF(CU$3-VLOOKUP($A15,'détails investissements'!$A$71:$B$88,2,FALSE)&lt;=0,"",IF(VLOOKUP($A15,'détails investissements'!$A$26:$DE$43,CU$3-VLOOKUP($A15,'détails investissements'!$A$71:$B$88,2,FALSE)+1,FALSE)="","",VLOOKUP($A15,'détails investissements'!$A$26:$DE$43,CU$3-VLOOKUP($A15,'détails investissements'!$A$71:$B$88,2,FALSE)+1,FALSE))),'détails investissements'!$U$6:$AB$7,2,FALSE),""),FALSE),"")</f>
        <v/>
      </c>
      <c r="CV15" s="45" t="str">
        <f>IF(IF(IF(CV$3-VLOOKUP($A15,'détails investissements'!$A$71:$B$88,2,FALSE)&lt;=0,"",IF(VLOOKUP($A15,'détails investissements'!$A$26:$DE$43,CV$3-VLOOKUP($A15,'détails investissements'!$A$71:$B$88,2,FALSE)+1,FALSE)="","",VLOOKUP($A15,'détails investissements'!$A$26:$DE$43,CV$3-VLOOKUP($A15,'détails investissements'!$A$71:$B$88,2,FALSE)+1,FALSE)))&lt;&gt;"",HLOOKUP(IF(CV$3-VLOOKUP($A15,'détails investissements'!$A$71:$B$88,2,FALSE)&lt;=0,"",IF(VLOOKUP($A15,'détails investissements'!$A$26:$DE$43,CV$3-VLOOKUP($A15,'détails investissements'!$A$71:$B$88,2,FALSE)+1,FALSE)="","",VLOOKUP($A15,'détails investissements'!$A$26:$DE$43,CV$3-VLOOKUP($A15,'détails investissements'!$A$71:$B$88,2,FALSE)+1,FALSE))),'détails investissements'!$U$6:$AB$7,2,FALSE),"")&lt;&gt;"",VLOOKUP($A15,'détails investissements'!$A$7:$H$21,1+IF(IF(CV$3-VLOOKUP($A15,'détails investissements'!$A$71:$B$88,2,FALSE)&lt;=0,"",IF(VLOOKUP($A15,'détails investissements'!$A$26:$DE$43,CV$3-VLOOKUP($A15,'détails investissements'!$A$71:$B$88,2,FALSE)+1,FALSE)="","",VLOOKUP($A15,'détails investissements'!$A$26:$DE$43,CV$3-VLOOKUP($A15,'détails investissements'!$A$71:$B$88,2,FALSE)+1,FALSE)))&lt;&gt;"",HLOOKUP(IF(CV$3-VLOOKUP($A15,'détails investissements'!$A$71:$B$88,2,FALSE)&lt;=0,"",IF(VLOOKUP($A15,'détails investissements'!$A$26:$DE$43,CV$3-VLOOKUP($A15,'détails investissements'!$A$71:$B$88,2,FALSE)+1,FALSE)="","",VLOOKUP($A15,'détails investissements'!$A$26:$DE$43,CV$3-VLOOKUP($A15,'détails investissements'!$A$71:$B$88,2,FALSE)+1,FALSE))),'détails investissements'!$U$6:$AB$7,2,FALSE),""),FALSE),"")</f>
        <v/>
      </c>
      <c r="CW15" s="45" t="str">
        <f>IF(IF(IF(CW$3-VLOOKUP($A15,'détails investissements'!$A$71:$B$88,2,FALSE)&lt;=0,"",IF(VLOOKUP($A15,'détails investissements'!$A$26:$DE$43,CW$3-VLOOKUP($A15,'détails investissements'!$A$71:$B$88,2,FALSE)+1,FALSE)="","",VLOOKUP($A15,'détails investissements'!$A$26:$DE$43,CW$3-VLOOKUP($A15,'détails investissements'!$A$71:$B$88,2,FALSE)+1,FALSE)))&lt;&gt;"",HLOOKUP(IF(CW$3-VLOOKUP($A15,'détails investissements'!$A$71:$B$88,2,FALSE)&lt;=0,"",IF(VLOOKUP($A15,'détails investissements'!$A$26:$DE$43,CW$3-VLOOKUP($A15,'détails investissements'!$A$71:$B$88,2,FALSE)+1,FALSE)="","",VLOOKUP($A15,'détails investissements'!$A$26:$DE$43,CW$3-VLOOKUP($A15,'détails investissements'!$A$71:$B$88,2,FALSE)+1,FALSE))),'détails investissements'!$U$6:$AB$7,2,FALSE),"")&lt;&gt;"",VLOOKUP($A15,'détails investissements'!$A$7:$H$21,1+IF(IF(CW$3-VLOOKUP($A15,'détails investissements'!$A$71:$B$88,2,FALSE)&lt;=0,"",IF(VLOOKUP($A15,'détails investissements'!$A$26:$DE$43,CW$3-VLOOKUP($A15,'détails investissements'!$A$71:$B$88,2,FALSE)+1,FALSE)="","",VLOOKUP($A15,'détails investissements'!$A$26:$DE$43,CW$3-VLOOKUP($A15,'détails investissements'!$A$71:$B$88,2,FALSE)+1,FALSE)))&lt;&gt;"",HLOOKUP(IF(CW$3-VLOOKUP($A15,'détails investissements'!$A$71:$B$88,2,FALSE)&lt;=0,"",IF(VLOOKUP($A15,'détails investissements'!$A$26:$DE$43,CW$3-VLOOKUP($A15,'détails investissements'!$A$71:$B$88,2,FALSE)+1,FALSE)="","",VLOOKUP($A15,'détails investissements'!$A$26:$DE$43,CW$3-VLOOKUP($A15,'détails investissements'!$A$71:$B$88,2,FALSE)+1,FALSE))),'détails investissements'!$U$6:$AB$7,2,FALSE),""),FALSE),"")</f>
        <v/>
      </c>
      <c r="CX15" s="45" t="str">
        <f>IF(IF(IF(CX$3-VLOOKUP($A15,'détails investissements'!$A$71:$B$88,2,FALSE)&lt;=0,"",IF(VLOOKUP($A15,'détails investissements'!$A$26:$DE$43,CX$3-VLOOKUP($A15,'détails investissements'!$A$71:$B$88,2,FALSE)+1,FALSE)="","",VLOOKUP($A15,'détails investissements'!$A$26:$DE$43,CX$3-VLOOKUP($A15,'détails investissements'!$A$71:$B$88,2,FALSE)+1,FALSE)))&lt;&gt;"",HLOOKUP(IF(CX$3-VLOOKUP($A15,'détails investissements'!$A$71:$B$88,2,FALSE)&lt;=0,"",IF(VLOOKUP($A15,'détails investissements'!$A$26:$DE$43,CX$3-VLOOKUP($A15,'détails investissements'!$A$71:$B$88,2,FALSE)+1,FALSE)="","",VLOOKUP($A15,'détails investissements'!$A$26:$DE$43,CX$3-VLOOKUP($A15,'détails investissements'!$A$71:$B$88,2,FALSE)+1,FALSE))),'détails investissements'!$U$6:$AB$7,2,FALSE),"")&lt;&gt;"",VLOOKUP($A15,'détails investissements'!$A$7:$H$21,1+IF(IF(CX$3-VLOOKUP($A15,'détails investissements'!$A$71:$B$88,2,FALSE)&lt;=0,"",IF(VLOOKUP($A15,'détails investissements'!$A$26:$DE$43,CX$3-VLOOKUP($A15,'détails investissements'!$A$71:$B$88,2,FALSE)+1,FALSE)="","",VLOOKUP($A15,'détails investissements'!$A$26:$DE$43,CX$3-VLOOKUP($A15,'détails investissements'!$A$71:$B$88,2,FALSE)+1,FALSE)))&lt;&gt;"",HLOOKUP(IF(CX$3-VLOOKUP($A15,'détails investissements'!$A$71:$B$88,2,FALSE)&lt;=0,"",IF(VLOOKUP($A15,'détails investissements'!$A$26:$DE$43,CX$3-VLOOKUP($A15,'détails investissements'!$A$71:$B$88,2,FALSE)+1,FALSE)="","",VLOOKUP($A15,'détails investissements'!$A$26:$DE$43,CX$3-VLOOKUP($A15,'détails investissements'!$A$71:$B$88,2,FALSE)+1,FALSE))),'détails investissements'!$U$6:$AB$7,2,FALSE),""),FALSE),"")</f>
        <v/>
      </c>
      <c r="CY15" s="45" t="str">
        <f>IF(IF(IF(CY$3-VLOOKUP($A15,'détails investissements'!$A$71:$B$88,2,FALSE)&lt;=0,"",IF(VLOOKUP($A15,'détails investissements'!$A$26:$DE$43,CY$3-VLOOKUP($A15,'détails investissements'!$A$71:$B$88,2,FALSE)+1,FALSE)="","",VLOOKUP($A15,'détails investissements'!$A$26:$DE$43,CY$3-VLOOKUP($A15,'détails investissements'!$A$71:$B$88,2,FALSE)+1,FALSE)))&lt;&gt;"",HLOOKUP(IF(CY$3-VLOOKUP($A15,'détails investissements'!$A$71:$B$88,2,FALSE)&lt;=0,"",IF(VLOOKUP($A15,'détails investissements'!$A$26:$DE$43,CY$3-VLOOKUP($A15,'détails investissements'!$A$71:$B$88,2,FALSE)+1,FALSE)="","",VLOOKUP($A15,'détails investissements'!$A$26:$DE$43,CY$3-VLOOKUP($A15,'détails investissements'!$A$71:$B$88,2,FALSE)+1,FALSE))),'détails investissements'!$U$6:$AB$7,2,FALSE),"")&lt;&gt;"",VLOOKUP($A15,'détails investissements'!$A$7:$H$21,1+IF(IF(CY$3-VLOOKUP($A15,'détails investissements'!$A$71:$B$88,2,FALSE)&lt;=0,"",IF(VLOOKUP($A15,'détails investissements'!$A$26:$DE$43,CY$3-VLOOKUP($A15,'détails investissements'!$A$71:$B$88,2,FALSE)+1,FALSE)="","",VLOOKUP($A15,'détails investissements'!$A$26:$DE$43,CY$3-VLOOKUP($A15,'détails investissements'!$A$71:$B$88,2,FALSE)+1,FALSE)))&lt;&gt;"",HLOOKUP(IF(CY$3-VLOOKUP($A15,'détails investissements'!$A$71:$B$88,2,FALSE)&lt;=0,"",IF(VLOOKUP($A15,'détails investissements'!$A$26:$DE$43,CY$3-VLOOKUP($A15,'détails investissements'!$A$71:$B$88,2,FALSE)+1,FALSE)="","",VLOOKUP($A15,'détails investissements'!$A$26:$DE$43,CY$3-VLOOKUP($A15,'détails investissements'!$A$71:$B$88,2,FALSE)+1,FALSE))),'détails investissements'!$U$6:$AB$7,2,FALSE),""),FALSE),"")</f>
        <v/>
      </c>
      <c r="CZ15" s="45" t="str">
        <f>IF(IF(IF(CZ$3-VLOOKUP($A15,'détails investissements'!$A$71:$B$88,2,FALSE)&lt;=0,"",IF(VLOOKUP($A15,'détails investissements'!$A$26:$DE$43,CZ$3-VLOOKUP($A15,'détails investissements'!$A$71:$B$88,2,FALSE)+1,FALSE)="","",VLOOKUP($A15,'détails investissements'!$A$26:$DE$43,CZ$3-VLOOKUP($A15,'détails investissements'!$A$71:$B$88,2,FALSE)+1,FALSE)))&lt;&gt;"",HLOOKUP(IF(CZ$3-VLOOKUP($A15,'détails investissements'!$A$71:$B$88,2,FALSE)&lt;=0,"",IF(VLOOKUP($A15,'détails investissements'!$A$26:$DE$43,CZ$3-VLOOKUP($A15,'détails investissements'!$A$71:$B$88,2,FALSE)+1,FALSE)="","",VLOOKUP($A15,'détails investissements'!$A$26:$DE$43,CZ$3-VLOOKUP($A15,'détails investissements'!$A$71:$B$88,2,FALSE)+1,FALSE))),'détails investissements'!$U$6:$AB$7,2,FALSE),"")&lt;&gt;"",VLOOKUP($A15,'détails investissements'!$A$7:$H$21,1+IF(IF(CZ$3-VLOOKUP($A15,'détails investissements'!$A$71:$B$88,2,FALSE)&lt;=0,"",IF(VLOOKUP($A15,'détails investissements'!$A$26:$DE$43,CZ$3-VLOOKUP($A15,'détails investissements'!$A$71:$B$88,2,FALSE)+1,FALSE)="","",VLOOKUP($A15,'détails investissements'!$A$26:$DE$43,CZ$3-VLOOKUP($A15,'détails investissements'!$A$71:$B$88,2,FALSE)+1,FALSE)))&lt;&gt;"",HLOOKUP(IF(CZ$3-VLOOKUP($A15,'détails investissements'!$A$71:$B$88,2,FALSE)&lt;=0,"",IF(VLOOKUP($A15,'détails investissements'!$A$26:$DE$43,CZ$3-VLOOKUP($A15,'détails investissements'!$A$71:$B$88,2,FALSE)+1,FALSE)="","",VLOOKUP($A15,'détails investissements'!$A$26:$DE$43,CZ$3-VLOOKUP($A15,'détails investissements'!$A$71:$B$88,2,FALSE)+1,FALSE))),'détails investissements'!$U$6:$AB$7,2,FALSE),""),FALSE),"")</f>
        <v/>
      </c>
      <c r="DA15" s="45" t="str">
        <f>IF(IF(IF(DA$3-VLOOKUP($A15,'détails investissements'!$A$71:$B$88,2,FALSE)&lt;=0,"",IF(VLOOKUP($A15,'détails investissements'!$A$26:$DE$43,DA$3-VLOOKUP($A15,'détails investissements'!$A$71:$B$88,2,FALSE)+1,FALSE)="","",VLOOKUP($A15,'détails investissements'!$A$26:$DE$43,DA$3-VLOOKUP($A15,'détails investissements'!$A$71:$B$88,2,FALSE)+1,FALSE)))&lt;&gt;"",HLOOKUP(IF(DA$3-VLOOKUP($A15,'détails investissements'!$A$71:$B$88,2,FALSE)&lt;=0,"",IF(VLOOKUP($A15,'détails investissements'!$A$26:$DE$43,DA$3-VLOOKUP($A15,'détails investissements'!$A$71:$B$88,2,FALSE)+1,FALSE)="","",VLOOKUP($A15,'détails investissements'!$A$26:$DE$43,DA$3-VLOOKUP($A15,'détails investissements'!$A$71:$B$88,2,FALSE)+1,FALSE))),'détails investissements'!$U$6:$AB$7,2,FALSE),"")&lt;&gt;"",VLOOKUP($A15,'détails investissements'!$A$7:$H$21,1+IF(IF(DA$3-VLOOKUP($A15,'détails investissements'!$A$71:$B$88,2,FALSE)&lt;=0,"",IF(VLOOKUP($A15,'détails investissements'!$A$26:$DE$43,DA$3-VLOOKUP($A15,'détails investissements'!$A$71:$B$88,2,FALSE)+1,FALSE)="","",VLOOKUP($A15,'détails investissements'!$A$26:$DE$43,DA$3-VLOOKUP($A15,'détails investissements'!$A$71:$B$88,2,FALSE)+1,FALSE)))&lt;&gt;"",HLOOKUP(IF(DA$3-VLOOKUP($A15,'détails investissements'!$A$71:$B$88,2,FALSE)&lt;=0,"",IF(VLOOKUP($A15,'détails investissements'!$A$26:$DE$43,DA$3-VLOOKUP($A15,'détails investissements'!$A$71:$B$88,2,FALSE)+1,FALSE)="","",VLOOKUP($A15,'détails investissements'!$A$26:$DE$43,DA$3-VLOOKUP($A15,'détails investissements'!$A$71:$B$88,2,FALSE)+1,FALSE))),'détails investissements'!$U$6:$AB$7,2,FALSE),""),FALSE),"")</f>
        <v/>
      </c>
      <c r="DB15" s="45" t="str">
        <f>IF(IF(IF(DB$3-VLOOKUP($A15,'détails investissements'!$A$71:$B$88,2,FALSE)&lt;=0,"",IF(VLOOKUP($A15,'détails investissements'!$A$26:$DE$43,DB$3-VLOOKUP($A15,'détails investissements'!$A$71:$B$88,2,FALSE)+1,FALSE)="","",VLOOKUP($A15,'détails investissements'!$A$26:$DE$43,DB$3-VLOOKUP($A15,'détails investissements'!$A$71:$B$88,2,FALSE)+1,FALSE)))&lt;&gt;"",HLOOKUP(IF(DB$3-VLOOKUP($A15,'détails investissements'!$A$71:$B$88,2,FALSE)&lt;=0,"",IF(VLOOKUP($A15,'détails investissements'!$A$26:$DE$43,DB$3-VLOOKUP($A15,'détails investissements'!$A$71:$B$88,2,FALSE)+1,FALSE)="","",VLOOKUP($A15,'détails investissements'!$A$26:$DE$43,DB$3-VLOOKUP($A15,'détails investissements'!$A$71:$B$88,2,FALSE)+1,FALSE))),'détails investissements'!$U$6:$AB$7,2,FALSE),"")&lt;&gt;"",VLOOKUP($A15,'détails investissements'!$A$7:$H$21,1+IF(IF(DB$3-VLOOKUP($A15,'détails investissements'!$A$71:$B$88,2,FALSE)&lt;=0,"",IF(VLOOKUP($A15,'détails investissements'!$A$26:$DE$43,DB$3-VLOOKUP($A15,'détails investissements'!$A$71:$B$88,2,FALSE)+1,FALSE)="","",VLOOKUP($A15,'détails investissements'!$A$26:$DE$43,DB$3-VLOOKUP($A15,'détails investissements'!$A$71:$B$88,2,FALSE)+1,FALSE)))&lt;&gt;"",HLOOKUP(IF(DB$3-VLOOKUP($A15,'détails investissements'!$A$71:$B$88,2,FALSE)&lt;=0,"",IF(VLOOKUP($A15,'détails investissements'!$A$26:$DE$43,DB$3-VLOOKUP($A15,'détails investissements'!$A$71:$B$88,2,FALSE)+1,FALSE)="","",VLOOKUP($A15,'détails investissements'!$A$26:$DE$43,DB$3-VLOOKUP($A15,'détails investissements'!$A$71:$B$88,2,FALSE)+1,FALSE))),'détails investissements'!$U$6:$AB$7,2,FALSE),""),FALSE),"")</f>
        <v/>
      </c>
      <c r="DC15" s="45" t="str">
        <f>IF(IF(IF(DC$3-VLOOKUP($A15,'détails investissements'!$A$71:$B$88,2,FALSE)&lt;=0,"",IF(VLOOKUP($A15,'détails investissements'!$A$26:$DE$43,DC$3-VLOOKUP($A15,'détails investissements'!$A$71:$B$88,2,FALSE)+1,FALSE)="","",VLOOKUP($A15,'détails investissements'!$A$26:$DE$43,DC$3-VLOOKUP($A15,'détails investissements'!$A$71:$B$88,2,FALSE)+1,FALSE)))&lt;&gt;"",HLOOKUP(IF(DC$3-VLOOKUP($A15,'détails investissements'!$A$71:$B$88,2,FALSE)&lt;=0,"",IF(VLOOKUP($A15,'détails investissements'!$A$26:$DE$43,DC$3-VLOOKUP($A15,'détails investissements'!$A$71:$B$88,2,FALSE)+1,FALSE)="","",VLOOKUP($A15,'détails investissements'!$A$26:$DE$43,DC$3-VLOOKUP($A15,'détails investissements'!$A$71:$B$88,2,FALSE)+1,FALSE))),'détails investissements'!$U$6:$AB$7,2,FALSE),"")&lt;&gt;"",VLOOKUP($A15,'détails investissements'!$A$7:$H$21,1+IF(IF(DC$3-VLOOKUP($A15,'détails investissements'!$A$71:$B$88,2,FALSE)&lt;=0,"",IF(VLOOKUP($A15,'détails investissements'!$A$26:$DE$43,DC$3-VLOOKUP($A15,'détails investissements'!$A$71:$B$88,2,FALSE)+1,FALSE)="","",VLOOKUP($A15,'détails investissements'!$A$26:$DE$43,DC$3-VLOOKUP($A15,'détails investissements'!$A$71:$B$88,2,FALSE)+1,FALSE)))&lt;&gt;"",HLOOKUP(IF(DC$3-VLOOKUP($A15,'détails investissements'!$A$71:$B$88,2,FALSE)&lt;=0,"",IF(VLOOKUP($A15,'détails investissements'!$A$26:$DE$43,DC$3-VLOOKUP($A15,'détails investissements'!$A$71:$B$88,2,FALSE)+1,FALSE)="","",VLOOKUP($A15,'détails investissements'!$A$26:$DE$43,DC$3-VLOOKUP($A15,'détails investissements'!$A$71:$B$88,2,FALSE)+1,FALSE))),'détails investissements'!$U$6:$AB$7,2,FALSE),""),FALSE),"")</f>
        <v/>
      </c>
      <c r="DD15" s="45" t="str">
        <f>IF(IF(IF(DD$3-VLOOKUP($A15,'détails investissements'!$A$71:$B$88,2,FALSE)&lt;=0,"",IF(VLOOKUP($A15,'détails investissements'!$A$26:$DE$43,DD$3-VLOOKUP($A15,'détails investissements'!$A$71:$B$88,2,FALSE)+1,FALSE)="","",VLOOKUP($A15,'détails investissements'!$A$26:$DE$43,DD$3-VLOOKUP($A15,'détails investissements'!$A$71:$B$88,2,FALSE)+1,FALSE)))&lt;&gt;"",HLOOKUP(IF(DD$3-VLOOKUP($A15,'détails investissements'!$A$71:$B$88,2,FALSE)&lt;=0,"",IF(VLOOKUP($A15,'détails investissements'!$A$26:$DE$43,DD$3-VLOOKUP($A15,'détails investissements'!$A$71:$B$88,2,FALSE)+1,FALSE)="","",VLOOKUP($A15,'détails investissements'!$A$26:$DE$43,DD$3-VLOOKUP($A15,'détails investissements'!$A$71:$B$88,2,FALSE)+1,FALSE))),'détails investissements'!$U$6:$AB$7,2,FALSE),"")&lt;&gt;"",VLOOKUP($A15,'détails investissements'!$A$7:$H$21,1+IF(IF(DD$3-VLOOKUP($A15,'détails investissements'!$A$71:$B$88,2,FALSE)&lt;=0,"",IF(VLOOKUP($A15,'détails investissements'!$A$26:$DE$43,DD$3-VLOOKUP($A15,'détails investissements'!$A$71:$B$88,2,FALSE)+1,FALSE)="","",VLOOKUP($A15,'détails investissements'!$A$26:$DE$43,DD$3-VLOOKUP($A15,'détails investissements'!$A$71:$B$88,2,FALSE)+1,FALSE)))&lt;&gt;"",HLOOKUP(IF(DD$3-VLOOKUP($A15,'détails investissements'!$A$71:$B$88,2,FALSE)&lt;=0,"",IF(VLOOKUP($A15,'détails investissements'!$A$26:$DE$43,DD$3-VLOOKUP($A15,'détails investissements'!$A$71:$B$88,2,FALSE)+1,FALSE)="","",VLOOKUP($A15,'détails investissements'!$A$26:$DE$43,DD$3-VLOOKUP($A15,'détails investissements'!$A$71:$B$88,2,FALSE)+1,FALSE))),'détails investissements'!$U$6:$AB$7,2,FALSE),""),FALSE),"")</f>
        <v/>
      </c>
      <c r="DE15" s="45" t="str">
        <f>IF(IF(IF(DE$3-VLOOKUP($A15,'détails investissements'!$A$71:$B$88,2,FALSE)&lt;=0,"",IF(VLOOKUP($A15,'détails investissements'!$A$26:$DE$43,DE$3-VLOOKUP($A15,'détails investissements'!$A$71:$B$88,2,FALSE)+1,FALSE)="","",VLOOKUP($A15,'détails investissements'!$A$26:$DE$43,DE$3-VLOOKUP($A15,'détails investissements'!$A$71:$B$88,2,FALSE)+1,FALSE)))&lt;&gt;"",HLOOKUP(IF(DE$3-VLOOKUP($A15,'détails investissements'!$A$71:$B$88,2,FALSE)&lt;=0,"",IF(VLOOKUP($A15,'détails investissements'!$A$26:$DE$43,DE$3-VLOOKUP($A15,'détails investissements'!$A$71:$B$88,2,FALSE)+1,FALSE)="","",VLOOKUP($A15,'détails investissements'!$A$26:$DE$43,DE$3-VLOOKUP($A15,'détails investissements'!$A$71:$B$88,2,FALSE)+1,FALSE))),'détails investissements'!$U$6:$AB$7,2,FALSE),"")&lt;&gt;"",VLOOKUP($A15,'détails investissements'!$A$7:$H$21,1+IF(IF(DE$3-VLOOKUP($A15,'détails investissements'!$A$71:$B$88,2,FALSE)&lt;=0,"",IF(VLOOKUP($A15,'détails investissements'!$A$26:$DE$43,DE$3-VLOOKUP($A15,'détails investissements'!$A$71:$B$88,2,FALSE)+1,FALSE)="","",VLOOKUP($A15,'détails investissements'!$A$26:$DE$43,DE$3-VLOOKUP($A15,'détails investissements'!$A$71:$B$88,2,FALSE)+1,FALSE)))&lt;&gt;"",HLOOKUP(IF(DE$3-VLOOKUP($A15,'détails investissements'!$A$71:$B$88,2,FALSE)&lt;=0,"",IF(VLOOKUP($A15,'détails investissements'!$A$26:$DE$43,DE$3-VLOOKUP($A15,'détails investissements'!$A$71:$B$88,2,FALSE)+1,FALSE)="","",VLOOKUP($A15,'détails investissements'!$A$26:$DE$43,DE$3-VLOOKUP($A15,'détails investissements'!$A$71:$B$88,2,FALSE)+1,FALSE))),'détails investissements'!$U$6:$AB$7,2,FALSE),""),FALSE),"")</f>
        <v/>
      </c>
      <c r="DF15" s="45" t="str">
        <f>IF(IF(IF(DF$3-VLOOKUP($A15,'détails investissements'!$A$71:$B$88,2,FALSE)&lt;=0,"",IF(VLOOKUP($A15,'détails investissements'!$A$26:$DE$43,DF$3-VLOOKUP($A15,'détails investissements'!$A$71:$B$88,2,FALSE)+1,FALSE)="","",VLOOKUP($A15,'détails investissements'!$A$26:$DE$43,DF$3-VLOOKUP($A15,'détails investissements'!$A$71:$B$88,2,FALSE)+1,FALSE)))&lt;&gt;"",HLOOKUP(IF(DF$3-VLOOKUP($A15,'détails investissements'!$A$71:$B$88,2,FALSE)&lt;=0,"",IF(VLOOKUP($A15,'détails investissements'!$A$26:$DE$43,DF$3-VLOOKUP($A15,'détails investissements'!$A$71:$B$88,2,FALSE)+1,FALSE)="","",VLOOKUP($A15,'détails investissements'!$A$26:$DE$43,DF$3-VLOOKUP($A15,'détails investissements'!$A$71:$B$88,2,FALSE)+1,FALSE))),'détails investissements'!$U$6:$AB$7,2,FALSE),"")&lt;&gt;"",VLOOKUP($A15,'détails investissements'!$A$7:$H$21,1+IF(IF(DF$3-VLOOKUP($A15,'détails investissements'!$A$71:$B$88,2,FALSE)&lt;=0,"",IF(VLOOKUP($A15,'détails investissements'!$A$26:$DE$43,DF$3-VLOOKUP($A15,'détails investissements'!$A$71:$B$88,2,FALSE)+1,FALSE)="","",VLOOKUP($A15,'détails investissements'!$A$26:$DE$43,DF$3-VLOOKUP($A15,'détails investissements'!$A$71:$B$88,2,FALSE)+1,FALSE)))&lt;&gt;"",HLOOKUP(IF(DF$3-VLOOKUP($A15,'détails investissements'!$A$71:$B$88,2,FALSE)&lt;=0,"",IF(VLOOKUP($A15,'détails investissements'!$A$26:$DE$43,DF$3-VLOOKUP($A15,'détails investissements'!$A$71:$B$88,2,FALSE)+1,FALSE)="","",VLOOKUP($A15,'détails investissements'!$A$26:$DE$43,DF$3-VLOOKUP($A15,'détails investissements'!$A$71:$B$88,2,FALSE)+1,FALSE))),'détails investissements'!$U$6:$AB$7,2,FALSE),""),FALSE),"")</f>
        <v/>
      </c>
      <c r="DG15">
        <f t="shared" si="0"/>
        <v>1</v>
      </c>
    </row>
    <row r="16" spans="1:111" x14ac:dyDescent="0.2">
      <c r="A16" s="15" t="str">
        <f>'[4]Données investissements'!A36</f>
        <v>SI + MES</v>
      </c>
      <c r="B16" s="23">
        <f>'détails investissements'!B104</f>
        <v>1.4</v>
      </c>
      <c r="C16" s="45" t="str">
        <f>IF(IF(IF(C$3-VLOOKUP($A16,'détails investissements'!$A$71:$B$88,2,FALSE)&lt;=0,"",IF(VLOOKUP($A16,'détails investissements'!$A$26:$DE$43,C$3-VLOOKUP($A16,'détails investissements'!$A$71:$B$88,2,FALSE)+1,FALSE)="","",VLOOKUP($A16,'détails investissements'!$A$26:$DE$43,C$3-VLOOKUP($A16,'détails investissements'!$A$71:$B$88,2,FALSE)+1,FALSE)))&lt;&gt;"",HLOOKUP(IF(C$3-VLOOKUP($A16,'détails investissements'!$A$71:$B$88,2,FALSE)&lt;=0,"",IF(VLOOKUP($A16,'détails investissements'!$A$26:$DE$43,C$3-VLOOKUP($A16,'détails investissements'!$A$71:$B$88,2,FALSE)+1,FALSE)="","",VLOOKUP($A16,'détails investissements'!$A$26:$DE$43,C$3-VLOOKUP($A16,'détails investissements'!$A$71:$B$88,2,FALSE)+1,FALSE))),'détails investissements'!$U$6:$AB$7,2,FALSE),"")&lt;&gt;"",VLOOKUP($A16,'détails investissements'!$A$7:$H$21,1+IF(IF(C$3-VLOOKUP($A16,'détails investissements'!$A$71:$B$88,2,FALSE)&lt;=0,"",IF(VLOOKUP($A16,'détails investissements'!$A$26:$DE$43,C$3-VLOOKUP($A16,'détails investissements'!$A$71:$B$88,2,FALSE)+1,FALSE)="","",VLOOKUP($A16,'détails investissements'!$A$26:$DE$43,C$3-VLOOKUP($A16,'détails investissements'!$A$71:$B$88,2,FALSE)+1,FALSE)))&lt;&gt;"",HLOOKUP(IF(C$3-VLOOKUP($A16,'détails investissements'!$A$71:$B$88,2,FALSE)&lt;=0,"",IF(VLOOKUP($A16,'détails investissements'!$A$26:$DE$43,C$3-VLOOKUP($A16,'détails investissements'!$A$71:$B$88,2,FALSE)+1,FALSE)="","",VLOOKUP($A16,'détails investissements'!$A$26:$DE$43,C$3-VLOOKUP($A16,'détails investissements'!$A$71:$B$88,2,FALSE)+1,FALSE))),'détails investissements'!$U$6:$AB$7,2,FALSE),""),FALSE),"")</f>
        <v/>
      </c>
      <c r="D16" s="45" t="str">
        <f>IF(IF(IF(D$3-VLOOKUP($A16,'détails investissements'!$A$71:$B$88,2,FALSE)&lt;=0,"",IF(VLOOKUP($A16,'détails investissements'!$A$26:$DE$43,D$3-VLOOKUP($A16,'détails investissements'!$A$71:$B$88,2,FALSE)+1,FALSE)="","",VLOOKUP($A16,'détails investissements'!$A$26:$DE$43,D$3-VLOOKUP($A16,'détails investissements'!$A$71:$B$88,2,FALSE)+1,FALSE)))&lt;&gt;"",HLOOKUP(IF(D$3-VLOOKUP($A16,'détails investissements'!$A$71:$B$88,2,FALSE)&lt;=0,"",IF(VLOOKUP($A16,'détails investissements'!$A$26:$DE$43,D$3-VLOOKUP($A16,'détails investissements'!$A$71:$B$88,2,FALSE)+1,FALSE)="","",VLOOKUP($A16,'détails investissements'!$A$26:$DE$43,D$3-VLOOKUP($A16,'détails investissements'!$A$71:$B$88,2,FALSE)+1,FALSE))),'détails investissements'!$U$6:$AB$7,2,FALSE),"")&lt;&gt;"",VLOOKUP($A16,'détails investissements'!$A$7:$H$21,1+IF(IF(D$3-VLOOKUP($A16,'détails investissements'!$A$71:$B$88,2,FALSE)&lt;=0,"",IF(VLOOKUP($A16,'détails investissements'!$A$26:$DE$43,D$3-VLOOKUP($A16,'détails investissements'!$A$71:$B$88,2,FALSE)+1,FALSE)="","",VLOOKUP($A16,'détails investissements'!$A$26:$DE$43,D$3-VLOOKUP($A16,'détails investissements'!$A$71:$B$88,2,FALSE)+1,FALSE)))&lt;&gt;"",HLOOKUP(IF(D$3-VLOOKUP($A16,'détails investissements'!$A$71:$B$88,2,FALSE)&lt;=0,"",IF(VLOOKUP($A16,'détails investissements'!$A$26:$DE$43,D$3-VLOOKUP($A16,'détails investissements'!$A$71:$B$88,2,FALSE)+1,FALSE)="","",VLOOKUP($A16,'détails investissements'!$A$26:$DE$43,D$3-VLOOKUP($A16,'détails investissements'!$A$71:$B$88,2,FALSE)+1,FALSE))),'détails investissements'!$U$6:$AB$7,2,FALSE),""),FALSE),"")</f>
        <v/>
      </c>
      <c r="E16" s="45" t="str">
        <f>IF(IF(IF(E$3-VLOOKUP($A16,'détails investissements'!$A$71:$B$88,2,FALSE)&lt;=0,"",IF(VLOOKUP($A16,'détails investissements'!$A$26:$DE$43,E$3-VLOOKUP($A16,'détails investissements'!$A$71:$B$88,2,FALSE)+1,FALSE)="","",VLOOKUP($A16,'détails investissements'!$A$26:$DE$43,E$3-VLOOKUP($A16,'détails investissements'!$A$71:$B$88,2,FALSE)+1,FALSE)))&lt;&gt;"",HLOOKUP(IF(E$3-VLOOKUP($A16,'détails investissements'!$A$71:$B$88,2,FALSE)&lt;=0,"",IF(VLOOKUP($A16,'détails investissements'!$A$26:$DE$43,E$3-VLOOKUP($A16,'détails investissements'!$A$71:$B$88,2,FALSE)+1,FALSE)="","",VLOOKUP($A16,'détails investissements'!$A$26:$DE$43,E$3-VLOOKUP($A16,'détails investissements'!$A$71:$B$88,2,FALSE)+1,FALSE))),'détails investissements'!$U$6:$AB$7,2,FALSE),"")&lt;&gt;"",VLOOKUP($A16,'détails investissements'!$A$7:$H$21,1+IF(IF(E$3-VLOOKUP($A16,'détails investissements'!$A$71:$B$88,2,FALSE)&lt;=0,"",IF(VLOOKUP($A16,'détails investissements'!$A$26:$DE$43,E$3-VLOOKUP($A16,'détails investissements'!$A$71:$B$88,2,FALSE)+1,FALSE)="","",VLOOKUP($A16,'détails investissements'!$A$26:$DE$43,E$3-VLOOKUP($A16,'détails investissements'!$A$71:$B$88,2,FALSE)+1,FALSE)))&lt;&gt;"",HLOOKUP(IF(E$3-VLOOKUP($A16,'détails investissements'!$A$71:$B$88,2,FALSE)&lt;=0,"",IF(VLOOKUP($A16,'détails investissements'!$A$26:$DE$43,E$3-VLOOKUP($A16,'détails investissements'!$A$71:$B$88,2,FALSE)+1,FALSE)="","",VLOOKUP($A16,'détails investissements'!$A$26:$DE$43,E$3-VLOOKUP($A16,'détails investissements'!$A$71:$B$88,2,FALSE)+1,FALSE))),'détails investissements'!$U$6:$AB$7,2,FALSE),""),FALSE),"")</f>
        <v/>
      </c>
      <c r="F16" s="45" t="str">
        <f>IF(IF(IF(F$3-VLOOKUP($A16,'détails investissements'!$A$71:$B$88,2,FALSE)&lt;=0,"",IF(VLOOKUP($A16,'détails investissements'!$A$26:$DE$43,F$3-VLOOKUP($A16,'détails investissements'!$A$71:$B$88,2,FALSE)+1,FALSE)="","",VLOOKUP($A16,'détails investissements'!$A$26:$DE$43,F$3-VLOOKUP($A16,'détails investissements'!$A$71:$B$88,2,FALSE)+1,FALSE)))&lt;&gt;"",HLOOKUP(IF(F$3-VLOOKUP($A16,'détails investissements'!$A$71:$B$88,2,FALSE)&lt;=0,"",IF(VLOOKUP($A16,'détails investissements'!$A$26:$DE$43,F$3-VLOOKUP($A16,'détails investissements'!$A$71:$B$88,2,FALSE)+1,FALSE)="","",VLOOKUP($A16,'détails investissements'!$A$26:$DE$43,F$3-VLOOKUP($A16,'détails investissements'!$A$71:$B$88,2,FALSE)+1,FALSE))),'détails investissements'!$U$6:$AB$7,2,FALSE),"")&lt;&gt;"",VLOOKUP($A16,'détails investissements'!$A$7:$H$21,1+IF(IF(F$3-VLOOKUP($A16,'détails investissements'!$A$71:$B$88,2,FALSE)&lt;=0,"",IF(VLOOKUP($A16,'détails investissements'!$A$26:$DE$43,F$3-VLOOKUP($A16,'détails investissements'!$A$71:$B$88,2,FALSE)+1,FALSE)="","",VLOOKUP($A16,'détails investissements'!$A$26:$DE$43,F$3-VLOOKUP($A16,'détails investissements'!$A$71:$B$88,2,FALSE)+1,FALSE)))&lt;&gt;"",HLOOKUP(IF(F$3-VLOOKUP($A16,'détails investissements'!$A$71:$B$88,2,FALSE)&lt;=0,"",IF(VLOOKUP($A16,'détails investissements'!$A$26:$DE$43,F$3-VLOOKUP($A16,'détails investissements'!$A$71:$B$88,2,FALSE)+1,FALSE)="","",VLOOKUP($A16,'détails investissements'!$A$26:$DE$43,F$3-VLOOKUP($A16,'détails investissements'!$A$71:$B$88,2,FALSE)+1,FALSE))),'détails investissements'!$U$6:$AB$7,2,FALSE),""),FALSE),"")</f>
        <v/>
      </c>
      <c r="G16" s="45" t="str">
        <f>IF(IF(IF(G$3-VLOOKUP($A16,'détails investissements'!$A$71:$B$88,2,FALSE)&lt;=0,"",IF(VLOOKUP($A16,'détails investissements'!$A$26:$DE$43,G$3-VLOOKUP($A16,'détails investissements'!$A$71:$B$88,2,FALSE)+1,FALSE)="","",VLOOKUP($A16,'détails investissements'!$A$26:$DE$43,G$3-VLOOKUP($A16,'détails investissements'!$A$71:$B$88,2,FALSE)+1,FALSE)))&lt;&gt;"",HLOOKUP(IF(G$3-VLOOKUP($A16,'détails investissements'!$A$71:$B$88,2,FALSE)&lt;=0,"",IF(VLOOKUP($A16,'détails investissements'!$A$26:$DE$43,G$3-VLOOKUP($A16,'détails investissements'!$A$71:$B$88,2,FALSE)+1,FALSE)="","",VLOOKUP($A16,'détails investissements'!$A$26:$DE$43,G$3-VLOOKUP($A16,'détails investissements'!$A$71:$B$88,2,FALSE)+1,FALSE))),'détails investissements'!$U$6:$AB$7,2,FALSE),"")&lt;&gt;"",VLOOKUP($A16,'détails investissements'!$A$7:$H$21,1+IF(IF(G$3-VLOOKUP($A16,'détails investissements'!$A$71:$B$88,2,FALSE)&lt;=0,"",IF(VLOOKUP($A16,'détails investissements'!$A$26:$DE$43,G$3-VLOOKUP($A16,'détails investissements'!$A$71:$B$88,2,FALSE)+1,FALSE)="","",VLOOKUP($A16,'détails investissements'!$A$26:$DE$43,G$3-VLOOKUP($A16,'détails investissements'!$A$71:$B$88,2,FALSE)+1,FALSE)))&lt;&gt;"",HLOOKUP(IF(G$3-VLOOKUP($A16,'détails investissements'!$A$71:$B$88,2,FALSE)&lt;=0,"",IF(VLOOKUP($A16,'détails investissements'!$A$26:$DE$43,G$3-VLOOKUP($A16,'détails investissements'!$A$71:$B$88,2,FALSE)+1,FALSE)="","",VLOOKUP($A16,'détails investissements'!$A$26:$DE$43,G$3-VLOOKUP($A16,'détails investissements'!$A$71:$B$88,2,FALSE)+1,FALSE))),'détails investissements'!$U$6:$AB$7,2,FALSE),""),FALSE),"")</f>
        <v/>
      </c>
      <c r="H16" s="45" t="str">
        <f>IF(IF(IF(H$3-VLOOKUP($A16,'détails investissements'!$A$71:$B$88,2,FALSE)&lt;=0,"",IF(VLOOKUP($A16,'détails investissements'!$A$26:$DE$43,H$3-VLOOKUP($A16,'détails investissements'!$A$71:$B$88,2,FALSE)+1,FALSE)="","",VLOOKUP($A16,'détails investissements'!$A$26:$DE$43,H$3-VLOOKUP($A16,'détails investissements'!$A$71:$B$88,2,FALSE)+1,FALSE)))&lt;&gt;"",HLOOKUP(IF(H$3-VLOOKUP($A16,'détails investissements'!$A$71:$B$88,2,FALSE)&lt;=0,"",IF(VLOOKUP($A16,'détails investissements'!$A$26:$DE$43,H$3-VLOOKUP($A16,'détails investissements'!$A$71:$B$88,2,FALSE)+1,FALSE)="","",VLOOKUP($A16,'détails investissements'!$A$26:$DE$43,H$3-VLOOKUP($A16,'détails investissements'!$A$71:$B$88,2,FALSE)+1,FALSE))),'détails investissements'!$U$6:$AB$7,2,FALSE),"")&lt;&gt;"",VLOOKUP($A16,'détails investissements'!$A$7:$H$21,1+IF(IF(H$3-VLOOKUP($A16,'détails investissements'!$A$71:$B$88,2,FALSE)&lt;=0,"",IF(VLOOKUP($A16,'détails investissements'!$A$26:$DE$43,H$3-VLOOKUP($A16,'détails investissements'!$A$71:$B$88,2,FALSE)+1,FALSE)="","",VLOOKUP($A16,'détails investissements'!$A$26:$DE$43,H$3-VLOOKUP($A16,'détails investissements'!$A$71:$B$88,2,FALSE)+1,FALSE)))&lt;&gt;"",HLOOKUP(IF(H$3-VLOOKUP($A16,'détails investissements'!$A$71:$B$88,2,FALSE)&lt;=0,"",IF(VLOOKUP($A16,'détails investissements'!$A$26:$DE$43,H$3-VLOOKUP($A16,'détails investissements'!$A$71:$B$88,2,FALSE)+1,FALSE)="","",VLOOKUP($A16,'détails investissements'!$A$26:$DE$43,H$3-VLOOKUP($A16,'détails investissements'!$A$71:$B$88,2,FALSE)+1,FALSE))),'détails investissements'!$U$6:$AB$7,2,FALSE),""),FALSE),"")</f>
        <v/>
      </c>
      <c r="I16" s="45" t="str">
        <f>IF(IF(IF(I$3-VLOOKUP($A16,'détails investissements'!$A$71:$B$88,2,FALSE)&lt;=0,"",IF(VLOOKUP($A16,'détails investissements'!$A$26:$DE$43,I$3-VLOOKUP($A16,'détails investissements'!$A$71:$B$88,2,FALSE)+1,FALSE)="","",VLOOKUP($A16,'détails investissements'!$A$26:$DE$43,I$3-VLOOKUP($A16,'détails investissements'!$A$71:$B$88,2,FALSE)+1,FALSE)))&lt;&gt;"",HLOOKUP(IF(I$3-VLOOKUP($A16,'détails investissements'!$A$71:$B$88,2,FALSE)&lt;=0,"",IF(VLOOKUP($A16,'détails investissements'!$A$26:$DE$43,I$3-VLOOKUP($A16,'détails investissements'!$A$71:$B$88,2,FALSE)+1,FALSE)="","",VLOOKUP($A16,'détails investissements'!$A$26:$DE$43,I$3-VLOOKUP($A16,'détails investissements'!$A$71:$B$88,2,FALSE)+1,FALSE))),'détails investissements'!$U$6:$AB$7,2,FALSE),"")&lt;&gt;"",VLOOKUP($A16,'détails investissements'!$A$7:$H$21,1+IF(IF(I$3-VLOOKUP($A16,'détails investissements'!$A$71:$B$88,2,FALSE)&lt;=0,"",IF(VLOOKUP($A16,'détails investissements'!$A$26:$DE$43,I$3-VLOOKUP($A16,'détails investissements'!$A$71:$B$88,2,FALSE)+1,FALSE)="","",VLOOKUP($A16,'détails investissements'!$A$26:$DE$43,I$3-VLOOKUP($A16,'détails investissements'!$A$71:$B$88,2,FALSE)+1,FALSE)))&lt;&gt;"",HLOOKUP(IF(I$3-VLOOKUP($A16,'détails investissements'!$A$71:$B$88,2,FALSE)&lt;=0,"",IF(VLOOKUP($A16,'détails investissements'!$A$26:$DE$43,I$3-VLOOKUP($A16,'détails investissements'!$A$71:$B$88,2,FALSE)+1,FALSE)="","",VLOOKUP($A16,'détails investissements'!$A$26:$DE$43,I$3-VLOOKUP($A16,'détails investissements'!$A$71:$B$88,2,FALSE)+1,FALSE))),'détails investissements'!$U$6:$AB$7,2,FALSE),""),FALSE),"")</f>
        <v/>
      </c>
      <c r="J16" s="45" t="str">
        <f>IF(IF(IF(J$3-VLOOKUP($A16,'détails investissements'!$A$71:$B$88,2,FALSE)&lt;=0,"",IF(VLOOKUP($A16,'détails investissements'!$A$26:$DE$43,J$3-VLOOKUP($A16,'détails investissements'!$A$71:$B$88,2,FALSE)+1,FALSE)="","",VLOOKUP($A16,'détails investissements'!$A$26:$DE$43,J$3-VLOOKUP($A16,'détails investissements'!$A$71:$B$88,2,FALSE)+1,FALSE)))&lt;&gt;"",HLOOKUP(IF(J$3-VLOOKUP($A16,'détails investissements'!$A$71:$B$88,2,FALSE)&lt;=0,"",IF(VLOOKUP($A16,'détails investissements'!$A$26:$DE$43,J$3-VLOOKUP($A16,'détails investissements'!$A$71:$B$88,2,FALSE)+1,FALSE)="","",VLOOKUP($A16,'détails investissements'!$A$26:$DE$43,J$3-VLOOKUP($A16,'détails investissements'!$A$71:$B$88,2,FALSE)+1,FALSE))),'détails investissements'!$U$6:$AB$7,2,FALSE),"")&lt;&gt;"",VLOOKUP($A16,'détails investissements'!$A$7:$H$21,1+IF(IF(J$3-VLOOKUP($A16,'détails investissements'!$A$71:$B$88,2,FALSE)&lt;=0,"",IF(VLOOKUP($A16,'détails investissements'!$A$26:$DE$43,J$3-VLOOKUP($A16,'détails investissements'!$A$71:$B$88,2,FALSE)+1,FALSE)="","",VLOOKUP($A16,'détails investissements'!$A$26:$DE$43,J$3-VLOOKUP($A16,'détails investissements'!$A$71:$B$88,2,FALSE)+1,FALSE)))&lt;&gt;"",HLOOKUP(IF(J$3-VLOOKUP($A16,'détails investissements'!$A$71:$B$88,2,FALSE)&lt;=0,"",IF(VLOOKUP($A16,'détails investissements'!$A$26:$DE$43,J$3-VLOOKUP($A16,'détails investissements'!$A$71:$B$88,2,FALSE)+1,FALSE)="","",VLOOKUP($A16,'détails investissements'!$A$26:$DE$43,J$3-VLOOKUP($A16,'détails investissements'!$A$71:$B$88,2,FALSE)+1,FALSE))),'détails investissements'!$U$6:$AB$7,2,FALSE),""),FALSE),"")</f>
        <v/>
      </c>
      <c r="K16" s="45">
        <f>IF(IF(IF(K$3-VLOOKUP($A16,'détails investissements'!$A$71:$B$88,2,FALSE)&lt;=0,"",IF(VLOOKUP($A16,'détails investissements'!$A$26:$DE$43,K$3-VLOOKUP($A16,'détails investissements'!$A$71:$B$88,2,FALSE)+1,FALSE)="","",VLOOKUP($A16,'détails investissements'!$A$26:$DE$43,K$3-VLOOKUP($A16,'détails investissements'!$A$71:$B$88,2,FALSE)+1,FALSE)))&lt;&gt;"",HLOOKUP(IF(K$3-VLOOKUP($A16,'détails investissements'!$A$71:$B$88,2,FALSE)&lt;=0,"",IF(VLOOKUP($A16,'détails investissements'!$A$26:$DE$43,K$3-VLOOKUP($A16,'détails investissements'!$A$71:$B$88,2,FALSE)+1,FALSE)="","",VLOOKUP($A16,'détails investissements'!$A$26:$DE$43,K$3-VLOOKUP($A16,'détails investissements'!$A$71:$B$88,2,FALSE)+1,FALSE))),'détails investissements'!$U$6:$AB$7,2,FALSE),"")&lt;&gt;"",VLOOKUP($A16,'détails investissements'!$A$7:$H$21,1+IF(IF(K$3-VLOOKUP($A16,'détails investissements'!$A$71:$B$88,2,FALSE)&lt;=0,"",IF(VLOOKUP($A16,'détails investissements'!$A$26:$DE$43,K$3-VLOOKUP($A16,'détails investissements'!$A$71:$B$88,2,FALSE)+1,FALSE)="","",VLOOKUP($A16,'détails investissements'!$A$26:$DE$43,K$3-VLOOKUP($A16,'détails investissements'!$A$71:$B$88,2,FALSE)+1,FALSE)))&lt;&gt;"",HLOOKUP(IF(K$3-VLOOKUP($A16,'détails investissements'!$A$71:$B$88,2,FALSE)&lt;=0,"",IF(VLOOKUP($A16,'détails investissements'!$A$26:$DE$43,K$3-VLOOKUP($A16,'détails investissements'!$A$71:$B$88,2,FALSE)+1,FALSE)="","",VLOOKUP($A16,'détails investissements'!$A$26:$DE$43,K$3-VLOOKUP($A16,'détails investissements'!$A$71:$B$88,2,FALSE)+1,FALSE))),'détails investissements'!$U$6:$AB$7,2,FALSE),""),FALSE),"")</f>
        <v>0.15</v>
      </c>
      <c r="L16" s="45" t="str">
        <f>IF(IF(IF(L$3-VLOOKUP($A16,'détails investissements'!$A$71:$B$88,2,FALSE)&lt;=0,"",IF(VLOOKUP($A16,'détails investissements'!$A$26:$DE$43,L$3-VLOOKUP($A16,'détails investissements'!$A$71:$B$88,2,FALSE)+1,FALSE)="","",VLOOKUP($A16,'détails investissements'!$A$26:$DE$43,L$3-VLOOKUP($A16,'détails investissements'!$A$71:$B$88,2,FALSE)+1,FALSE)))&lt;&gt;"",HLOOKUP(IF(L$3-VLOOKUP($A16,'détails investissements'!$A$71:$B$88,2,FALSE)&lt;=0,"",IF(VLOOKUP($A16,'détails investissements'!$A$26:$DE$43,L$3-VLOOKUP($A16,'détails investissements'!$A$71:$B$88,2,FALSE)+1,FALSE)="","",VLOOKUP($A16,'détails investissements'!$A$26:$DE$43,L$3-VLOOKUP($A16,'détails investissements'!$A$71:$B$88,2,FALSE)+1,FALSE))),'détails investissements'!$U$6:$AB$7,2,FALSE),"")&lt;&gt;"",VLOOKUP($A16,'détails investissements'!$A$7:$H$21,1+IF(IF(L$3-VLOOKUP($A16,'détails investissements'!$A$71:$B$88,2,FALSE)&lt;=0,"",IF(VLOOKUP($A16,'détails investissements'!$A$26:$DE$43,L$3-VLOOKUP($A16,'détails investissements'!$A$71:$B$88,2,FALSE)+1,FALSE)="","",VLOOKUP($A16,'détails investissements'!$A$26:$DE$43,L$3-VLOOKUP($A16,'détails investissements'!$A$71:$B$88,2,FALSE)+1,FALSE)))&lt;&gt;"",HLOOKUP(IF(L$3-VLOOKUP($A16,'détails investissements'!$A$71:$B$88,2,FALSE)&lt;=0,"",IF(VLOOKUP($A16,'détails investissements'!$A$26:$DE$43,L$3-VLOOKUP($A16,'détails investissements'!$A$71:$B$88,2,FALSE)+1,FALSE)="","",VLOOKUP($A16,'détails investissements'!$A$26:$DE$43,L$3-VLOOKUP($A16,'détails investissements'!$A$71:$B$88,2,FALSE)+1,FALSE))),'détails investissements'!$U$6:$AB$7,2,FALSE),""),FALSE),"")</f>
        <v/>
      </c>
      <c r="M16" s="45" t="str">
        <f>IF(IF(IF(M$3-VLOOKUP($A16,'détails investissements'!$A$71:$B$88,2,FALSE)&lt;=0,"",IF(VLOOKUP($A16,'détails investissements'!$A$26:$DE$43,M$3-VLOOKUP($A16,'détails investissements'!$A$71:$B$88,2,FALSE)+1,FALSE)="","",VLOOKUP($A16,'détails investissements'!$A$26:$DE$43,M$3-VLOOKUP($A16,'détails investissements'!$A$71:$B$88,2,FALSE)+1,FALSE)))&lt;&gt;"",HLOOKUP(IF(M$3-VLOOKUP($A16,'détails investissements'!$A$71:$B$88,2,FALSE)&lt;=0,"",IF(VLOOKUP($A16,'détails investissements'!$A$26:$DE$43,M$3-VLOOKUP($A16,'détails investissements'!$A$71:$B$88,2,FALSE)+1,FALSE)="","",VLOOKUP($A16,'détails investissements'!$A$26:$DE$43,M$3-VLOOKUP($A16,'détails investissements'!$A$71:$B$88,2,FALSE)+1,FALSE))),'détails investissements'!$U$6:$AB$7,2,FALSE),"")&lt;&gt;"",VLOOKUP($A16,'détails investissements'!$A$7:$H$21,1+IF(IF(M$3-VLOOKUP($A16,'détails investissements'!$A$71:$B$88,2,FALSE)&lt;=0,"",IF(VLOOKUP($A16,'détails investissements'!$A$26:$DE$43,M$3-VLOOKUP($A16,'détails investissements'!$A$71:$B$88,2,FALSE)+1,FALSE)="","",VLOOKUP($A16,'détails investissements'!$A$26:$DE$43,M$3-VLOOKUP($A16,'détails investissements'!$A$71:$B$88,2,FALSE)+1,FALSE)))&lt;&gt;"",HLOOKUP(IF(M$3-VLOOKUP($A16,'détails investissements'!$A$71:$B$88,2,FALSE)&lt;=0,"",IF(VLOOKUP($A16,'détails investissements'!$A$26:$DE$43,M$3-VLOOKUP($A16,'détails investissements'!$A$71:$B$88,2,FALSE)+1,FALSE)="","",VLOOKUP($A16,'détails investissements'!$A$26:$DE$43,M$3-VLOOKUP($A16,'détails investissements'!$A$71:$B$88,2,FALSE)+1,FALSE))),'détails investissements'!$U$6:$AB$7,2,FALSE),""),FALSE),"")</f>
        <v/>
      </c>
      <c r="N16" s="45">
        <f>IF(IF(IF(N$3-VLOOKUP($A16,'détails investissements'!$A$71:$B$88,2,FALSE)&lt;=0,"",IF(VLOOKUP($A16,'détails investissements'!$A$26:$DE$43,N$3-VLOOKUP($A16,'détails investissements'!$A$71:$B$88,2,FALSE)+1,FALSE)="","",VLOOKUP($A16,'détails investissements'!$A$26:$DE$43,N$3-VLOOKUP($A16,'détails investissements'!$A$71:$B$88,2,FALSE)+1,FALSE)))&lt;&gt;"",HLOOKUP(IF(N$3-VLOOKUP($A16,'détails investissements'!$A$71:$B$88,2,FALSE)&lt;=0,"",IF(VLOOKUP($A16,'détails investissements'!$A$26:$DE$43,N$3-VLOOKUP($A16,'détails investissements'!$A$71:$B$88,2,FALSE)+1,FALSE)="","",VLOOKUP($A16,'détails investissements'!$A$26:$DE$43,N$3-VLOOKUP($A16,'détails investissements'!$A$71:$B$88,2,FALSE)+1,FALSE))),'détails investissements'!$U$6:$AB$7,2,FALSE),"")&lt;&gt;"",VLOOKUP($A16,'détails investissements'!$A$7:$H$21,1+IF(IF(N$3-VLOOKUP($A16,'détails investissements'!$A$71:$B$88,2,FALSE)&lt;=0,"",IF(VLOOKUP($A16,'détails investissements'!$A$26:$DE$43,N$3-VLOOKUP($A16,'détails investissements'!$A$71:$B$88,2,FALSE)+1,FALSE)="","",VLOOKUP($A16,'détails investissements'!$A$26:$DE$43,N$3-VLOOKUP($A16,'détails investissements'!$A$71:$B$88,2,FALSE)+1,FALSE)))&lt;&gt;"",HLOOKUP(IF(N$3-VLOOKUP($A16,'détails investissements'!$A$71:$B$88,2,FALSE)&lt;=0,"",IF(VLOOKUP($A16,'détails investissements'!$A$26:$DE$43,N$3-VLOOKUP($A16,'détails investissements'!$A$71:$B$88,2,FALSE)+1,FALSE)="","",VLOOKUP($A16,'détails investissements'!$A$26:$DE$43,N$3-VLOOKUP($A16,'détails investissements'!$A$71:$B$88,2,FALSE)+1,FALSE))),'détails investissements'!$U$6:$AB$7,2,FALSE),""),FALSE),"")</f>
        <v>0.1</v>
      </c>
      <c r="O16" s="45" t="str">
        <f>IF(IF(IF(O$3-VLOOKUP($A16,'détails investissements'!$A$71:$B$88,2,FALSE)&lt;=0,"",IF(VLOOKUP($A16,'détails investissements'!$A$26:$DE$43,O$3-VLOOKUP($A16,'détails investissements'!$A$71:$B$88,2,FALSE)+1,FALSE)="","",VLOOKUP($A16,'détails investissements'!$A$26:$DE$43,O$3-VLOOKUP($A16,'détails investissements'!$A$71:$B$88,2,FALSE)+1,FALSE)))&lt;&gt;"",HLOOKUP(IF(O$3-VLOOKUP($A16,'détails investissements'!$A$71:$B$88,2,FALSE)&lt;=0,"",IF(VLOOKUP($A16,'détails investissements'!$A$26:$DE$43,O$3-VLOOKUP($A16,'détails investissements'!$A$71:$B$88,2,FALSE)+1,FALSE)="","",VLOOKUP($A16,'détails investissements'!$A$26:$DE$43,O$3-VLOOKUP($A16,'détails investissements'!$A$71:$B$88,2,FALSE)+1,FALSE))),'détails investissements'!$U$6:$AB$7,2,FALSE),"")&lt;&gt;"",VLOOKUP($A16,'détails investissements'!$A$7:$H$21,1+IF(IF(O$3-VLOOKUP($A16,'détails investissements'!$A$71:$B$88,2,FALSE)&lt;=0,"",IF(VLOOKUP($A16,'détails investissements'!$A$26:$DE$43,O$3-VLOOKUP($A16,'détails investissements'!$A$71:$B$88,2,FALSE)+1,FALSE)="","",VLOOKUP($A16,'détails investissements'!$A$26:$DE$43,O$3-VLOOKUP($A16,'détails investissements'!$A$71:$B$88,2,FALSE)+1,FALSE)))&lt;&gt;"",HLOOKUP(IF(O$3-VLOOKUP($A16,'détails investissements'!$A$71:$B$88,2,FALSE)&lt;=0,"",IF(VLOOKUP($A16,'détails investissements'!$A$26:$DE$43,O$3-VLOOKUP($A16,'détails investissements'!$A$71:$B$88,2,FALSE)+1,FALSE)="","",VLOOKUP($A16,'détails investissements'!$A$26:$DE$43,O$3-VLOOKUP($A16,'détails investissements'!$A$71:$B$88,2,FALSE)+1,FALSE))),'détails investissements'!$U$6:$AB$7,2,FALSE),""),FALSE),"")</f>
        <v/>
      </c>
      <c r="P16" s="45" t="str">
        <f>IF(IF(IF(P$3-VLOOKUP($A16,'détails investissements'!$A$71:$B$88,2,FALSE)&lt;=0,"",IF(VLOOKUP($A16,'détails investissements'!$A$26:$DE$43,P$3-VLOOKUP($A16,'détails investissements'!$A$71:$B$88,2,FALSE)+1,FALSE)="","",VLOOKUP($A16,'détails investissements'!$A$26:$DE$43,P$3-VLOOKUP($A16,'détails investissements'!$A$71:$B$88,2,FALSE)+1,FALSE)))&lt;&gt;"",HLOOKUP(IF(P$3-VLOOKUP($A16,'détails investissements'!$A$71:$B$88,2,FALSE)&lt;=0,"",IF(VLOOKUP($A16,'détails investissements'!$A$26:$DE$43,P$3-VLOOKUP($A16,'détails investissements'!$A$71:$B$88,2,FALSE)+1,FALSE)="","",VLOOKUP($A16,'détails investissements'!$A$26:$DE$43,P$3-VLOOKUP($A16,'détails investissements'!$A$71:$B$88,2,FALSE)+1,FALSE))),'détails investissements'!$U$6:$AB$7,2,FALSE),"")&lt;&gt;"",VLOOKUP($A16,'détails investissements'!$A$7:$H$21,1+IF(IF(P$3-VLOOKUP($A16,'détails investissements'!$A$71:$B$88,2,FALSE)&lt;=0,"",IF(VLOOKUP($A16,'détails investissements'!$A$26:$DE$43,P$3-VLOOKUP($A16,'détails investissements'!$A$71:$B$88,2,FALSE)+1,FALSE)="","",VLOOKUP($A16,'détails investissements'!$A$26:$DE$43,P$3-VLOOKUP($A16,'détails investissements'!$A$71:$B$88,2,FALSE)+1,FALSE)))&lt;&gt;"",HLOOKUP(IF(P$3-VLOOKUP($A16,'détails investissements'!$A$71:$B$88,2,FALSE)&lt;=0,"",IF(VLOOKUP($A16,'détails investissements'!$A$26:$DE$43,P$3-VLOOKUP($A16,'détails investissements'!$A$71:$B$88,2,FALSE)+1,FALSE)="","",VLOOKUP($A16,'détails investissements'!$A$26:$DE$43,P$3-VLOOKUP($A16,'détails investissements'!$A$71:$B$88,2,FALSE)+1,FALSE))),'détails investissements'!$U$6:$AB$7,2,FALSE),""),FALSE),"")</f>
        <v/>
      </c>
      <c r="Q16" s="45">
        <f>IF(IF(IF(Q$3-VLOOKUP($A16,'détails investissements'!$A$71:$B$88,2,FALSE)&lt;=0,"",IF(VLOOKUP($A16,'détails investissements'!$A$26:$DE$43,Q$3-VLOOKUP($A16,'détails investissements'!$A$71:$B$88,2,FALSE)+1,FALSE)="","",VLOOKUP($A16,'détails investissements'!$A$26:$DE$43,Q$3-VLOOKUP($A16,'détails investissements'!$A$71:$B$88,2,FALSE)+1,FALSE)))&lt;&gt;"",HLOOKUP(IF(Q$3-VLOOKUP($A16,'détails investissements'!$A$71:$B$88,2,FALSE)&lt;=0,"",IF(VLOOKUP($A16,'détails investissements'!$A$26:$DE$43,Q$3-VLOOKUP($A16,'détails investissements'!$A$71:$B$88,2,FALSE)+1,FALSE)="","",VLOOKUP($A16,'détails investissements'!$A$26:$DE$43,Q$3-VLOOKUP($A16,'détails investissements'!$A$71:$B$88,2,FALSE)+1,FALSE))),'détails investissements'!$U$6:$AB$7,2,FALSE),"")&lt;&gt;"",VLOOKUP($A16,'détails investissements'!$A$7:$H$21,1+IF(IF(Q$3-VLOOKUP($A16,'détails investissements'!$A$71:$B$88,2,FALSE)&lt;=0,"",IF(VLOOKUP($A16,'détails investissements'!$A$26:$DE$43,Q$3-VLOOKUP($A16,'détails investissements'!$A$71:$B$88,2,FALSE)+1,FALSE)="","",VLOOKUP($A16,'détails investissements'!$A$26:$DE$43,Q$3-VLOOKUP($A16,'détails investissements'!$A$71:$B$88,2,FALSE)+1,FALSE)))&lt;&gt;"",HLOOKUP(IF(Q$3-VLOOKUP($A16,'détails investissements'!$A$71:$B$88,2,FALSE)&lt;=0,"",IF(VLOOKUP($A16,'détails investissements'!$A$26:$DE$43,Q$3-VLOOKUP($A16,'détails investissements'!$A$71:$B$88,2,FALSE)+1,FALSE)="","",VLOOKUP($A16,'détails investissements'!$A$26:$DE$43,Q$3-VLOOKUP($A16,'détails investissements'!$A$71:$B$88,2,FALSE)+1,FALSE))),'détails investissements'!$U$6:$AB$7,2,FALSE),""),FALSE),"")</f>
        <v>0.2</v>
      </c>
      <c r="R16" s="45" t="str">
        <f>IF(IF(IF(R$3-VLOOKUP($A16,'détails investissements'!$A$71:$B$88,2,FALSE)&lt;=0,"",IF(VLOOKUP($A16,'détails investissements'!$A$26:$DE$43,R$3-VLOOKUP($A16,'détails investissements'!$A$71:$B$88,2,FALSE)+1,FALSE)="","",VLOOKUP($A16,'détails investissements'!$A$26:$DE$43,R$3-VLOOKUP($A16,'détails investissements'!$A$71:$B$88,2,FALSE)+1,FALSE)))&lt;&gt;"",HLOOKUP(IF(R$3-VLOOKUP($A16,'détails investissements'!$A$71:$B$88,2,FALSE)&lt;=0,"",IF(VLOOKUP($A16,'détails investissements'!$A$26:$DE$43,R$3-VLOOKUP($A16,'détails investissements'!$A$71:$B$88,2,FALSE)+1,FALSE)="","",VLOOKUP($A16,'détails investissements'!$A$26:$DE$43,R$3-VLOOKUP($A16,'détails investissements'!$A$71:$B$88,2,FALSE)+1,FALSE))),'détails investissements'!$U$6:$AB$7,2,FALSE),"")&lt;&gt;"",VLOOKUP($A16,'détails investissements'!$A$7:$H$21,1+IF(IF(R$3-VLOOKUP($A16,'détails investissements'!$A$71:$B$88,2,FALSE)&lt;=0,"",IF(VLOOKUP($A16,'détails investissements'!$A$26:$DE$43,R$3-VLOOKUP($A16,'détails investissements'!$A$71:$B$88,2,FALSE)+1,FALSE)="","",VLOOKUP($A16,'détails investissements'!$A$26:$DE$43,R$3-VLOOKUP($A16,'détails investissements'!$A$71:$B$88,2,FALSE)+1,FALSE)))&lt;&gt;"",HLOOKUP(IF(R$3-VLOOKUP($A16,'détails investissements'!$A$71:$B$88,2,FALSE)&lt;=0,"",IF(VLOOKUP($A16,'détails investissements'!$A$26:$DE$43,R$3-VLOOKUP($A16,'détails investissements'!$A$71:$B$88,2,FALSE)+1,FALSE)="","",VLOOKUP($A16,'détails investissements'!$A$26:$DE$43,R$3-VLOOKUP($A16,'détails investissements'!$A$71:$B$88,2,FALSE)+1,FALSE))),'détails investissements'!$U$6:$AB$7,2,FALSE),""),FALSE),"")</f>
        <v/>
      </c>
      <c r="S16" s="45" t="str">
        <f>IF(IF(IF(S$3-VLOOKUP($A16,'détails investissements'!$A$71:$B$88,2,FALSE)&lt;=0,"",IF(VLOOKUP($A16,'détails investissements'!$A$26:$DE$43,S$3-VLOOKUP($A16,'détails investissements'!$A$71:$B$88,2,FALSE)+1,FALSE)="","",VLOOKUP($A16,'détails investissements'!$A$26:$DE$43,S$3-VLOOKUP($A16,'détails investissements'!$A$71:$B$88,2,FALSE)+1,FALSE)))&lt;&gt;"",HLOOKUP(IF(S$3-VLOOKUP($A16,'détails investissements'!$A$71:$B$88,2,FALSE)&lt;=0,"",IF(VLOOKUP($A16,'détails investissements'!$A$26:$DE$43,S$3-VLOOKUP($A16,'détails investissements'!$A$71:$B$88,2,FALSE)+1,FALSE)="","",VLOOKUP($A16,'détails investissements'!$A$26:$DE$43,S$3-VLOOKUP($A16,'détails investissements'!$A$71:$B$88,2,FALSE)+1,FALSE))),'détails investissements'!$U$6:$AB$7,2,FALSE),"")&lt;&gt;"",VLOOKUP($A16,'détails investissements'!$A$7:$H$21,1+IF(IF(S$3-VLOOKUP($A16,'détails investissements'!$A$71:$B$88,2,FALSE)&lt;=0,"",IF(VLOOKUP($A16,'détails investissements'!$A$26:$DE$43,S$3-VLOOKUP($A16,'détails investissements'!$A$71:$B$88,2,FALSE)+1,FALSE)="","",VLOOKUP($A16,'détails investissements'!$A$26:$DE$43,S$3-VLOOKUP($A16,'détails investissements'!$A$71:$B$88,2,FALSE)+1,FALSE)))&lt;&gt;"",HLOOKUP(IF(S$3-VLOOKUP($A16,'détails investissements'!$A$71:$B$88,2,FALSE)&lt;=0,"",IF(VLOOKUP($A16,'détails investissements'!$A$26:$DE$43,S$3-VLOOKUP($A16,'détails investissements'!$A$71:$B$88,2,FALSE)+1,FALSE)="","",VLOOKUP($A16,'détails investissements'!$A$26:$DE$43,S$3-VLOOKUP($A16,'détails investissements'!$A$71:$B$88,2,FALSE)+1,FALSE))),'détails investissements'!$U$6:$AB$7,2,FALSE),""),FALSE),"")</f>
        <v/>
      </c>
      <c r="T16" s="45">
        <f>IF(IF(IF(T$3-VLOOKUP($A16,'détails investissements'!$A$71:$B$88,2,FALSE)&lt;=0,"",IF(VLOOKUP($A16,'détails investissements'!$A$26:$DE$43,T$3-VLOOKUP($A16,'détails investissements'!$A$71:$B$88,2,FALSE)+1,FALSE)="","",VLOOKUP($A16,'détails investissements'!$A$26:$DE$43,T$3-VLOOKUP($A16,'détails investissements'!$A$71:$B$88,2,FALSE)+1,FALSE)))&lt;&gt;"",HLOOKUP(IF(T$3-VLOOKUP($A16,'détails investissements'!$A$71:$B$88,2,FALSE)&lt;=0,"",IF(VLOOKUP($A16,'détails investissements'!$A$26:$DE$43,T$3-VLOOKUP($A16,'détails investissements'!$A$71:$B$88,2,FALSE)+1,FALSE)="","",VLOOKUP($A16,'détails investissements'!$A$26:$DE$43,T$3-VLOOKUP($A16,'détails investissements'!$A$71:$B$88,2,FALSE)+1,FALSE))),'détails investissements'!$U$6:$AB$7,2,FALSE),"")&lt;&gt;"",VLOOKUP($A16,'détails investissements'!$A$7:$H$21,1+IF(IF(T$3-VLOOKUP($A16,'détails investissements'!$A$71:$B$88,2,FALSE)&lt;=0,"",IF(VLOOKUP($A16,'détails investissements'!$A$26:$DE$43,T$3-VLOOKUP($A16,'détails investissements'!$A$71:$B$88,2,FALSE)+1,FALSE)="","",VLOOKUP($A16,'détails investissements'!$A$26:$DE$43,T$3-VLOOKUP($A16,'détails investissements'!$A$71:$B$88,2,FALSE)+1,FALSE)))&lt;&gt;"",HLOOKUP(IF(T$3-VLOOKUP($A16,'détails investissements'!$A$71:$B$88,2,FALSE)&lt;=0,"",IF(VLOOKUP($A16,'détails investissements'!$A$26:$DE$43,T$3-VLOOKUP($A16,'détails investissements'!$A$71:$B$88,2,FALSE)+1,FALSE)="","",VLOOKUP($A16,'détails investissements'!$A$26:$DE$43,T$3-VLOOKUP($A16,'détails investissements'!$A$71:$B$88,2,FALSE)+1,FALSE))),'détails investissements'!$U$6:$AB$7,2,FALSE),""),FALSE),"")</f>
        <v>0.2</v>
      </c>
      <c r="U16" s="45" t="str">
        <f>IF(IF(IF(U$3-VLOOKUP($A16,'détails investissements'!$A$71:$B$88,2,FALSE)&lt;=0,"",IF(VLOOKUP($A16,'détails investissements'!$A$26:$DE$43,U$3-VLOOKUP($A16,'détails investissements'!$A$71:$B$88,2,FALSE)+1,FALSE)="","",VLOOKUP($A16,'détails investissements'!$A$26:$DE$43,U$3-VLOOKUP($A16,'détails investissements'!$A$71:$B$88,2,FALSE)+1,FALSE)))&lt;&gt;"",HLOOKUP(IF(U$3-VLOOKUP($A16,'détails investissements'!$A$71:$B$88,2,FALSE)&lt;=0,"",IF(VLOOKUP($A16,'détails investissements'!$A$26:$DE$43,U$3-VLOOKUP($A16,'détails investissements'!$A$71:$B$88,2,FALSE)+1,FALSE)="","",VLOOKUP($A16,'détails investissements'!$A$26:$DE$43,U$3-VLOOKUP($A16,'détails investissements'!$A$71:$B$88,2,FALSE)+1,FALSE))),'détails investissements'!$U$6:$AB$7,2,FALSE),"")&lt;&gt;"",VLOOKUP($A16,'détails investissements'!$A$7:$H$21,1+IF(IF(U$3-VLOOKUP($A16,'détails investissements'!$A$71:$B$88,2,FALSE)&lt;=0,"",IF(VLOOKUP($A16,'détails investissements'!$A$26:$DE$43,U$3-VLOOKUP($A16,'détails investissements'!$A$71:$B$88,2,FALSE)+1,FALSE)="","",VLOOKUP($A16,'détails investissements'!$A$26:$DE$43,U$3-VLOOKUP($A16,'détails investissements'!$A$71:$B$88,2,FALSE)+1,FALSE)))&lt;&gt;"",HLOOKUP(IF(U$3-VLOOKUP($A16,'détails investissements'!$A$71:$B$88,2,FALSE)&lt;=0,"",IF(VLOOKUP($A16,'détails investissements'!$A$26:$DE$43,U$3-VLOOKUP($A16,'détails investissements'!$A$71:$B$88,2,FALSE)+1,FALSE)="","",VLOOKUP($A16,'détails investissements'!$A$26:$DE$43,U$3-VLOOKUP($A16,'détails investissements'!$A$71:$B$88,2,FALSE)+1,FALSE))),'détails investissements'!$U$6:$AB$7,2,FALSE),""),FALSE),"")</f>
        <v/>
      </c>
      <c r="V16" s="45" t="str">
        <f>IF(IF(IF(V$3-VLOOKUP($A16,'détails investissements'!$A$71:$B$88,2,FALSE)&lt;=0,"",IF(VLOOKUP($A16,'détails investissements'!$A$26:$DE$43,V$3-VLOOKUP($A16,'détails investissements'!$A$71:$B$88,2,FALSE)+1,FALSE)="","",VLOOKUP($A16,'détails investissements'!$A$26:$DE$43,V$3-VLOOKUP($A16,'détails investissements'!$A$71:$B$88,2,FALSE)+1,FALSE)))&lt;&gt;"",HLOOKUP(IF(V$3-VLOOKUP($A16,'détails investissements'!$A$71:$B$88,2,FALSE)&lt;=0,"",IF(VLOOKUP($A16,'détails investissements'!$A$26:$DE$43,V$3-VLOOKUP($A16,'détails investissements'!$A$71:$B$88,2,FALSE)+1,FALSE)="","",VLOOKUP($A16,'détails investissements'!$A$26:$DE$43,V$3-VLOOKUP($A16,'détails investissements'!$A$71:$B$88,2,FALSE)+1,FALSE))),'détails investissements'!$U$6:$AB$7,2,FALSE),"")&lt;&gt;"",VLOOKUP($A16,'détails investissements'!$A$7:$H$21,1+IF(IF(V$3-VLOOKUP($A16,'détails investissements'!$A$71:$B$88,2,FALSE)&lt;=0,"",IF(VLOOKUP($A16,'détails investissements'!$A$26:$DE$43,V$3-VLOOKUP($A16,'détails investissements'!$A$71:$B$88,2,FALSE)+1,FALSE)="","",VLOOKUP($A16,'détails investissements'!$A$26:$DE$43,V$3-VLOOKUP($A16,'détails investissements'!$A$71:$B$88,2,FALSE)+1,FALSE)))&lt;&gt;"",HLOOKUP(IF(V$3-VLOOKUP($A16,'détails investissements'!$A$71:$B$88,2,FALSE)&lt;=0,"",IF(VLOOKUP($A16,'détails investissements'!$A$26:$DE$43,V$3-VLOOKUP($A16,'détails investissements'!$A$71:$B$88,2,FALSE)+1,FALSE)="","",VLOOKUP($A16,'détails investissements'!$A$26:$DE$43,V$3-VLOOKUP($A16,'détails investissements'!$A$71:$B$88,2,FALSE)+1,FALSE))),'détails investissements'!$U$6:$AB$7,2,FALSE),""),FALSE),"")</f>
        <v/>
      </c>
      <c r="W16" s="45">
        <f>IF(IF(IF(W$3-VLOOKUP($A16,'détails investissements'!$A$71:$B$88,2,FALSE)&lt;=0,"",IF(VLOOKUP($A16,'détails investissements'!$A$26:$DE$43,W$3-VLOOKUP($A16,'détails investissements'!$A$71:$B$88,2,FALSE)+1,FALSE)="","",VLOOKUP($A16,'détails investissements'!$A$26:$DE$43,W$3-VLOOKUP($A16,'détails investissements'!$A$71:$B$88,2,FALSE)+1,FALSE)))&lt;&gt;"",HLOOKUP(IF(W$3-VLOOKUP($A16,'détails investissements'!$A$71:$B$88,2,FALSE)&lt;=0,"",IF(VLOOKUP($A16,'détails investissements'!$A$26:$DE$43,W$3-VLOOKUP($A16,'détails investissements'!$A$71:$B$88,2,FALSE)+1,FALSE)="","",VLOOKUP($A16,'détails investissements'!$A$26:$DE$43,W$3-VLOOKUP($A16,'détails investissements'!$A$71:$B$88,2,FALSE)+1,FALSE))),'détails investissements'!$U$6:$AB$7,2,FALSE),"")&lt;&gt;"",VLOOKUP($A16,'détails investissements'!$A$7:$H$21,1+IF(IF(W$3-VLOOKUP($A16,'détails investissements'!$A$71:$B$88,2,FALSE)&lt;=0,"",IF(VLOOKUP($A16,'détails investissements'!$A$26:$DE$43,W$3-VLOOKUP($A16,'détails investissements'!$A$71:$B$88,2,FALSE)+1,FALSE)="","",VLOOKUP($A16,'détails investissements'!$A$26:$DE$43,W$3-VLOOKUP($A16,'détails investissements'!$A$71:$B$88,2,FALSE)+1,FALSE)))&lt;&gt;"",HLOOKUP(IF(W$3-VLOOKUP($A16,'détails investissements'!$A$71:$B$88,2,FALSE)&lt;=0,"",IF(VLOOKUP($A16,'détails investissements'!$A$26:$DE$43,W$3-VLOOKUP($A16,'détails investissements'!$A$71:$B$88,2,FALSE)+1,FALSE)="","",VLOOKUP($A16,'détails investissements'!$A$26:$DE$43,W$3-VLOOKUP($A16,'détails investissements'!$A$71:$B$88,2,FALSE)+1,FALSE))),'détails investissements'!$U$6:$AB$7,2,FALSE),""),FALSE),"")</f>
        <v>0.2</v>
      </c>
      <c r="X16" s="45" t="str">
        <f>IF(IF(IF(X$3-VLOOKUP($A16,'détails investissements'!$A$71:$B$88,2,FALSE)&lt;=0,"",IF(VLOOKUP($A16,'détails investissements'!$A$26:$DE$43,X$3-VLOOKUP($A16,'détails investissements'!$A$71:$B$88,2,FALSE)+1,FALSE)="","",VLOOKUP($A16,'détails investissements'!$A$26:$DE$43,X$3-VLOOKUP($A16,'détails investissements'!$A$71:$B$88,2,FALSE)+1,FALSE)))&lt;&gt;"",HLOOKUP(IF(X$3-VLOOKUP($A16,'détails investissements'!$A$71:$B$88,2,FALSE)&lt;=0,"",IF(VLOOKUP($A16,'détails investissements'!$A$26:$DE$43,X$3-VLOOKUP($A16,'détails investissements'!$A$71:$B$88,2,FALSE)+1,FALSE)="","",VLOOKUP($A16,'détails investissements'!$A$26:$DE$43,X$3-VLOOKUP($A16,'détails investissements'!$A$71:$B$88,2,FALSE)+1,FALSE))),'détails investissements'!$U$6:$AB$7,2,FALSE),"")&lt;&gt;"",VLOOKUP($A16,'détails investissements'!$A$7:$H$21,1+IF(IF(X$3-VLOOKUP($A16,'détails investissements'!$A$71:$B$88,2,FALSE)&lt;=0,"",IF(VLOOKUP($A16,'détails investissements'!$A$26:$DE$43,X$3-VLOOKUP($A16,'détails investissements'!$A$71:$B$88,2,FALSE)+1,FALSE)="","",VLOOKUP($A16,'détails investissements'!$A$26:$DE$43,X$3-VLOOKUP($A16,'détails investissements'!$A$71:$B$88,2,FALSE)+1,FALSE)))&lt;&gt;"",HLOOKUP(IF(X$3-VLOOKUP($A16,'détails investissements'!$A$71:$B$88,2,FALSE)&lt;=0,"",IF(VLOOKUP($A16,'détails investissements'!$A$26:$DE$43,X$3-VLOOKUP($A16,'détails investissements'!$A$71:$B$88,2,FALSE)+1,FALSE)="","",VLOOKUP($A16,'détails investissements'!$A$26:$DE$43,X$3-VLOOKUP($A16,'détails investissements'!$A$71:$B$88,2,FALSE)+1,FALSE))),'détails investissements'!$U$6:$AB$7,2,FALSE),""),FALSE),"")</f>
        <v/>
      </c>
      <c r="Y16" s="45">
        <f>IF(IF(IF(Y$3-VLOOKUP($A16,'détails investissements'!$A$71:$B$88,2,FALSE)&lt;=0,"",IF(VLOOKUP($A16,'détails investissements'!$A$26:$DE$43,Y$3-VLOOKUP($A16,'détails investissements'!$A$71:$B$88,2,FALSE)+1,FALSE)="","",VLOOKUP($A16,'détails investissements'!$A$26:$DE$43,Y$3-VLOOKUP($A16,'détails investissements'!$A$71:$B$88,2,FALSE)+1,FALSE)))&lt;&gt;"",HLOOKUP(IF(Y$3-VLOOKUP($A16,'détails investissements'!$A$71:$B$88,2,FALSE)&lt;=0,"",IF(VLOOKUP($A16,'détails investissements'!$A$26:$DE$43,Y$3-VLOOKUP($A16,'détails investissements'!$A$71:$B$88,2,FALSE)+1,FALSE)="","",VLOOKUP($A16,'détails investissements'!$A$26:$DE$43,Y$3-VLOOKUP($A16,'détails investissements'!$A$71:$B$88,2,FALSE)+1,FALSE))),'détails investissements'!$U$6:$AB$7,2,FALSE),"")&lt;&gt;"",VLOOKUP($A16,'détails investissements'!$A$7:$H$21,1+IF(IF(Y$3-VLOOKUP($A16,'détails investissements'!$A$71:$B$88,2,FALSE)&lt;=0,"",IF(VLOOKUP($A16,'détails investissements'!$A$26:$DE$43,Y$3-VLOOKUP($A16,'détails investissements'!$A$71:$B$88,2,FALSE)+1,FALSE)="","",VLOOKUP($A16,'détails investissements'!$A$26:$DE$43,Y$3-VLOOKUP($A16,'détails investissements'!$A$71:$B$88,2,FALSE)+1,FALSE)))&lt;&gt;"",HLOOKUP(IF(Y$3-VLOOKUP($A16,'détails investissements'!$A$71:$B$88,2,FALSE)&lt;=0,"",IF(VLOOKUP($A16,'détails investissements'!$A$26:$DE$43,Y$3-VLOOKUP($A16,'détails investissements'!$A$71:$B$88,2,FALSE)+1,FALSE)="","",VLOOKUP($A16,'détails investissements'!$A$26:$DE$43,Y$3-VLOOKUP($A16,'détails investissements'!$A$71:$B$88,2,FALSE)+1,FALSE))),'détails investissements'!$U$6:$AB$7,2,FALSE),""),FALSE),"")</f>
        <v>0.1</v>
      </c>
      <c r="Z16" s="45" t="str">
        <f>IF(IF(IF(Z$3-VLOOKUP($A16,'détails investissements'!$A$71:$B$88,2,FALSE)&lt;=0,"",IF(VLOOKUP($A16,'détails investissements'!$A$26:$DE$43,Z$3-VLOOKUP($A16,'détails investissements'!$A$71:$B$88,2,FALSE)+1,FALSE)="","",VLOOKUP($A16,'détails investissements'!$A$26:$DE$43,Z$3-VLOOKUP($A16,'détails investissements'!$A$71:$B$88,2,FALSE)+1,FALSE)))&lt;&gt;"",HLOOKUP(IF(Z$3-VLOOKUP($A16,'détails investissements'!$A$71:$B$88,2,FALSE)&lt;=0,"",IF(VLOOKUP($A16,'détails investissements'!$A$26:$DE$43,Z$3-VLOOKUP($A16,'détails investissements'!$A$71:$B$88,2,FALSE)+1,FALSE)="","",VLOOKUP($A16,'détails investissements'!$A$26:$DE$43,Z$3-VLOOKUP($A16,'détails investissements'!$A$71:$B$88,2,FALSE)+1,FALSE))),'détails investissements'!$U$6:$AB$7,2,FALSE),"")&lt;&gt;"",VLOOKUP($A16,'détails investissements'!$A$7:$H$21,1+IF(IF(Z$3-VLOOKUP($A16,'détails investissements'!$A$71:$B$88,2,FALSE)&lt;=0,"",IF(VLOOKUP($A16,'détails investissements'!$A$26:$DE$43,Z$3-VLOOKUP($A16,'détails investissements'!$A$71:$B$88,2,FALSE)+1,FALSE)="","",VLOOKUP($A16,'détails investissements'!$A$26:$DE$43,Z$3-VLOOKUP($A16,'détails investissements'!$A$71:$B$88,2,FALSE)+1,FALSE)))&lt;&gt;"",HLOOKUP(IF(Z$3-VLOOKUP($A16,'détails investissements'!$A$71:$B$88,2,FALSE)&lt;=0,"",IF(VLOOKUP($A16,'détails investissements'!$A$26:$DE$43,Z$3-VLOOKUP($A16,'détails investissements'!$A$71:$B$88,2,FALSE)+1,FALSE)="","",VLOOKUP($A16,'détails investissements'!$A$26:$DE$43,Z$3-VLOOKUP($A16,'détails investissements'!$A$71:$B$88,2,FALSE)+1,FALSE))),'détails investissements'!$U$6:$AB$7,2,FALSE),""),FALSE),"")</f>
        <v/>
      </c>
      <c r="AA16" s="45" t="str">
        <f>IF(IF(IF(AA$3-VLOOKUP($A16,'détails investissements'!$A$71:$B$88,2,FALSE)&lt;=0,"",IF(VLOOKUP($A16,'détails investissements'!$A$26:$DE$43,AA$3-VLOOKUP($A16,'détails investissements'!$A$71:$B$88,2,FALSE)+1,FALSE)="","",VLOOKUP($A16,'détails investissements'!$A$26:$DE$43,AA$3-VLOOKUP($A16,'détails investissements'!$A$71:$B$88,2,FALSE)+1,FALSE)))&lt;&gt;"",HLOOKUP(IF(AA$3-VLOOKUP($A16,'détails investissements'!$A$71:$B$88,2,FALSE)&lt;=0,"",IF(VLOOKUP($A16,'détails investissements'!$A$26:$DE$43,AA$3-VLOOKUP($A16,'détails investissements'!$A$71:$B$88,2,FALSE)+1,FALSE)="","",VLOOKUP($A16,'détails investissements'!$A$26:$DE$43,AA$3-VLOOKUP($A16,'détails investissements'!$A$71:$B$88,2,FALSE)+1,FALSE))),'détails investissements'!$U$6:$AB$7,2,FALSE),"")&lt;&gt;"",VLOOKUP($A16,'détails investissements'!$A$7:$H$21,1+IF(IF(AA$3-VLOOKUP($A16,'détails investissements'!$A$71:$B$88,2,FALSE)&lt;=0,"",IF(VLOOKUP($A16,'détails investissements'!$A$26:$DE$43,AA$3-VLOOKUP($A16,'détails investissements'!$A$71:$B$88,2,FALSE)+1,FALSE)="","",VLOOKUP($A16,'détails investissements'!$A$26:$DE$43,AA$3-VLOOKUP($A16,'détails investissements'!$A$71:$B$88,2,FALSE)+1,FALSE)))&lt;&gt;"",HLOOKUP(IF(AA$3-VLOOKUP($A16,'détails investissements'!$A$71:$B$88,2,FALSE)&lt;=0,"",IF(VLOOKUP($A16,'détails investissements'!$A$26:$DE$43,AA$3-VLOOKUP($A16,'détails investissements'!$A$71:$B$88,2,FALSE)+1,FALSE)="","",VLOOKUP($A16,'détails investissements'!$A$26:$DE$43,AA$3-VLOOKUP($A16,'détails investissements'!$A$71:$B$88,2,FALSE)+1,FALSE))),'détails investissements'!$U$6:$AB$7,2,FALSE),""),FALSE),"")</f>
        <v/>
      </c>
      <c r="AB16" s="45" t="str">
        <f>IF(IF(IF(AB$3-VLOOKUP($A16,'détails investissements'!$A$71:$B$88,2,FALSE)&lt;=0,"",IF(VLOOKUP($A16,'détails investissements'!$A$26:$DE$43,AB$3-VLOOKUP($A16,'détails investissements'!$A$71:$B$88,2,FALSE)+1,FALSE)="","",VLOOKUP($A16,'détails investissements'!$A$26:$DE$43,AB$3-VLOOKUP($A16,'détails investissements'!$A$71:$B$88,2,FALSE)+1,FALSE)))&lt;&gt;"",HLOOKUP(IF(AB$3-VLOOKUP($A16,'détails investissements'!$A$71:$B$88,2,FALSE)&lt;=0,"",IF(VLOOKUP($A16,'détails investissements'!$A$26:$DE$43,AB$3-VLOOKUP($A16,'détails investissements'!$A$71:$B$88,2,FALSE)+1,FALSE)="","",VLOOKUP($A16,'détails investissements'!$A$26:$DE$43,AB$3-VLOOKUP($A16,'détails investissements'!$A$71:$B$88,2,FALSE)+1,FALSE))),'détails investissements'!$U$6:$AB$7,2,FALSE),"")&lt;&gt;"",VLOOKUP($A16,'détails investissements'!$A$7:$H$21,1+IF(IF(AB$3-VLOOKUP($A16,'détails investissements'!$A$71:$B$88,2,FALSE)&lt;=0,"",IF(VLOOKUP($A16,'détails investissements'!$A$26:$DE$43,AB$3-VLOOKUP($A16,'détails investissements'!$A$71:$B$88,2,FALSE)+1,FALSE)="","",VLOOKUP($A16,'détails investissements'!$A$26:$DE$43,AB$3-VLOOKUP($A16,'détails investissements'!$A$71:$B$88,2,FALSE)+1,FALSE)))&lt;&gt;"",HLOOKUP(IF(AB$3-VLOOKUP($A16,'détails investissements'!$A$71:$B$88,2,FALSE)&lt;=0,"",IF(VLOOKUP($A16,'détails investissements'!$A$26:$DE$43,AB$3-VLOOKUP($A16,'détails investissements'!$A$71:$B$88,2,FALSE)+1,FALSE)="","",VLOOKUP($A16,'détails investissements'!$A$26:$DE$43,AB$3-VLOOKUP($A16,'détails investissements'!$A$71:$B$88,2,FALSE)+1,FALSE))),'détails investissements'!$U$6:$AB$7,2,FALSE),""),FALSE),"")</f>
        <v/>
      </c>
      <c r="AC16" s="45" t="str">
        <f>IF(IF(IF(AC$3-VLOOKUP($A16,'détails investissements'!$A$71:$B$88,2,FALSE)&lt;=0,"",IF(VLOOKUP($A16,'détails investissements'!$A$26:$DE$43,AC$3-VLOOKUP($A16,'détails investissements'!$A$71:$B$88,2,FALSE)+1,FALSE)="","",VLOOKUP($A16,'détails investissements'!$A$26:$DE$43,AC$3-VLOOKUP($A16,'détails investissements'!$A$71:$B$88,2,FALSE)+1,FALSE)))&lt;&gt;"",HLOOKUP(IF(AC$3-VLOOKUP($A16,'détails investissements'!$A$71:$B$88,2,FALSE)&lt;=0,"",IF(VLOOKUP($A16,'détails investissements'!$A$26:$DE$43,AC$3-VLOOKUP($A16,'détails investissements'!$A$71:$B$88,2,FALSE)+1,FALSE)="","",VLOOKUP($A16,'détails investissements'!$A$26:$DE$43,AC$3-VLOOKUP($A16,'détails investissements'!$A$71:$B$88,2,FALSE)+1,FALSE))),'détails investissements'!$U$6:$AB$7,2,FALSE),"")&lt;&gt;"",VLOOKUP($A16,'détails investissements'!$A$7:$H$21,1+IF(IF(AC$3-VLOOKUP($A16,'détails investissements'!$A$71:$B$88,2,FALSE)&lt;=0,"",IF(VLOOKUP($A16,'détails investissements'!$A$26:$DE$43,AC$3-VLOOKUP($A16,'détails investissements'!$A$71:$B$88,2,FALSE)+1,FALSE)="","",VLOOKUP($A16,'détails investissements'!$A$26:$DE$43,AC$3-VLOOKUP($A16,'détails investissements'!$A$71:$B$88,2,FALSE)+1,FALSE)))&lt;&gt;"",HLOOKUP(IF(AC$3-VLOOKUP($A16,'détails investissements'!$A$71:$B$88,2,FALSE)&lt;=0,"",IF(VLOOKUP($A16,'détails investissements'!$A$26:$DE$43,AC$3-VLOOKUP($A16,'détails investissements'!$A$71:$B$88,2,FALSE)+1,FALSE)="","",VLOOKUP($A16,'détails investissements'!$A$26:$DE$43,AC$3-VLOOKUP($A16,'détails investissements'!$A$71:$B$88,2,FALSE)+1,FALSE))),'détails investissements'!$U$6:$AB$7,2,FALSE),""),FALSE),"")</f>
        <v/>
      </c>
      <c r="AD16" s="45" t="str">
        <f>IF(IF(IF(AD$3-VLOOKUP($A16,'détails investissements'!$A$71:$B$88,2,FALSE)&lt;=0,"",IF(VLOOKUP($A16,'détails investissements'!$A$26:$DE$43,AD$3-VLOOKUP($A16,'détails investissements'!$A$71:$B$88,2,FALSE)+1,FALSE)="","",VLOOKUP($A16,'détails investissements'!$A$26:$DE$43,AD$3-VLOOKUP($A16,'détails investissements'!$A$71:$B$88,2,FALSE)+1,FALSE)))&lt;&gt;"",HLOOKUP(IF(AD$3-VLOOKUP($A16,'détails investissements'!$A$71:$B$88,2,FALSE)&lt;=0,"",IF(VLOOKUP($A16,'détails investissements'!$A$26:$DE$43,AD$3-VLOOKUP($A16,'détails investissements'!$A$71:$B$88,2,FALSE)+1,FALSE)="","",VLOOKUP($A16,'détails investissements'!$A$26:$DE$43,AD$3-VLOOKUP($A16,'détails investissements'!$A$71:$B$88,2,FALSE)+1,FALSE))),'détails investissements'!$U$6:$AB$7,2,FALSE),"")&lt;&gt;"",VLOOKUP($A16,'détails investissements'!$A$7:$H$21,1+IF(IF(AD$3-VLOOKUP($A16,'détails investissements'!$A$71:$B$88,2,FALSE)&lt;=0,"",IF(VLOOKUP($A16,'détails investissements'!$A$26:$DE$43,AD$3-VLOOKUP($A16,'détails investissements'!$A$71:$B$88,2,FALSE)+1,FALSE)="","",VLOOKUP($A16,'détails investissements'!$A$26:$DE$43,AD$3-VLOOKUP($A16,'détails investissements'!$A$71:$B$88,2,FALSE)+1,FALSE)))&lt;&gt;"",HLOOKUP(IF(AD$3-VLOOKUP($A16,'détails investissements'!$A$71:$B$88,2,FALSE)&lt;=0,"",IF(VLOOKUP($A16,'détails investissements'!$A$26:$DE$43,AD$3-VLOOKUP($A16,'détails investissements'!$A$71:$B$88,2,FALSE)+1,FALSE)="","",VLOOKUP($A16,'détails investissements'!$A$26:$DE$43,AD$3-VLOOKUP($A16,'détails investissements'!$A$71:$B$88,2,FALSE)+1,FALSE))),'détails investissements'!$U$6:$AB$7,2,FALSE),""),FALSE),"")</f>
        <v/>
      </c>
      <c r="AE16" s="45" t="str">
        <f>IF(IF(IF(AE$3-VLOOKUP($A16,'détails investissements'!$A$71:$B$88,2,FALSE)&lt;=0,"",IF(VLOOKUP($A16,'détails investissements'!$A$26:$DE$43,AE$3-VLOOKUP($A16,'détails investissements'!$A$71:$B$88,2,FALSE)+1,FALSE)="","",VLOOKUP($A16,'détails investissements'!$A$26:$DE$43,AE$3-VLOOKUP($A16,'détails investissements'!$A$71:$B$88,2,FALSE)+1,FALSE)))&lt;&gt;"",HLOOKUP(IF(AE$3-VLOOKUP($A16,'détails investissements'!$A$71:$B$88,2,FALSE)&lt;=0,"",IF(VLOOKUP($A16,'détails investissements'!$A$26:$DE$43,AE$3-VLOOKUP($A16,'détails investissements'!$A$71:$B$88,2,FALSE)+1,FALSE)="","",VLOOKUP($A16,'détails investissements'!$A$26:$DE$43,AE$3-VLOOKUP($A16,'détails investissements'!$A$71:$B$88,2,FALSE)+1,FALSE))),'détails investissements'!$U$6:$AB$7,2,FALSE),"")&lt;&gt;"",VLOOKUP($A16,'détails investissements'!$A$7:$H$21,1+IF(IF(AE$3-VLOOKUP($A16,'détails investissements'!$A$71:$B$88,2,FALSE)&lt;=0,"",IF(VLOOKUP($A16,'détails investissements'!$A$26:$DE$43,AE$3-VLOOKUP($A16,'détails investissements'!$A$71:$B$88,2,FALSE)+1,FALSE)="","",VLOOKUP($A16,'détails investissements'!$A$26:$DE$43,AE$3-VLOOKUP($A16,'détails investissements'!$A$71:$B$88,2,FALSE)+1,FALSE)))&lt;&gt;"",HLOOKUP(IF(AE$3-VLOOKUP($A16,'détails investissements'!$A$71:$B$88,2,FALSE)&lt;=0,"",IF(VLOOKUP($A16,'détails investissements'!$A$26:$DE$43,AE$3-VLOOKUP($A16,'détails investissements'!$A$71:$B$88,2,FALSE)+1,FALSE)="","",VLOOKUP($A16,'détails investissements'!$A$26:$DE$43,AE$3-VLOOKUP($A16,'détails investissements'!$A$71:$B$88,2,FALSE)+1,FALSE))),'détails investissements'!$U$6:$AB$7,2,FALSE),""),FALSE),"")</f>
        <v/>
      </c>
      <c r="AF16" s="45" t="str">
        <f>IF(IF(IF(AF$3-VLOOKUP($A16,'détails investissements'!$A$71:$B$88,2,FALSE)&lt;=0,"",IF(VLOOKUP($A16,'détails investissements'!$A$26:$DE$43,AF$3-VLOOKUP($A16,'détails investissements'!$A$71:$B$88,2,FALSE)+1,FALSE)="","",VLOOKUP($A16,'détails investissements'!$A$26:$DE$43,AF$3-VLOOKUP($A16,'détails investissements'!$A$71:$B$88,2,FALSE)+1,FALSE)))&lt;&gt;"",HLOOKUP(IF(AF$3-VLOOKUP($A16,'détails investissements'!$A$71:$B$88,2,FALSE)&lt;=0,"",IF(VLOOKUP($A16,'détails investissements'!$A$26:$DE$43,AF$3-VLOOKUP($A16,'détails investissements'!$A$71:$B$88,2,FALSE)+1,FALSE)="","",VLOOKUP($A16,'détails investissements'!$A$26:$DE$43,AF$3-VLOOKUP($A16,'détails investissements'!$A$71:$B$88,2,FALSE)+1,FALSE))),'détails investissements'!$U$6:$AB$7,2,FALSE),"")&lt;&gt;"",VLOOKUP($A16,'détails investissements'!$A$7:$H$21,1+IF(IF(AF$3-VLOOKUP($A16,'détails investissements'!$A$71:$B$88,2,FALSE)&lt;=0,"",IF(VLOOKUP($A16,'détails investissements'!$A$26:$DE$43,AF$3-VLOOKUP($A16,'détails investissements'!$A$71:$B$88,2,FALSE)+1,FALSE)="","",VLOOKUP($A16,'détails investissements'!$A$26:$DE$43,AF$3-VLOOKUP($A16,'détails investissements'!$A$71:$B$88,2,FALSE)+1,FALSE)))&lt;&gt;"",HLOOKUP(IF(AF$3-VLOOKUP($A16,'détails investissements'!$A$71:$B$88,2,FALSE)&lt;=0,"",IF(VLOOKUP($A16,'détails investissements'!$A$26:$DE$43,AF$3-VLOOKUP($A16,'détails investissements'!$A$71:$B$88,2,FALSE)+1,FALSE)="","",VLOOKUP($A16,'détails investissements'!$A$26:$DE$43,AF$3-VLOOKUP($A16,'détails investissements'!$A$71:$B$88,2,FALSE)+1,FALSE))),'détails investissements'!$U$6:$AB$7,2,FALSE),""),FALSE),"")</f>
        <v/>
      </c>
      <c r="AG16" s="45" t="str">
        <f>IF(IF(IF(AG$3-VLOOKUP($A16,'détails investissements'!$A$71:$B$88,2,FALSE)&lt;=0,"",IF(VLOOKUP($A16,'détails investissements'!$A$26:$DE$43,AG$3-VLOOKUP($A16,'détails investissements'!$A$71:$B$88,2,FALSE)+1,FALSE)="","",VLOOKUP($A16,'détails investissements'!$A$26:$DE$43,AG$3-VLOOKUP($A16,'détails investissements'!$A$71:$B$88,2,FALSE)+1,FALSE)))&lt;&gt;"",HLOOKUP(IF(AG$3-VLOOKUP($A16,'détails investissements'!$A$71:$B$88,2,FALSE)&lt;=0,"",IF(VLOOKUP($A16,'détails investissements'!$A$26:$DE$43,AG$3-VLOOKUP($A16,'détails investissements'!$A$71:$B$88,2,FALSE)+1,FALSE)="","",VLOOKUP($A16,'détails investissements'!$A$26:$DE$43,AG$3-VLOOKUP($A16,'détails investissements'!$A$71:$B$88,2,FALSE)+1,FALSE))),'détails investissements'!$U$6:$AB$7,2,FALSE),"")&lt;&gt;"",VLOOKUP($A16,'détails investissements'!$A$7:$H$21,1+IF(IF(AG$3-VLOOKUP($A16,'détails investissements'!$A$71:$B$88,2,FALSE)&lt;=0,"",IF(VLOOKUP($A16,'détails investissements'!$A$26:$DE$43,AG$3-VLOOKUP($A16,'détails investissements'!$A$71:$B$88,2,FALSE)+1,FALSE)="","",VLOOKUP($A16,'détails investissements'!$A$26:$DE$43,AG$3-VLOOKUP($A16,'détails investissements'!$A$71:$B$88,2,FALSE)+1,FALSE)))&lt;&gt;"",HLOOKUP(IF(AG$3-VLOOKUP($A16,'détails investissements'!$A$71:$B$88,2,FALSE)&lt;=0,"",IF(VLOOKUP($A16,'détails investissements'!$A$26:$DE$43,AG$3-VLOOKUP($A16,'détails investissements'!$A$71:$B$88,2,FALSE)+1,FALSE)="","",VLOOKUP($A16,'détails investissements'!$A$26:$DE$43,AG$3-VLOOKUP($A16,'détails investissements'!$A$71:$B$88,2,FALSE)+1,FALSE))),'détails investissements'!$U$6:$AB$7,2,FALSE),""),FALSE),"")</f>
        <v/>
      </c>
      <c r="AH16" s="45" t="str">
        <f>IF(IF(IF(AH$3-VLOOKUP($A16,'détails investissements'!$A$71:$B$88,2,FALSE)&lt;=0,"",IF(VLOOKUP($A16,'détails investissements'!$A$26:$DE$43,AH$3-VLOOKUP($A16,'détails investissements'!$A$71:$B$88,2,FALSE)+1,FALSE)="","",VLOOKUP($A16,'détails investissements'!$A$26:$DE$43,AH$3-VLOOKUP($A16,'détails investissements'!$A$71:$B$88,2,FALSE)+1,FALSE)))&lt;&gt;"",HLOOKUP(IF(AH$3-VLOOKUP($A16,'détails investissements'!$A$71:$B$88,2,FALSE)&lt;=0,"",IF(VLOOKUP($A16,'détails investissements'!$A$26:$DE$43,AH$3-VLOOKUP($A16,'détails investissements'!$A$71:$B$88,2,FALSE)+1,FALSE)="","",VLOOKUP($A16,'détails investissements'!$A$26:$DE$43,AH$3-VLOOKUP($A16,'détails investissements'!$A$71:$B$88,2,FALSE)+1,FALSE))),'détails investissements'!$U$6:$AB$7,2,FALSE),"")&lt;&gt;"",VLOOKUP($A16,'détails investissements'!$A$7:$H$21,1+IF(IF(AH$3-VLOOKUP($A16,'détails investissements'!$A$71:$B$88,2,FALSE)&lt;=0,"",IF(VLOOKUP($A16,'détails investissements'!$A$26:$DE$43,AH$3-VLOOKUP($A16,'détails investissements'!$A$71:$B$88,2,FALSE)+1,FALSE)="","",VLOOKUP($A16,'détails investissements'!$A$26:$DE$43,AH$3-VLOOKUP($A16,'détails investissements'!$A$71:$B$88,2,FALSE)+1,FALSE)))&lt;&gt;"",HLOOKUP(IF(AH$3-VLOOKUP($A16,'détails investissements'!$A$71:$B$88,2,FALSE)&lt;=0,"",IF(VLOOKUP($A16,'détails investissements'!$A$26:$DE$43,AH$3-VLOOKUP($A16,'détails investissements'!$A$71:$B$88,2,FALSE)+1,FALSE)="","",VLOOKUP($A16,'détails investissements'!$A$26:$DE$43,AH$3-VLOOKUP($A16,'détails investissements'!$A$71:$B$88,2,FALSE)+1,FALSE))),'détails investissements'!$U$6:$AB$7,2,FALSE),""),FALSE),"")</f>
        <v/>
      </c>
      <c r="AI16" s="45" t="str">
        <f>IF(IF(IF(AI$3-VLOOKUP($A16,'détails investissements'!$A$71:$B$88,2,FALSE)&lt;=0,"",IF(VLOOKUP($A16,'détails investissements'!$A$26:$DE$43,AI$3-VLOOKUP($A16,'détails investissements'!$A$71:$B$88,2,FALSE)+1,FALSE)="","",VLOOKUP($A16,'détails investissements'!$A$26:$DE$43,AI$3-VLOOKUP($A16,'détails investissements'!$A$71:$B$88,2,FALSE)+1,FALSE)))&lt;&gt;"",HLOOKUP(IF(AI$3-VLOOKUP($A16,'détails investissements'!$A$71:$B$88,2,FALSE)&lt;=0,"",IF(VLOOKUP($A16,'détails investissements'!$A$26:$DE$43,AI$3-VLOOKUP($A16,'détails investissements'!$A$71:$B$88,2,FALSE)+1,FALSE)="","",VLOOKUP($A16,'détails investissements'!$A$26:$DE$43,AI$3-VLOOKUP($A16,'détails investissements'!$A$71:$B$88,2,FALSE)+1,FALSE))),'détails investissements'!$U$6:$AB$7,2,FALSE),"")&lt;&gt;"",VLOOKUP($A16,'détails investissements'!$A$7:$H$21,1+IF(IF(AI$3-VLOOKUP($A16,'détails investissements'!$A$71:$B$88,2,FALSE)&lt;=0,"",IF(VLOOKUP($A16,'détails investissements'!$A$26:$DE$43,AI$3-VLOOKUP($A16,'détails investissements'!$A$71:$B$88,2,FALSE)+1,FALSE)="","",VLOOKUP($A16,'détails investissements'!$A$26:$DE$43,AI$3-VLOOKUP($A16,'détails investissements'!$A$71:$B$88,2,FALSE)+1,FALSE)))&lt;&gt;"",HLOOKUP(IF(AI$3-VLOOKUP($A16,'détails investissements'!$A$71:$B$88,2,FALSE)&lt;=0,"",IF(VLOOKUP($A16,'détails investissements'!$A$26:$DE$43,AI$3-VLOOKUP($A16,'détails investissements'!$A$71:$B$88,2,FALSE)+1,FALSE)="","",VLOOKUP($A16,'détails investissements'!$A$26:$DE$43,AI$3-VLOOKUP($A16,'détails investissements'!$A$71:$B$88,2,FALSE)+1,FALSE))),'détails investissements'!$U$6:$AB$7,2,FALSE),""),FALSE),"")</f>
        <v/>
      </c>
      <c r="AJ16" s="45" t="str">
        <f>IF(IF(IF(AJ$3-VLOOKUP($A16,'détails investissements'!$A$71:$B$88,2,FALSE)&lt;=0,"",IF(VLOOKUP($A16,'détails investissements'!$A$26:$DE$43,AJ$3-VLOOKUP($A16,'détails investissements'!$A$71:$B$88,2,FALSE)+1,FALSE)="","",VLOOKUP($A16,'détails investissements'!$A$26:$DE$43,AJ$3-VLOOKUP($A16,'détails investissements'!$A$71:$B$88,2,FALSE)+1,FALSE)))&lt;&gt;"",HLOOKUP(IF(AJ$3-VLOOKUP($A16,'détails investissements'!$A$71:$B$88,2,FALSE)&lt;=0,"",IF(VLOOKUP($A16,'détails investissements'!$A$26:$DE$43,AJ$3-VLOOKUP($A16,'détails investissements'!$A$71:$B$88,2,FALSE)+1,FALSE)="","",VLOOKUP($A16,'détails investissements'!$A$26:$DE$43,AJ$3-VLOOKUP($A16,'détails investissements'!$A$71:$B$88,2,FALSE)+1,FALSE))),'détails investissements'!$U$6:$AB$7,2,FALSE),"")&lt;&gt;"",VLOOKUP($A16,'détails investissements'!$A$7:$H$21,1+IF(IF(AJ$3-VLOOKUP($A16,'détails investissements'!$A$71:$B$88,2,FALSE)&lt;=0,"",IF(VLOOKUP($A16,'détails investissements'!$A$26:$DE$43,AJ$3-VLOOKUP($A16,'détails investissements'!$A$71:$B$88,2,FALSE)+1,FALSE)="","",VLOOKUP($A16,'détails investissements'!$A$26:$DE$43,AJ$3-VLOOKUP($A16,'détails investissements'!$A$71:$B$88,2,FALSE)+1,FALSE)))&lt;&gt;"",HLOOKUP(IF(AJ$3-VLOOKUP($A16,'détails investissements'!$A$71:$B$88,2,FALSE)&lt;=0,"",IF(VLOOKUP($A16,'détails investissements'!$A$26:$DE$43,AJ$3-VLOOKUP($A16,'détails investissements'!$A$71:$B$88,2,FALSE)+1,FALSE)="","",VLOOKUP($A16,'détails investissements'!$A$26:$DE$43,AJ$3-VLOOKUP($A16,'détails investissements'!$A$71:$B$88,2,FALSE)+1,FALSE))),'détails investissements'!$U$6:$AB$7,2,FALSE),""),FALSE),"")</f>
        <v/>
      </c>
      <c r="AK16" s="45">
        <f>IF(IF(IF(AK$3-VLOOKUP($A16,'détails investissements'!$A$71:$B$88,2,FALSE)&lt;=0,"",IF(VLOOKUP($A16,'détails investissements'!$A$26:$DE$43,AK$3-VLOOKUP($A16,'détails investissements'!$A$71:$B$88,2,FALSE)+1,FALSE)="","",VLOOKUP($A16,'détails investissements'!$A$26:$DE$43,AK$3-VLOOKUP($A16,'détails investissements'!$A$71:$B$88,2,FALSE)+1,FALSE)))&lt;&gt;"",HLOOKUP(IF(AK$3-VLOOKUP($A16,'détails investissements'!$A$71:$B$88,2,FALSE)&lt;=0,"",IF(VLOOKUP($A16,'détails investissements'!$A$26:$DE$43,AK$3-VLOOKUP($A16,'détails investissements'!$A$71:$B$88,2,FALSE)+1,FALSE)="","",VLOOKUP($A16,'détails investissements'!$A$26:$DE$43,AK$3-VLOOKUP($A16,'détails investissements'!$A$71:$B$88,2,FALSE)+1,FALSE))),'détails investissements'!$U$6:$AB$7,2,FALSE),"")&lt;&gt;"",VLOOKUP($A16,'détails investissements'!$A$7:$H$21,1+IF(IF(AK$3-VLOOKUP($A16,'détails investissements'!$A$71:$B$88,2,FALSE)&lt;=0,"",IF(VLOOKUP($A16,'détails investissements'!$A$26:$DE$43,AK$3-VLOOKUP($A16,'détails investissements'!$A$71:$B$88,2,FALSE)+1,FALSE)="","",VLOOKUP($A16,'détails investissements'!$A$26:$DE$43,AK$3-VLOOKUP($A16,'détails investissements'!$A$71:$B$88,2,FALSE)+1,FALSE)))&lt;&gt;"",HLOOKUP(IF(AK$3-VLOOKUP($A16,'détails investissements'!$A$71:$B$88,2,FALSE)&lt;=0,"",IF(VLOOKUP($A16,'détails investissements'!$A$26:$DE$43,AK$3-VLOOKUP($A16,'détails investissements'!$A$71:$B$88,2,FALSE)+1,FALSE)="","",VLOOKUP($A16,'détails investissements'!$A$26:$DE$43,AK$3-VLOOKUP($A16,'détails investissements'!$A$71:$B$88,2,FALSE)+1,FALSE))),'détails investissements'!$U$6:$AB$7,2,FALSE),""),FALSE),"")</f>
        <v>0.05</v>
      </c>
      <c r="AL16" s="45" t="str">
        <f>IF(IF(IF(AL$3-VLOOKUP($A16,'détails investissements'!$A$71:$B$88,2,FALSE)&lt;=0,"",IF(VLOOKUP($A16,'détails investissements'!$A$26:$DE$43,AL$3-VLOOKUP($A16,'détails investissements'!$A$71:$B$88,2,FALSE)+1,FALSE)="","",VLOOKUP($A16,'détails investissements'!$A$26:$DE$43,AL$3-VLOOKUP($A16,'détails investissements'!$A$71:$B$88,2,FALSE)+1,FALSE)))&lt;&gt;"",HLOOKUP(IF(AL$3-VLOOKUP($A16,'détails investissements'!$A$71:$B$88,2,FALSE)&lt;=0,"",IF(VLOOKUP($A16,'détails investissements'!$A$26:$DE$43,AL$3-VLOOKUP($A16,'détails investissements'!$A$71:$B$88,2,FALSE)+1,FALSE)="","",VLOOKUP($A16,'détails investissements'!$A$26:$DE$43,AL$3-VLOOKUP($A16,'détails investissements'!$A$71:$B$88,2,FALSE)+1,FALSE))),'détails investissements'!$U$6:$AB$7,2,FALSE),"")&lt;&gt;"",VLOOKUP($A16,'détails investissements'!$A$7:$H$21,1+IF(IF(AL$3-VLOOKUP($A16,'détails investissements'!$A$71:$B$88,2,FALSE)&lt;=0,"",IF(VLOOKUP($A16,'détails investissements'!$A$26:$DE$43,AL$3-VLOOKUP($A16,'détails investissements'!$A$71:$B$88,2,FALSE)+1,FALSE)="","",VLOOKUP($A16,'détails investissements'!$A$26:$DE$43,AL$3-VLOOKUP($A16,'détails investissements'!$A$71:$B$88,2,FALSE)+1,FALSE)))&lt;&gt;"",HLOOKUP(IF(AL$3-VLOOKUP($A16,'détails investissements'!$A$71:$B$88,2,FALSE)&lt;=0,"",IF(VLOOKUP($A16,'détails investissements'!$A$26:$DE$43,AL$3-VLOOKUP($A16,'détails investissements'!$A$71:$B$88,2,FALSE)+1,FALSE)="","",VLOOKUP($A16,'détails investissements'!$A$26:$DE$43,AL$3-VLOOKUP($A16,'détails investissements'!$A$71:$B$88,2,FALSE)+1,FALSE))),'détails investissements'!$U$6:$AB$7,2,FALSE),""),FALSE),"")</f>
        <v/>
      </c>
      <c r="AM16" s="45" t="str">
        <f>IF(IF(IF(AM$3-VLOOKUP($A16,'détails investissements'!$A$71:$B$88,2,FALSE)&lt;=0,"",IF(VLOOKUP($A16,'détails investissements'!$A$26:$DE$43,AM$3-VLOOKUP($A16,'détails investissements'!$A$71:$B$88,2,FALSE)+1,FALSE)="","",VLOOKUP($A16,'détails investissements'!$A$26:$DE$43,AM$3-VLOOKUP($A16,'détails investissements'!$A$71:$B$88,2,FALSE)+1,FALSE)))&lt;&gt;"",HLOOKUP(IF(AM$3-VLOOKUP($A16,'détails investissements'!$A$71:$B$88,2,FALSE)&lt;=0,"",IF(VLOOKUP($A16,'détails investissements'!$A$26:$DE$43,AM$3-VLOOKUP($A16,'détails investissements'!$A$71:$B$88,2,FALSE)+1,FALSE)="","",VLOOKUP($A16,'détails investissements'!$A$26:$DE$43,AM$3-VLOOKUP($A16,'détails investissements'!$A$71:$B$88,2,FALSE)+1,FALSE))),'détails investissements'!$U$6:$AB$7,2,FALSE),"")&lt;&gt;"",VLOOKUP($A16,'détails investissements'!$A$7:$H$21,1+IF(IF(AM$3-VLOOKUP($A16,'détails investissements'!$A$71:$B$88,2,FALSE)&lt;=0,"",IF(VLOOKUP($A16,'détails investissements'!$A$26:$DE$43,AM$3-VLOOKUP($A16,'détails investissements'!$A$71:$B$88,2,FALSE)+1,FALSE)="","",VLOOKUP($A16,'détails investissements'!$A$26:$DE$43,AM$3-VLOOKUP($A16,'détails investissements'!$A$71:$B$88,2,FALSE)+1,FALSE)))&lt;&gt;"",HLOOKUP(IF(AM$3-VLOOKUP($A16,'détails investissements'!$A$71:$B$88,2,FALSE)&lt;=0,"",IF(VLOOKUP($A16,'détails investissements'!$A$26:$DE$43,AM$3-VLOOKUP($A16,'détails investissements'!$A$71:$B$88,2,FALSE)+1,FALSE)="","",VLOOKUP($A16,'détails investissements'!$A$26:$DE$43,AM$3-VLOOKUP($A16,'détails investissements'!$A$71:$B$88,2,FALSE)+1,FALSE))),'détails investissements'!$U$6:$AB$7,2,FALSE),""),FALSE),"")</f>
        <v/>
      </c>
      <c r="AN16" s="45" t="str">
        <f>IF(IF(IF(AN$3-VLOOKUP($A16,'détails investissements'!$A$71:$B$88,2,FALSE)&lt;=0,"",IF(VLOOKUP($A16,'détails investissements'!$A$26:$DE$43,AN$3-VLOOKUP($A16,'détails investissements'!$A$71:$B$88,2,FALSE)+1,FALSE)="","",VLOOKUP($A16,'détails investissements'!$A$26:$DE$43,AN$3-VLOOKUP($A16,'détails investissements'!$A$71:$B$88,2,FALSE)+1,FALSE)))&lt;&gt;"",HLOOKUP(IF(AN$3-VLOOKUP($A16,'détails investissements'!$A$71:$B$88,2,FALSE)&lt;=0,"",IF(VLOOKUP($A16,'détails investissements'!$A$26:$DE$43,AN$3-VLOOKUP($A16,'détails investissements'!$A$71:$B$88,2,FALSE)+1,FALSE)="","",VLOOKUP($A16,'détails investissements'!$A$26:$DE$43,AN$3-VLOOKUP($A16,'détails investissements'!$A$71:$B$88,2,FALSE)+1,FALSE))),'détails investissements'!$U$6:$AB$7,2,FALSE),"")&lt;&gt;"",VLOOKUP($A16,'détails investissements'!$A$7:$H$21,1+IF(IF(AN$3-VLOOKUP($A16,'détails investissements'!$A$71:$B$88,2,FALSE)&lt;=0,"",IF(VLOOKUP($A16,'détails investissements'!$A$26:$DE$43,AN$3-VLOOKUP($A16,'détails investissements'!$A$71:$B$88,2,FALSE)+1,FALSE)="","",VLOOKUP($A16,'détails investissements'!$A$26:$DE$43,AN$3-VLOOKUP($A16,'détails investissements'!$A$71:$B$88,2,FALSE)+1,FALSE)))&lt;&gt;"",HLOOKUP(IF(AN$3-VLOOKUP($A16,'détails investissements'!$A$71:$B$88,2,FALSE)&lt;=0,"",IF(VLOOKUP($A16,'détails investissements'!$A$26:$DE$43,AN$3-VLOOKUP($A16,'détails investissements'!$A$71:$B$88,2,FALSE)+1,FALSE)="","",VLOOKUP($A16,'détails investissements'!$A$26:$DE$43,AN$3-VLOOKUP($A16,'détails investissements'!$A$71:$B$88,2,FALSE)+1,FALSE))),'détails investissements'!$U$6:$AB$7,2,FALSE),""),FALSE),"")</f>
        <v/>
      </c>
      <c r="AO16" s="45" t="str">
        <f>IF(IF(IF(AO$3-VLOOKUP($A16,'détails investissements'!$A$71:$B$88,2,FALSE)&lt;=0,"",IF(VLOOKUP($A16,'détails investissements'!$A$26:$DE$43,AO$3-VLOOKUP($A16,'détails investissements'!$A$71:$B$88,2,FALSE)+1,FALSE)="","",VLOOKUP($A16,'détails investissements'!$A$26:$DE$43,AO$3-VLOOKUP($A16,'détails investissements'!$A$71:$B$88,2,FALSE)+1,FALSE)))&lt;&gt;"",HLOOKUP(IF(AO$3-VLOOKUP($A16,'détails investissements'!$A$71:$B$88,2,FALSE)&lt;=0,"",IF(VLOOKUP($A16,'détails investissements'!$A$26:$DE$43,AO$3-VLOOKUP($A16,'détails investissements'!$A$71:$B$88,2,FALSE)+1,FALSE)="","",VLOOKUP($A16,'détails investissements'!$A$26:$DE$43,AO$3-VLOOKUP($A16,'détails investissements'!$A$71:$B$88,2,FALSE)+1,FALSE))),'détails investissements'!$U$6:$AB$7,2,FALSE),"")&lt;&gt;"",VLOOKUP($A16,'détails investissements'!$A$7:$H$21,1+IF(IF(AO$3-VLOOKUP($A16,'détails investissements'!$A$71:$B$88,2,FALSE)&lt;=0,"",IF(VLOOKUP($A16,'détails investissements'!$A$26:$DE$43,AO$3-VLOOKUP($A16,'détails investissements'!$A$71:$B$88,2,FALSE)+1,FALSE)="","",VLOOKUP($A16,'détails investissements'!$A$26:$DE$43,AO$3-VLOOKUP($A16,'détails investissements'!$A$71:$B$88,2,FALSE)+1,FALSE)))&lt;&gt;"",HLOOKUP(IF(AO$3-VLOOKUP($A16,'détails investissements'!$A$71:$B$88,2,FALSE)&lt;=0,"",IF(VLOOKUP($A16,'détails investissements'!$A$26:$DE$43,AO$3-VLOOKUP($A16,'détails investissements'!$A$71:$B$88,2,FALSE)+1,FALSE)="","",VLOOKUP($A16,'détails investissements'!$A$26:$DE$43,AO$3-VLOOKUP($A16,'détails investissements'!$A$71:$B$88,2,FALSE)+1,FALSE))),'détails investissements'!$U$6:$AB$7,2,FALSE),""),FALSE),"")</f>
        <v/>
      </c>
      <c r="AP16" s="45" t="str">
        <f>IF(IF(IF(AP$3-VLOOKUP($A16,'détails investissements'!$A$71:$B$88,2,FALSE)&lt;=0,"",IF(VLOOKUP($A16,'détails investissements'!$A$26:$DE$43,AP$3-VLOOKUP($A16,'détails investissements'!$A$71:$B$88,2,FALSE)+1,FALSE)="","",VLOOKUP($A16,'détails investissements'!$A$26:$DE$43,AP$3-VLOOKUP($A16,'détails investissements'!$A$71:$B$88,2,FALSE)+1,FALSE)))&lt;&gt;"",HLOOKUP(IF(AP$3-VLOOKUP($A16,'détails investissements'!$A$71:$B$88,2,FALSE)&lt;=0,"",IF(VLOOKUP($A16,'détails investissements'!$A$26:$DE$43,AP$3-VLOOKUP($A16,'détails investissements'!$A$71:$B$88,2,FALSE)+1,FALSE)="","",VLOOKUP($A16,'détails investissements'!$A$26:$DE$43,AP$3-VLOOKUP($A16,'détails investissements'!$A$71:$B$88,2,FALSE)+1,FALSE))),'détails investissements'!$U$6:$AB$7,2,FALSE),"")&lt;&gt;"",VLOOKUP($A16,'détails investissements'!$A$7:$H$21,1+IF(IF(AP$3-VLOOKUP($A16,'détails investissements'!$A$71:$B$88,2,FALSE)&lt;=0,"",IF(VLOOKUP($A16,'détails investissements'!$A$26:$DE$43,AP$3-VLOOKUP($A16,'détails investissements'!$A$71:$B$88,2,FALSE)+1,FALSE)="","",VLOOKUP($A16,'détails investissements'!$A$26:$DE$43,AP$3-VLOOKUP($A16,'détails investissements'!$A$71:$B$88,2,FALSE)+1,FALSE)))&lt;&gt;"",HLOOKUP(IF(AP$3-VLOOKUP($A16,'détails investissements'!$A$71:$B$88,2,FALSE)&lt;=0,"",IF(VLOOKUP($A16,'détails investissements'!$A$26:$DE$43,AP$3-VLOOKUP($A16,'détails investissements'!$A$71:$B$88,2,FALSE)+1,FALSE)="","",VLOOKUP($A16,'détails investissements'!$A$26:$DE$43,AP$3-VLOOKUP($A16,'détails investissements'!$A$71:$B$88,2,FALSE)+1,FALSE))),'détails investissements'!$U$6:$AB$7,2,FALSE),""),FALSE),"")</f>
        <v/>
      </c>
      <c r="AQ16" s="45" t="str">
        <f>IF(IF(IF(AQ$3-VLOOKUP($A16,'détails investissements'!$A$71:$B$88,2,FALSE)&lt;=0,"",IF(VLOOKUP($A16,'détails investissements'!$A$26:$DE$43,AQ$3-VLOOKUP($A16,'détails investissements'!$A$71:$B$88,2,FALSE)+1,FALSE)="","",VLOOKUP($A16,'détails investissements'!$A$26:$DE$43,AQ$3-VLOOKUP($A16,'détails investissements'!$A$71:$B$88,2,FALSE)+1,FALSE)))&lt;&gt;"",HLOOKUP(IF(AQ$3-VLOOKUP($A16,'détails investissements'!$A$71:$B$88,2,FALSE)&lt;=0,"",IF(VLOOKUP($A16,'détails investissements'!$A$26:$DE$43,AQ$3-VLOOKUP($A16,'détails investissements'!$A$71:$B$88,2,FALSE)+1,FALSE)="","",VLOOKUP($A16,'détails investissements'!$A$26:$DE$43,AQ$3-VLOOKUP($A16,'détails investissements'!$A$71:$B$88,2,FALSE)+1,FALSE))),'détails investissements'!$U$6:$AB$7,2,FALSE),"")&lt;&gt;"",VLOOKUP($A16,'détails investissements'!$A$7:$H$21,1+IF(IF(AQ$3-VLOOKUP($A16,'détails investissements'!$A$71:$B$88,2,FALSE)&lt;=0,"",IF(VLOOKUP($A16,'détails investissements'!$A$26:$DE$43,AQ$3-VLOOKUP($A16,'détails investissements'!$A$71:$B$88,2,FALSE)+1,FALSE)="","",VLOOKUP($A16,'détails investissements'!$A$26:$DE$43,AQ$3-VLOOKUP($A16,'détails investissements'!$A$71:$B$88,2,FALSE)+1,FALSE)))&lt;&gt;"",HLOOKUP(IF(AQ$3-VLOOKUP($A16,'détails investissements'!$A$71:$B$88,2,FALSE)&lt;=0,"",IF(VLOOKUP($A16,'détails investissements'!$A$26:$DE$43,AQ$3-VLOOKUP($A16,'détails investissements'!$A$71:$B$88,2,FALSE)+1,FALSE)="","",VLOOKUP($A16,'détails investissements'!$A$26:$DE$43,AQ$3-VLOOKUP($A16,'détails investissements'!$A$71:$B$88,2,FALSE)+1,FALSE))),'détails investissements'!$U$6:$AB$7,2,FALSE),""),FALSE),"")</f>
        <v/>
      </c>
      <c r="AR16" s="45" t="str">
        <f>IF(IF(IF(AR$3-VLOOKUP($A16,'détails investissements'!$A$71:$B$88,2,FALSE)&lt;=0,"",IF(VLOOKUP($A16,'détails investissements'!$A$26:$DE$43,AR$3-VLOOKUP($A16,'détails investissements'!$A$71:$B$88,2,FALSE)+1,FALSE)="","",VLOOKUP($A16,'détails investissements'!$A$26:$DE$43,AR$3-VLOOKUP($A16,'détails investissements'!$A$71:$B$88,2,FALSE)+1,FALSE)))&lt;&gt;"",HLOOKUP(IF(AR$3-VLOOKUP($A16,'détails investissements'!$A$71:$B$88,2,FALSE)&lt;=0,"",IF(VLOOKUP($A16,'détails investissements'!$A$26:$DE$43,AR$3-VLOOKUP($A16,'détails investissements'!$A$71:$B$88,2,FALSE)+1,FALSE)="","",VLOOKUP($A16,'détails investissements'!$A$26:$DE$43,AR$3-VLOOKUP($A16,'détails investissements'!$A$71:$B$88,2,FALSE)+1,FALSE))),'détails investissements'!$U$6:$AB$7,2,FALSE),"")&lt;&gt;"",VLOOKUP($A16,'détails investissements'!$A$7:$H$21,1+IF(IF(AR$3-VLOOKUP($A16,'détails investissements'!$A$71:$B$88,2,FALSE)&lt;=0,"",IF(VLOOKUP($A16,'détails investissements'!$A$26:$DE$43,AR$3-VLOOKUP($A16,'détails investissements'!$A$71:$B$88,2,FALSE)+1,FALSE)="","",VLOOKUP($A16,'détails investissements'!$A$26:$DE$43,AR$3-VLOOKUP($A16,'détails investissements'!$A$71:$B$88,2,FALSE)+1,FALSE)))&lt;&gt;"",HLOOKUP(IF(AR$3-VLOOKUP($A16,'détails investissements'!$A$71:$B$88,2,FALSE)&lt;=0,"",IF(VLOOKUP($A16,'détails investissements'!$A$26:$DE$43,AR$3-VLOOKUP($A16,'détails investissements'!$A$71:$B$88,2,FALSE)+1,FALSE)="","",VLOOKUP($A16,'détails investissements'!$A$26:$DE$43,AR$3-VLOOKUP($A16,'détails investissements'!$A$71:$B$88,2,FALSE)+1,FALSE))),'détails investissements'!$U$6:$AB$7,2,FALSE),""),FALSE),"")</f>
        <v/>
      </c>
      <c r="AS16" s="45" t="str">
        <f>IF(IF(IF(AS$3-VLOOKUP($A16,'détails investissements'!$A$71:$B$88,2,FALSE)&lt;=0,"",IF(VLOOKUP($A16,'détails investissements'!$A$26:$DE$43,AS$3-VLOOKUP($A16,'détails investissements'!$A$71:$B$88,2,FALSE)+1,FALSE)="","",VLOOKUP($A16,'détails investissements'!$A$26:$DE$43,AS$3-VLOOKUP($A16,'détails investissements'!$A$71:$B$88,2,FALSE)+1,FALSE)))&lt;&gt;"",HLOOKUP(IF(AS$3-VLOOKUP($A16,'détails investissements'!$A$71:$B$88,2,FALSE)&lt;=0,"",IF(VLOOKUP($A16,'détails investissements'!$A$26:$DE$43,AS$3-VLOOKUP($A16,'détails investissements'!$A$71:$B$88,2,FALSE)+1,FALSE)="","",VLOOKUP($A16,'détails investissements'!$A$26:$DE$43,AS$3-VLOOKUP($A16,'détails investissements'!$A$71:$B$88,2,FALSE)+1,FALSE))),'détails investissements'!$U$6:$AB$7,2,FALSE),"")&lt;&gt;"",VLOOKUP($A16,'détails investissements'!$A$7:$H$21,1+IF(IF(AS$3-VLOOKUP($A16,'détails investissements'!$A$71:$B$88,2,FALSE)&lt;=0,"",IF(VLOOKUP($A16,'détails investissements'!$A$26:$DE$43,AS$3-VLOOKUP($A16,'détails investissements'!$A$71:$B$88,2,FALSE)+1,FALSE)="","",VLOOKUP($A16,'détails investissements'!$A$26:$DE$43,AS$3-VLOOKUP($A16,'détails investissements'!$A$71:$B$88,2,FALSE)+1,FALSE)))&lt;&gt;"",HLOOKUP(IF(AS$3-VLOOKUP($A16,'détails investissements'!$A$71:$B$88,2,FALSE)&lt;=0,"",IF(VLOOKUP($A16,'détails investissements'!$A$26:$DE$43,AS$3-VLOOKUP($A16,'détails investissements'!$A$71:$B$88,2,FALSE)+1,FALSE)="","",VLOOKUP($A16,'détails investissements'!$A$26:$DE$43,AS$3-VLOOKUP($A16,'détails investissements'!$A$71:$B$88,2,FALSE)+1,FALSE))),'détails investissements'!$U$6:$AB$7,2,FALSE),""),FALSE),"")</f>
        <v/>
      </c>
      <c r="AT16" s="45" t="str">
        <f>IF(IF(IF(AT$3-VLOOKUP($A16,'détails investissements'!$A$71:$B$88,2,FALSE)&lt;=0,"",IF(VLOOKUP($A16,'détails investissements'!$A$26:$DE$43,AT$3-VLOOKUP($A16,'détails investissements'!$A$71:$B$88,2,FALSE)+1,FALSE)="","",VLOOKUP($A16,'détails investissements'!$A$26:$DE$43,AT$3-VLOOKUP($A16,'détails investissements'!$A$71:$B$88,2,FALSE)+1,FALSE)))&lt;&gt;"",HLOOKUP(IF(AT$3-VLOOKUP($A16,'détails investissements'!$A$71:$B$88,2,FALSE)&lt;=0,"",IF(VLOOKUP($A16,'détails investissements'!$A$26:$DE$43,AT$3-VLOOKUP($A16,'détails investissements'!$A$71:$B$88,2,FALSE)+1,FALSE)="","",VLOOKUP($A16,'détails investissements'!$A$26:$DE$43,AT$3-VLOOKUP($A16,'détails investissements'!$A$71:$B$88,2,FALSE)+1,FALSE))),'détails investissements'!$U$6:$AB$7,2,FALSE),"")&lt;&gt;"",VLOOKUP($A16,'détails investissements'!$A$7:$H$21,1+IF(IF(AT$3-VLOOKUP($A16,'détails investissements'!$A$71:$B$88,2,FALSE)&lt;=0,"",IF(VLOOKUP($A16,'détails investissements'!$A$26:$DE$43,AT$3-VLOOKUP($A16,'détails investissements'!$A$71:$B$88,2,FALSE)+1,FALSE)="","",VLOOKUP($A16,'détails investissements'!$A$26:$DE$43,AT$3-VLOOKUP($A16,'détails investissements'!$A$71:$B$88,2,FALSE)+1,FALSE)))&lt;&gt;"",HLOOKUP(IF(AT$3-VLOOKUP($A16,'détails investissements'!$A$71:$B$88,2,FALSE)&lt;=0,"",IF(VLOOKUP($A16,'détails investissements'!$A$26:$DE$43,AT$3-VLOOKUP($A16,'détails investissements'!$A$71:$B$88,2,FALSE)+1,FALSE)="","",VLOOKUP($A16,'détails investissements'!$A$26:$DE$43,AT$3-VLOOKUP($A16,'détails investissements'!$A$71:$B$88,2,FALSE)+1,FALSE))),'détails investissements'!$U$6:$AB$7,2,FALSE),""),FALSE),"")</f>
        <v/>
      </c>
      <c r="AU16" s="45" t="str">
        <f>IF(IF(IF(AU$3-VLOOKUP($A16,'détails investissements'!$A$71:$B$88,2,FALSE)&lt;=0,"",IF(VLOOKUP($A16,'détails investissements'!$A$26:$DE$43,AU$3-VLOOKUP($A16,'détails investissements'!$A$71:$B$88,2,FALSE)+1,FALSE)="","",VLOOKUP($A16,'détails investissements'!$A$26:$DE$43,AU$3-VLOOKUP($A16,'détails investissements'!$A$71:$B$88,2,FALSE)+1,FALSE)))&lt;&gt;"",HLOOKUP(IF(AU$3-VLOOKUP($A16,'détails investissements'!$A$71:$B$88,2,FALSE)&lt;=0,"",IF(VLOOKUP($A16,'détails investissements'!$A$26:$DE$43,AU$3-VLOOKUP($A16,'détails investissements'!$A$71:$B$88,2,FALSE)+1,FALSE)="","",VLOOKUP($A16,'détails investissements'!$A$26:$DE$43,AU$3-VLOOKUP($A16,'détails investissements'!$A$71:$B$88,2,FALSE)+1,FALSE))),'détails investissements'!$U$6:$AB$7,2,FALSE),"")&lt;&gt;"",VLOOKUP($A16,'détails investissements'!$A$7:$H$21,1+IF(IF(AU$3-VLOOKUP($A16,'détails investissements'!$A$71:$B$88,2,FALSE)&lt;=0,"",IF(VLOOKUP($A16,'détails investissements'!$A$26:$DE$43,AU$3-VLOOKUP($A16,'détails investissements'!$A$71:$B$88,2,FALSE)+1,FALSE)="","",VLOOKUP($A16,'détails investissements'!$A$26:$DE$43,AU$3-VLOOKUP($A16,'détails investissements'!$A$71:$B$88,2,FALSE)+1,FALSE)))&lt;&gt;"",HLOOKUP(IF(AU$3-VLOOKUP($A16,'détails investissements'!$A$71:$B$88,2,FALSE)&lt;=0,"",IF(VLOOKUP($A16,'détails investissements'!$A$26:$DE$43,AU$3-VLOOKUP($A16,'détails investissements'!$A$71:$B$88,2,FALSE)+1,FALSE)="","",VLOOKUP($A16,'détails investissements'!$A$26:$DE$43,AU$3-VLOOKUP($A16,'détails investissements'!$A$71:$B$88,2,FALSE)+1,FALSE))),'détails investissements'!$U$6:$AB$7,2,FALSE),""),FALSE),"")</f>
        <v/>
      </c>
      <c r="AV16" s="45" t="str">
        <f>IF(IF(IF(AV$3-VLOOKUP($A16,'détails investissements'!$A$71:$B$88,2,FALSE)&lt;=0,"",IF(VLOOKUP($A16,'détails investissements'!$A$26:$DE$43,AV$3-VLOOKUP($A16,'détails investissements'!$A$71:$B$88,2,FALSE)+1,FALSE)="","",VLOOKUP($A16,'détails investissements'!$A$26:$DE$43,AV$3-VLOOKUP($A16,'détails investissements'!$A$71:$B$88,2,FALSE)+1,FALSE)))&lt;&gt;"",HLOOKUP(IF(AV$3-VLOOKUP($A16,'détails investissements'!$A$71:$B$88,2,FALSE)&lt;=0,"",IF(VLOOKUP($A16,'détails investissements'!$A$26:$DE$43,AV$3-VLOOKUP($A16,'détails investissements'!$A$71:$B$88,2,FALSE)+1,FALSE)="","",VLOOKUP($A16,'détails investissements'!$A$26:$DE$43,AV$3-VLOOKUP($A16,'détails investissements'!$A$71:$B$88,2,FALSE)+1,FALSE))),'détails investissements'!$U$6:$AB$7,2,FALSE),"")&lt;&gt;"",VLOOKUP($A16,'détails investissements'!$A$7:$H$21,1+IF(IF(AV$3-VLOOKUP($A16,'détails investissements'!$A$71:$B$88,2,FALSE)&lt;=0,"",IF(VLOOKUP($A16,'détails investissements'!$A$26:$DE$43,AV$3-VLOOKUP($A16,'détails investissements'!$A$71:$B$88,2,FALSE)+1,FALSE)="","",VLOOKUP($A16,'détails investissements'!$A$26:$DE$43,AV$3-VLOOKUP($A16,'détails investissements'!$A$71:$B$88,2,FALSE)+1,FALSE)))&lt;&gt;"",HLOOKUP(IF(AV$3-VLOOKUP($A16,'détails investissements'!$A$71:$B$88,2,FALSE)&lt;=0,"",IF(VLOOKUP($A16,'détails investissements'!$A$26:$DE$43,AV$3-VLOOKUP($A16,'détails investissements'!$A$71:$B$88,2,FALSE)+1,FALSE)="","",VLOOKUP($A16,'détails investissements'!$A$26:$DE$43,AV$3-VLOOKUP($A16,'détails investissements'!$A$71:$B$88,2,FALSE)+1,FALSE))),'détails investissements'!$U$6:$AB$7,2,FALSE),""),FALSE),"")</f>
        <v/>
      </c>
      <c r="AW16" s="45" t="str">
        <f>IF(IF(IF(AW$3-VLOOKUP($A16,'détails investissements'!$A$71:$B$88,2,FALSE)&lt;=0,"",IF(VLOOKUP($A16,'détails investissements'!$A$26:$DE$43,AW$3-VLOOKUP($A16,'détails investissements'!$A$71:$B$88,2,FALSE)+1,FALSE)="","",VLOOKUP($A16,'détails investissements'!$A$26:$DE$43,AW$3-VLOOKUP($A16,'détails investissements'!$A$71:$B$88,2,FALSE)+1,FALSE)))&lt;&gt;"",HLOOKUP(IF(AW$3-VLOOKUP($A16,'détails investissements'!$A$71:$B$88,2,FALSE)&lt;=0,"",IF(VLOOKUP($A16,'détails investissements'!$A$26:$DE$43,AW$3-VLOOKUP($A16,'détails investissements'!$A$71:$B$88,2,FALSE)+1,FALSE)="","",VLOOKUP($A16,'détails investissements'!$A$26:$DE$43,AW$3-VLOOKUP($A16,'détails investissements'!$A$71:$B$88,2,FALSE)+1,FALSE))),'détails investissements'!$U$6:$AB$7,2,FALSE),"")&lt;&gt;"",VLOOKUP($A16,'détails investissements'!$A$7:$H$21,1+IF(IF(AW$3-VLOOKUP($A16,'détails investissements'!$A$71:$B$88,2,FALSE)&lt;=0,"",IF(VLOOKUP($A16,'détails investissements'!$A$26:$DE$43,AW$3-VLOOKUP($A16,'détails investissements'!$A$71:$B$88,2,FALSE)+1,FALSE)="","",VLOOKUP($A16,'détails investissements'!$A$26:$DE$43,AW$3-VLOOKUP($A16,'détails investissements'!$A$71:$B$88,2,FALSE)+1,FALSE)))&lt;&gt;"",HLOOKUP(IF(AW$3-VLOOKUP($A16,'détails investissements'!$A$71:$B$88,2,FALSE)&lt;=0,"",IF(VLOOKUP($A16,'détails investissements'!$A$26:$DE$43,AW$3-VLOOKUP($A16,'détails investissements'!$A$71:$B$88,2,FALSE)+1,FALSE)="","",VLOOKUP($A16,'détails investissements'!$A$26:$DE$43,AW$3-VLOOKUP($A16,'détails investissements'!$A$71:$B$88,2,FALSE)+1,FALSE))),'détails investissements'!$U$6:$AB$7,2,FALSE),""),FALSE),"")</f>
        <v/>
      </c>
      <c r="AX16" s="45" t="str">
        <f>IF(IF(IF(AX$3-VLOOKUP($A16,'détails investissements'!$A$71:$B$88,2,FALSE)&lt;=0,"",IF(VLOOKUP($A16,'détails investissements'!$A$26:$DE$43,AX$3-VLOOKUP($A16,'détails investissements'!$A$71:$B$88,2,FALSE)+1,FALSE)="","",VLOOKUP($A16,'détails investissements'!$A$26:$DE$43,AX$3-VLOOKUP($A16,'détails investissements'!$A$71:$B$88,2,FALSE)+1,FALSE)))&lt;&gt;"",HLOOKUP(IF(AX$3-VLOOKUP($A16,'détails investissements'!$A$71:$B$88,2,FALSE)&lt;=0,"",IF(VLOOKUP($A16,'détails investissements'!$A$26:$DE$43,AX$3-VLOOKUP($A16,'détails investissements'!$A$71:$B$88,2,FALSE)+1,FALSE)="","",VLOOKUP($A16,'détails investissements'!$A$26:$DE$43,AX$3-VLOOKUP($A16,'détails investissements'!$A$71:$B$88,2,FALSE)+1,FALSE))),'détails investissements'!$U$6:$AB$7,2,FALSE),"")&lt;&gt;"",VLOOKUP($A16,'détails investissements'!$A$7:$H$21,1+IF(IF(AX$3-VLOOKUP($A16,'détails investissements'!$A$71:$B$88,2,FALSE)&lt;=0,"",IF(VLOOKUP($A16,'détails investissements'!$A$26:$DE$43,AX$3-VLOOKUP($A16,'détails investissements'!$A$71:$B$88,2,FALSE)+1,FALSE)="","",VLOOKUP($A16,'détails investissements'!$A$26:$DE$43,AX$3-VLOOKUP($A16,'détails investissements'!$A$71:$B$88,2,FALSE)+1,FALSE)))&lt;&gt;"",HLOOKUP(IF(AX$3-VLOOKUP($A16,'détails investissements'!$A$71:$B$88,2,FALSE)&lt;=0,"",IF(VLOOKUP($A16,'détails investissements'!$A$26:$DE$43,AX$3-VLOOKUP($A16,'détails investissements'!$A$71:$B$88,2,FALSE)+1,FALSE)="","",VLOOKUP($A16,'détails investissements'!$A$26:$DE$43,AX$3-VLOOKUP($A16,'détails investissements'!$A$71:$B$88,2,FALSE)+1,FALSE))),'détails investissements'!$U$6:$AB$7,2,FALSE),""),FALSE),"")</f>
        <v/>
      </c>
      <c r="AY16" s="45" t="str">
        <f>IF(IF(IF(AY$3-VLOOKUP($A16,'détails investissements'!$A$71:$B$88,2,FALSE)&lt;=0,"",IF(VLOOKUP($A16,'détails investissements'!$A$26:$DE$43,AY$3-VLOOKUP($A16,'détails investissements'!$A$71:$B$88,2,FALSE)+1,FALSE)="","",VLOOKUP($A16,'détails investissements'!$A$26:$DE$43,AY$3-VLOOKUP($A16,'détails investissements'!$A$71:$B$88,2,FALSE)+1,FALSE)))&lt;&gt;"",HLOOKUP(IF(AY$3-VLOOKUP($A16,'détails investissements'!$A$71:$B$88,2,FALSE)&lt;=0,"",IF(VLOOKUP($A16,'détails investissements'!$A$26:$DE$43,AY$3-VLOOKUP($A16,'détails investissements'!$A$71:$B$88,2,FALSE)+1,FALSE)="","",VLOOKUP($A16,'détails investissements'!$A$26:$DE$43,AY$3-VLOOKUP($A16,'détails investissements'!$A$71:$B$88,2,FALSE)+1,FALSE))),'détails investissements'!$U$6:$AB$7,2,FALSE),"")&lt;&gt;"",VLOOKUP($A16,'détails investissements'!$A$7:$H$21,1+IF(IF(AY$3-VLOOKUP($A16,'détails investissements'!$A$71:$B$88,2,FALSE)&lt;=0,"",IF(VLOOKUP($A16,'détails investissements'!$A$26:$DE$43,AY$3-VLOOKUP($A16,'détails investissements'!$A$71:$B$88,2,FALSE)+1,FALSE)="","",VLOOKUP($A16,'détails investissements'!$A$26:$DE$43,AY$3-VLOOKUP($A16,'détails investissements'!$A$71:$B$88,2,FALSE)+1,FALSE)))&lt;&gt;"",HLOOKUP(IF(AY$3-VLOOKUP($A16,'détails investissements'!$A$71:$B$88,2,FALSE)&lt;=0,"",IF(VLOOKUP($A16,'détails investissements'!$A$26:$DE$43,AY$3-VLOOKUP($A16,'détails investissements'!$A$71:$B$88,2,FALSE)+1,FALSE)="","",VLOOKUP($A16,'détails investissements'!$A$26:$DE$43,AY$3-VLOOKUP($A16,'détails investissements'!$A$71:$B$88,2,FALSE)+1,FALSE))),'détails investissements'!$U$6:$AB$7,2,FALSE),""),FALSE),"")</f>
        <v/>
      </c>
      <c r="AZ16" s="45" t="str">
        <f>IF(IF(IF(AZ$3-VLOOKUP($A16,'détails investissements'!$A$71:$B$88,2,FALSE)&lt;=0,"",IF(VLOOKUP($A16,'détails investissements'!$A$26:$DE$43,AZ$3-VLOOKUP($A16,'détails investissements'!$A$71:$B$88,2,FALSE)+1,FALSE)="","",VLOOKUP($A16,'détails investissements'!$A$26:$DE$43,AZ$3-VLOOKUP($A16,'détails investissements'!$A$71:$B$88,2,FALSE)+1,FALSE)))&lt;&gt;"",HLOOKUP(IF(AZ$3-VLOOKUP($A16,'détails investissements'!$A$71:$B$88,2,FALSE)&lt;=0,"",IF(VLOOKUP($A16,'détails investissements'!$A$26:$DE$43,AZ$3-VLOOKUP($A16,'détails investissements'!$A$71:$B$88,2,FALSE)+1,FALSE)="","",VLOOKUP($A16,'détails investissements'!$A$26:$DE$43,AZ$3-VLOOKUP($A16,'détails investissements'!$A$71:$B$88,2,FALSE)+1,FALSE))),'détails investissements'!$U$6:$AB$7,2,FALSE),"")&lt;&gt;"",VLOOKUP($A16,'détails investissements'!$A$7:$H$21,1+IF(IF(AZ$3-VLOOKUP($A16,'détails investissements'!$A$71:$B$88,2,FALSE)&lt;=0,"",IF(VLOOKUP($A16,'détails investissements'!$A$26:$DE$43,AZ$3-VLOOKUP($A16,'détails investissements'!$A$71:$B$88,2,FALSE)+1,FALSE)="","",VLOOKUP($A16,'détails investissements'!$A$26:$DE$43,AZ$3-VLOOKUP($A16,'détails investissements'!$A$71:$B$88,2,FALSE)+1,FALSE)))&lt;&gt;"",HLOOKUP(IF(AZ$3-VLOOKUP($A16,'détails investissements'!$A$71:$B$88,2,FALSE)&lt;=0,"",IF(VLOOKUP($A16,'détails investissements'!$A$26:$DE$43,AZ$3-VLOOKUP($A16,'détails investissements'!$A$71:$B$88,2,FALSE)+1,FALSE)="","",VLOOKUP($A16,'détails investissements'!$A$26:$DE$43,AZ$3-VLOOKUP($A16,'détails investissements'!$A$71:$B$88,2,FALSE)+1,FALSE))),'détails investissements'!$U$6:$AB$7,2,FALSE),""),FALSE),"")</f>
        <v/>
      </c>
      <c r="BA16" s="45" t="str">
        <f>IF(IF(IF(BA$3-VLOOKUP($A16,'détails investissements'!$A$71:$B$88,2,FALSE)&lt;=0,"",IF(VLOOKUP($A16,'détails investissements'!$A$26:$DE$43,BA$3-VLOOKUP($A16,'détails investissements'!$A$71:$B$88,2,FALSE)+1,FALSE)="","",VLOOKUP($A16,'détails investissements'!$A$26:$DE$43,BA$3-VLOOKUP($A16,'détails investissements'!$A$71:$B$88,2,FALSE)+1,FALSE)))&lt;&gt;"",HLOOKUP(IF(BA$3-VLOOKUP($A16,'détails investissements'!$A$71:$B$88,2,FALSE)&lt;=0,"",IF(VLOOKUP($A16,'détails investissements'!$A$26:$DE$43,BA$3-VLOOKUP($A16,'détails investissements'!$A$71:$B$88,2,FALSE)+1,FALSE)="","",VLOOKUP($A16,'détails investissements'!$A$26:$DE$43,BA$3-VLOOKUP($A16,'détails investissements'!$A$71:$B$88,2,FALSE)+1,FALSE))),'détails investissements'!$U$6:$AB$7,2,FALSE),"")&lt;&gt;"",VLOOKUP($A16,'détails investissements'!$A$7:$H$21,1+IF(IF(BA$3-VLOOKUP($A16,'détails investissements'!$A$71:$B$88,2,FALSE)&lt;=0,"",IF(VLOOKUP($A16,'détails investissements'!$A$26:$DE$43,BA$3-VLOOKUP($A16,'détails investissements'!$A$71:$B$88,2,FALSE)+1,FALSE)="","",VLOOKUP($A16,'détails investissements'!$A$26:$DE$43,BA$3-VLOOKUP($A16,'détails investissements'!$A$71:$B$88,2,FALSE)+1,FALSE)))&lt;&gt;"",HLOOKUP(IF(BA$3-VLOOKUP($A16,'détails investissements'!$A$71:$B$88,2,FALSE)&lt;=0,"",IF(VLOOKUP($A16,'détails investissements'!$A$26:$DE$43,BA$3-VLOOKUP($A16,'détails investissements'!$A$71:$B$88,2,FALSE)+1,FALSE)="","",VLOOKUP($A16,'détails investissements'!$A$26:$DE$43,BA$3-VLOOKUP($A16,'détails investissements'!$A$71:$B$88,2,FALSE)+1,FALSE))),'détails investissements'!$U$6:$AB$7,2,FALSE),""),FALSE),"")</f>
        <v/>
      </c>
      <c r="BB16" s="45" t="str">
        <f>IF(IF(IF(BB$3-VLOOKUP($A16,'détails investissements'!$A$71:$B$88,2,FALSE)&lt;=0,"",IF(VLOOKUP($A16,'détails investissements'!$A$26:$DE$43,BB$3-VLOOKUP($A16,'détails investissements'!$A$71:$B$88,2,FALSE)+1,FALSE)="","",VLOOKUP($A16,'détails investissements'!$A$26:$DE$43,BB$3-VLOOKUP($A16,'détails investissements'!$A$71:$B$88,2,FALSE)+1,FALSE)))&lt;&gt;"",HLOOKUP(IF(BB$3-VLOOKUP($A16,'détails investissements'!$A$71:$B$88,2,FALSE)&lt;=0,"",IF(VLOOKUP($A16,'détails investissements'!$A$26:$DE$43,BB$3-VLOOKUP($A16,'détails investissements'!$A$71:$B$88,2,FALSE)+1,FALSE)="","",VLOOKUP($A16,'détails investissements'!$A$26:$DE$43,BB$3-VLOOKUP($A16,'détails investissements'!$A$71:$B$88,2,FALSE)+1,FALSE))),'détails investissements'!$U$6:$AB$7,2,FALSE),"")&lt;&gt;"",VLOOKUP($A16,'détails investissements'!$A$7:$H$21,1+IF(IF(BB$3-VLOOKUP($A16,'détails investissements'!$A$71:$B$88,2,FALSE)&lt;=0,"",IF(VLOOKUP($A16,'détails investissements'!$A$26:$DE$43,BB$3-VLOOKUP($A16,'détails investissements'!$A$71:$B$88,2,FALSE)+1,FALSE)="","",VLOOKUP($A16,'détails investissements'!$A$26:$DE$43,BB$3-VLOOKUP($A16,'détails investissements'!$A$71:$B$88,2,FALSE)+1,FALSE)))&lt;&gt;"",HLOOKUP(IF(BB$3-VLOOKUP($A16,'détails investissements'!$A$71:$B$88,2,FALSE)&lt;=0,"",IF(VLOOKUP($A16,'détails investissements'!$A$26:$DE$43,BB$3-VLOOKUP($A16,'détails investissements'!$A$71:$B$88,2,FALSE)+1,FALSE)="","",VLOOKUP($A16,'détails investissements'!$A$26:$DE$43,BB$3-VLOOKUP($A16,'détails investissements'!$A$71:$B$88,2,FALSE)+1,FALSE))),'détails investissements'!$U$6:$AB$7,2,FALSE),""),FALSE),"")</f>
        <v/>
      </c>
      <c r="BC16" s="45" t="str">
        <f>IF(IF(IF(BC$3-VLOOKUP($A16,'détails investissements'!$A$71:$B$88,2,FALSE)&lt;=0,"",IF(VLOOKUP($A16,'détails investissements'!$A$26:$DE$43,BC$3-VLOOKUP($A16,'détails investissements'!$A$71:$B$88,2,FALSE)+1,FALSE)="","",VLOOKUP($A16,'détails investissements'!$A$26:$DE$43,BC$3-VLOOKUP($A16,'détails investissements'!$A$71:$B$88,2,FALSE)+1,FALSE)))&lt;&gt;"",HLOOKUP(IF(BC$3-VLOOKUP($A16,'détails investissements'!$A$71:$B$88,2,FALSE)&lt;=0,"",IF(VLOOKUP($A16,'détails investissements'!$A$26:$DE$43,BC$3-VLOOKUP($A16,'détails investissements'!$A$71:$B$88,2,FALSE)+1,FALSE)="","",VLOOKUP($A16,'détails investissements'!$A$26:$DE$43,BC$3-VLOOKUP($A16,'détails investissements'!$A$71:$B$88,2,FALSE)+1,FALSE))),'détails investissements'!$U$6:$AB$7,2,FALSE),"")&lt;&gt;"",VLOOKUP($A16,'détails investissements'!$A$7:$H$21,1+IF(IF(BC$3-VLOOKUP($A16,'détails investissements'!$A$71:$B$88,2,FALSE)&lt;=0,"",IF(VLOOKUP($A16,'détails investissements'!$A$26:$DE$43,BC$3-VLOOKUP($A16,'détails investissements'!$A$71:$B$88,2,FALSE)+1,FALSE)="","",VLOOKUP($A16,'détails investissements'!$A$26:$DE$43,BC$3-VLOOKUP($A16,'détails investissements'!$A$71:$B$88,2,FALSE)+1,FALSE)))&lt;&gt;"",HLOOKUP(IF(BC$3-VLOOKUP($A16,'détails investissements'!$A$71:$B$88,2,FALSE)&lt;=0,"",IF(VLOOKUP($A16,'détails investissements'!$A$26:$DE$43,BC$3-VLOOKUP($A16,'détails investissements'!$A$71:$B$88,2,FALSE)+1,FALSE)="","",VLOOKUP($A16,'détails investissements'!$A$26:$DE$43,BC$3-VLOOKUP($A16,'détails investissements'!$A$71:$B$88,2,FALSE)+1,FALSE))),'détails investissements'!$U$6:$AB$7,2,FALSE),""),FALSE),"")</f>
        <v/>
      </c>
      <c r="BD16" s="45" t="str">
        <f>IF(IF(IF(BD$3-VLOOKUP($A16,'détails investissements'!$A$71:$B$88,2,FALSE)&lt;=0,"",IF(VLOOKUP($A16,'détails investissements'!$A$26:$DE$43,BD$3-VLOOKUP($A16,'détails investissements'!$A$71:$B$88,2,FALSE)+1,FALSE)="","",VLOOKUP($A16,'détails investissements'!$A$26:$DE$43,BD$3-VLOOKUP($A16,'détails investissements'!$A$71:$B$88,2,FALSE)+1,FALSE)))&lt;&gt;"",HLOOKUP(IF(BD$3-VLOOKUP($A16,'détails investissements'!$A$71:$B$88,2,FALSE)&lt;=0,"",IF(VLOOKUP($A16,'détails investissements'!$A$26:$DE$43,BD$3-VLOOKUP($A16,'détails investissements'!$A$71:$B$88,2,FALSE)+1,FALSE)="","",VLOOKUP($A16,'détails investissements'!$A$26:$DE$43,BD$3-VLOOKUP($A16,'détails investissements'!$A$71:$B$88,2,FALSE)+1,FALSE))),'détails investissements'!$U$6:$AB$7,2,FALSE),"")&lt;&gt;"",VLOOKUP($A16,'détails investissements'!$A$7:$H$21,1+IF(IF(BD$3-VLOOKUP($A16,'détails investissements'!$A$71:$B$88,2,FALSE)&lt;=0,"",IF(VLOOKUP($A16,'détails investissements'!$A$26:$DE$43,BD$3-VLOOKUP($A16,'détails investissements'!$A$71:$B$88,2,FALSE)+1,FALSE)="","",VLOOKUP($A16,'détails investissements'!$A$26:$DE$43,BD$3-VLOOKUP($A16,'détails investissements'!$A$71:$B$88,2,FALSE)+1,FALSE)))&lt;&gt;"",HLOOKUP(IF(BD$3-VLOOKUP($A16,'détails investissements'!$A$71:$B$88,2,FALSE)&lt;=0,"",IF(VLOOKUP($A16,'détails investissements'!$A$26:$DE$43,BD$3-VLOOKUP($A16,'détails investissements'!$A$71:$B$88,2,FALSE)+1,FALSE)="","",VLOOKUP($A16,'détails investissements'!$A$26:$DE$43,BD$3-VLOOKUP($A16,'détails investissements'!$A$71:$B$88,2,FALSE)+1,FALSE))),'détails investissements'!$U$6:$AB$7,2,FALSE),""),FALSE),"")</f>
        <v/>
      </c>
      <c r="BE16" s="45" t="str">
        <f>IF(IF(IF(BE$3-VLOOKUP($A16,'détails investissements'!$A$71:$B$88,2,FALSE)&lt;=0,"",IF(VLOOKUP($A16,'détails investissements'!$A$26:$DE$43,BE$3-VLOOKUP($A16,'détails investissements'!$A$71:$B$88,2,FALSE)+1,FALSE)="","",VLOOKUP($A16,'détails investissements'!$A$26:$DE$43,BE$3-VLOOKUP($A16,'détails investissements'!$A$71:$B$88,2,FALSE)+1,FALSE)))&lt;&gt;"",HLOOKUP(IF(BE$3-VLOOKUP($A16,'détails investissements'!$A$71:$B$88,2,FALSE)&lt;=0,"",IF(VLOOKUP($A16,'détails investissements'!$A$26:$DE$43,BE$3-VLOOKUP($A16,'détails investissements'!$A$71:$B$88,2,FALSE)+1,FALSE)="","",VLOOKUP($A16,'détails investissements'!$A$26:$DE$43,BE$3-VLOOKUP($A16,'détails investissements'!$A$71:$B$88,2,FALSE)+1,FALSE))),'détails investissements'!$U$6:$AB$7,2,FALSE),"")&lt;&gt;"",VLOOKUP($A16,'détails investissements'!$A$7:$H$21,1+IF(IF(BE$3-VLOOKUP($A16,'détails investissements'!$A$71:$B$88,2,FALSE)&lt;=0,"",IF(VLOOKUP($A16,'détails investissements'!$A$26:$DE$43,BE$3-VLOOKUP($A16,'détails investissements'!$A$71:$B$88,2,FALSE)+1,FALSE)="","",VLOOKUP($A16,'détails investissements'!$A$26:$DE$43,BE$3-VLOOKUP($A16,'détails investissements'!$A$71:$B$88,2,FALSE)+1,FALSE)))&lt;&gt;"",HLOOKUP(IF(BE$3-VLOOKUP($A16,'détails investissements'!$A$71:$B$88,2,FALSE)&lt;=0,"",IF(VLOOKUP($A16,'détails investissements'!$A$26:$DE$43,BE$3-VLOOKUP($A16,'détails investissements'!$A$71:$B$88,2,FALSE)+1,FALSE)="","",VLOOKUP($A16,'détails investissements'!$A$26:$DE$43,BE$3-VLOOKUP($A16,'détails investissements'!$A$71:$B$88,2,FALSE)+1,FALSE))),'détails investissements'!$U$6:$AB$7,2,FALSE),""),FALSE),"")</f>
        <v/>
      </c>
      <c r="BF16" s="45" t="str">
        <f>IF(IF(IF(BF$3-VLOOKUP($A16,'détails investissements'!$A$71:$B$88,2,FALSE)&lt;=0,"",IF(VLOOKUP($A16,'détails investissements'!$A$26:$DE$43,BF$3-VLOOKUP($A16,'détails investissements'!$A$71:$B$88,2,FALSE)+1,FALSE)="","",VLOOKUP($A16,'détails investissements'!$A$26:$DE$43,BF$3-VLOOKUP($A16,'détails investissements'!$A$71:$B$88,2,FALSE)+1,FALSE)))&lt;&gt;"",HLOOKUP(IF(BF$3-VLOOKUP($A16,'détails investissements'!$A$71:$B$88,2,FALSE)&lt;=0,"",IF(VLOOKUP($A16,'détails investissements'!$A$26:$DE$43,BF$3-VLOOKUP($A16,'détails investissements'!$A$71:$B$88,2,FALSE)+1,FALSE)="","",VLOOKUP($A16,'détails investissements'!$A$26:$DE$43,BF$3-VLOOKUP($A16,'détails investissements'!$A$71:$B$88,2,FALSE)+1,FALSE))),'détails investissements'!$U$6:$AB$7,2,FALSE),"")&lt;&gt;"",VLOOKUP($A16,'détails investissements'!$A$7:$H$21,1+IF(IF(BF$3-VLOOKUP($A16,'détails investissements'!$A$71:$B$88,2,FALSE)&lt;=0,"",IF(VLOOKUP($A16,'détails investissements'!$A$26:$DE$43,BF$3-VLOOKUP($A16,'détails investissements'!$A$71:$B$88,2,FALSE)+1,FALSE)="","",VLOOKUP($A16,'détails investissements'!$A$26:$DE$43,BF$3-VLOOKUP($A16,'détails investissements'!$A$71:$B$88,2,FALSE)+1,FALSE)))&lt;&gt;"",HLOOKUP(IF(BF$3-VLOOKUP($A16,'détails investissements'!$A$71:$B$88,2,FALSE)&lt;=0,"",IF(VLOOKUP($A16,'détails investissements'!$A$26:$DE$43,BF$3-VLOOKUP($A16,'détails investissements'!$A$71:$B$88,2,FALSE)+1,FALSE)="","",VLOOKUP($A16,'détails investissements'!$A$26:$DE$43,BF$3-VLOOKUP($A16,'détails investissements'!$A$71:$B$88,2,FALSE)+1,FALSE))),'détails investissements'!$U$6:$AB$7,2,FALSE),""),FALSE),"")</f>
        <v/>
      </c>
      <c r="BG16" s="45" t="str">
        <f>IF(IF(IF(BG$3-VLOOKUP($A16,'détails investissements'!$A$71:$B$88,2,FALSE)&lt;=0,"",IF(VLOOKUP($A16,'détails investissements'!$A$26:$DE$43,BG$3-VLOOKUP($A16,'détails investissements'!$A$71:$B$88,2,FALSE)+1,FALSE)="","",VLOOKUP($A16,'détails investissements'!$A$26:$DE$43,BG$3-VLOOKUP($A16,'détails investissements'!$A$71:$B$88,2,FALSE)+1,FALSE)))&lt;&gt;"",HLOOKUP(IF(BG$3-VLOOKUP($A16,'détails investissements'!$A$71:$B$88,2,FALSE)&lt;=0,"",IF(VLOOKUP($A16,'détails investissements'!$A$26:$DE$43,BG$3-VLOOKUP($A16,'détails investissements'!$A$71:$B$88,2,FALSE)+1,FALSE)="","",VLOOKUP($A16,'détails investissements'!$A$26:$DE$43,BG$3-VLOOKUP($A16,'détails investissements'!$A$71:$B$88,2,FALSE)+1,FALSE))),'détails investissements'!$U$6:$AB$7,2,FALSE),"")&lt;&gt;"",VLOOKUP($A16,'détails investissements'!$A$7:$H$21,1+IF(IF(BG$3-VLOOKUP($A16,'détails investissements'!$A$71:$B$88,2,FALSE)&lt;=0,"",IF(VLOOKUP($A16,'détails investissements'!$A$26:$DE$43,BG$3-VLOOKUP($A16,'détails investissements'!$A$71:$B$88,2,FALSE)+1,FALSE)="","",VLOOKUP($A16,'détails investissements'!$A$26:$DE$43,BG$3-VLOOKUP($A16,'détails investissements'!$A$71:$B$88,2,FALSE)+1,FALSE)))&lt;&gt;"",HLOOKUP(IF(BG$3-VLOOKUP($A16,'détails investissements'!$A$71:$B$88,2,FALSE)&lt;=0,"",IF(VLOOKUP($A16,'détails investissements'!$A$26:$DE$43,BG$3-VLOOKUP($A16,'détails investissements'!$A$71:$B$88,2,FALSE)+1,FALSE)="","",VLOOKUP($A16,'détails investissements'!$A$26:$DE$43,BG$3-VLOOKUP($A16,'détails investissements'!$A$71:$B$88,2,FALSE)+1,FALSE))),'détails investissements'!$U$6:$AB$7,2,FALSE),""),FALSE),"")</f>
        <v/>
      </c>
      <c r="BH16" s="45" t="str">
        <f>IF(IF(IF(BH$3-VLOOKUP($A16,'détails investissements'!$A$71:$B$88,2,FALSE)&lt;=0,"",IF(VLOOKUP($A16,'détails investissements'!$A$26:$DE$43,BH$3-VLOOKUP($A16,'détails investissements'!$A$71:$B$88,2,FALSE)+1,FALSE)="","",VLOOKUP($A16,'détails investissements'!$A$26:$DE$43,BH$3-VLOOKUP($A16,'détails investissements'!$A$71:$B$88,2,FALSE)+1,FALSE)))&lt;&gt;"",HLOOKUP(IF(BH$3-VLOOKUP($A16,'détails investissements'!$A$71:$B$88,2,FALSE)&lt;=0,"",IF(VLOOKUP($A16,'détails investissements'!$A$26:$DE$43,BH$3-VLOOKUP($A16,'détails investissements'!$A$71:$B$88,2,FALSE)+1,FALSE)="","",VLOOKUP($A16,'détails investissements'!$A$26:$DE$43,BH$3-VLOOKUP($A16,'détails investissements'!$A$71:$B$88,2,FALSE)+1,FALSE))),'détails investissements'!$U$6:$AB$7,2,FALSE),"")&lt;&gt;"",VLOOKUP($A16,'détails investissements'!$A$7:$H$21,1+IF(IF(BH$3-VLOOKUP($A16,'détails investissements'!$A$71:$B$88,2,FALSE)&lt;=0,"",IF(VLOOKUP($A16,'détails investissements'!$A$26:$DE$43,BH$3-VLOOKUP($A16,'détails investissements'!$A$71:$B$88,2,FALSE)+1,FALSE)="","",VLOOKUP($A16,'détails investissements'!$A$26:$DE$43,BH$3-VLOOKUP($A16,'détails investissements'!$A$71:$B$88,2,FALSE)+1,FALSE)))&lt;&gt;"",HLOOKUP(IF(BH$3-VLOOKUP($A16,'détails investissements'!$A$71:$B$88,2,FALSE)&lt;=0,"",IF(VLOOKUP($A16,'détails investissements'!$A$26:$DE$43,BH$3-VLOOKUP($A16,'détails investissements'!$A$71:$B$88,2,FALSE)+1,FALSE)="","",VLOOKUP($A16,'détails investissements'!$A$26:$DE$43,BH$3-VLOOKUP($A16,'détails investissements'!$A$71:$B$88,2,FALSE)+1,FALSE))),'détails investissements'!$U$6:$AB$7,2,FALSE),""),FALSE),"")</f>
        <v/>
      </c>
      <c r="BI16" s="45" t="str">
        <f>IF(IF(IF(BI$3-VLOOKUP($A16,'détails investissements'!$A$71:$B$88,2,FALSE)&lt;=0,"",IF(VLOOKUP($A16,'détails investissements'!$A$26:$DE$43,BI$3-VLOOKUP($A16,'détails investissements'!$A$71:$B$88,2,FALSE)+1,FALSE)="","",VLOOKUP($A16,'détails investissements'!$A$26:$DE$43,BI$3-VLOOKUP($A16,'détails investissements'!$A$71:$B$88,2,FALSE)+1,FALSE)))&lt;&gt;"",HLOOKUP(IF(BI$3-VLOOKUP($A16,'détails investissements'!$A$71:$B$88,2,FALSE)&lt;=0,"",IF(VLOOKUP($A16,'détails investissements'!$A$26:$DE$43,BI$3-VLOOKUP($A16,'détails investissements'!$A$71:$B$88,2,FALSE)+1,FALSE)="","",VLOOKUP($A16,'détails investissements'!$A$26:$DE$43,BI$3-VLOOKUP($A16,'détails investissements'!$A$71:$B$88,2,FALSE)+1,FALSE))),'détails investissements'!$U$6:$AB$7,2,FALSE),"")&lt;&gt;"",VLOOKUP($A16,'détails investissements'!$A$7:$H$21,1+IF(IF(BI$3-VLOOKUP($A16,'détails investissements'!$A$71:$B$88,2,FALSE)&lt;=0,"",IF(VLOOKUP($A16,'détails investissements'!$A$26:$DE$43,BI$3-VLOOKUP($A16,'détails investissements'!$A$71:$B$88,2,FALSE)+1,FALSE)="","",VLOOKUP($A16,'détails investissements'!$A$26:$DE$43,BI$3-VLOOKUP($A16,'détails investissements'!$A$71:$B$88,2,FALSE)+1,FALSE)))&lt;&gt;"",HLOOKUP(IF(BI$3-VLOOKUP($A16,'détails investissements'!$A$71:$B$88,2,FALSE)&lt;=0,"",IF(VLOOKUP($A16,'détails investissements'!$A$26:$DE$43,BI$3-VLOOKUP($A16,'détails investissements'!$A$71:$B$88,2,FALSE)+1,FALSE)="","",VLOOKUP($A16,'détails investissements'!$A$26:$DE$43,BI$3-VLOOKUP($A16,'détails investissements'!$A$71:$B$88,2,FALSE)+1,FALSE))),'détails investissements'!$U$6:$AB$7,2,FALSE),""),FALSE),"")</f>
        <v/>
      </c>
      <c r="BJ16" s="45" t="str">
        <f>IF(IF(IF(BJ$3-VLOOKUP($A16,'détails investissements'!$A$71:$B$88,2,FALSE)&lt;=0,"",IF(VLOOKUP($A16,'détails investissements'!$A$26:$DE$43,BJ$3-VLOOKUP($A16,'détails investissements'!$A$71:$B$88,2,FALSE)+1,FALSE)="","",VLOOKUP($A16,'détails investissements'!$A$26:$DE$43,BJ$3-VLOOKUP($A16,'détails investissements'!$A$71:$B$88,2,FALSE)+1,FALSE)))&lt;&gt;"",HLOOKUP(IF(BJ$3-VLOOKUP($A16,'détails investissements'!$A$71:$B$88,2,FALSE)&lt;=0,"",IF(VLOOKUP($A16,'détails investissements'!$A$26:$DE$43,BJ$3-VLOOKUP($A16,'détails investissements'!$A$71:$B$88,2,FALSE)+1,FALSE)="","",VLOOKUP($A16,'détails investissements'!$A$26:$DE$43,BJ$3-VLOOKUP($A16,'détails investissements'!$A$71:$B$88,2,FALSE)+1,FALSE))),'détails investissements'!$U$6:$AB$7,2,FALSE),"")&lt;&gt;"",VLOOKUP($A16,'détails investissements'!$A$7:$H$21,1+IF(IF(BJ$3-VLOOKUP($A16,'détails investissements'!$A$71:$B$88,2,FALSE)&lt;=0,"",IF(VLOOKUP($A16,'détails investissements'!$A$26:$DE$43,BJ$3-VLOOKUP($A16,'détails investissements'!$A$71:$B$88,2,FALSE)+1,FALSE)="","",VLOOKUP($A16,'détails investissements'!$A$26:$DE$43,BJ$3-VLOOKUP($A16,'détails investissements'!$A$71:$B$88,2,FALSE)+1,FALSE)))&lt;&gt;"",HLOOKUP(IF(BJ$3-VLOOKUP($A16,'détails investissements'!$A$71:$B$88,2,FALSE)&lt;=0,"",IF(VLOOKUP($A16,'détails investissements'!$A$26:$DE$43,BJ$3-VLOOKUP($A16,'détails investissements'!$A$71:$B$88,2,FALSE)+1,FALSE)="","",VLOOKUP($A16,'détails investissements'!$A$26:$DE$43,BJ$3-VLOOKUP($A16,'détails investissements'!$A$71:$B$88,2,FALSE)+1,FALSE))),'détails investissements'!$U$6:$AB$7,2,FALSE),""),FALSE),"")</f>
        <v/>
      </c>
      <c r="BK16" s="45" t="str">
        <f>IF(IF(IF(BK$3-VLOOKUP($A16,'détails investissements'!$A$71:$B$88,2,FALSE)&lt;=0,"",IF(VLOOKUP($A16,'détails investissements'!$A$26:$DE$43,BK$3-VLOOKUP($A16,'détails investissements'!$A$71:$B$88,2,FALSE)+1,FALSE)="","",VLOOKUP($A16,'détails investissements'!$A$26:$DE$43,BK$3-VLOOKUP($A16,'détails investissements'!$A$71:$B$88,2,FALSE)+1,FALSE)))&lt;&gt;"",HLOOKUP(IF(BK$3-VLOOKUP($A16,'détails investissements'!$A$71:$B$88,2,FALSE)&lt;=0,"",IF(VLOOKUP($A16,'détails investissements'!$A$26:$DE$43,BK$3-VLOOKUP($A16,'détails investissements'!$A$71:$B$88,2,FALSE)+1,FALSE)="","",VLOOKUP($A16,'détails investissements'!$A$26:$DE$43,BK$3-VLOOKUP($A16,'détails investissements'!$A$71:$B$88,2,FALSE)+1,FALSE))),'détails investissements'!$U$6:$AB$7,2,FALSE),"")&lt;&gt;"",VLOOKUP($A16,'détails investissements'!$A$7:$H$21,1+IF(IF(BK$3-VLOOKUP($A16,'détails investissements'!$A$71:$B$88,2,FALSE)&lt;=0,"",IF(VLOOKUP($A16,'détails investissements'!$A$26:$DE$43,BK$3-VLOOKUP($A16,'détails investissements'!$A$71:$B$88,2,FALSE)+1,FALSE)="","",VLOOKUP($A16,'détails investissements'!$A$26:$DE$43,BK$3-VLOOKUP($A16,'détails investissements'!$A$71:$B$88,2,FALSE)+1,FALSE)))&lt;&gt;"",HLOOKUP(IF(BK$3-VLOOKUP($A16,'détails investissements'!$A$71:$B$88,2,FALSE)&lt;=0,"",IF(VLOOKUP($A16,'détails investissements'!$A$26:$DE$43,BK$3-VLOOKUP($A16,'détails investissements'!$A$71:$B$88,2,FALSE)+1,FALSE)="","",VLOOKUP($A16,'détails investissements'!$A$26:$DE$43,BK$3-VLOOKUP($A16,'détails investissements'!$A$71:$B$88,2,FALSE)+1,FALSE))),'détails investissements'!$U$6:$AB$7,2,FALSE),""),FALSE),"")</f>
        <v/>
      </c>
      <c r="BL16" s="45" t="str">
        <f>IF(IF(IF(BL$3-VLOOKUP($A16,'détails investissements'!$A$71:$B$88,2,FALSE)&lt;=0,"",IF(VLOOKUP($A16,'détails investissements'!$A$26:$DE$43,BL$3-VLOOKUP($A16,'détails investissements'!$A$71:$B$88,2,FALSE)+1,FALSE)="","",VLOOKUP($A16,'détails investissements'!$A$26:$DE$43,BL$3-VLOOKUP($A16,'détails investissements'!$A$71:$B$88,2,FALSE)+1,FALSE)))&lt;&gt;"",HLOOKUP(IF(BL$3-VLOOKUP($A16,'détails investissements'!$A$71:$B$88,2,FALSE)&lt;=0,"",IF(VLOOKUP($A16,'détails investissements'!$A$26:$DE$43,BL$3-VLOOKUP($A16,'détails investissements'!$A$71:$B$88,2,FALSE)+1,FALSE)="","",VLOOKUP($A16,'détails investissements'!$A$26:$DE$43,BL$3-VLOOKUP($A16,'détails investissements'!$A$71:$B$88,2,FALSE)+1,FALSE))),'détails investissements'!$U$6:$AB$7,2,FALSE),"")&lt;&gt;"",VLOOKUP($A16,'détails investissements'!$A$7:$H$21,1+IF(IF(BL$3-VLOOKUP($A16,'détails investissements'!$A$71:$B$88,2,FALSE)&lt;=0,"",IF(VLOOKUP($A16,'détails investissements'!$A$26:$DE$43,BL$3-VLOOKUP($A16,'détails investissements'!$A$71:$B$88,2,FALSE)+1,FALSE)="","",VLOOKUP($A16,'détails investissements'!$A$26:$DE$43,BL$3-VLOOKUP($A16,'détails investissements'!$A$71:$B$88,2,FALSE)+1,FALSE)))&lt;&gt;"",HLOOKUP(IF(BL$3-VLOOKUP($A16,'détails investissements'!$A$71:$B$88,2,FALSE)&lt;=0,"",IF(VLOOKUP($A16,'détails investissements'!$A$26:$DE$43,BL$3-VLOOKUP($A16,'détails investissements'!$A$71:$B$88,2,FALSE)+1,FALSE)="","",VLOOKUP($A16,'détails investissements'!$A$26:$DE$43,BL$3-VLOOKUP($A16,'détails investissements'!$A$71:$B$88,2,FALSE)+1,FALSE))),'détails investissements'!$U$6:$AB$7,2,FALSE),""),FALSE),"")</f>
        <v/>
      </c>
      <c r="BM16" s="45" t="str">
        <f>IF(IF(IF(BM$3-VLOOKUP($A16,'détails investissements'!$A$71:$B$88,2,FALSE)&lt;=0,"",IF(VLOOKUP($A16,'détails investissements'!$A$26:$DE$43,BM$3-VLOOKUP($A16,'détails investissements'!$A$71:$B$88,2,FALSE)+1,FALSE)="","",VLOOKUP($A16,'détails investissements'!$A$26:$DE$43,BM$3-VLOOKUP($A16,'détails investissements'!$A$71:$B$88,2,FALSE)+1,FALSE)))&lt;&gt;"",HLOOKUP(IF(BM$3-VLOOKUP($A16,'détails investissements'!$A$71:$B$88,2,FALSE)&lt;=0,"",IF(VLOOKUP($A16,'détails investissements'!$A$26:$DE$43,BM$3-VLOOKUP($A16,'détails investissements'!$A$71:$B$88,2,FALSE)+1,FALSE)="","",VLOOKUP($A16,'détails investissements'!$A$26:$DE$43,BM$3-VLOOKUP($A16,'détails investissements'!$A$71:$B$88,2,FALSE)+1,FALSE))),'détails investissements'!$U$6:$AB$7,2,FALSE),"")&lt;&gt;"",VLOOKUP($A16,'détails investissements'!$A$7:$H$21,1+IF(IF(BM$3-VLOOKUP($A16,'détails investissements'!$A$71:$B$88,2,FALSE)&lt;=0,"",IF(VLOOKUP($A16,'détails investissements'!$A$26:$DE$43,BM$3-VLOOKUP($A16,'détails investissements'!$A$71:$B$88,2,FALSE)+1,FALSE)="","",VLOOKUP($A16,'détails investissements'!$A$26:$DE$43,BM$3-VLOOKUP($A16,'détails investissements'!$A$71:$B$88,2,FALSE)+1,FALSE)))&lt;&gt;"",HLOOKUP(IF(BM$3-VLOOKUP($A16,'détails investissements'!$A$71:$B$88,2,FALSE)&lt;=0,"",IF(VLOOKUP($A16,'détails investissements'!$A$26:$DE$43,BM$3-VLOOKUP($A16,'détails investissements'!$A$71:$B$88,2,FALSE)+1,FALSE)="","",VLOOKUP($A16,'détails investissements'!$A$26:$DE$43,BM$3-VLOOKUP($A16,'détails investissements'!$A$71:$B$88,2,FALSE)+1,FALSE))),'détails investissements'!$U$6:$AB$7,2,FALSE),""),FALSE),"")</f>
        <v/>
      </c>
      <c r="BN16" s="45" t="str">
        <f>IF(IF(IF(BN$3-VLOOKUP($A16,'détails investissements'!$A$71:$B$88,2,FALSE)&lt;=0,"",IF(VLOOKUP($A16,'détails investissements'!$A$26:$DE$43,BN$3-VLOOKUP($A16,'détails investissements'!$A$71:$B$88,2,FALSE)+1,FALSE)="","",VLOOKUP($A16,'détails investissements'!$A$26:$DE$43,BN$3-VLOOKUP($A16,'détails investissements'!$A$71:$B$88,2,FALSE)+1,FALSE)))&lt;&gt;"",HLOOKUP(IF(BN$3-VLOOKUP($A16,'détails investissements'!$A$71:$B$88,2,FALSE)&lt;=0,"",IF(VLOOKUP($A16,'détails investissements'!$A$26:$DE$43,BN$3-VLOOKUP($A16,'détails investissements'!$A$71:$B$88,2,FALSE)+1,FALSE)="","",VLOOKUP($A16,'détails investissements'!$A$26:$DE$43,BN$3-VLOOKUP($A16,'détails investissements'!$A$71:$B$88,2,FALSE)+1,FALSE))),'détails investissements'!$U$6:$AB$7,2,FALSE),"")&lt;&gt;"",VLOOKUP($A16,'détails investissements'!$A$7:$H$21,1+IF(IF(BN$3-VLOOKUP($A16,'détails investissements'!$A$71:$B$88,2,FALSE)&lt;=0,"",IF(VLOOKUP($A16,'détails investissements'!$A$26:$DE$43,BN$3-VLOOKUP($A16,'détails investissements'!$A$71:$B$88,2,FALSE)+1,FALSE)="","",VLOOKUP($A16,'détails investissements'!$A$26:$DE$43,BN$3-VLOOKUP($A16,'détails investissements'!$A$71:$B$88,2,FALSE)+1,FALSE)))&lt;&gt;"",HLOOKUP(IF(BN$3-VLOOKUP($A16,'détails investissements'!$A$71:$B$88,2,FALSE)&lt;=0,"",IF(VLOOKUP($A16,'détails investissements'!$A$26:$DE$43,BN$3-VLOOKUP($A16,'détails investissements'!$A$71:$B$88,2,FALSE)+1,FALSE)="","",VLOOKUP($A16,'détails investissements'!$A$26:$DE$43,BN$3-VLOOKUP($A16,'détails investissements'!$A$71:$B$88,2,FALSE)+1,FALSE))),'détails investissements'!$U$6:$AB$7,2,FALSE),""),FALSE),"")</f>
        <v/>
      </c>
      <c r="BO16" s="45" t="str">
        <f>IF(IF(IF(BO$3-VLOOKUP($A16,'détails investissements'!$A$71:$B$88,2,FALSE)&lt;=0,"",IF(VLOOKUP($A16,'détails investissements'!$A$26:$DE$43,BO$3-VLOOKUP($A16,'détails investissements'!$A$71:$B$88,2,FALSE)+1,FALSE)="","",VLOOKUP($A16,'détails investissements'!$A$26:$DE$43,BO$3-VLOOKUP($A16,'détails investissements'!$A$71:$B$88,2,FALSE)+1,FALSE)))&lt;&gt;"",HLOOKUP(IF(BO$3-VLOOKUP($A16,'détails investissements'!$A$71:$B$88,2,FALSE)&lt;=0,"",IF(VLOOKUP($A16,'détails investissements'!$A$26:$DE$43,BO$3-VLOOKUP($A16,'détails investissements'!$A$71:$B$88,2,FALSE)+1,FALSE)="","",VLOOKUP($A16,'détails investissements'!$A$26:$DE$43,BO$3-VLOOKUP($A16,'détails investissements'!$A$71:$B$88,2,FALSE)+1,FALSE))),'détails investissements'!$U$6:$AB$7,2,FALSE),"")&lt;&gt;"",VLOOKUP($A16,'détails investissements'!$A$7:$H$21,1+IF(IF(BO$3-VLOOKUP($A16,'détails investissements'!$A$71:$B$88,2,FALSE)&lt;=0,"",IF(VLOOKUP($A16,'détails investissements'!$A$26:$DE$43,BO$3-VLOOKUP($A16,'détails investissements'!$A$71:$B$88,2,FALSE)+1,FALSE)="","",VLOOKUP($A16,'détails investissements'!$A$26:$DE$43,BO$3-VLOOKUP($A16,'détails investissements'!$A$71:$B$88,2,FALSE)+1,FALSE)))&lt;&gt;"",HLOOKUP(IF(BO$3-VLOOKUP($A16,'détails investissements'!$A$71:$B$88,2,FALSE)&lt;=0,"",IF(VLOOKUP($A16,'détails investissements'!$A$26:$DE$43,BO$3-VLOOKUP($A16,'détails investissements'!$A$71:$B$88,2,FALSE)+1,FALSE)="","",VLOOKUP($A16,'détails investissements'!$A$26:$DE$43,BO$3-VLOOKUP($A16,'détails investissements'!$A$71:$B$88,2,FALSE)+1,FALSE))),'détails investissements'!$U$6:$AB$7,2,FALSE),""),FALSE),"")</f>
        <v/>
      </c>
      <c r="BP16" s="45" t="str">
        <f>IF(IF(IF(BP$3-VLOOKUP($A16,'détails investissements'!$A$71:$B$88,2,FALSE)&lt;=0,"",IF(VLOOKUP($A16,'détails investissements'!$A$26:$DE$43,BP$3-VLOOKUP($A16,'détails investissements'!$A$71:$B$88,2,FALSE)+1,FALSE)="","",VLOOKUP($A16,'détails investissements'!$A$26:$DE$43,BP$3-VLOOKUP($A16,'détails investissements'!$A$71:$B$88,2,FALSE)+1,FALSE)))&lt;&gt;"",HLOOKUP(IF(BP$3-VLOOKUP($A16,'détails investissements'!$A$71:$B$88,2,FALSE)&lt;=0,"",IF(VLOOKUP($A16,'détails investissements'!$A$26:$DE$43,BP$3-VLOOKUP($A16,'détails investissements'!$A$71:$B$88,2,FALSE)+1,FALSE)="","",VLOOKUP($A16,'détails investissements'!$A$26:$DE$43,BP$3-VLOOKUP($A16,'détails investissements'!$A$71:$B$88,2,FALSE)+1,FALSE))),'détails investissements'!$U$6:$AB$7,2,FALSE),"")&lt;&gt;"",VLOOKUP($A16,'détails investissements'!$A$7:$H$21,1+IF(IF(BP$3-VLOOKUP($A16,'détails investissements'!$A$71:$B$88,2,FALSE)&lt;=0,"",IF(VLOOKUP($A16,'détails investissements'!$A$26:$DE$43,BP$3-VLOOKUP($A16,'détails investissements'!$A$71:$B$88,2,FALSE)+1,FALSE)="","",VLOOKUP($A16,'détails investissements'!$A$26:$DE$43,BP$3-VLOOKUP($A16,'détails investissements'!$A$71:$B$88,2,FALSE)+1,FALSE)))&lt;&gt;"",HLOOKUP(IF(BP$3-VLOOKUP($A16,'détails investissements'!$A$71:$B$88,2,FALSE)&lt;=0,"",IF(VLOOKUP($A16,'détails investissements'!$A$26:$DE$43,BP$3-VLOOKUP($A16,'détails investissements'!$A$71:$B$88,2,FALSE)+1,FALSE)="","",VLOOKUP($A16,'détails investissements'!$A$26:$DE$43,BP$3-VLOOKUP($A16,'détails investissements'!$A$71:$B$88,2,FALSE)+1,FALSE))),'détails investissements'!$U$6:$AB$7,2,FALSE),""),FALSE),"")</f>
        <v/>
      </c>
      <c r="BQ16" s="45" t="str">
        <f>IF(IF(IF(BQ$3-VLOOKUP($A16,'détails investissements'!$A$71:$B$88,2,FALSE)&lt;=0,"",IF(VLOOKUP($A16,'détails investissements'!$A$26:$DE$43,BQ$3-VLOOKUP($A16,'détails investissements'!$A$71:$B$88,2,FALSE)+1,FALSE)="","",VLOOKUP($A16,'détails investissements'!$A$26:$DE$43,BQ$3-VLOOKUP($A16,'détails investissements'!$A$71:$B$88,2,FALSE)+1,FALSE)))&lt;&gt;"",HLOOKUP(IF(BQ$3-VLOOKUP($A16,'détails investissements'!$A$71:$B$88,2,FALSE)&lt;=0,"",IF(VLOOKUP($A16,'détails investissements'!$A$26:$DE$43,BQ$3-VLOOKUP($A16,'détails investissements'!$A$71:$B$88,2,FALSE)+1,FALSE)="","",VLOOKUP($A16,'détails investissements'!$A$26:$DE$43,BQ$3-VLOOKUP($A16,'détails investissements'!$A$71:$B$88,2,FALSE)+1,FALSE))),'détails investissements'!$U$6:$AB$7,2,FALSE),"")&lt;&gt;"",VLOOKUP($A16,'détails investissements'!$A$7:$H$21,1+IF(IF(BQ$3-VLOOKUP($A16,'détails investissements'!$A$71:$B$88,2,FALSE)&lt;=0,"",IF(VLOOKUP($A16,'détails investissements'!$A$26:$DE$43,BQ$3-VLOOKUP($A16,'détails investissements'!$A$71:$B$88,2,FALSE)+1,FALSE)="","",VLOOKUP($A16,'détails investissements'!$A$26:$DE$43,BQ$3-VLOOKUP($A16,'détails investissements'!$A$71:$B$88,2,FALSE)+1,FALSE)))&lt;&gt;"",HLOOKUP(IF(BQ$3-VLOOKUP($A16,'détails investissements'!$A$71:$B$88,2,FALSE)&lt;=0,"",IF(VLOOKUP($A16,'détails investissements'!$A$26:$DE$43,BQ$3-VLOOKUP($A16,'détails investissements'!$A$71:$B$88,2,FALSE)+1,FALSE)="","",VLOOKUP($A16,'détails investissements'!$A$26:$DE$43,BQ$3-VLOOKUP($A16,'détails investissements'!$A$71:$B$88,2,FALSE)+1,FALSE))),'détails investissements'!$U$6:$AB$7,2,FALSE),""),FALSE),"")</f>
        <v/>
      </c>
      <c r="BR16" s="45" t="str">
        <f>IF(IF(IF(BR$3-VLOOKUP($A16,'détails investissements'!$A$71:$B$88,2,FALSE)&lt;=0,"",IF(VLOOKUP($A16,'détails investissements'!$A$26:$DE$43,BR$3-VLOOKUP($A16,'détails investissements'!$A$71:$B$88,2,FALSE)+1,FALSE)="","",VLOOKUP($A16,'détails investissements'!$A$26:$DE$43,BR$3-VLOOKUP($A16,'détails investissements'!$A$71:$B$88,2,FALSE)+1,FALSE)))&lt;&gt;"",HLOOKUP(IF(BR$3-VLOOKUP($A16,'détails investissements'!$A$71:$B$88,2,FALSE)&lt;=0,"",IF(VLOOKUP($A16,'détails investissements'!$A$26:$DE$43,BR$3-VLOOKUP($A16,'détails investissements'!$A$71:$B$88,2,FALSE)+1,FALSE)="","",VLOOKUP($A16,'détails investissements'!$A$26:$DE$43,BR$3-VLOOKUP($A16,'détails investissements'!$A$71:$B$88,2,FALSE)+1,FALSE))),'détails investissements'!$U$6:$AB$7,2,FALSE),"")&lt;&gt;"",VLOOKUP($A16,'détails investissements'!$A$7:$H$21,1+IF(IF(BR$3-VLOOKUP($A16,'détails investissements'!$A$71:$B$88,2,FALSE)&lt;=0,"",IF(VLOOKUP($A16,'détails investissements'!$A$26:$DE$43,BR$3-VLOOKUP($A16,'détails investissements'!$A$71:$B$88,2,FALSE)+1,FALSE)="","",VLOOKUP($A16,'détails investissements'!$A$26:$DE$43,BR$3-VLOOKUP($A16,'détails investissements'!$A$71:$B$88,2,FALSE)+1,FALSE)))&lt;&gt;"",HLOOKUP(IF(BR$3-VLOOKUP($A16,'détails investissements'!$A$71:$B$88,2,FALSE)&lt;=0,"",IF(VLOOKUP($A16,'détails investissements'!$A$26:$DE$43,BR$3-VLOOKUP($A16,'détails investissements'!$A$71:$B$88,2,FALSE)+1,FALSE)="","",VLOOKUP($A16,'détails investissements'!$A$26:$DE$43,BR$3-VLOOKUP($A16,'détails investissements'!$A$71:$B$88,2,FALSE)+1,FALSE))),'détails investissements'!$U$6:$AB$7,2,FALSE),""),FALSE),"")</f>
        <v/>
      </c>
      <c r="BS16" s="45" t="str">
        <f>IF(IF(IF(BS$3-VLOOKUP($A16,'détails investissements'!$A$71:$B$88,2,FALSE)&lt;=0,"",IF(VLOOKUP($A16,'détails investissements'!$A$26:$DE$43,BS$3-VLOOKUP($A16,'détails investissements'!$A$71:$B$88,2,FALSE)+1,FALSE)="","",VLOOKUP($A16,'détails investissements'!$A$26:$DE$43,BS$3-VLOOKUP($A16,'détails investissements'!$A$71:$B$88,2,FALSE)+1,FALSE)))&lt;&gt;"",HLOOKUP(IF(BS$3-VLOOKUP($A16,'détails investissements'!$A$71:$B$88,2,FALSE)&lt;=0,"",IF(VLOOKUP($A16,'détails investissements'!$A$26:$DE$43,BS$3-VLOOKUP($A16,'détails investissements'!$A$71:$B$88,2,FALSE)+1,FALSE)="","",VLOOKUP($A16,'détails investissements'!$A$26:$DE$43,BS$3-VLOOKUP($A16,'détails investissements'!$A$71:$B$88,2,FALSE)+1,FALSE))),'détails investissements'!$U$6:$AB$7,2,FALSE),"")&lt;&gt;"",VLOOKUP($A16,'détails investissements'!$A$7:$H$21,1+IF(IF(BS$3-VLOOKUP($A16,'détails investissements'!$A$71:$B$88,2,FALSE)&lt;=0,"",IF(VLOOKUP($A16,'détails investissements'!$A$26:$DE$43,BS$3-VLOOKUP($A16,'détails investissements'!$A$71:$B$88,2,FALSE)+1,FALSE)="","",VLOOKUP($A16,'détails investissements'!$A$26:$DE$43,BS$3-VLOOKUP($A16,'détails investissements'!$A$71:$B$88,2,FALSE)+1,FALSE)))&lt;&gt;"",HLOOKUP(IF(BS$3-VLOOKUP($A16,'détails investissements'!$A$71:$B$88,2,FALSE)&lt;=0,"",IF(VLOOKUP($A16,'détails investissements'!$A$26:$DE$43,BS$3-VLOOKUP($A16,'détails investissements'!$A$71:$B$88,2,FALSE)+1,FALSE)="","",VLOOKUP($A16,'détails investissements'!$A$26:$DE$43,BS$3-VLOOKUP($A16,'détails investissements'!$A$71:$B$88,2,FALSE)+1,FALSE))),'détails investissements'!$U$6:$AB$7,2,FALSE),""),FALSE),"")</f>
        <v/>
      </c>
      <c r="BT16" s="45" t="str">
        <f>IF(IF(IF(BT$3-VLOOKUP($A16,'détails investissements'!$A$71:$B$88,2,FALSE)&lt;=0,"",IF(VLOOKUP($A16,'détails investissements'!$A$26:$DE$43,BT$3-VLOOKUP($A16,'détails investissements'!$A$71:$B$88,2,FALSE)+1,FALSE)="","",VLOOKUP($A16,'détails investissements'!$A$26:$DE$43,BT$3-VLOOKUP($A16,'détails investissements'!$A$71:$B$88,2,FALSE)+1,FALSE)))&lt;&gt;"",HLOOKUP(IF(BT$3-VLOOKUP($A16,'détails investissements'!$A$71:$B$88,2,FALSE)&lt;=0,"",IF(VLOOKUP($A16,'détails investissements'!$A$26:$DE$43,BT$3-VLOOKUP($A16,'détails investissements'!$A$71:$B$88,2,FALSE)+1,FALSE)="","",VLOOKUP($A16,'détails investissements'!$A$26:$DE$43,BT$3-VLOOKUP($A16,'détails investissements'!$A$71:$B$88,2,FALSE)+1,FALSE))),'détails investissements'!$U$6:$AB$7,2,FALSE),"")&lt;&gt;"",VLOOKUP($A16,'détails investissements'!$A$7:$H$21,1+IF(IF(BT$3-VLOOKUP($A16,'détails investissements'!$A$71:$B$88,2,FALSE)&lt;=0,"",IF(VLOOKUP($A16,'détails investissements'!$A$26:$DE$43,BT$3-VLOOKUP($A16,'détails investissements'!$A$71:$B$88,2,FALSE)+1,FALSE)="","",VLOOKUP($A16,'détails investissements'!$A$26:$DE$43,BT$3-VLOOKUP($A16,'détails investissements'!$A$71:$B$88,2,FALSE)+1,FALSE)))&lt;&gt;"",HLOOKUP(IF(BT$3-VLOOKUP($A16,'détails investissements'!$A$71:$B$88,2,FALSE)&lt;=0,"",IF(VLOOKUP($A16,'détails investissements'!$A$26:$DE$43,BT$3-VLOOKUP($A16,'détails investissements'!$A$71:$B$88,2,FALSE)+1,FALSE)="","",VLOOKUP($A16,'détails investissements'!$A$26:$DE$43,BT$3-VLOOKUP($A16,'détails investissements'!$A$71:$B$88,2,FALSE)+1,FALSE))),'détails investissements'!$U$6:$AB$7,2,FALSE),""),FALSE),"")</f>
        <v/>
      </c>
      <c r="BU16" s="45" t="str">
        <f>IF(IF(IF(BU$3-VLOOKUP($A16,'détails investissements'!$A$71:$B$88,2,FALSE)&lt;=0,"",IF(VLOOKUP($A16,'détails investissements'!$A$26:$DE$43,BU$3-VLOOKUP($A16,'détails investissements'!$A$71:$B$88,2,FALSE)+1,FALSE)="","",VLOOKUP($A16,'détails investissements'!$A$26:$DE$43,BU$3-VLOOKUP($A16,'détails investissements'!$A$71:$B$88,2,FALSE)+1,FALSE)))&lt;&gt;"",HLOOKUP(IF(BU$3-VLOOKUP($A16,'détails investissements'!$A$71:$B$88,2,FALSE)&lt;=0,"",IF(VLOOKUP($A16,'détails investissements'!$A$26:$DE$43,BU$3-VLOOKUP($A16,'détails investissements'!$A$71:$B$88,2,FALSE)+1,FALSE)="","",VLOOKUP($A16,'détails investissements'!$A$26:$DE$43,BU$3-VLOOKUP($A16,'détails investissements'!$A$71:$B$88,2,FALSE)+1,FALSE))),'détails investissements'!$U$6:$AB$7,2,FALSE),"")&lt;&gt;"",VLOOKUP($A16,'détails investissements'!$A$7:$H$21,1+IF(IF(BU$3-VLOOKUP($A16,'détails investissements'!$A$71:$B$88,2,FALSE)&lt;=0,"",IF(VLOOKUP($A16,'détails investissements'!$A$26:$DE$43,BU$3-VLOOKUP($A16,'détails investissements'!$A$71:$B$88,2,FALSE)+1,FALSE)="","",VLOOKUP($A16,'détails investissements'!$A$26:$DE$43,BU$3-VLOOKUP($A16,'détails investissements'!$A$71:$B$88,2,FALSE)+1,FALSE)))&lt;&gt;"",HLOOKUP(IF(BU$3-VLOOKUP($A16,'détails investissements'!$A$71:$B$88,2,FALSE)&lt;=0,"",IF(VLOOKUP($A16,'détails investissements'!$A$26:$DE$43,BU$3-VLOOKUP($A16,'détails investissements'!$A$71:$B$88,2,FALSE)+1,FALSE)="","",VLOOKUP($A16,'détails investissements'!$A$26:$DE$43,BU$3-VLOOKUP($A16,'détails investissements'!$A$71:$B$88,2,FALSE)+1,FALSE))),'détails investissements'!$U$6:$AB$7,2,FALSE),""),FALSE),"")</f>
        <v/>
      </c>
      <c r="BV16" s="45" t="str">
        <f>IF(IF(IF(BV$3-VLOOKUP($A16,'détails investissements'!$A$71:$B$88,2,FALSE)&lt;=0,"",IF(VLOOKUP($A16,'détails investissements'!$A$26:$DE$43,BV$3-VLOOKUP($A16,'détails investissements'!$A$71:$B$88,2,FALSE)+1,FALSE)="","",VLOOKUP($A16,'détails investissements'!$A$26:$DE$43,BV$3-VLOOKUP($A16,'détails investissements'!$A$71:$B$88,2,FALSE)+1,FALSE)))&lt;&gt;"",HLOOKUP(IF(BV$3-VLOOKUP($A16,'détails investissements'!$A$71:$B$88,2,FALSE)&lt;=0,"",IF(VLOOKUP($A16,'détails investissements'!$A$26:$DE$43,BV$3-VLOOKUP($A16,'détails investissements'!$A$71:$B$88,2,FALSE)+1,FALSE)="","",VLOOKUP($A16,'détails investissements'!$A$26:$DE$43,BV$3-VLOOKUP($A16,'détails investissements'!$A$71:$B$88,2,FALSE)+1,FALSE))),'détails investissements'!$U$6:$AB$7,2,FALSE),"")&lt;&gt;"",VLOOKUP($A16,'détails investissements'!$A$7:$H$21,1+IF(IF(BV$3-VLOOKUP($A16,'détails investissements'!$A$71:$B$88,2,FALSE)&lt;=0,"",IF(VLOOKUP($A16,'détails investissements'!$A$26:$DE$43,BV$3-VLOOKUP($A16,'détails investissements'!$A$71:$B$88,2,FALSE)+1,FALSE)="","",VLOOKUP($A16,'détails investissements'!$A$26:$DE$43,BV$3-VLOOKUP($A16,'détails investissements'!$A$71:$B$88,2,FALSE)+1,FALSE)))&lt;&gt;"",HLOOKUP(IF(BV$3-VLOOKUP($A16,'détails investissements'!$A$71:$B$88,2,FALSE)&lt;=0,"",IF(VLOOKUP($A16,'détails investissements'!$A$26:$DE$43,BV$3-VLOOKUP($A16,'détails investissements'!$A$71:$B$88,2,FALSE)+1,FALSE)="","",VLOOKUP($A16,'détails investissements'!$A$26:$DE$43,BV$3-VLOOKUP($A16,'détails investissements'!$A$71:$B$88,2,FALSE)+1,FALSE))),'détails investissements'!$U$6:$AB$7,2,FALSE),""),FALSE),"")</f>
        <v/>
      </c>
      <c r="BW16" s="45" t="str">
        <f>IF(IF(IF(BW$3-VLOOKUP($A16,'détails investissements'!$A$71:$B$88,2,FALSE)&lt;=0,"",IF(VLOOKUP($A16,'détails investissements'!$A$26:$DE$43,BW$3-VLOOKUP($A16,'détails investissements'!$A$71:$B$88,2,FALSE)+1,FALSE)="","",VLOOKUP($A16,'détails investissements'!$A$26:$DE$43,BW$3-VLOOKUP($A16,'détails investissements'!$A$71:$B$88,2,FALSE)+1,FALSE)))&lt;&gt;"",HLOOKUP(IF(BW$3-VLOOKUP($A16,'détails investissements'!$A$71:$B$88,2,FALSE)&lt;=0,"",IF(VLOOKUP($A16,'détails investissements'!$A$26:$DE$43,BW$3-VLOOKUP($A16,'détails investissements'!$A$71:$B$88,2,FALSE)+1,FALSE)="","",VLOOKUP($A16,'détails investissements'!$A$26:$DE$43,BW$3-VLOOKUP($A16,'détails investissements'!$A$71:$B$88,2,FALSE)+1,FALSE))),'détails investissements'!$U$6:$AB$7,2,FALSE),"")&lt;&gt;"",VLOOKUP($A16,'détails investissements'!$A$7:$H$21,1+IF(IF(BW$3-VLOOKUP($A16,'détails investissements'!$A$71:$B$88,2,FALSE)&lt;=0,"",IF(VLOOKUP($A16,'détails investissements'!$A$26:$DE$43,BW$3-VLOOKUP($A16,'détails investissements'!$A$71:$B$88,2,FALSE)+1,FALSE)="","",VLOOKUP($A16,'détails investissements'!$A$26:$DE$43,BW$3-VLOOKUP($A16,'détails investissements'!$A$71:$B$88,2,FALSE)+1,FALSE)))&lt;&gt;"",HLOOKUP(IF(BW$3-VLOOKUP($A16,'détails investissements'!$A$71:$B$88,2,FALSE)&lt;=0,"",IF(VLOOKUP($A16,'détails investissements'!$A$26:$DE$43,BW$3-VLOOKUP($A16,'détails investissements'!$A$71:$B$88,2,FALSE)+1,FALSE)="","",VLOOKUP($A16,'détails investissements'!$A$26:$DE$43,BW$3-VLOOKUP($A16,'détails investissements'!$A$71:$B$88,2,FALSE)+1,FALSE))),'détails investissements'!$U$6:$AB$7,2,FALSE),""),FALSE),"")</f>
        <v/>
      </c>
      <c r="BX16" s="45" t="str">
        <f>IF(IF(IF(BX$3-VLOOKUP($A16,'détails investissements'!$A$71:$B$88,2,FALSE)&lt;=0,"",IF(VLOOKUP($A16,'détails investissements'!$A$26:$DE$43,BX$3-VLOOKUP($A16,'détails investissements'!$A$71:$B$88,2,FALSE)+1,FALSE)="","",VLOOKUP($A16,'détails investissements'!$A$26:$DE$43,BX$3-VLOOKUP($A16,'détails investissements'!$A$71:$B$88,2,FALSE)+1,FALSE)))&lt;&gt;"",HLOOKUP(IF(BX$3-VLOOKUP($A16,'détails investissements'!$A$71:$B$88,2,FALSE)&lt;=0,"",IF(VLOOKUP($A16,'détails investissements'!$A$26:$DE$43,BX$3-VLOOKUP($A16,'détails investissements'!$A$71:$B$88,2,FALSE)+1,FALSE)="","",VLOOKUP($A16,'détails investissements'!$A$26:$DE$43,BX$3-VLOOKUP($A16,'détails investissements'!$A$71:$B$88,2,FALSE)+1,FALSE))),'détails investissements'!$U$6:$AB$7,2,FALSE),"")&lt;&gt;"",VLOOKUP($A16,'détails investissements'!$A$7:$H$21,1+IF(IF(BX$3-VLOOKUP($A16,'détails investissements'!$A$71:$B$88,2,FALSE)&lt;=0,"",IF(VLOOKUP($A16,'détails investissements'!$A$26:$DE$43,BX$3-VLOOKUP($A16,'détails investissements'!$A$71:$B$88,2,FALSE)+1,FALSE)="","",VLOOKUP($A16,'détails investissements'!$A$26:$DE$43,BX$3-VLOOKUP($A16,'détails investissements'!$A$71:$B$88,2,FALSE)+1,FALSE)))&lt;&gt;"",HLOOKUP(IF(BX$3-VLOOKUP($A16,'détails investissements'!$A$71:$B$88,2,FALSE)&lt;=0,"",IF(VLOOKUP($A16,'détails investissements'!$A$26:$DE$43,BX$3-VLOOKUP($A16,'détails investissements'!$A$71:$B$88,2,FALSE)+1,FALSE)="","",VLOOKUP($A16,'détails investissements'!$A$26:$DE$43,BX$3-VLOOKUP($A16,'détails investissements'!$A$71:$B$88,2,FALSE)+1,FALSE))),'détails investissements'!$U$6:$AB$7,2,FALSE),""),FALSE),"")</f>
        <v/>
      </c>
      <c r="BY16" s="45" t="str">
        <f>IF(IF(IF(BY$3-VLOOKUP($A16,'détails investissements'!$A$71:$B$88,2,FALSE)&lt;=0,"",IF(VLOOKUP($A16,'détails investissements'!$A$26:$DE$43,BY$3-VLOOKUP($A16,'détails investissements'!$A$71:$B$88,2,FALSE)+1,FALSE)="","",VLOOKUP($A16,'détails investissements'!$A$26:$DE$43,BY$3-VLOOKUP($A16,'détails investissements'!$A$71:$B$88,2,FALSE)+1,FALSE)))&lt;&gt;"",HLOOKUP(IF(BY$3-VLOOKUP($A16,'détails investissements'!$A$71:$B$88,2,FALSE)&lt;=0,"",IF(VLOOKUP($A16,'détails investissements'!$A$26:$DE$43,BY$3-VLOOKUP($A16,'détails investissements'!$A$71:$B$88,2,FALSE)+1,FALSE)="","",VLOOKUP($A16,'détails investissements'!$A$26:$DE$43,BY$3-VLOOKUP($A16,'détails investissements'!$A$71:$B$88,2,FALSE)+1,FALSE))),'détails investissements'!$U$6:$AB$7,2,FALSE),"")&lt;&gt;"",VLOOKUP($A16,'détails investissements'!$A$7:$H$21,1+IF(IF(BY$3-VLOOKUP($A16,'détails investissements'!$A$71:$B$88,2,FALSE)&lt;=0,"",IF(VLOOKUP($A16,'détails investissements'!$A$26:$DE$43,BY$3-VLOOKUP($A16,'détails investissements'!$A$71:$B$88,2,FALSE)+1,FALSE)="","",VLOOKUP($A16,'détails investissements'!$A$26:$DE$43,BY$3-VLOOKUP($A16,'détails investissements'!$A$71:$B$88,2,FALSE)+1,FALSE)))&lt;&gt;"",HLOOKUP(IF(BY$3-VLOOKUP($A16,'détails investissements'!$A$71:$B$88,2,FALSE)&lt;=0,"",IF(VLOOKUP($A16,'détails investissements'!$A$26:$DE$43,BY$3-VLOOKUP($A16,'détails investissements'!$A$71:$B$88,2,FALSE)+1,FALSE)="","",VLOOKUP($A16,'détails investissements'!$A$26:$DE$43,BY$3-VLOOKUP($A16,'détails investissements'!$A$71:$B$88,2,FALSE)+1,FALSE))),'détails investissements'!$U$6:$AB$7,2,FALSE),""),FALSE),"")</f>
        <v/>
      </c>
      <c r="BZ16" s="45" t="str">
        <f>IF(IF(IF(BZ$3-VLOOKUP($A16,'détails investissements'!$A$71:$B$88,2,FALSE)&lt;=0,"",IF(VLOOKUP($A16,'détails investissements'!$A$26:$DE$43,BZ$3-VLOOKUP($A16,'détails investissements'!$A$71:$B$88,2,FALSE)+1,FALSE)="","",VLOOKUP($A16,'détails investissements'!$A$26:$DE$43,BZ$3-VLOOKUP($A16,'détails investissements'!$A$71:$B$88,2,FALSE)+1,FALSE)))&lt;&gt;"",HLOOKUP(IF(BZ$3-VLOOKUP($A16,'détails investissements'!$A$71:$B$88,2,FALSE)&lt;=0,"",IF(VLOOKUP($A16,'détails investissements'!$A$26:$DE$43,BZ$3-VLOOKUP($A16,'détails investissements'!$A$71:$B$88,2,FALSE)+1,FALSE)="","",VLOOKUP($A16,'détails investissements'!$A$26:$DE$43,BZ$3-VLOOKUP($A16,'détails investissements'!$A$71:$B$88,2,FALSE)+1,FALSE))),'détails investissements'!$U$6:$AB$7,2,FALSE),"")&lt;&gt;"",VLOOKUP($A16,'détails investissements'!$A$7:$H$21,1+IF(IF(BZ$3-VLOOKUP($A16,'détails investissements'!$A$71:$B$88,2,FALSE)&lt;=0,"",IF(VLOOKUP($A16,'détails investissements'!$A$26:$DE$43,BZ$3-VLOOKUP($A16,'détails investissements'!$A$71:$B$88,2,FALSE)+1,FALSE)="","",VLOOKUP($A16,'détails investissements'!$A$26:$DE$43,BZ$3-VLOOKUP($A16,'détails investissements'!$A$71:$B$88,2,FALSE)+1,FALSE)))&lt;&gt;"",HLOOKUP(IF(BZ$3-VLOOKUP($A16,'détails investissements'!$A$71:$B$88,2,FALSE)&lt;=0,"",IF(VLOOKUP($A16,'détails investissements'!$A$26:$DE$43,BZ$3-VLOOKUP($A16,'détails investissements'!$A$71:$B$88,2,FALSE)+1,FALSE)="","",VLOOKUP($A16,'détails investissements'!$A$26:$DE$43,BZ$3-VLOOKUP($A16,'détails investissements'!$A$71:$B$88,2,FALSE)+1,FALSE))),'détails investissements'!$U$6:$AB$7,2,FALSE),""),FALSE),"")</f>
        <v/>
      </c>
      <c r="CA16" s="45" t="str">
        <f>IF(IF(IF(CA$3-VLOOKUP($A16,'détails investissements'!$A$71:$B$88,2,FALSE)&lt;=0,"",IF(VLOOKUP($A16,'détails investissements'!$A$26:$DE$43,CA$3-VLOOKUP($A16,'détails investissements'!$A$71:$B$88,2,FALSE)+1,FALSE)="","",VLOOKUP($A16,'détails investissements'!$A$26:$DE$43,CA$3-VLOOKUP($A16,'détails investissements'!$A$71:$B$88,2,FALSE)+1,FALSE)))&lt;&gt;"",HLOOKUP(IF(CA$3-VLOOKUP($A16,'détails investissements'!$A$71:$B$88,2,FALSE)&lt;=0,"",IF(VLOOKUP($A16,'détails investissements'!$A$26:$DE$43,CA$3-VLOOKUP($A16,'détails investissements'!$A$71:$B$88,2,FALSE)+1,FALSE)="","",VLOOKUP($A16,'détails investissements'!$A$26:$DE$43,CA$3-VLOOKUP($A16,'détails investissements'!$A$71:$B$88,2,FALSE)+1,FALSE))),'détails investissements'!$U$6:$AB$7,2,FALSE),"")&lt;&gt;"",VLOOKUP($A16,'détails investissements'!$A$7:$H$21,1+IF(IF(CA$3-VLOOKUP($A16,'détails investissements'!$A$71:$B$88,2,FALSE)&lt;=0,"",IF(VLOOKUP($A16,'détails investissements'!$A$26:$DE$43,CA$3-VLOOKUP($A16,'détails investissements'!$A$71:$B$88,2,FALSE)+1,FALSE)="","",VLOOKUP($A16,'détails investissements'!$A$26:$DE$43,CA$3-VLOOKUP($A16,'détails investissements'!$A$71:$B$88,2,FALSE)+1,FALSE)))&lt;&gt;"",HLOOKUP(IF(CA$3-VLOOKUP($A16,'détails investissements'!$A$71:$B$88,2,FALSE)&lt;=0,"",IF(VLOOKUP($A16,'détails investissements'!$A$26:$DE$43,CA$3-VLOOKUP($A16,'détails investissements'!$A$71:$B$88,2,FALSE)+1,FALSE)="","",VLOOKUP($A16,'détails investissements'!$A$26:$DE$43,CA$3-VLOOKUP($A16,'détails investissements'!$A$71:$B$88,2,FALSE)+1,FALSE))),'détails investissements'!$U$6:$AB$7,2,FALSE),""),FALSE),"")</f>
        <v/>
      </c>
      <c r="CB16" s="45" t="str">
        <f>IF(IF(IF(CB$3-VLOOKUP($A16,'détails investissements'!$A$71:$B$88,2,FALSE)&lt;=0,"",IF(VLOOKUP($A16,'détails investissements'!$A$26:$DE$43,CB$3-VLOOKUP($A16,'détails investissements'!$A$71:$B$88,2,FALSE)+1,FALSE)="","",VLOOKUP($A16,'détails investissements'!$A$26:$DE$43,CB$3-VLOOKUP($A16,'détails investissements'!$A$71:$B$88,2,FALSE)+1,FALSE)))&lt;&gt;"",HLOOKUP(IF(CB$3-VLOOKUP($A16,'détails investissements'!$A$71:$B$88,2,FALSE)&lt;=0,"",IF(VLOOKUP($A16,'détails investissements'!$A$26:$DE$43,CB$3-VLOOKUP($A16,'détails investissements'!$A$71:$B$88,2,FALSE)+1,FALSE)="","",VLOOKUP($A16,'détails investissements'!$A$26:$DE$43,CB$3-VLOOKUP($A16,'détails investissements'!$A$71:$B$88,2,FALSE)+1,FALSE))),'détails investissements'!$U$6:$AB$7,2,FALSE),"")&lt;&gt;"",VLOOKUP($A16,'détails investissements'!$A$7:$H$21,1+IF(IF(CB$3-VLOOKUP($A16,'détails investissements'!$A$71:$B$88,2,FALSE)&lt;=0,"",IF(VLOOKUP($A16,'détails investissements'!$A$26:$DE$43,CB$3-VLOOKUP($A16,'détails investissements'!$A$71:$B$88,2,FALSE)+1,FALSE)="","",VLOOKUP($A16,'détails investissements'!$A$26:$DE$43,CB$3-VLOOKUP($A16,'détails investissements'!$A$71:$B$88,2,FALSE)+1,FALSE)))&lt;&gt;"",HLOOKUP(IF(CB$3-VLOOKUP($A16,'détails investissements'!$A$71:$B$88,2,FALSE)&lt;=0,"",IF(VLOOKUP($A16,'détails investissements'!$A$26:$DE$43,CB$3-VLOOKUP($A16,'détails investissements'!$A$71:$B$88,2,FALSE)+1,FALSE)="","",VLOOKUP($A16,'détails investissements'!$A$26:$DE$43,CB$3-VLOOKUP($A16,'détails investissements'!$A$71:$B$88,2,FALSE)+1,FALSE))),'détails investissements'!$U$6:$AB$7,2,FALSE),""),FALSE),"")</f>
        <v/>
      </c>
      <c r="CC16" s="45" t="str">
        <f>IF(IF(IF(CC$3-VLOOKUP($A16,'détails investissements'!$A$71:$B$88,2,FALSE)&lt;=0,"",IF(VLOOKUP($A16,'détails investissements'!$A$26:$DE$43,CC$3-VLOOKUP($A16,'détails investissements'!$A$71:$B$88,2,FALSE)+1,FALSE)="","",VLOOKUP($A16,'détails investissements'!$A$26:$DE$43,CC$3-VLOOKUP($A16,'détails investissements'!$A$71:$B$88,2,FALSE)+1,FALSE)))&lt;&gt;"",HLOOKUP(IF(CC$3-VLOOKUP($A16,'détails investissements'!$A$71:$B$88,2,FALSE)&lt;=0,"",IF(VLOOKUP($A16,'détails investissements'!$A$26:$DE$43,CC$3-VLOOKUP($A16,'détails investissements'!$A$71:$B$88,2,FALSE)+1,FALSE)="","",VLOOKUP($A16,'détails investissements'!$A$26:$DE$43,CC$3-VLOOKUP($A16,'détails investissements'!$A$71:$B$88,2,FALSE)+1,FALSE))),'détails investissements'!$U$6:$AB$7,2,FALSE),"")&lt;&gt;"",VLOOKUP($A16,'détails investissements'!$A$7:$H$21,1+IF(IF(CC$3-VLOOKUP($A16,'détails investissements'!$A$71:$B$88,2,FALSE)&lt;=0,"",IF(VLOOKUP($A16,'détails investissements'!$A$26:$DE$43,CC$3-VLOOKUP($A16,'détails investissements'!$A$71:$B$88,2,FALSE)+1,FALSE)="","",VLOOKUP($A16,'détails investissements'!$A$26:$DE$43,CC$3-VLOOKUP($A16,'détails investissements'!$A$71:$B$88,2,FALSE)+1,FALSE)))&lt;&gt;"",HLOOKUP(IF(CC$3-VLOOKUP($A16,'détails investissements'!$A$71:$B$88,2,FALSE)&lt;=0,"",IF(VLOOKUP($A16,'détails investissements'!$A$26:$DE$43,CC$3-VLOOKUP($A16,'détails investissements'!$A$71:$B$88,2,FALSE)+1,FALSE)="","",VLOOKUP($A16,'détails investissements'!$A$26:$DE$43,CC$3-VLOOKUP($A16,'détails investissements'!$A$71:$B$88,2,FALSE)+1,FALSE))),'détails investissements'!$U$6:$AB$7,2,FALSE),""),FALSE),"")</f>
        <v/>
      </c>
      <c r="CD16" s="45" t="str">
        <f>IF(IF(IF(CD$3-VLOOKUP($A16,'détails investissements'!$A$71:$B$88,2,FALSE)&lt;=0,"",IF(VLOOKUP($A16,'détails investissements'!$A$26:$DE$43,CD$3-VLOOKUP($A16,'détails investissements'!$A$71:$B$88,2,FALSE)+1,FALSE)="","",VLOOKUP($A16,'détails investissements'!$A$26:$DE$43,CD$3-VLOOKUP($A16,'détails investissements'!$A$71:$B$88,2,FALSE)+1,FALSE)))&lt;&gt;"",HLOOKUP(IF(CD$3-VLOOKUP($A16,'détails investissements'!$A$71:$B$88,2,FALSE)&lt;=0,"",IF(VLOOKUP($A16,'détails investissements'!$A$26:$DE$43,CD$3-VLOOKUP($A16,'détails investissements'!$A$71:$B$88,2,FALSE)+1,FALSE)="","",VLOOKUP($A16,'détails investissements'!$A$26:$DE$43,CD$3-VLOOKUP($A16,'détails investissements'!$A$71:$B$88,2,FALSE)+1,FALSE))),'détails investissements'!$U$6:$AB$7,2,FALSE),"")&lt;&gt;"",VLOOKUP($A16,'détails investissements'!$A$7:$H$21,1+IF(IF(CD$3-VLOOKUP($A16,'détails investissements'!$A$71:$B$88,2,FALSE)&lt;=0,"",IF(VLOOKUP($A16,'détails investissements'!$A$26:$DE$43,CD$3-VLOOKUP($A16,'détails investissements'!$A$71:$B$88,2,FALSE)+1,FALSE)="","",VLOOKUP($A16,'détails investissements'!$A$26:$DE$43,CD$3-VLOOKUP($A16,'détails investissements'!$A$71:$B$88,2,FALSE)+1,FALSE)))&lt;&gt;"",HLOOKUP(IF(CD$3-VLOOKUP($A16,'détails investissements'!$A$71:$B$88,2,FALSE)&lt;=0,"",IF(VLOOKUP($A16,'détails investissements'!$A$26:$DE$43,CD$3-VLOOKUP($A16,'détails investissements'!$A$71:$B$88,2,FALSE)+1,FALSE)="","",VLOOKUP($A16,'détails investissements'!$A$26:$DE$43,CD$3-VLOOKUP($A16,'détails investissements'!$A$71:$B$88,2,FALSE)+1,FALSE))),'détails investissements'!$U$6:$AB$7,2,FALSE),""),FALSE),"")</f>
        <v/>
      </c>
      <c r="CE16" s="45" t="str">
        <f>IF(IF(IF(CE$3-VLOOKUP($A16,'détails investissements'!$A$71:$B$88,2,FALSE)&lt;=0,"",IF(VLOOKUP($A16,'détails investissements'!$A$26:$DE$43,CE$3-VLOOKUP($A16,'détails investissements'!$A$71:$B$88,2,FALSE)+1,FALSE)="","",VLOOKUP($A16,'détails investissements'!$A$26:$DE$43,CE$3-VLOOKUP($A16,'détails investissements'!$A$71:$B$88,2,FALSE)+1,FALSE)))&lt;&gt;"",HLOOKUP(IF(CE$3-VLOOKUP($A16,'détails investissements'!$A$71:$B$88,2,FALSE)&lt;=0,"",IF(VLOOKUP($A16,'détails investissements'!$A$26:$DE$43,CE$3-VLOOKUP($A16,'détails investissements'!$A$71:$B$88,2,FALSE)+1,FALSE)="","",VLOOKUP($A16,'détails investissements'!$A$26:$DE$43,CE$3-VLOOKUP($A16,'détails investissements'!$A$71:$B$88,2,FALSE)+1,FALSE))),'détails investissements'!$U$6:$AB$7,2,FALSE),"")&lt;&gt;"",VLOOKUP($A16,'détails investissements'!$A$7:$H$21,1+IF(IF(CE$3-VLOOKUP($A16,'détails investissements'!$A$71:$B$88,2,FALSE)&lt;=0,"",IF(VLOOKUP($A16,'détails investissements'!$A$26:$DE$43,CE$3-VLOOKUP($A16,'détails investissements'!$A$71:$B$88,2,FALSE)+1,FALSE)="","",VLOOKUP($A16,'détails investissements'!$A$26:$DE$43,CE$3-VLOOKUP($A16,'détails investissements'!$A$71:$B$88,2,FALSE)+1,FALSE)))&lt;&gt;"",HLOOKUP(IF(CE$3-VLOOKUP($A16,'détails investissements'!$A$71:$B$88,2,FALSE)&lt;=0,"",IF(VLOOKUP($A16,'détails investissements'!$A$26:$DE$43,CE$3-VLOOKUP($A16,'détails investissements'!$A$71:$B$88,2,FALSE)+1,FALSE)="","",VLOOKUP($A16,'détails investissements'!$A$26:$DE$43,CE$3-VLOOKUP($A16,'détails investissements'!$A$71:$B$88,2,FALSE)+1,FALSE))),'détails investissements'!$U$6:$AB$7,2,FALSE),""),FALSE),"")</f>
        <v/>
      </c>
      <c r="CF16" s="45" t="str">
        <f>IF(IF(IF(CF$3-VLOOKUP($A16,'détails investissements'!$A$71:$B$88,2,FALSE)&lt;=0,"",IF(VLOOKUP($A16,'détails investissements'!$A$26:$DE$43,CF$3-VLOOKUP($A16,'détails investissements'!$A$71:$B$88,2,FALSE)+1,FALSE)="","",VLOOKUP($A16,'détails investissements'!$A$26:$DE$43,CF$3-VLOOKUP($A16,'détails investissements'!$A$71:$B$88,2,FALSE)+1,FALSE)))&lt;&gt;"",HLOOKUP(IF(CF$3-VLOOKUP($A16,'détails investissements'!$A$71:$B$88,2,FALSE)&lt;=0,"",IF(VLOOKUP($A16,'détails investissements'!$A$26:$DE$43,CF$3-VLOOKUP($A16,'détails investissements'!$A$71:$B$88,2,FALSE)+1,FALSE)="","",VLOOKUP($A16,'détails investissements'!$A$26:$DE$43,CF$3-VLOOKUP($A16,'détails investissements'!$A$71:$B$88,2,FALSE)+1,FALSE))),'détails investissements'!$U$6:$AB$7,2,FALSE),"")&lt;&gt;"",VLOOKUP($A16,'détails investissements'!$A$7:$H$21,1+IF(IF(CF$3-VLOOKUP($A16,'détails investissements'!$A$71:$B$88,2,FALSE)&lt;=0,"",IF(VLOOKUP($A16,'détails investissements'!$A$26:$DE$43,CF$3-VLOOKUP($A16,'détails investissements'!$A$71:$B$88,2,FALSE)+1,FALSE)="","",VLOOKUP($A16,'détails investissements'!$A$26:$DE$43,CF$3-VLOOKUP($A16,'détails investissements'!$A$71:$B$88,2,FALSE)+1,FALSE)))&lt;&gt;"",HLOOKUP(IF(CF$3-VLOOKUP($A16,'détails investissements'!$A$71:$B$88,2,FALSE)&lt;=0,"",IF(VLOOKUP($A16,'détails investissements'!$A$26:$DE$43,CF$3-VLOOKUP($A16,'détails investissements'!$A$71:$B$88,2,FALSE)+1,FALSE)="","",VLOOKUP($A16,'détails investissements'!$A$26:$DE$43,CF$3-VLOOKUP($A16,'détails investissements'!$A$71:$B$88,2,FALSE)+1,FALSE))),'détails investissements'!$U$6:$AB$7,2,FALSE),""),FALSE),"")</f>
        <v/>
      </c>
      <c r="CG16" s="45" t="str">
        <f>IF(IF(IF(CG$3-VLOOKUP($A16,'détails investissements'!$A$71:$B$88,2,FALSE)&lt;=0,"",IF(VLOOKUP($A16,'détails investissements'!$A$26:$DE$43,CG$3-VLOOKUP($A16,'détails investissements'!$A$71:$B$88,2,FALSE)+1,FALSE)="","",VLOOKUP($A16,'détails investissements'!$A$26:$DE$43,CG$3-VLOOKUP($A16,'détails investissements'!$A$71:$B$88,2,FALSE)+1,FALSE)))&lt;&gt;"",HLOOKUP(IF(CG$3-VLOOKUP($A16,'détails investissements'!$A$71:$B$88,2,FALSE)&lt;=0,"",IF(VLOOKUP($A16,'détails investissements'!$A$26:$DE$43,CG$3-VLOOKUP($A16,'détails investissements'!$A$71:$B$88,2,FALSE)+1,FALSE)="","",VLOOKUP($A16,'détails investissements'!$A$26:$DE$43,CG$3-VLOOKUP($A16,'détails investissements'!$A$71:$B$88,2,FALSE)+1,FALSE))),'détails investissements'!$U$6:$AB$7,2,FALSE),"")&lt;&gt;"",VLOOKUP($A16,'détails investissements'!$A$7:$H$21,1+IF(IF(CG$3-VLOOKUP($A16,'détails investissements'!$A$71:$B$88,2,FALSE)&lt;=0,"",IF(VLOOKUP($A16,'détails investissements'!$A$26:$DE$43,CG$3-VLOOKUP($A16,'détails investissements'!$A$71:$B$88,2,FALSE)+1,FALSE)="","",VLOOKUP($A16,'détails investissements'!$A$26:$DE$43,CG$3-VLOOKUP($A16,'détails investissements'!$A$71:$B$88,2,FALSE)+1,FALSE)))&lt;&gt;"",HLOOKUP(IF(CG$3-VLOOKUP($A16,'détails investissements'!$A$71:$B$88,2,FALSE)&lt;=0,"",IF(VLOOKUP($A16,'détails investissements'!$A$26:$DE$43,CG$3-VLOOKUP($A16,'détails investissements'!$A$71:$B$88,2,FALSE)+1,FALSE)="","",VLOOKUP($A16,'détails investissements'!$A$26:$DE$43,CG$3-VLOOKUP($A16,'détails investissements'!$A$71:$B$88,2,FALSE)+1,FALSE))),'détails investissements'!$U$6:$AB$7,2,FALSE),""),FALSE),"")</f>
        <v/>
      </c>
      <c r="CH16" s="45" t="str">
        <f>IF(IF(IF(CH$3-VLOOKUP($A16,'détails investissements'!$A$71:$B$88,2,FALSE)&lt;=0,"",IF(VLOOKUP($A16,'détails investissements'!$A$26:$DE$43,CH$3-VLOOKUP($A16,'détails investissements'!$A$71:$B$88,2,FALSE)+1,FALSE)="","",VLOOKUP($A16,'détails investissements'!$A$26:$DE$43,CH$3-VLOOKUP($A16,'détails investissements'!$A$71:$B$88,2,FALSE)+1,FALSE)))&lt;&gt;"",HLOOKUP(IF(CH$3-VLOOKUP($A16,'détails investissements'!$A$71:$B$88,2,FALSE)&lt;=0,"",IF(VLOOKUP($A16,'détails investissements'!$A$26:$DE$43,CH$3-VLOOKUP($A16,'détails investissements'!$A$71:$B$88,2,FALSE)+1,FALSE)="","",VLOOKUP($A16,'détails investissements'!$A$26:$DE$43,CH$3-VLOOKUP($A16,'détails investissements'!$A$71:$B$88,2,FALSE)+1,FALSE))),'détails investissements'!$U$6:$AB$7,2,FALSE),"")&lt;&gt;"",VLOOKUP($A16,'détails investissements'!$A$7:$H$21,1+IF(IF(CH$3-VLOOKUP($A16,'détails investissements'!$A$71:$B$88,2,FALSE)&lt;=0,"",IF(VLOOKUP($A16,'détails investissements'!$A$26:$DE$43,CH$3-VLOOKUP($A16,'détails investissements'!$A$71:$B$88,2,FALSE)+1,FALSE)="","",VLOOKUP($A16,'détails investissements'!$A$26:$DE$43,CH$3-VLOOKUP($A16,'détails investissements'!$A$71:$B$88,2,FALSE)+1,FALSE)))&lt;&gt;"",HLOOKUP(IF(CH$3-VLOOKUP($A16,'détails investissements'!$A$71:$B$88,2,FALSE)&lt;=0,"",IF(VLOOKUP($A16,'détails investissements'!$A$26:$DE$43,CH$3-VLOOKUP($A16,'détails investissements'!$A$71:$B$88,2,FALSE)+1,FALSE)="","",VLOOKUP($A16,'détails investissements'!$A$26:$DE$43,CH$3-VLOOKUP($A16,'détails investissements'!$A$71:$B$88,2,FALSE)+1,FALSE))),'détails investissements'!$U$6:$AB$7,2,FALSE),""),FALSE),"")</f>
        <v/>
      </c>
      <c r="CI16" s="45" t="str">
        <f>IF(IF(IF(CI$3-VLOOKUP($A16,'détails investissements'!$A$71:$B$88,2,FALSE)&lt;=0,"",IF(VLOOKUP($A16,'détails investissements'!$A$26:$DE$43,CI$3-VLOOKUP($A16,'détails investissements'!$A$71:$B$88,2,FALSE)+1,FALSE)="","",VLOOKUP($A16,'détails investissements'!$A$26:$DE$43,CI$3-VLOOKUP($A16,'détails investissements'!$A$71:$B$88,2,FALSE)+1,FALSE)))&lt;&gt;"",HLOOKUP(IF(CI$3-VLOOKUP($A16,'détails investissements'!$A$71:$B$88,2,FALSE)&lt;=0,"",IF(VLOOKUP($A16,'détails investissements'!$A$26:$DE$43,CI$3-VLOOKUP($A16,'détails investissements'!$A$71:$B$88,2,FALSE)+1,FALSE)="","",VLOOKUP($A16,'détails investissements'!$A$26:$DE$43,CI$3-VLOOKUP($A16,'détails investissements'!$A$71:$B$88,2,FALSE)+1,FALSE))),'détails investissements'!$U$6:$AB$7,2,FALSE),"")&lt;&gt;"",VLOOKUP($A16,'détails investissements'!$A$7:$H$21,1+IF(IF(CI$3-VLOOKUP($A16,'détails investissements'!$A$71:$B$88,2,FALSE)&lt;=0,"",IF(VLOOKUP($A16,'détails investissements'!$A$26:$DE$43,CI$3-VLOOKUP($A16,'détails investissements'!$A$71:$B$88,2,FALSE)+1,FALSE)="","",VLOOKUP($A16,'détails investissements'!$A$26:$DE$43,CI$3-VLOOKUP($A16,'détails investissements'!$A$71:$B$88,2,FALSE)+1,FALSE)))&lt;&gt;"",HLOOKUP(IF(CI$3-VLOOKUP($A16,'détails investissements'!$A$71:$B$88,2,FALSE)&lt;=0,"",IF(VLOOKUP($A16,'détails investissements'!$A$26:$DE$43,CI$3-VLOOKUP($A16,'détails investissements'!$A$71:$B$88,2,FALSE)+1,FALSE)="","",VLOOKUP($A16,'détails investissements'!$A$26:$DE$43,CI$3-VLOOKUP($A16,'détails investissements'!$A$71:$B$88,2,FALSE)+1,FALSE))),'détails investissements'!$U$6:$AB$7,2,FALSE),""),FALSE),"")</f>
        <v/>
      </c>
      <c r="CJ16" s="45" t="str">
        <f>IF(IF(IF(CJ$3-VLOOKUP($A16,'détails investissements'!$A$71:$B$88,2,FALSE)&lt;=0,"",IF(VLOOKUP($A16,'détails investissements'!$A$26:$DE$43,CJ$3-VLOOKUP($A16,'détails investissements'!$A$71:$B$88,2,FALSE)+1,FALSE)="","",VLOOKUP($A16,'détails investissements'!$A$26:$DE$43,CJ$3-VLOOKUP($A16,'détails investissements'!$A$71:$B$88,2,FALSE)+1,FALSE)))&lt;&gt;"",HLOOKUP(IF(CJ$3-VLOOKUP($A16,'détails investissements'!$A$71:$B$88,2,FALSE)&lt;=0,"",IF(VLOOKUP($A16,'détails investissements'!$A$26:$DE$43,CJ$3-VLOOKUP($A16,'détails investissements'!$A$71:$B$88,2,FALSE)+1,FALSE)="","",VLOOKUP($A16,'détails investissements'!$A$26:$DE$43,CJ$3-VLOOKUP($A16,'détails investissements'!$A$71:$B$88,2,FALSE)+1,FALSE))),'détails investissements'!$U$6:$AB$7,2,FALSE),"")&lt;&gt;"",VLOOKUP($A16,'détails investissements'!$A$7:$H$21,1+IF(IF(CJ$3-VLOOKUP($A16,'détails investissements'!$A$71:$B$88,2,FALSE)&lt;=0,"",IF(VLOOKUP($A16,'détails investissements'!$A$26:$DE$43,CJ$3-VLOOKUP($A16,'détails investissements'!$A$71:$B$88,2,FALSE)+1,FALSE)="","",VLOOKUP($A16,'détails investissements'!$A$26:$DE$43,CJ$3-VLOOKUP($A16,'détails investissements'!$A$71:$B$88,2,FALSE)+1,FALSE)))&lt;&gt;"",HLOOKUP(IF(CJ$3-VLOOKUP($A16,'détails investissements'!$A$71:$B$88,2,FALSE)&lt;=0,"",IF(VLOOKUP($A16,'détails investissements'!$A$26:$DE$43,CJ$3-VLOOKUP($A16,'détails investissements'!$A$71:$B$88,2,FALSE)+1,FALSE)="","",VLOOKUP($A16,'détails investissements'!$A$26:$DE$43,CJ$3-VLOOKUP($A16,'détails investissements'!$A$71:$B$88,2,FALSE)+1,FALSE))),'détails investissements'!$U$6:$AB$7,2,FALSE),""),FALSE),"")</f>
        <v/>
      </c>
      <c r="CK16" s="45" t="str">
        <f>IF(IF(IF(CK$3-VLOOKUP($A16,'détails investissements'!$A$71:$B$88,2,FALSE)&lt;=0,"",IF(VLOOKUP($A16,'détails investissements'!$A$26:$DE$43,CK$3-VLOOKUP($A16,'détails investissements'!$A$71:$B$88,2,FALSE)+1,FALSE)="","",VLOOKUP($A16,'détails investissements'!$A$26:$DE$43,CK$3-VLOOKUP($A16,'détails investissements'!$A$71:$B$88,2,FALSE)+1,FALSE)))&lt;&gt;"",HLOOKUP(IF(CK$3-VLOOKUP($A16,'détails investissements'!$A$71:$B$88,2,FALSE)&lt;=0,"",IF(VLOOKUP($A16,'détails investissements'!$A$26:$DE$43,CK$3-VLOOKUP($A16,'détails investissements'!$A$71:$B$88,2,FALSE)+1,FALSE)="","",VLOOKUP($A16,'détails investissements'!$A$26:$DE$43,CK$3-VLOOKUP($A16,'détails investissements'!$A$71:$B$88,2,FALSE)+1,FALSE))),'détails investissements'!$U$6:$AB$7,2,FALSE),"")&lt;&gt;"",VLOOKUP($A16,'détails investissements'!$A$7:$H$21,1+IF(IF(CK$3-VLOOKUP($A16,'détails investissements'!$A$71:$B$88,2,FALSE)&lt;=0,"",IF(VLOOKUP($A16,'détails investissements'!$A$26:$DE$43,CK$3-VLOOKUP($A16,'détails investissements'!$A$71:$B$88,2,FALSE)+1,FALSE)="","",VLOOKUP($A16,'détails investissements'!$A$26:$DE$43,CK$3-VLOOKUP($A16,'détails investissements'!$A$71:$B$88,2,FALSE)+1,FALSE)))&lt;&gt;"",HLOOKUP(IF(CK$3-VLOOKUP($A16,'détails investissements'!$A$71:$B$88,2,FALSE)&lt;=0,"",IF(VLOOKUP($A16,'détails investissements'!$A$26:$DE$43,CK$3-VLOOKUP($A16,'détails investissements'!$A$71:$B$88,2,FALSE)+1,FALSE)="","",VLOOKUP($A16,'détails investissements'!$A$26:$DE$43,CK$3-VLOOKUP($A16,'détails investissements'!$A$71:$B$88,2,FALSE)+1,FALSE))),'détails investissements'!$U$6:$AB$7,2,FALSE),""),FALSE),"")</f>
        <v/>
      </c>
      <c r="CL16" s="45" t="str">
        <f>IF(IF(IF(CL$3-VLOOKUP($A16,'détails investissements'!$A$71:$B$88,2,FALSE)&lt;=0,"",IF(VLOOKUP($A16,'détails investissements'!$A$26:$DE$43,CL$3-VLOOKUP($A16,'détails investissements'!$A$71:$B$88,2,FALSE)+1,FALSE)="","",VLOOKUP($A16,'détails investissements'!$A$26:$DE$43,CL$3-VLOOKUP($A16,'détails investissements'!$A$71:$B$88,2,FALSE)+1,FALSE)))&lt;&gt;"",HLOOKUP(IF(CL$3-VLOOKUP($A16,'détails investissements'!$A$71:$B$88,2,FALSE)&lt;=0,"",IF(VLOOKUP($A16,'détails investissements'!$A$26:$DE$43,CL$3-VLOOKUP($A16,'détails investissements'!$A$71:$B$88,2,FALSE)+1,FALSE)="","",VLOOKUP($A16,'détails investissements'!$A$26:$DE$43,CL$3-VLOOKUP($A16,'détails investissements'!$A$71:$B$88,2,FALSE)+1,FALSE))),'détails investissements'!$U$6:$AB$7,2,FALSE),"")&lt;&gt;"",VLOOKUP($A16,'détails investissements'!$A$7:$H$21,1+IF(IF(CL$3-VLOOKUP($A16,'détails investissements'!$A$71:$B$88,2,FALSE)&lt;=0,"",IF(VLOOKUP($A16,'détails investissements'!$A$26:$DE$43,CL$3-VLOOKUP($A16,'détails investissements'!$A$71:$B$88,2,FALSE)+1,FALSE)="","",VLOOKUP($A16,'détails investissements'!$A$26:$DE$43,CL$3-VLOOKUP($A16,'détails investissements'!$A$71:$B$88,2,FALSE)+1,FALSE)))&lt;&gt;"",HLOOKUP(IF(CL$3-VLOOKUP($A16,'détails investissements'!$A$71:$B$88,2,FALSE)&lt;=0,"",IF(VLOOKUP($A16,'détails investissements'!$A$26:$DE$43,CL$3-VLOOKUP($A16,'détails investissements'!$A$71:$B$88,2,FALSE)+1,FALSE)="","",VLOOKUP($A16,'détails investissements'!$A$26:$DE$43,CL$3-VLOOKUP($A16,'détails investissements'!$A$71:$B$88,2,FALSE)+1,FALSE))),'détails investissements'!$U$6:$AB$7,2,FALSE),""),FALSE),"")</f>
        <v/>
      </c>
      <c r="CM16" s="45" t="str">
        <f>IF(IF(IF(CM$3-VLOOKUP($A16,'détails investissements'!$A$71:$B$88,2,FALSE)&lt;=0,"",IF(VLOOKUP($A16,'détails investissements'!$A$26:$DE$43,CM$3-VLOOKUP($A16,'détails investissements'!$A$71:$B$88,2,FALSE)+1,FALSE)="","",VLOOKUP($A16,'détails investissements'!$A$26:$DE$43,CM$3-VLOOKUP($A16,'détails investissements'!$A$71:$B$88,2,FALSE)+1,FALSE)))&lt;&gt;"",HLOOKUP(IF(CM$3-VLOOKUP($A16,'détails investissements'!$A$71:$B$88,2,FALSE)&lt;=0,"",IF(VLOOKUP($A16,'détails investissements'!$A$26:$DE$43,CM$3-VLOOKUP($A16,'détails investissements'!$A$71:$B$88,2,FALSE)+1,FALSE)="","",VLOOKUP($A16,'détails investissements'!$A$26:$DE$43,CM$3-VLOOKUP($A16,'détails investissements'!$A$71:$B$88,2,FALSE)+1,FALSE))),'détails investissements'!$U$6:$AB$7,2,FALSE),"")&lt;&gt;"",VLOOKUP($A16,'détails investissements'!$A$7:$H$21,1+IF(IF(CM$3-VLOOKUP($A16,'détails investissements'!$A$71:$B$88,2,FALSE)&lt;=0,"",IF(VLOOKUP($A16,'détails investissements'!$A$26:$DE$43,CM$3-VLOOKUP($A16,'détails investissements'!$A$71:$B$88,2,FALSE)+1,FALSE)="","",VLOOKUP($A16,'détails investissements'!$A$26:$DE$43,CM$3-VLOOKUP($A16,'détails investissements'!$A$71:$B$88,2,FALSE)+1,FALSE)))&lt;&gt;"",HLOOKUP(IF(CM$3-VLOOKUP($A16,'détails investissements'!$A$71:$B$88,2,FALSE)&lt;=0,"",IF(VLOOKUP($A16,'détails investissements'!$A$26:$DE$43,CM$3-VLOOKUP($A16,'détails investissements'!$A$71:$B$88,2,FALSE)+1,FALSE)="","",VLOOKUP($A16,'détails investissements'!$A$26:$DE$43,CM$3-VLOOKUP($A16,'détails investissements'!$A$71:$B$88,2,FALSE)+1,FALSE))),'détails investissements'!$U$6:$AB$7,2,FALSE),""),FALSE),"")</f>
        <v/>
      </c>
      <c r="CN16" s="45" t="str">
        <f>IF(IF(IF(CN$3-VLOOKUP($A16,'détails investissements'!$A$71:$B$88,2,FALSE)&lt;=0,"",IF(VLOOKUP($A16,'détails investissements'!$A$26:$DE$43,CN$3-VLOOKUP($A16,'détails investissements'!$A$71:$B$88,2,FALSE)+1,FALSE)="","",VLOOKUP($A16,'détails investissements'!$A$26:$DE$43,CN$3-VLOOKUP($A16,'détails investissements'!$A$71:$B$88,2,FALSE)+1,FALSE)))&lt;&gt;"",HLOOKUP(IF(CN$3-VLOOKUP($A16,'détails investissements'!$A$71:$B$88,2,FALSE)&lt;=0,"",IF(VLOOKUP($A16,'détails investissements'!$A$26:$DE$43,CN$3-VLOOKUP($A16,'détails investissements'!$A$71:$B$88,2,FALSE)+1,FALSE)="","",VLOOKUP($A16,'détails investissements'!$A$26:$DE$43,CN$3-VLOOKUP($A16,'détails investissements'!$A$71:$B$88,2,FALSE)+1,FALSE))),'détails investissements'!$U$6:$AB$7,2,FALSE),"")&lt;&gt;"",VLOOKUP($A16,'détails investissements'!$A$7:$H$21,1+IF(IF(CN$3-VLOOKUP($A16,'détails investissements'!$A$71:$B$88,2,FALSE)&lt;=0,"",IF(VLOOKUP($A16,'détails investissements'!$A$26:$DE$43,CN$3-VLOOKUP($A16,'détails investissements'!$A$71:$B$88,2,FALSE)+1,FALSE)="","",VLOOKUP($A16,'détails investissements'!$A$26:$DE$43,CN$3-VLOOKUP($A16,'détails investissements'!$A$71:$B$88,2,FALSE)+1,FALSE)))&lt;&gt;"",HLOOKUP(IF(CN$3-VLOOKUP($A16,'détails investissements'!$A$71:$B$88,2,FALSE)&lt;=0,"",IF(VLOOKUP($A16,'détails investissements'!$A$26:$DE$43,CN$3-VLOOKUP($A16,'détails investissements'!$A$71:$B$88,2,FALSE)+1,FALSE)="","",VLOOKUP($A16,'détails investissements'!$A$26:$DE$43,CN$3-VLOOKUP($A16,'détails investissements'!$A$71:$B$88,2,FALSE)+1,FALSE))),'détails investissements'!$U$6:$AB$7,2,FALSE),""),FALSE),"")</f>
        <v/>
      </c>
      <c r="CO16" s="45" t="str">
        <f>IF(IF(IF(CO$3-VLOOKUP($A16,'détails investissements'!$A$71:$B$88,2,FALSE)&lt;=0,"",IF(VLOOKUP($A16,'détails investissements'!$A$26:$DE$43,CO$3-VLOOKUP($A16,'détails investissements'!$A$71:$B$88,2,FALSE)+1,FALSE)="","",VLOOKUP($A16,'détails investissements'!$A$26:$DE$43,CO$3-VLOOKUP($A16,'détails investissements'!$A$71:$B$88,2,FALSE)+1,FALSE)))&lt;&gt;"",HLOOKUP(IF(CO$3-VLOOKUP($A16,'détails investissements'!$A$71:$B$88,2,FALSE)&lt;=0,"",IF(VLOOKUP($A16,'détails investissements'!$A$26:$DE$43,CO$3-VLOOKUP($A16,'détails investissements'!$A$71:$B$88,2,FALSE)+1,FALSE)="","",VLOOKUP($A16,'détails investissements'!$A$26:$DE$43,CO$3-VLOOKUP($A16,'détails investissements'!$A$71:$B$88,2,FALSE)+1,FALSE))),'détails investissements'!$U$6:$AB$7,2,FALSE),"")&lt;&gt;"",VLOOKUP($A16,'détails investissements'!$A$7:$H$21,1+IF(IF(CO$3-VLOOKUP($A16,'détails investissements'!$A$71:$B$88,2,FALSE)&lt;=0,"",IF(VLOOKUP($A16,'détails investissements'!$A$26:$DE$43,CO$3-VLOOKUP($A16,'détails investissements'!$A$71:$B$88,2,FALSE)+1,FALSE)="","",VLOOKUP($A16,'détails investissements'!$A$26:$DE$43,CO$3-VLOOKUP($A16,'détails investissements'!$A$71:$B$88,2,FALSE)+1,FALSE)))&lt;&gt;"",HLOOKUP(IF(CO$3-VLOOKUP($A16,'détails investissements'!$A$71:$B$88,2,FALSE)&lt;=0,"",IF(VLOOKUP($A16,'détails investissements'!$A$26:$DE$43,CO$3-VLOOKUP($A16,'détails investissements'!$A$71:$B$88,2,FALSE)+1,FALSE)="","",VLOOKUP($A16,'détails investissements'!$A$26:$DE$43,CO$3-VLOOKUP($A16,'détails investissements'!$A$71:$B$88,2,FALSE)+1,FALSE))),'détails investissements'!$U$6:$AB$7,2,FALSE),""),FALSE),"")</f>
        <v/>
      </c>
      <c r="CP16" s="45" t="str">
        <f>IF(IF(IF(CP$3-VLOOKUP($A16,'détails investissements'!$A$71:$B$88,2,FALSE)&lt;=0,"",IF(VLOOKUP($A16,'détails investissements'!$A$26:$DE$43,CP$3-VLOOKUP($A16,'détails investissements'!$A$71:$B$88,2,FALSE)+1,FALSE)="","",VLOOKUP($A16,'détails investissements'!$A$26:$DE$43,CP$3-VLOOKUP($A16,'détails investissements'!$A$71:$B$88,2,FALSE)+1,FALSE)))&lt;&gt;"",HLOOKUP(IF(CP$3-VLOOKUP($A16,'détails investissements'!$A$71:$B$88,2,FALSE)&lt;=0,"",IF(VLOOKUP($A16,'détails investissements'!$A$26:$DE$43,CP$3-VLOOKUP($A16,'détails investissements'!$A$71:$B$88,2,FALSE)+1,FALSE)="","",VLOOKUP($A16,'détails investissements'!$A$26:$DE$43,CP$3-VLOOKUP($A16,'détails investissements'!$A$71:$B$88,2,FALSE)+1,FALSE))),'détails investissements'!$U$6:$AB$7,2,FALSE),"")&lt;&gt;"",VLOOKUP($A16,'détails investissements'!$A$7:$H$21,1+IF(IF(CP$3-VLOOKUP($A16,'détails investissements'!$A$71:$B$88,2,FALSE)&lt;=0,"",IF(VLOOKUP($A16,'détails investissements'!$A$26:$DE$43,CP$3-VLOOKUP($A16,'détails investissements'!$A$71:$B$88,2,FALSE)+1,FALSE)="","",VLOOKUP($A16,'détails investissements'!$A$26:$DE$43,CP$3-VLOOKUP($A16,'détails investissements'!$A$71:$B$88,2,FALSE)+1,FALSE)))&lt;&gt;"",HLOOKUP(IF(CP$3-VLOOKUP($A16,'détails investissements'!$A$71:$B$88,2,FALSE)&lt;=0,"",IF(VLOOKUP($A16,'détails investissements'!$A$26:$DE$43,CP$3-VLOOKUP($A16,'détails investissements'!$A$71:$B$88,2,FALSE)+1,FALSE)="","",VLOOKUP($A16,'détails investissements'!$A$26:$DE$43,CP$3-VLOOKUP($A16,'détails investissements'!$A$71:$B$88,2,FALSE)+1,FALSE))),'détails investissements'!$U$6:$AB$7,2,FALSE),""),FALSE),"")</f>
        <v/>
      </c>
      <c r="CQ16" s="45" t="str">
        <f>IF(IF(IF(CQ$3-VLOOKUP($A16,'détails investissements'!$A$71:$B$88,2,FALSE)&lt;=0,"",IF(VLOOKUP($A16,'détails investissements'!$A$26:$DE$43,CQ$3-VLOOKUP($A16,'détails investissements'!$A$71:$B$88,2,FALSE)+1,FALSE)="","",VLOOKUP($A16,'détails investissements'!$A$26:$DE$43,CQ$3-VLOOKUP($A16,'détails investissements'!$A$71:$B$88,2,FALSE)+1,FALSE)))&lt;&gt;"",HLOOKUP(IF(CQ$3-VLOOKUP($A16,'détails investissements'!$A$71:$B$88,2,FALSE)&lt;=0,"",IF(VLOOKUP($A16,'détails investissements'!$A$26:$DE$43,CQ$3-VLOOKUP($A16,'détails investissements'!$A$71:$B$88,2,FALSE)+1,FALSE)="","",VLOOKUP($A16,'détails investissements'!$A$26:$DE$43,CQ$3-VLOOKUP($A16,'détails investissements'!$A$71:$B$88,2,FALSE)+1,FALSE))),'détails investissements'!$U$6:$AB$7,2,FALSE),"")&lt;&gt;"",VLOOKUP($A16,'détails investissements'!$A$7:$H$21,1+IF(IF(CQ$3-VLOOKUP($A16,'détails investissements'!$A$71:$B$88,2,FALSE)&lt;=0,"",IF(VLOOKUP($A16,'détails investissements'!$A$26:$DE$43,CQ$3-VLOOKUP($A16,'détails investissements'!$A$71:$B$88,2,FALSE)+1,FALSE)="","",VLOOKUP($A16,'détails investissements'!$A$26:$DE$43,CQ$3-VLOOKUP($A16,'détails investissements'!$A$71:$B$88,2,FALSE)+1,FALSE)))&lt;&gt;"",HLOOKUP(IF(CQ$3-VLOOKUP($A16,'détails investissements'!$A$71:$B$88,2,FALSE)&lt;=0,"",IF(VLOOKUP($A16,'détails investissements'!$A$26:$DE$43,CQ$3-VLOOKUP($A16,'détails investissements'!$A$71:$B$88,2,FALSE)+1,FALSE)="","",VLOOKUP($A16,'détails investissements'!$A$26:$DE$43,CQ$3-VLOOKUP($A16,'détails investissements'!$A$71:$B$88,2,FALSE)+1,FALSE))),'détails investissements'!$U$6:$AB$7,2,FALSE),""),FALSE),"")</f>
        <v/>
      </c>
      <c r="CR16" s="45" t="str">
        <f>IF(IF(IF(CR$3-VLOOKUP($A16,'détails investissements'!$A$71:$B$88,2,FALSE)&lt;=0,"",IF(VLOOKUP($A16,'détails investissements'!$A$26:$DE$43,CR$3-VLOOKUP($A16,'détails investissements'!$A$71:$B$88,2,FALSE)+1,FALSE)="","",VLOOKUP($A16,'détails investissements'!$A$26:$DE$43,CR$3-VLOOKUP($A16,'détails investissements'!$A$71:$B$88,2,FALSE)+1,FALSE)))&lt;&gt;"",HLOOKUP(IF(CR$3-VLOOKUP($A16,'détails investissements'!$A$71:$B$88,2,FALSE)&lt;=0,"",IF(VLOOKUP($A16,'détails investissements'!$A$26:$DE$43,CR$3-VLOOKUP($A16,'détails investissements'!$A$71:$B$88,2,FALSE)+1,FALSE)="","",VLOOKUP($A16,'détails investissements'!$A$26:$DE$43,CR$3-VLOOKUP($A16,'détails investissements'!$A$71:$B$88,2,FALSE)+1,FALSE))),'détails investissements'!$U$6:$AB$7,2,FALSE),"")&lt;&gt;"",VLOOKUP($A16,'détails investissements'!$A$7:$H$21,1+IF(IF(CR$3-VLOOKUP($A16,'détails investissements'!$A$71:$B$88,2,FALSE)&lt;=0,"",IF(VLOOKUP($A16,'détails investissements'!$A$26:$DE$43,CR$3-VLOOKUP($A16,'détails investissements'!$A$71:$B$88,2,FALSE)+1,FALSE)="","",VLOOKUP($A16,'détails investissements'!$A$26:$DE$43,CR$3-VLOOKUP($A16,'détails investissements'!$A$71:$B$88,2,FALSE)+1,FALSE)))&lt;&gt;"",HLOOKUP(IF(CR$3-VLOOKUP($A16,'détails investissements'!$A$71:$B$88,2,FALSE)&lt;=0,"",IF(VLOOKUP($A16,'détails investissements'!$A$26:$DE$43,CR$3-VLOOKUP($A16,'détails investissements'!$A$71:$B$88,2,FALSE)+1,FALSE)="","",VLOOKUP($A16,'détails investissements'!$A$26:$DE$43,CR$3-VLOOKUP($A16,'détails investissements'!$A$71:$B$88,2,FALSE)+1,FALSE))),'détails investissements'!$U$6:$AB$7,2,FALSE),""),FALSE),"")</f>
        <v/>
      </c>
      <c r="CS16" s="45" t="str">
        <f>IF(IF(IF(CS$3-VLOOKUP($A16,'détails investissements'!$A$71:$B$88,2,FALSE)&lt;=0,"",IF(VLOOKUP($A16,'détails investissements'!$A$26:$DE$43,CS$3-VLOOKUP($A16,'détails investissements'!$A$71:$B$88,2,FALSE)+1,FALSE)="","",VLOOKUP($A16,'détails investissements'!$A$26:$DE$43,CS$3-VLOOKUP($A16,'détails investissements'!$A$71:$B$88,2,FALSE)+1,FALSE)))&lt;&gt;"",HLOOKUP(IF(CS$3-VLOOKUP($A16,'détails investissements'!$A$71:$B$88,2,FALSE)&lt;=0,"",IF(VLOOKUP($A16,'détails investissements'!$A$26:$DE$43,CS$3-VLOOKUP($A16,'détails investissements'!$A$71:$B$88,2,FALSE)+1,FALSE)="","",VLOOKUP($A16,'détails investissements'!$A$26:$DE$43,CS$3-VLOOKUP($A16,'détails investissements'!$A$71:$B$88,2,FALSE)+1,FALSE))),'détails investissements'!$U$6:$AB$7,2,FALSE),"")&lt;&gt;"",VLOOKUP($A16,'détails investissements'!$A$7:$H$21,1+IF(IF(CS$3-VLOOKUP($A16,'détails investissements'!$A$71:$B$88,2,FALSE)&lt;=0,"",IF(VLOOKUP($A16,'détails investissements'!$A$26:$DE$43,CS$3-VLOOKUP($A16,'détails investissements'!$A$71:$B$88,2,FALSE)+1,FALSE)="","",VLOOKUP($A16,'détails investissements'!$A$26:$DE$43,CS$3-VLOOKUP($A16,'détails investissements'!$A$71:$B$88,2,FALSE)+1,FALSE)))&lt;&gt;"",HLOOKUP(IF(CS$3-VLOOKUP($A16,'détails investissements'!$A$71:$B$88,2,FALSE)&lt;=0,"",IF(VLOOKUP($A16,'détails investissements'!$A$26:$DE$43,CS$3-VLOOKUP($A16,'détails investissements'!$A$71:$B$88,2,FALSE)+1,FALSE)="","",VLOOKUP($A16,'détails investissements'!$A$26:$DE$43,CS$3-VLOOKUP($A16,'détails investissements'!$A$71:$B$88,2,FALSE)+1,FALSE))),'détails investissements'!$U$6:$AB$7,2,FALSE),""),FALSE),"")</f>
        <v/>
      </c>
      <c r="CT16" s="45" t="str">
        <f>IF(IF(IF(CT$3-VLOOKUP($A16,'détails investissements'!$A$71:$B$88,2,FALSE)&lt;=0,"",IF(VLOOKUP($A16,'détails investissements'!$A$26:$DE$43,CT$3-VLOOKUP($A16,'détails investissements'!$A$71:$B$88,2,FALSE)+1,FALSE)="","",VLOOKUP($A16,'détails investissements'!$A$26:$DE$43,CT$3-VLOOKUP($A16,'détails investissements'!$A$71:$B$88,2,FALSE)+1,FALSE)))&lt;&gt;"",HLOOKUP(IF(CT$3-VLOOKUP($A16,'détails investissements'!$A$71:$B$88,2,FALSE)&lt;=0,"",IF(VLOOKUP($A16,'détails investissements'!$A$26:$DE$43,CT$3-VLOOKUP($A16,'détails investissements'!$A$71:$B$88,2,FALSE)+1,FALSE)="","",VLOOKUP($A16,'détails investissements'!$A$26:$DE$43,CT$3-VLOOKUP($A16,'détails investissements'!$A$71:$B$88,2,FALSE)+1,FALSE))),'détails investissements'!$U$6:$AB$7,2,FALSE),"")&lt;&gt;"",VLOOKUP($A16,'détails investissements'!$A$7:$H$21,1+IF(IF(CT$3-VLOOKUP($A16,'détails investissements'!$A$71:$B$88,2,FALSE)&lt;=0,"",IF(VLOOKUP($A16,'détails investissements'!$A$26:$DE$43,CT$3-VLOOKUP($A16,'détails investissements'!$A$71:$B$88,2,FALSE)+1,FALSE)="","",VLOOKUP($A16,'détails investissements'!$A$26:$DE$43,CT$3-VLOOKUP($A16,'détails investissements'!$A$71:$B$88,2,FALSE)+1,FALSE)))&lt;&gt;"",HLOOKUP(IF(CT$3-VLOOKUP($A16,'détails investissements'!$A$71:$B$88,2,FALSE)&lt;=0,"",IF(VLOOKUP($A16,'détails investissements'!$A$26:$DE$43,CT$3-VLOOKUP($A16,'détails investissements'!$A$71:$B$88,2,FALSE)+1,FALSE)="","",VLOOKUP($A16,'détails investissements'!$A$26:$DE$43,CT$3-VLOOKUP($A16,'détails investissements'!$A$71:$B$88,2,FALSE)+1,FALSE))),'détails investissements'!$U$6:$AB$7,2,FALSE),""),FALSE),"")</f>
        <v/>
      </c>
      <c r="CU16" s="45" t="str">
        <f>IF(IF(IF(CU$3-VLOOKUP($A16,'détails investissements'!$A$71:$B$88,2,FALSE)&lt;=0,"",IF(VLOOKUP($A16,'détails investissements'!$A$26:$DE$43,CU$3-VLOOKUP($A16,'détails investissements'!$A$71:$B$88,2,FALSE)+1,FALSE)="","",VLOOKUP($A16,'détails investissements'!$A$26:$DE$43,CU$3-VLOOKUP($A16,'détails investissements'!$A$71:$B$88,2,FALSE)+1,FALSE)))&lt;&gt;"",HLOOKUP(IF(CU$3-VLOOKUP($A16,'détails investissements'!$A$71:$B$88,2,FALSE)&lt;=0,"",IF(VLOOKUP($A16,'détails investissements'!$A$26:$DE$43,CU$3-VLOOKUP($A16,'détails investissements'!$A$71:$B$88,2,FALSE)+1,FALSE)="","",VLOOKUP($A16,'détails investissements'!$A$26:$DE$43,CU$3-VLOOKUP($A16,'détails investissements'!$A$71:$B$88,2,FALSE)+1,FALSE))),'détails investissements'!$U$6:$AB$7,2,FALSE),"")&lt;&gt;"",VLOOKUP($A16,'détails investissements'!$A$7:$H$21,1+IF(IF(CU$3-VLOOKUP($A16,'détails investissements'!$A$71:$B$88,2,FALSE)&lt;=0,"",IF(VLOOKUP($A16,'détails investissements'!$A$26:$DE$43,CU$3-VLOOKUP($A16,'détails investissements'!$A$71:$B$88,2,FALSE)+1,FALSE)="","",VLOOKUP($A16,'détails investissements'!$A$26:$DE$43,CU$3-VLOOKUP($A16,'détails investissements'!$A$71:$B$88,2,FALSE)+1,FALSE)))&lt;&gt;"",HLOOKUP(IF(CU$3-VLOOKUP($A16,'détails investissements'!$A$71:$B$88,2,FALSE)&lt;=0,"",IF(VLOOKUP($A16,'détails investissements'!$A$26:$DE$43,CU$3-VLOOKUP($A16,'détails investissements'!$A$71:$B$88,2,FALSE)+1,FALSE)="","",VLOOKUP($A16,'détails investissements'!$A$26:$DE$43,CU$3-VLOOKUP($A16,'détails investissements'!$A$71:$B$88,2,FALSE)+1,FALSE))),'détails investissements'!$U$6:$AB$7,2,FALSE),""),FALSE),"")</f>
        <v/>
      </c>
      <c r="CV16" s="45" t="str">
        <f>IF(IF(IF(CV$3-VLOOKUP($A16,'détails investissements'!$A$71:$B$88,2,FALSE)&lt;=0,"",IF(VLOOKUP($A16,'détails investissements'!$A$26:$DE$43,CV$3-VLOOKUP($A16,'détails investissements'!$A$71:$B$88,2,FALSE)+1,FALSE)="","",VLOOKUP($A16,'détails investissements'!$A$26:$DE$43,CV$3-VLOOKUP($A16,'détails investissements'!$A$71:$B$88,2,FALSE)+1,FALSE)))&lt;&gt;"",HLOOKUP(IF(CV$3-VLOOKUP($A16,'détails investissements'!$A$71:$B$88,2,FALSE)&lt;=0,"",IF(VLOOKUP($A16,'détails investissements'!$A$26:$DE$43,CV$3-VLOOKUP($A16,'détails investissements'!$A$71:$B$88,2,FALSE)+1,FALSE)="","",VLOOKUP($A16,'détails investissements'!$A$26:$DE$43,CV$3-VLOOKUP($A16,'détails investissements'!$A$71:$B$88,2,FALSE)+1,FALSE))),'détails investissements'!$U$6:$AB$7,2,FALSE),"")&lt;&gt;"",VLOOKUP($A16,'détails investissements'!$A$7:$H$21,1+IF(IF(CV$3-VLOOKUP($A16,'détails investissements'!$A$71:$B$88,2,FALSE)&lt;=0,"",IF(VLOOKUP($A16,'détails investissements'!$A$26:$DE$43,CV$3-VLOOKUP($A16,'détails investissements'!$A$71:$B$88,2,FALSE)+1,FALSE)="","",VLOOKUP($A16,'détails investissements'!$A$26:$DE$43,CV$3-VLOOKUP($A16,'détails investissements'!$A$71:$B$88,2,FALSE)+1,FALSE)))&lt;&gt;"",HLOOKUP(IF(CV$3-VLOOKUP($A16,'détails investissements'!$A$71:$B$88,2,FALSE)&lt;=0,"",IF(VLOOKUP($A16,'détails investissements'!$A$26:$DE$43,CV$3-VLOOKUP($A16,'détails investissements'!$A$71:$B$88,2,FALSE)+1,FALSE)="","",VLOOKUP($A16,'détails investissements'!$A$26:$DE$43,CV$3-VLOOKUP($A16,'détails investissements'!$A$71:$B$88,2,FALSE)+1,FALSE))),'détails investissements'!$U$6:$AB$7,2,FALSE),""),FALSE),"")</f>
        <v/>
      </c>
      <c r="CW16" s="45" t="str">
        <f>IF(IF(IF(CW$3-VLOOKUP($A16,'détails investissements'!$A$71:$B$88,2,FALSE)&lt;=0,"",IF(VLOOKUP($A16,'détails investissements'!$A$26:$DE$43,CW$3-VLOOKUP($A16,'détails investissements'!$A$71:$B$88,2,FALSE)+1,FALSE)="","",VLOOKUP($A16,'détails investissements'!$A$26:$DE$43,CW$3-VLOOKUP($A16,'détails investissements'!$A$71:$B$88,2,FALSE)+1,FALSE)))&lt;&gt;"",HLOOKUP(IF(CW$3-VLOOKUP($A16,'détails investissements'!$A$71:$B$88,2,FALSE)&lt;=0,"",IF(VLOOKUP($A16,'détails investissements'!$A$26:$DE$43,CW$3-VLOOKUP($A16,'détails investissements'!$A$71:$B$88,2,FALSE)+1,FALSE)="","",VLOOKUP($A16,'détails investissements'!$A$26:$DE$43,CW$3-VLOOKUP($A16,'détails investissements'!$A$71:$B$88,2,FALSE)+1,FALSE))),'détails investissements'!$U$6:$AB$7,2,FALSE),"")&lt;&gt;"",VLOOKUP($A16,'détails investissements'!$A$7:$H$21,1+IF(IF(CW$3-VLOOKUP($A16,'détails investissements'!$A$71:$B$88,2,FALSE)&lt;=0,"",IF(VLOOKUP($A16,'détails investissements'!$A$26:$DE$43,CW$3-VLOOKUP($A16,'détails investissements'!$A$71:$B$88,2,FALSE)+1,FALSE)="","",VLOOKUP($A16,'détails investissements'!$A$26:$DE$43,CW$3-VLOOKUP($A16,'détails investissements'!$A$71:$B$88,2,FALSE)+1,FALSE)))&lt;&gt;"",HLOOKUP(IF(CW$3-VLOOKUP($A16,'détails investissements'!$A$71:$B$88,2,FALSE)&lt;=0,"",IF(VLOOKUP($A16,'détails investissements'!$A$26:$DE$43,CW$3-VLOOKUP($A16,'détails investissements'!$A$71:$B$88,2,FALSE)+1,FALSE)="","",VLOOKUP($A16,'détails investissements'!$A$26:$DE$43,CW$3-VLOOKUP($A16,'détails investissements'!$A$71:$B$88,2,FALSE)+1,FALSE))),'détails investissements'!$U$6:$AB$7,2,FALSE),""),FALSE),"")</f>
        <v/>
      </c>
      <c r="CX16" s="45" t="str">
        <f>IF(IF(IF(CX$3-VLOOKUP($A16,'détails investissements'!$A$71:$B$88,2,FALSE)&lt;=0,"",IF(VLOOKUP($A16,'détails investissements'!$A$26:$DE$43,CX$3-VLOOKUP($A16,'détails investissements'!$A$71:$B$88,2,FALSE)+1,FALSE)="","",VLOOKUP($A16,'détails investissements'!$A$26:$DE$43,CX$3-VLOOKUP($A16,'détails investissements'!$A$71:$B$88,2,FALSE)+1,FALSE)))&lt;&gt;"",HLOOKUP(IF(CX$3-VLOOKUP($A16,'détails investissements'!$A$71:$B$88,2,FALSE)&lt;=0,"",IF(VLOOKUP($A16,'détails investissements'!$A$26:$DE$43,CX$3-VLOOKUP($A16,'détails investissements'!$A$71:$B$88,2,FALSE)+1,FALSE)="","",VLOOKUP($A16,'détails investissements'!$A$26:$DE$43,CX$3-VLOOKUP($A16,'détails investissements'!$A$71:$B$88,2,FALSE)+1,FALSE))),'détails investissements'!$U$6:$AB$7,2,FALSE),"")&lt;&gt;"",VLOOKUP($A16,'détails investissements'!$A$7:$H$21,1+IF(IF(CX$3-VLOOKUP($A16,'détails investissements'!$A$71:$B$88,2,FALSE)&lt;=0,"",IF(VLOOKUP($A16,'détails investissements'!$A$26:$DE$43,CX$3-VLOOKUP($A16,'détails investissements'!$A$71:$B$88,2,FALSE)+1,FALSE)="","",VLOOKUP($A16,'détails investissements'!$A$26:$DE$43,CX$3-VLOOKUP($A16,'détails investissements'!$A$71:$B$88,2,FALSE)+1,FALSE)))&lt;&gt;"",HLOOKUP(IF(CX$3-VLOOKUP($A16,'détails investissements'!$A$71:$B$88,2,FALSE)&lt;=0,"",IF(VLOOKUP($A16,'détails investissements'!$A$26:$DE$43,CX$3-VLOOKUP($A16,'détails investissements'!$A$71:$B$88,2,FALSE)+1,FALSE)="","",VLOOKUP($A16,'détails investissements'!$A$26:$DE$43,CX$3-VLOOKUP($A16,'détails investissements'!$A$71:$B$88,2,FALSE)+1,FALSE))),'détails investissements'!$U$6:$AB$7,2,FALSE),""),FALSE),"")</f>
        <v/>
      </c>
      <c r="CY16" s="45" t="str">
        <f>IF(IF(IF(CY$3-VLOOKUP($A16,'détails investissements'!$A$71:$B$88,2,FALSE)&lt;=0,"",IF(VLOOKUP($A16,'détails investissements'!$A$26:$DE$43,CY$3-VLOOKUP($A16,'détails investissements'!$A$71:$B$88,2,FALSE)+1,FALSE)="","",VLOOKUP($A16,'détails investissements'!$A$26:$DE$43,CY$3-VLOOKUP($A16,'détails investissements'!$A$71:$B$88,2,FALSE)+1,FALSE)))&lt;&gt;"",HLOOKUP(IF(CY$3-VLOOKUP($A16,'détails investissements'!$A$71:$B$88,2,FALSE)&lt;=0,"",IF(VLOOKUP($A16,'détails investissements'!$A$26:$DE$43,CY$3-VLOOKUP($A16,'détails investissements'!$A$71:$B$88,2,FALSE)+1,FALSE)="","",VLOOKUP($A16,'détails investissements'!$A$26:$DE$43,CY$3-VLOOKUP($A16,'détails investissements'!$A$71:$B$88,2,FALSE)+1,FALSE))),'détails investissements'!$U$6:$AB$7,2,FALSE),"")&lt;&gt;"",VLOOKUP($A16,'détails investissements'!$A$7:$H$21,1+IF(IF(CY$3-VLOOKUP($A16,'détails investissements'!$A$71:$B$88,2,FALSE)&lt;=0,"",IF(VLOOKUP($A16,'détails investissements'!$A$26:$DE$43,CY$3-VLOOKUP($A16,'détails investissements'!$A$71:$B$88,2,FALSE)+1,FALSE)="","",VLOOKUP($A16,'détails investissements'!$A$26:$DE$43,CY$3-VLOOKUP($A16,'détails investissements'!$A$71:$B$88,2,FALSE)+1,FALSE)))&lt;&gt;"",HLOOKUP(IF(CY$3-VLOOKUP($A16,'détails investissements'!$A$71:$B$88,2,FALSE)&lt;=0,"",IF(VLOOKUP($A16,'détails investissements'!$A$26:$DE$43,CY$3-VLOOKUP($A16,'détails investissements'!$A$71:$B$88,2,FALSE)+1,FALSE)="","",VLOOKUP($A16,'détails investissements'!$A$26:$DE$43,CY$3-VLOOKUP($A16,'détails investissements'!$A$71:$B$88,2,FALSE)+1,FALSE))),'détails investissements'!$U$6:$AB$7,2,FALSE),""),FALSE),"")</f>
        <v/>
      </c>
      <c r="CZ16" s="45" t="str">
        <f>IF(IF(IF(CZ$3-VLOOKUP($A16,'détails investissements'!$A$71:$B$88,2,FALSE)&lt;=0,"",IF(VLOOKUP($A16,'détails investissements'!$A$26:$DE$43,CZ$3-VLOOKUP($A16,'détails investissements'!$A$71:$B$88,2,FALSE)+1,FALSE)="","",VLOOKUP($A16,'détails investissements'!$A$26:$DE$43,CZ$3-VLOOKUP($A16,'détails investissements'!$A$71:$B$88,2,FALSE)+1,FALSE)))&lt;&gt;"",HLOOKUP(IF(CZ$3-VLOOKUP($A16,'détails investissements'!$A$71:$B$88,2,FALSE)&lt;=0,"",IF(VLOOKUP($A16,'détails investissements'!$A$26:$DE$43,CZ$3-VLOOKUP($A16,'détails investissements'!$A$71:$B$88,2,FALSE)+1,FALSE)="","",VLOOKUP($A16,'détails investissements'!$A$26:$DE$43,CZ$3-VLOOKUP($A16,'détails investissements'!$A$71:$B$88,2,FALSE)+1,FALSE))),'détails investissements'!$U$6:$AB$7,2,FALSE),"")&lt;&gt;"",VLOOKUP($A16,'détails investissements'!$A$7:$H$21,1+IF(IF(CZ$3-VLOOKUP($A16,'détails investissements'!$A$71:$B$88,2,FALSE)&lt;=0,"",IF(VLOOKUP($A16,'détails investissements'!$A$26:$DE$43,CZ$3-VLOOKUP($A16,'détails investissements'!$A$71:$B$88,2,FALSE)+1,FALSE)="","",VLOOKUP($A16,'détails investissements'!$A$26:$DE$43,CZ$3-VLOOKUP($A16,'détails investissements'!$A$71:$B$88,2,FALSE)+1,FALSE)))&lt;&gt;"",HLOOKUP(IF(CZ$3-VLOOKUP($A16,'détails investissements'!$A$71:$B$88,2,FALSE)&lt;=0,"",IF(VLOOKUP($A16,'détails investissements'!$A$26:$DE$43,CZ$3-VLOOKUP($A16,'détails investissements'!$A$71:$B$88,2,FALSE)+1,FALSE)="","",VLOOKUP($A16,'détails investissements'!$A$26:$DE$43,CZ$3-VLOOKUP($A16,'détails investissements'!$A$71:$B$88,2,FALSE)+1,FALSE))),'détails investissements'!$U$6:$AB$7,2,FALSE),""),FALSE),"")</f>
        <v/>
      </c>
      <c r="DA16" s="45" t="str">
        <f>IF(IF(IF(DA$3-VLOOKUP($A16,'détails investissements'!$A$71:$B$88,2,FALSE)&lt;=0,"",IF(VLOOKUP($A16,'détails investissements'!$A$26:$DE$43,DA$3-VLOOKUP($A16,'détails investissements'!$A$71:$B$88,2,FALSE)+1,FALSE)="","",VLOOKUP($A16,'détails investissements'!$A$26:$DE$43,DA$3-VLOOKUP($A16,'détails investissements'!$A$71:$B$88,2,FALSE)+1,FALSE)))&lt;&gt;"",HLOOKUP(IF(DA$3-VLOOKUP($A16,'détails investissements'!$A$71:$B$88,2,FALSE)&lt;=0,"",IF(VLOOKUP($A16,'détails investissements'!$A$26:$DE$43,DA$3-VLOOKUP($A16,'détails investissements'!$A$71:$B$88,2,FALSE)+1,FALSE)="","",VLOOKUP($A16,'détails investissements'!$A$26:$DE$43,DA$3-VLOOKUP($A16,'détails investissements'!$A$71:$B$88,2,FALSE)+1,FALSE))),'détails investissements'!$U$6:$AB$7,2,FALSE),"")&lt;&gt;"",VLOOKUP($A16,'détails investissements'!$A$7:$H$21,1+IF(IF(DA$3-VLOOKUP($A16,'détails investissements'!$A$71:$B$88,2,FALSE)&lt;=0,"",IF(VLOOKUP($A16,'détails investissements'!$A$26:$DE$43,DA$3-VLOOKUP($A16,'détails investissements'!$A$71:$B$88,2,FALSE)+1,FALSE)="","",VLOOKUP($A16,'détails investissements'!$A$26:$DE$43,DA$3-VLOOKUP($A16,'détails investissements'!$A$71:$B$88,2,FALSE)+1,FALSE)))&lt;&gt;"",HLOOKUP(IF(DA$3-VLOOKUP($A16,'détails investissements'!$A$71:$B$88,2,FALSE)&lt;=0,"",IF(VLOOKUP($A16,'détails investissements'!$A$26:$DE$43,DA$3-VLOOKUP($A16,'détails investissements'!$A$71:$B$88,2,FALSE)+1,FALSE)="","",VLOOKUP($A16,'détails investissements'!$A$26:$DE$43,DA$3-VLOOKUP($A16,'détails investissements'!$A$71:$B$88,2,FALSE)+1,FALSE))),'détails investissements'!$U$6:$AB$7,2,FALSE),""),FALSE),"")</f>
        <v/>
      </c>
      <c r="DB16" s="45" t="str">
        <f>IF(IF(IF(DB$3-VLOOKUP($A16,'détails investissements'!$A$71:$B$88,2,FALSE)&lt;=0,"",IF(VLOOKUP($A16,'détails investissements'!$A$26:$DE$43,DB$3-VLOOKUP($A16,'détails investissements'!$A$71:$B$88,2,FALSE)+1,FALSE)="","",VLOOKUP($A16,'détails investissements'!$A$26:$DE$43,DB$3-VLOOKUP($A16,'détails investissements'!$A$71:$B$88,2,FALSE)+1,FALSE)))&lt;&gt;"",HLOOKUP(IF(DB$3-VLOOKUP($A16,'détails investissements'!$A$71:$B$88,2,FALSE)&lt;=0,"",IF(VLOOKUP($A16,'détails investissements'!$A$26:$DE$43,DB$3-VLOOKUP($A16,'détails investissements'!$A$71:$B$88,2,FALSE)+1,FALSE)="","",VLOOKUP($A16,'détails investissements'!$A$26:$DE$43,DB$3-VLOOKUP($A16,'détails investissements'!$A$71:$B$88,2,FALSE)+1,FALSE))),'détails investissements'!$U$6:$AB$7,2,FALSE),"")&lt;&gt;"",VLOOKUP($A16,'détails investissements'!$A$7:$H$21,1+IF(IF(DB$3-VLOOKUP($A16,'détails investissements'!$A$71:$B$88,2,FALSE)&lt;=0,"",IF(VLOOKUP($A16,'détails investissements'!$A$26:$DE$43,DB$3-VLOOKUP($A16,'détails investissements'!$A$71:$B$88,2,FALSE)+1,FALSE)="","",VLOOKUP($A16,'détails investissements'!$A$26:$DE$43,DB$3-VLOOKUP($A16,'détails investissements'!$A$71:$B$88,2,FALSE)+1,FALSE)))&lt;&gt;"",HLOOKUP(IF(DB$3-VLOOKUP($A16,'détails investissements'!$A$71:$B$88,2,FALSE)&lt;=0,"",IF(VLOOKUP($A16,'détails investissements'!$A$26:$DE$43,DB$3-VLOOKUP($A16,'détails investissements'!$A$71:$B$88,2,FALSE)+1,FALSE)="","",VLOOKUP($A16,'détails investissements'!$A$26:$DE$43,DB$3-VLOOKUP($A16,'détails investissements'!$A$71:$B$88,2,FALSE)+1,FALSE))),'détails investissements'!$U$6:$AB$7,2,FALSE),""),FALSE),"")</f>
        <v/>
      </c>
      <c r="DC16" s="45" t="str">
        <f>IF(IF(IF(DC$3-VLOOKUP($A16,'détails investissements'!$A$71:$B$88,2,FALSE)&lt;=0,"",IF(VLOOKUP($A16,'détails investissements'!$A$26:$DE$43,DC$3-VLOOKUP($A16,'détails investissements'!$A$71:$B$88,2,FALSE)+1,FALSE)="","",VLOOKUP($A16,'détails investissements'!$A$26:$DE$43,DC$3-VLOOKUP($A16,'détails investissements'!$A$71:$B$88,2,FALSE)+1,FALSE)))&lt;&gt;"",HLOOKUP(IF(DC$3-VLOOKUP($A16,'détails investissements'!$A$71:$B$88,2,FALSE)&lt;=0,"",IF(VLOOKUP($A16,'détails investissements'!$A$26:$DE$43,DC$3-VLOOKUP($A16,'détails investissements'!$A$71:$B$88,2,FALSE)+1,FALSE)="","",VLOOKUP($A16,'détails investissements'!$A$26:$DE$43,DC$3-VLOOKUP($A16,'détails investissements'!$A$71:$B$88,2,FALSE)+1,FALSE))),'détails investissements'!$U$6:$AB$7,2,FALSE),"")&lt;&gt;"",VLOOKUP($A16,'détails investissements'!$A$7:$H$21,1+IF(IF(DC$3-VLOOKUP($A16,'détails investissements'!$A$71:$B$88,2,FALSE)&lt;=0,"",IF(VLOOKUP($A16,'détails investissements'!$A$26:$DE$43,DC$3-VLOOKUP($A16,'détails investissements'!$A$71:$B$88,2,FALSE)+1,FALSE)="","",VLOOKUP($A16,'détails investissements'!$A$26:$DE$43,DC$3-VLOOKUP($A16,'détails investissements'!$A$71:$B$88,2,FALSE)+1,FALSE)))&lt;&gt;"",HLOOKUP(IF(DC$3-VLOOKUP($A16,'détails investissements'!$A$71:$B$88,2,FALSE)&lt;=0,"",IF(VLOOKUP($A16,'détails investissements'!$A$26:$DE$43,DC$3-VLOOKUP($A16,'détails investissements'!$A$71:$B$88,2,FALSE)+1,FALSE)="","",VLOOKUP($A16,'détails investissements'!$A$26:$DE$43,DC$3-VLOOKUP($A16,'détails investissements'!$A$71:$B$88,2,FALSE)+1,FALSE))),'détails investissements'!$U$6:$AB$7,2,FALSE),""),FALSE),"")</f>
        <v/>
      </c>
      <c r="DD16" s="45" t="str">
        <f>IF(IF(IF(DD$3-VLOOKUP($A16,'détails investissements'!$A$71:$B$88,2,FALSE)&lt;=0,"",IF(VLOOKUP($A16,'détails investissements'!$A$26:$DE$43,DD$3-VLOOKUP($A16,'détails investissements'!$A$71:$B$88,2,FALSE)+1,FALSE)="","",VLOOKUP($A16,'détails investissements'!$A$26:$DE$43,DD$3-VLOOKUP($A16,'détails investissements'!$A$71:$B$88,2,FALSE)+1,FALSE)))&lt;&gt;"",HLOOKUP(IF(DD$3-VLOOKUP($A16,'détails investissements'!$A$71:$B$88,2,FALSE)&lt;=0,"",IF(VLOOKUP($A16,'détails investissements'!$A$26:$DE$43,DD$3-VLOOKUP($A16,'détails investissements'!$A$71:$B$88,2,FALSE)+1,FALSE)="","",VLOOKUP($A16,'détails investissements'!$A$26:$DE$43,DD$3-VLOOKUP($A16,'détails investissements'!$A$71:$B$88,2,FALSE)+1,FALSE))),'détails investissements'!$U$6:$AB$7,2,FALSE),"")&lt;&gt;"",VLOOKUP($A16,'détails investissements'!$A$7:$H$21,1+IF(IF(DD$3-VLOOKUP($A16,'détails investissements'!$A$71:$B$88,2,FALSE)&lt;=0,"",IF(VLOOKUP($A16,'détails investissements'!$A$26:$DE$43,DD$3-VLOOKUP($A16,'détails investissements'!$A$71:$B$88,2,FALSE)+1,FALSE)="","",VLOOKUP($A16,'détails investissements'!$A$26:$DE$43,DD$3-VLOOKUP($A16,'détails investissements'!$A$71:$B$88,2,FALSE)+1,FALSE)))&lt;&gt;"",HLOOKUP(IF(DD$3-VLOOKUP($A16,'détails investissements'!$A$71:$B$88,2,FALSE)&lt;=0,"",IF(VLOOKUP($A16,'détails investissements'!$A$26:$DE$43,DD$3-VLOOKUP($A16,'détails investissements'!$A$71:$B$88,2,FALSE)+1,FALSE)="","",VLOOKUP($A16,'détails investissements'!$A$26:$DE$43,DD$3-VLOOKUP($A16,'détails investissements'!$A$71:$B$88,2,FALSE)+1,FALSE))),'détails investissements'!$U$6:$AB$7,2,FALSE),""),FALSE),"")</f>
        <v/>
      </c>
      <c r="DE16" s="45" t="str">
        <f>IF(IF(IF(DE$3-VLOOKUP($A16,'détails investissements'!$A$71:$B$88,2,FALSE)&lt;=0,"",IF(VLOOKUP($A16,'détails investissements'!$A$26:$DE$43,DE$3-VLOOKUP($A16,'détails investissements'!$A$71:$B$88,2,FALSE)+1,FALSE)="","",VLOOKUP($A16,'détails investissements'!$A$26:$DE$43,DE$3-VLOOKUP($A16,'détails investissements'!$A$71:$B$88,2,FALSE)+1,FALSE)))&lt;&gt;"",HLOOKUP(IF(DE$3-VLOOKUP($A16,'détails investissements'!$A$71:$B$88,2,FALSE)&lt;=0,"",IF(VLOOKUP($A16,'détails investissements'!$A$26:$DE$43,DE$3-VLOOKUP($A16,'détails investissements'!$A$71:$B$88,2,FALSE)+1,FALSE)="","",VLOOKUP($A16,'détails investissements'!$A$26:$DE$43,DE$3-VLOOKUP($A16,'détails investissements'!$A$71:$B$88,2,FALSE)+1,FALSE))),'détails investissements'!$U$6:$AB$7,2,FALSE),"")&lt;&gt;"",VLOOKUP($A16,'détails investissements'!$A$7:$H$21,1+IF(IF(DE$3-VLOOKUP($A16,'détails investissements'!$A$71:$B$88,2,FALSE)&lt;=0,"",IF(VLOOKUP($A16,'détails investissements'!$A$26:$DE$43,DE$3-VLOOKUP($A16,'détails investissements'!$A$71:$B$88,2,FALSE)+1,FALSE)="","",VLOOKUP($A16,'détails investissements'!$A$26:$DE$43,DE$3-VLOOKUP($A16,'détails investissements'!$A$71:$B$88,2,FALSE)+1,FALSE)))&lt;&gt;"",HLOOKUP(IF(DE$3-VLOOKUP($A16,'détails investissements'!$A$71:$B$88,2,FALSE)&lt;=0,"",IF(VLOOKUP($A16,'détails investissements'!$A$26:$DE$43,DE$3-VLOOKUP($A16,'détails investissements'!$A$71:$B$88,2,FALSE)+1,FALSE)="","",VLOOKUP($A16,'détails investissements'!$A$26:$DE$43,DE$3-VLOOKUP($A16,'détails investissements'!$A$71:$B$88,2,FALSE)+1,FALSE))),'détails investissements'!$U$6:$AB$7,2,FALSE),""),FALSE),"")</f>
        <v/>
      </c>
      <c r="DF16" s="45" t="str">
        <f>IF(IF(IF(DF$3-VLOOKUP($A16,'détails investissements'!$A$71:$B$88,2,FALSE)&lt;=0,"",IF(VLOOKUP($A16,'détails investissements'!$A$26:$DE$43,DF$3-VLOOKUP($A16,'détails investissements'!$A$71:$B$88,2,FALSE)+1,FALSE)="","",VLOOKUP($A16,'détails investissements'!$A$26:$DE$43,DF$3-VLOOKUP($A16,'détails investissements'!$A$71:$B$88,2,FALSE)+1,FALSE)))&lt;&gt;"",HLOOKUP(IF(DF$3-VLOOKUP($A16,'détails investissements'!$A$71:$B$88,2,FALSE)&lt;=0,"",IF(VLOOKUP($A16,'détails investissements'!$A$26:$DE$43,DF$3-VLOOKUP($A16,'détails investissements'!$A$71:$B$88,2,FALSE)+1,FALSE)="","",VLOOKUP($A16,'détails investissements'!$A$26:$DE$43,DF$3-VLOOKUP($A16,'détails investissements'!$A$71:$B$88,2,FALSE)+1,FALSE))),'détails investissements'!$U$6:$AB$7,2,FALSE),"")&lt;&gt;"",VLOOKUP($A16,'détails investissements'!$A$7:$H$21,1+IF(IF(DF$3-VLOOKUP($A16,'détails investissements'!$A$71:$B$88,2,FALSE)&lt;=0,"",IF(VLOOKUP($A16,'détails investissements'!$A$26:$DE$43,DF$3-VLOOKUP($A16,'détails investissements'!$A$71:$B$88,2,FALSE)+1,FALSE)="","",VLOOKUP($A16,'détails investissements'!$A$26:$DE$43,DF$3-VLOOKUP($A16,'détails investissements'!$A$71:$B$88,2,FALSE)+1,FALSE)))&lt;&gt;"",HLOOKUP(IF(DF$3-VLOOKUP($A16,'détails investissements'!$A$71:$B$88,2,FALSE)&lt;=0,"",IF(VLOOKUP($A16,'détails investissements'!$A$26:$DE$43,DF$3-VLOOKUP($A16,'détails investissements'!$A$71:$B$88,2,FALSE)+1,FALSE)="","",VLOOKUP($A16,'détails investissements'!$A$26:$DE$43,DF$3-VLOOKUP($A16,'détails investissements'!$A$71:$B$88,2,FALSE)+1,FALSE))),'détails investissements'!$U$6:$AB$7,2,FALSE),""),FALSE),"")</f>
        <v/>
      </c>
      <c r="DG16">
        <f t="shared" si="0"/>
        <v>1</v>
      </c>
    </row>
    <row r="17" spans="1:111" x14ac:dyDescent="0.2">
      <c r="A17" s="15" t="str">
        <f>'[4]Données investissements'!A37</f>
        <v>Batiment (charpente, GCs, bureaux)</v>
      </c>
      <c r="B17" s="23">
        <f>'détails investissements'!B105</f>
        <v>9</v>
      </c>
      <c r="C17" s="45" t="str">
        <f>IF(IF(IF(C$3-VLOOKUP($A17,'détails investissements'!$A$71:$B$88,2,FALSE)&lt;=0,"",IF(VLOOKUP($A17,'détails investissements'!$A$26:$DE$43,C$3-VLOOKUP($A17,'détails investissements'!$A$71:$B$88,2,FALSE)+1,FALSE)="","",VLOOKUP($A17,'détails investissements'!$A$26:$DE$43,C$3-VLOOKUP($A17,'détails investissements'!$A$71:$B$88,2,FALSE)+1,FALSE)))&lt;&gt;"",HLOOKUP(IF(C$3-VLOOKUP($A17,'détails investissements'!$A$71:$B$88,2,FALSE)&lt;=0,"",IF(VLOOKUP($A17,'détails investissements'!$A$26:$DE$43,C$3-VLOOKUP($A17,'détails investissements'!$A$71:$B$88,2,FALSE)+1,FALSE)="","",VLOOKUP($A17,'détails investissements'!$A$26:$DE$43,C$3-VLOOKUP($A17,'détails investissements'!$A$71:$B$88,2,FALSE)+1,FALSE))),'détails investissements'!$U$6:$AB$7,2,FALSE),"")&lt;&gt;"",VLOOKUP($A17,'détails investissements'!$A$7:$H$21,1+IF(IF(C$3-VLOOKUP($A17,'détails investissements'!$A$71:$B$88,2,FALSE)&lt;=0,"",IF(VLOOKUP($A17,'détails investissements'!$A$26:$DE$43,C$3-VLOOKUP($A17,'détails investissements'!$A$71:$B$88,2,FALSE)+1,FALSE)="","",VLOOKUP($A17,'détails investissements'!$A$26:$DE$43,C$3-VLOOKUP($A17,'détails investissements'!$A$71:$B$88,2,FALSE)+1,FALSE)))&lt;&gt;"",HLOOKUP(IF(C$3-VLOOKUP($A17,'détails investissements'!$A$71:$B$88,2,FALSE)&lt;=0,"",IF(VLOOKUP($A17,'détails investissements'!$A$26:$DE$43,C$3-VLOOKUP($A17,'détails investissements'!$A$71:$B$88,2,FALSE)+1,FALSE)="","",VLOOKUP($A17,'détails investissements'!$A$26:$DE$43,C$3-VLOOKUP($A17,'détails investissements'!$A$71:$B$88,2,FALSE)+1,FALSE))),'détails investissements'!$U$6:$AB$7,2,FALSE),""),FALSE),"")</f>
        <v/>
      </c>
      <c r="D17" s="45" t="str">
        <f>IF(IF(IF(D$3-VLOOKUP($A17,'détails investissements'!$A$71:$B$88,2,FALSE)&lt;=0,"",IF(VLOOKUP($A17,'détails investissements'!$A$26:$DE$43,D$3-VLOOKUP($A17,'détails investissements'!$A$71:$B$88,2,FALSE)+1,FALSE)="","",VLOOKUP($A17,'détails investissements'!$A$26:$DE$43,D$3-VLOOKUP($A17,'détails investissements'!$A$71:$B$88,2,FALSE)+1,FALSE)))&lt;&gt;"",HLOOKUP(IF(D$3-VLOOKUP($A17,'détails investissements'!$A$71:$B$88,2,FALSE)&lt;=0,"",IF(VLOOKUP($A17,'détails investissements'!$A$26:$DE$43,D$3-VLOOKUP($A17,'détails investissements'!$A$71:$B$88,2,FALSE)+1,FALSE)="","",VLOOKUP($A17,'détails investissements'!$A$26:$DE$43,D$3-VLOOKUP($A17,'détails investissements'!$A$71:$B$88,2,FALSE)+1,FALSE))),'détails investissements'!$U$6:$AB$7,2,FALSE),"")&lt;&gt;"",VLOOKUP($A17,'détails investissements'!$A$7:$H$21,1+IF(IF(D$3-VLOOKUP($A17,'détails investissements'!$A$71:$B$88,2,FALSE)&lt;=0,"",IF(VLOOKUP($A17,'détails investissements'!$A$26:$DE$43,D$3-VLOOKUP($A17,'détails investissements'!$A$71:$B$88,2,FALSE)+1,FALSE)="","",VLOOKUP($A17,'détails investissements'!$A$26:$DE$43,D$3-VLOOKUP($A17,'détails investissements'!$A$71:$B$88,2,FALSE)+1,FALSE)))&lt;&gt;"",HLOOKUP(IF(D$3-VLOOKUP($A17,'détails investissements'!$A$71:$B$88,2,FALSE)&lt;=0,"",IF(VLOOKUP($A17,'détails investissements'!$A$26:$DE$43,D$3-VLOOKUP($A17,'détails investissements'!$A$71:$B$88,2,FALSE)+1,FALSE)="","",VLOOKUP($A17,'détails investissements'!$A$26:$DE$43,D$3-VLOOKUP($A17,'détails investissements'!$A$71:$B$88,2,FALSE)+1,FALSE))),'détails investissements'!$U$6:$AB$7,2,FALSE),""),FALSE),"")</f>
        <v/>
      </c>
      <c r="E17" s="45">
        <f>IF(IF(IF(E$3-VLOOKUP($A17,'détails investissements'!$A$71:$B$88,2,FALSE)&lt;=0,"",IF(VLOOKUP($A17,'détails investissements'!$A$26:$DE$43,E$3-VLOOKUP($A17,'détails investissements'!$A$71:$B$88,2,FALSE)+1,FALSE)="","",VLOOKUP($A17,'détails investissements'!$A$26:$DE$43,E$3-VLOOKUP($A17,'détails investissements'!$A$71:$B$88,2,FALSE)+1,FALSE)))&lt;&gt;"",HLOOKUP(IF(E$3-VLOOKUP($A17,'détails investissements'!$A$71:$B$88,2,FALSE)&lt;=0,"",IF(VLOOKUP($A17,'détails investissements'!$A$26:$DE$43,E$3-VLOOKUP($A17,'détails investissements'!$A$71:$B$88,2,FALSE)+1,FALSE)="","",VLOOKUP($A17,'détails investissements'!$A$26:$DE$43,E$3-VLOOKUP($A17,'détails investissements'!$A$71:$B$88,2,FALSE)+1,FALSE))),'détails investissements'!$U$6:$AB$7,2,FALSE),"")&lt;&gt;"",VLOOKUP($A17,'détails investissements'!$A$7:$H$21,1+IF(IF(E$3-VLOOKUP($A17,'détails investissements'!$A$71:$B$88,2,FALSE)&lt;=0,"",IF(VLOOKUP($A17,'détails investissements'!$A$26:$DE$43,E$3-VLOOKUP($A17,'détails investissements'!$A$71:$B$88,2,FALSE)+1,FALSE)="","",VLOOKUP($A17,'détails investissements'!$A$26:$DE$43,E$3-VLOOKUP($A17,'détails investissements'!$A$71:$B$88,2,FALSE)+1,FALSE)))&lt;&gt;"",HLOOKUP(IF(E$3-VLOOKUP($A17,'détails investissements'!$A$71:$B$88,2,FALSE)&lt;=0,"",IF(VLOOKUP($A17,'détails investissements'!$A$26:$DE$43,E$3-VLOOKUP($A17,'détails investissements'!$A$71:$B$88,2,FALSE)+1,FALSE)="","",VLOOKUP($A17,'détails investissements'!$A$26:$DE$43,E$3-VLOOKUP($A17,'détails investissements'!$A$71:$B$88,2,FALSE)+1,FALSE))),'détails investissements'!$U$6:$AB$7,2,FALSE),""),FALSE),"")</f>
        <v>0.1</v>
      </c>
      <c r="F17" s="45" t="str">
        <f>IF(IF(IF(F$3-VLOOKUP($A17,'détails investissements'!$A$71:$B$88,2,FALSE)&lt;=0,"",IF(VLOOKUP($A17,'détails investissements'!$A$26:$DE$43,F$3-VLOOKUP($A17,'détails investissements'!$A$71:$B$88,2,FALSE)+1,FALSE)="","",VLOOKUP($A17,'détails investissements'!$A$26:$DE$43,F$3-VLOOKUP($A17,'détails investissements'!$A$71:$B$88,2,FALSE)+1,FALSE)))&lt;&gt;"",HLOOKUP(IF(F$3-VLOOKUP($A17,'détails investissements'!$A$71:$B$88,2,FALSE)&lt;=0,"",IF(VLOOKUP($A17,'détails investissements'!$A$26:$DE$43,F$3-VLOOKUP($A17,'détails investissements'!$A$71:$B$88,2,FALSE)+1,FALSE)="","",VLOOKUP($A17,'détails investissements'!$A$26:$DE$43,F$3-VLOOKUP($A17,'détails investissements'!$A$71:$B$88,2,FALSE)+1,FALSE))),'détails investissements'!$U$6:$AB$7,2,FALSE),"")&lt;&gt;"",VLOOKUP($A17,'détails investissements'!$A$7:$H$21,1+IF(IF(F$3-VLOOKUP($A17,'détails investissements'!$A$71:$B$88,2,FALSE)&lt;=0,"",IF(VLOOKUP($A17,'détails investissements'!$A$26:$DE$43,F$3-VLOOKUP($A17,'détails investissements'!$A$71:$B$88,2,FALSE)+1,FALSE)="","",VLOOKUP($A17,'détails investissements'!$A$26:$DE$43,F$3-VLOOKUP($A17,'détails investissements'!$A$71:$B$88,2,FALSE)+1,FALSE)))&lt;&gt;"",HLOOKUP(IF(F$3-VLOOKUP($A17,'détails investissements'!$A$71:$B$88,2,FALSE)&lt;=0,"",IF(VLOOKUP($A17,'détails investissements'!$A$26:$DE$43,F$3-VLOOKUP($A17,'détails investissements'!$A$71:$B$88,2,FALSE)+1,FALSE)="","",VLOOKUP($A17,'détails investissements'!$A$26:$DE$43,F$3-VLOOKUP($A17,'détails investissements'!$A$71:$B$88,2,FALSE)+1,FALSE))),'détails investissements'!$U$6:$AB$7,2,FALSE),""),FALSE),"")</f>
        <v/>
      </c>
      <c r="G17" s="45">
        <f>IF(IF(IF(G$3-VLOOKUP($A17,'détails investissements'!$A$71:$B$88,2,FALSE)&lt;=0,"",IF(VLOOKUP($A17,'détails investissements'!$A$26:$DE$43,G$3-VLOOKUP($A17,'détails investissements'!$A$71:$B$88,2,FALSE)+1,FALSE)="","",VLOOKUP($A17,'détails investissements'!$A$26:$DE$43,G$3-VLOOKUP($A17,'détails investissements'!$A$71:$B$88,2,FALSE)+1,FALSE)))&lt;&gt;"",HLOOKUP(IF(G$3-VLOOKUP($A17,'détails investissements'!$A$71:$B$88,2,FALSE)&lt;=0,"",IF(VLOOKUP($A17,'détails investissements'!$A$26:$DE$43,G$3-VLOOKUP($A17,'détails investissements'!$A$71:$B$88,2,FALSE)+1,FALSE)="","",VLOOKUP($A17,'détails investissements'!$A$26:$DE$43,G$3-VLOOKUP($A17,'détails investissements'!$A$71:$B$88,2,FALSE)+1,FALSE))),'détails investissements'!$U$6:$AB$7,2,FALSE),"")&lt;&gt;"",VLOOKUP($A17,'détails investissements'!$A$7:$H$21,1+IF(IF(G$3-VLOOKUP($A17,'détails investissements'!$A$71:$B$88,2,FALSE)&lt;=0,"",IF(VLOOKUP($A17,'détails investissements'!$A$26:$DE$43,G$3-VLOOKUP($A17,'détails investissements'!$A$71:$B$88,2,FALSE)+1,FALSE)="","",VLOOKUP($A17,'détails investissements'!$A$26:$DE$43,G$3-VLOOKUP($A17,'détails investissements'!$A$71:$B$88,2,FALSE)+1,FALSE)))&lt;&gt;"",HLOOKUP(IF(G$3-VLOOKUP($A17,'détails investissements'!$A$71:$B$88,2,FALSE)&lt;=0,"",IF(VLOOKUP($A17,'détails investissements'!$A$26:$DE$43,G$3-VLOOKUP($A17,'détails investissements'!$A$71:$B$88,2,FALSE)+1,FALSE)="","",VLOOKUP($A17,'détails investissements'!$A$26:$DE$43,G$3-VLOOKUP($A17,'détails investissements'!$A$71:$B$88,2,FALSE)+1,FALSE))),'détails investissements'!$U$6:$AB$7,2,FALSE),""),FALSE),"")</f>
        <v>0.05</v>
      </c>
      <c r="H17" s="45" t="str">
        <f>IF(IF(IF(H$3-VLOOKUP($A17,'détails investissements'!$A$71:$B$88,2,FALSE)&lt;=0,"",IF(VLOOKUP($A17,'détails investissements'!$A$26:$DE$43,H$3-VLOOKUP($A17,'détails investissements'!$A$71:$B$88,2,FALSE)+1,FALSE)="","",VLOOKUP($A17,'détails investissements'!$A$26:$DE$43,H$3-VLOOKUP($A17,'détails investissements'!$A$71:$B$88,2,FALSE)+1,FALSE)))&lt;&gt;"",HLOOKUP(IF(H$3-VLOOKUP($A17,'détails investissements'!$A$71:$B$88,2,FALSE)&lt;=0,"",IF(VLOOKUP($A17,'détails investissements'!$A$26:$DE$43,H$3-VLOOKUP($A17,'détails investissements'!$A$71:$B$88,2,FALSE)+1,FALSE)="","",VLOOKUP($A17,'détails investissements'!$A$26:$DE$43,H$3-VLOOKUP($A17,'détails investissements'!$A$71:$B$88,2,FALSE)+1,FALSE))),'détails investissements'!$U$6:$AB$7,2,FALSE),"")&lt;&gt;"",VLOOKUP($A17,'détails investissements'!$A$7:$H$21,1+IF(IF(H$3-VLOOKUP($A17,'détails investissements'!$A$71:$B$88,2,FALSE)&lt;=0,"",IF(VLOOKUP($A17,'détails investissements'!$A$26:$DE$43,H$3-VLOOKUP($A17,'détails investissements'!$A$71:$B$88,2,FALSE)+1,FALSE)="","",VLOOKUP($A17,'détails investissements'!$A$26:$DE$43,H$3-VLOOKUP($A17,'détails investissements'!$A$71:$B$88,2,FALSE)+1,FALSE)))&lt;&gt;"",HLOOKUP(IF(H$3-VLOOKUP($A17,'détails investissements'!$A$71:$B$88,2,FALSE)&lt;=0,"",IF(VLOOKUP($A17,'détails investissements'!$A$26:$DE$43,H$3-VLOOKUP($A17,'détails investissements'!$A$71:$B$88,2,FALSE)+1,FALSE)="","",VLOOKUP($A17,'détails investissements'!$A$26:$DE$43,H$3-VLOOKUP($A17,'détails investissements'!$A$71:$B$88,2,FALSE)+1,FALSE))),'détails investissements'!$U$6:$AB$7,2,FALSE),""),FALSE),"")</f>
        <v/>
      </c>
      <c r="I17" s="45" t="str">
        <f>IF(IF(IF(I$3-VLOOKUP($A17,'détails investissements'!$A$71:$B$88,2,FALSE)&lt;=0,"",IF(VLOOKUP($A17,'détails investissements'!$A$26:$DE$43,I$3-VLOOKUP($A17,'détails investissements'!$A$71:$B$88,2,FALSE)+1,FALSE)="","",VLOOKUP($A17,'détails investissements'!$A$26:$DE$43,I$3-VLOOKUP($A17,'détails investissements'!$A$71:$B$88,2,FALSE)+1,FALSE)))&lt;&gt;"",HLOOKUP(IF(I$3-VLOOKUP($A17,'détails investissements'!$A$71:$B$88,2,FALSE)&lt;=0,"",IF(VLOOKUP($A17,'détails investissements'!$A$26:$DE$43,I$3-VLOOKUP($A17,'détails investissements'!$A$71:$B$88,2,FALSE)+1,FALSE)="","",VLOOKUP($A17,'détails investissements'!$A$26:$DE$43,I$3-VLOOKUP($A17,'détails investissements'!$A$71:$B$88,2,FALSE)+1,FALSE))),'détails investissements'!$U$6:$AB$7,2,FALSE),"")&lt;&gt;"",VLOOKUP($A17,'détails investissements'!$A$7:$H$21,1+IF(IF(I$3-VLOOKUP($A17,'détails investissements'!$A$71:$B$88,2,FALSE)&lt;=0,"",IF(VLOOKUP($A17,'détails investissements'!$A$26:$DE$43,I$3-VLOOKUP($A17,'détails investissements'!$A$71:$B$88,2,FALSE)+1,FALSE)="","",VLOOKUP($A17,'détails investissements'!$A$26:$DE$43,I$3-VLOOKUP($A17,'détails investissements'!$A$71:$B$88,2,FALSE)+1,FALSE)))&lt;&gt;"",HLOOKUP(IF(I$3-VLOOKUP($A17,'détails investissements'!$A$71:$B$88,2,FALSE)&lt;=0,"",IF(VLOOKUP($A17,'détails investissements'!$A$26:$DE$43,I$3-VLOOKUP($A17,'détails investissements'!$A$71:$B$88,2,FALSE)+1,FALSE)="","",VLOOKUP($A17,'détails investissements'!$A$26:$DE$43,I$3-VLOOKUP($A17,'détails investissements'!$A$71:$B$88,2,FALSE)+1,FALSE))),'détails investissements'!$U$6:$AB$7,2,FALSE),""),FALSE),"")</f>
        <v/>
      </c>
      <c r="J17" s="45">
        <f>IF(IF(IF(J$3-VLOOKUP($A17,'détails investissements'!$A$71:$B$88,2,FALSE)&lt;=0,"",IF(VLOOKUP($A17,'détails investissements'!$A$26:$DE$43,J$3-VLOOKUP($A17,'détails investissements'!$A$71:$B$88,2,FALSE)+1,FALSE)="","",VLOOKUP($A17,'détails investissements'!$A$26:$DE$43,J$3-VLOOKUP($A17,'détails investissements'!$A$71:$B$88,2,FALSE)+1,FALSE)))&lt;&gt;"",HLOOKUP(IF(J$3-VLOOKUP($A17,'détails investissements'!$A$71:$B$88,2,FALSE)&lt;=0,"",IF(VLOOKUP($A17,'détails investissements'!$A$26:$DE$43,J$3-VLOOKUP($A17,'détails investissements'!$A$71:$B$88,2,FALSE)+1,FALSE)="","",VLOOKUP($A17,'détails investissements'!$A$26:$DE$43,J$3-VLOOKUP($A17,'détails investissements'!$A$71:$B$88,2,FALSE)+1,FALSE))),'détails investissements'!$U$6:$AB$7,2,FALSE),"")&lt;&gt;"",VLOOKUP($A17,'détails investissements'!$A$7:$H$21,1+IF(IF(J$3-VLOOKUP($A17,'détails investissements'!$A$71:$B$88,2,FALSE)&lt;=0,"",IF(VLOOKUP($A17,'détails investissements'!$A$26:$DE$43,J$3-VLOOKUP($A17,'détails investissements'!$A$71:$B$88,2,FALSE)+1,FALSE)="","",VLOOKUP($A17,'détails investissements'!$A$26:$DE$43,J$3-VLOOKUP($A17,'détails investissements'!$A$71:$B$88,2,FALSE)+1,FALSE)))&lt;&gt;"",HLOOKUP(IF(J$3-VLOOKUP($A17,'détails investissements'!$A$71:$B$88,2,FALSE)&lt;=0,"",IF(VLOOKUP($A17,'détails investissements'!$A$26:$DE$43,J$3-VLOOKUP($A17,'détails investissements'!$A$71:$B$88,2,FALSE)+1,FALSE)="","",VLOOKUP($A17,'détails investissements'!$A$26:$DE$43,J$3-VLOOKUP($A17,'détails investissements'!$A$71:$B$88,2,FALSE)+1,FALSE))),'détails investissements'!$U$6:$AB$7,2,FALSE),""),FALSE),"")</f>
        <v>0</v>
      </c>
      <c r="K17" s="45" t="str">
        <f>IF(IF(IF(K$3-VLOOKUP($A17,'détails investissements'!$A$71:$B$88,2,FALSE)&lt;=0,"",IF(VLOOKUP($A17,'détails investissements'!$A$26:$DE$43,K$3-VLOOKUP($A17,'détails investissements'!$A$71:$B$88,2,FALSE)+1,FALSE)="","",VLOOKUP($A17,'détails investissements'!$A$26:$DE$43,K$3-VLOOKUP($A17,'détails investissements'!$A$71:$B$88,2,FALSE)+1,FALSE)))&lt;&gt;"",HLOOKUP(IF(K$3-VLOOKUP($A17,'détails investissements'!$A$71:$B$88,2,FALSE)&lt;=0,"",IF(VLOOKUP($A17,'détails investissements'!$A$26:$DE$43,K$3-VLOOKUP($A17,'détails investissements'!$A$71:$B$88,2,FALSE)+1,FALSE)="","",VLOOKUP($A17,'détails investissements'!$A$26:$DE$43,K$3-VLOOKUP($A17,'détails investissements'!$A$71:$B$88,2,FALSE)+1,FALSE))),'détails investissements'!$U$6:$AB$7,2,FALSE),"")&lt;&gt;"",VLOOKUP($A17,'détails investissements'!$A$7:$H$21,1+IF(IF(K$3-VLOOKUP($A17,'détails investissements'!$A$71:$B$88,2,FALSE)&lt;=0,"",IF(VLOOKUP($A17,'détails investissements'!$A$26:$DE$43,K$3-VLOOKUP($A17,'détails investissements'!$A$71:$B$88,2,FALSE)+1,FALSE)="","",VLOOKUP($A17,'détails investissements'!$A$26:$DE$43,K$3-VLOOKUP($A17,'détails investissements'!$A$71:$B$88,2,FALSE)+1,FALSE)))&lt;&gt;"",HLOOKUP(IF(K$3-VLOOKUP($A17,'détails investissements'!$A$71:$B$88,2,FALSE)&lt;=0,"",IF(VLOOKUP($A17,'détails investissements'!$A$26:$DE$43,K$3-VLOOKUP($A17,'détails investissements'!$A$71:$B$88,2,FALSE)+1,FALSE)="","",VLOOKUP($A17,'détails investissements'!$A$26:$DE$43,K$3-VLOOKUP($A17,'détails investissements'!$A$71:$B$88,2,FALSE)+1,FALSE))),'détails investissements'!$U$6:$AB$7,2,FALSE),""),FALSE),"")</f>
        <v/>
      </c>
      <c r="L17" s="45">
        <f>IF(IF(IF(L$3-VLOOKUP($A17,'détails investissements'!$A$71:$B$88,2,FALSE)&lt;=0,"",IF(VLOOKUP($A17,'détails investissements'!$A$26:$DE$43,L$3-VLOOKUP($A17,'détails investissements'!$A$71:$B$88,2,FALSE)+1,FALSE)="","",VLOOKUP($A17,'détails investissements'!$A$26:$DE$43,L$3-VLOOKUP($A17,'détails investissements'!$A$71:$B$88,2,FALSE)+1,FALSE)))&lt;&gt;"",HLOOKUP(IF(L$3-VLOOKUP($A17,'détails investissements'!$A$71:$B$88,2,FALSE)&lt;=0,"",IF(VLOOKUP($A17,'détails investissements'!$A$26:$DE$43,L$3-VLOOKUP($A17,'détails investissements'!$A$71:$B$88,2,FALSE)+1,FALSE)="","",VLOOKUP($A17,'détails investissements'!$A$26:$DE$43,L$3-VLOOKUP($A17,'détails investissements'!$A$71:$B$88,2,FALSE)+1,FALSE))),'détails investissements'!$U$6:$AB$7,2,FALSE),"")&lt;&gt;"",VLOOKUP($A17,'détails investissements'!$A$7:$H$21,1+IF(IF(L$3-VLOOKUP($A17,'détails investissements'!$A$71:$B$88,2,FALSE)&lt;=0,"",IF(VLOOKUP($A17,'détails investissements'!$A$26:$DE$43,L$3-VLOOKUP($A17,'détails investissements'!$A$71:$B$88,2,FALSE)+1,FALSE)="","",VLOOKUP($A17,'détails investissements'!$A$26:$DE$43,L$3-VLOOKUP($A17,'détails investissements'!$A$71:$B$88,2,FALSE)+1,FALSE)))&lt;&gt;"",HLOOKUP(IF(L$3-VLOOKUP($A17,'détails investissements'!$A$71:$B$88,2,FALSE)&lt;=0,"",IF(VLOOKUP($A17,'détails investissements'!$A$26:$DE$43,L$3-VLOOKUP($A17,'détails investissements'!$A$71:$B$88,2,FALSE)+1,FALSE)="","",VLOOKUP($A17,'détails investissements'!$A$26:$DE$43,L$3-VLOOKUP($A17,'détails investissements'!$A$71:$B$88,2,FALSE)+1,FALSE))),'détails investissements'!$U$6:$AB$7,2,FALSE),""),FALSE),"")</f>
        <v>0.2</v>
      </c>
      <c r="M17" s="45" t="str">
        <f>IF(IF(IF(M$3-VLOOKUP($A17,'détails investissements'!$A$71:$B$88,2,FALSE)&lt;=0,"",IF(VLOOKUP($A17,'détails investissements'!$A$26:$DE$43,M$3-VLOOKUP($A17,'détails investissements'!$A$71:$B$88,2,FALSE)+1,FALSE)="","",VLOOKUP($A17,'détails investissements'!$A$26:$DE$43,M$3-VLOOKUP($A17,'détails investissements'!$A$71:$B$88,2,FALSE)+1,FALSE)))&lt;&gt;"",HLOOKUP(IF(M$3-VLOOKUP($A17,'détails investissements'!$A$71:$B$88,2,FALSE)&lt;=0,"",IF(VLOOKUP($A17,'détails investissements'!$A$26:$DE$43,M$3-VLOOKUP($A17,'détails investissements'!$A$71:$B$88,2,FALSE)+1,FALSE)="","",VLOOKUP($A17,'détails investissements'!$A$26:$DE$43,M$3-VLOOKUP($A17,'détails investissements'!$A$71:$B$88,2,FALSE)+1,FALSE))),'détails investissements'!$U$6:$AB$7,2,FALSE),"")&lt;&gt;"",VLOOKUP($A17,'détails investissements'!$A$7:$H$21,1+IF(IF(M$3-VLOOKUP($A17,'détails investissements'!$A$71:$B$88,2,FALSE)&lt;=0,"",IF(VLOOKUP($A17,'détails investissements'!$A$26:$DE$43,M$3-VLOOKUP($A17,'détails investissements'!$A$71:$B$88,2,FALSE)+1,FALSE)="","",VLOOKUP($A17,'détails investissements'!$A$26:$DE$43,M$3-VLOOKUP($A17,'détails investissements'!$A$71:$B$88,2,FALSE)+1,FALSE)))&lt;&gt;"",HLOOKUP(IF(M$3-VLOOKUP($A17,'détails investissements'!$A$71:$B$88,2,FALSE)&lt;=0,"",IF(VLOOKUP($A17,'détails investissements'!$A$26:$DE$43,M$3-VLOOKUP($A17,'détails investissements'!$A$71:$B$88,2,FALSE)+1,FALSE)="","",VLOOKUP($A17,'détails investissements'!$A$26:$DE$43,M$3-VLOOKUP($A17,'détails investissements'!$A$71:$B$88,2,FALSE)+1,FALSE))),'détails investissements'!$U$6:$AB$7,2,FALSE),""),FALSE),"")</f>
        <v/>
      </c>
      <c r="N17" s="45" t="str">
        <f>IF(IF(IF(N$3-VLOOKUP($A17,'détails investissements'!$A$71:$B$88,2,FALSE)&lt;=0,"",IF(VLOOKUP($A17,'détails investissements'!$A$26:$DE$43,N$3-VLOOKUP($A17,'détails investissements'!$A$71:$B$88,2,FALSE)+1,FALSE)="","",VLOOKUP($A17,'détails investissements'!$A$26:$DE$43,N$3-VLOOKUP($A17,'détails investissements'!$A$71:$B$88,2,FALSE)+1,FALSE)))&lt;&gt;"",HLOOKUP(IF(N$3-VLOOKUP($A17,'détails investissements'!$A$71:$B$88,2,FALSE)&lt;=0,"",IF(VLOOKUP($A17,'détails investissements'!$A$26:$DE$43,N$3-VLOOKUP($A17,'détails investissements'!$A$71:$B$88,2,FALSE)+1,FALSE)="","",VLOOKUP($A17,'détails investissements'!$A$26:$DE$43,N$3-VLOOKUP($A17,'détails investissements'!$A$71:$B$88,2,FALSE)+1,FALSE))),'détails investissements'!$U$6:$AB$7,2,FALSE),"")&lt;&gt;"",VLOOKUP($A17,'détails investissements'!$A$7:$H$21,1+IF(IF(N$3-VLOOKUP($A17,'détails investissements'!$A$71:$B$88,2,FALSE)&lt;=0,"",IF(VLOOKUP($A17,'détails investissements'!$A$26:$DE$43,N$3-VLOOKUP($A17,'détails investissements'!$A$71:$B$88,2,FALSE)+1,FALSE)="","",VLOOKUP($A17,'détails investissements'!$A$26:$DE$43,N$3-VLOOKUP($A17,'détails investissements'!$A$71:$B$88,2,FALSE)+1,FALSE)))&lt;&gt;"",HLOOKUP(IF(N$3-VLOOKUP($A17,'détails investissements'!$A$71:$B$88,2,FALSE)&lt;=0,"",IF(VLOOKUP($A17,'détails investissements'!$A$26:$DE$43,N$3-VLOOKUP($A17,'détails investissements'!$A$71:$B$88,2,FALSE)+1,FALSE)="","",VLOOKUP($A17,'détails investissements'!$A$26:$DE$43,N$3-VLOOKUP($A17,'détails investissements'!$A$71:$B$88,2,FALSE)+1,FALSE))),'détails investissements'!$U$6:$AB$7,2,FALSE),""),FALSE),"")</f>
        <v/>
      </c>
      <c r="O17" s="45" t="str">
        <f>IF(IF(IF(O$3-VLOOKUP($A17,'détails investissements'!$A$71:$B$88,2,FALSE)&lt;=0,"",IF(VLOOKUP($A17,'détails investissements'!$A$26:$DE$43,O$3-VLOOKUP($A17,'détails investissements'!$A$71:$B$88,2,FALSE)+1,FALSE)="","",VLOOKUP($A17,'détails investissements'!$A$26:$DE$43,O$3-VLOOKUP($A17,'détails investissements'!$A$71:$B$88,2,FALSE)+1,FALSE)))&lt;&gt;"",HLOOKUP(IF(O$3-VLOOKUP($A17,'détails investissements'!$A$71:$B$88,2,FALSE)&lt;=0,"",IF(VLOOKUP($A17,'détails investissements'!$A$26:$DE$43,O$3-VLOOKUP($A17,'détails investissements'!$A$71:$B$88,2,FALSE)+1,FALSE)="","",VLOOKUP($A17,'détails investissements'!$A$26:$DE$43,O$3-VLOOKUP($A17,'détails investissements'!$A$71:$B$88,2,FALSE)+1,FALSE))),'détails investissements'!$U$6:$AB$7,2,FALSE),"")&lt;&gt;"",VLOOKUP($A17,'détails investissements'!$A$7:$H$21,1+IF(IF(O$3-VLOOKUP($A17,'détails investissements'!$A$71:$B$88,2,FALSE)&lt;=0,"",IF(VLOOKUP($A17,'détails investissements'!$A$26:$DE$43,O$3-VLOOKUP($A17,'détails investissements'!$A$71:$B$88,2,FALSE)+1,FALSE)="","",VLOOKUP($A17,'détails investissements'!$A$26:$DE$43,O$3-VLOOKUP($A17,'détails investissements'!$A$71:$B$88,2,FALSE)+1,FALSE)))&lt;&gt;"",HLOOKUP(IF(O$3-VLOOKUP($A17,'détails investissements'!$A$71:$B$88,2,FALSE)&lt;=0,"",IF(VLOOKUP($A17,'détails investissements'!$A$26:$DE$43,O$3-VLOOKUP($A17,'détails investissements'!$A$71:$B$88,2,FALSE)+1,FALSE)="","",VLOOKUP($A17,'détails investissements'!$A$26:$DE$43,O$3-VLOOKUP($A17,'détails investissements'!$A$71:$B$88,2,FALSE)+1,FALSE))),'détails investissements'!$U$6:$AB$7,2,FALSE),""),FALSE),"")</f>
        <v/>
      </c>
      <c r="P17" s="45">
        <f>IF(IF(IF(P$3-VLOOKUP($A17,'détails investissements'!$A$71:$B$88,2,FALSE)&lt;=0,"",IF(VLOOKUP($A17,'détails investissements'!$A$26:$DE$43,P$3-VLOOKUP($A17,'détails investissements'!$A$71:$B$88,2,FALSE)+1,FALSE)="","",VLOOKUP($A17,'détails investissements'!$A$26:$DE$43,P$3-VLOOKUP($A17,'détails investissements'!$A$71:$B$88,2,FALSE)+1,FALSE)))&lt;&gt;"",HLOOKUP(IF(P$3-VLOOKUP($A17,'détails investissements'!$A$71:$B$88,2,FALSE)&lt;=0,"",IF(VLOOKUP($A17,'détails investissements'!$A$26:$DE$43,P$3-VLOOKUP($A17,'détails investissements'!$A$71:$B$88,2,FALSE)+1,FALSE)="","",VLOOKUP($A17,'détails investissements'!$A$26:$DE$43,P$3-VLOOKUP($A17,'détails investissements'!$A$71:$B$88,2,FALSE)+1,FALSE))),'détails investissements'!$U$6:$AB$7,2,FALSE),"")&lt;&gt;"",VLOOKUP($A17,'détails investissements'!$A$7:$H$21,1+IF(IF(P$3-VLOOKUP($A17,'détails investissements'!$A$71:$B$88,2,FALSE)&lt;=0,"",IF(VLOOKUP($A17,'détails investissements'!$A$26:$DE$43,P$3-VLOOKUP($A17,'détails investissements'!$A$71:$B$88,2,FALSE)+1,FALSE)="","",VLOOKUP($A17,'détails investissements'!$A$26:$DE$43,P$3-VLOOKUP($A17,'détails investissements'!$A$71:$B$88,2,FALSE)+1,FALSE)))&lt;&gt;"",HLOOKUP(IF(P$3-VLOOKUP($A17,'détails investissements'!$A$71:$B$88,2,FALSE)&lt;=0,"",IF(VLOOKUP($A17,'détails investissements'!$A$26:$DE$43,P$3-VLOOKUP($A17,'détails investissements'!$A$71:$B$88,2,FALSE)+1,FALSE)="","",VLOOKUP($A17,'détails investissements'!$A$26:$DE$43,P$3-VLOOKUP($A17,'détails investissements'!$A$71:$B$88,2,FALSE)+1,FALSE))),'détails investissements'!$U$6:$AB$7,2,FALSE),""),FALSE),"")</f>
        <v>0.25</v>
      </c>
      <c r="Q17" s="45" t="str">
        <f>IF(IF(IF(Q$3-VLOOKUP($A17,'détails investissements'!$A$71:$B$88,2,FALSE)&lt;=0,"",IF(VLOOKUP($A17,'détails investissements'!$A$26:$DE$43,Q$3-VLOOKUP($A17,'détails investissements'!$A$71:$B$88,2,FALSE)+1,FALSE)="","",VLOOKUP($A17,'détails investissements'!$A$26:$DE$43,Q$3-VLOOKUP($A17,'détails investissements'!$A$71:$B$88,2,FALSE)+1,FALSE)))&lt;&gt;"",HLOOKUP(IF(Q$3-VLOOKUP($A17,'détails investissements'!$A$71:$B$88,2,FALSE)&lt;=0,"",IF(VLOOKUP($A17,'détails investissements'!$A$26:$DE$43,Q$3-VLOOKUP($A17,'détails investissements'!$A$71:$B$88,2,FALSE)+1,FALSE)="","",VLOOKUP($A17,'détails investissements'!$A$26:$DE$43,Q$3-VLOOKUP($A17,'détails investissements'!$A$71:$B$88,2,FALSE)+1,FALSE))),'détails investissements'!$U$6:$AB$7,2,FALSE),"")&lt;&gt;"",VLOOKUP($A17,'détails investissements'!$A$7:$H$21,1+IF(IF(Q$3-VLOOKUP($A17,'détails investissements'!$A$71:$B$88,2,FALSE)&lt;=0,"",IF(VLOOKUP($A17,'détails investissements'!$A$26:$DE$43,Q$3-VLOOKUP($A17,'détails investissements'!$A$71:$B$88,2,FALSE)+1,FALSE)="","",VLOOKUP($A17,'détails investissements'!$A$26:$DE$43,Q$3-VLOOKUP($A17,'détails investissements'!$A$71:$B$88,2,FALSE)+1,FALSE)))&lt;&gt;"",HLOOKUP(IF(Q$3-VLOOKUP($A17,'détails investissements'!$A$71:$B$88,2,FALSE)&lt;=0,"",IF(VLOOKUP($A17,'détails investissements'!$A$26:$DE$43,Q$3-VLOOKUP($A17,'détails investissements'!$A$71:$B$88,2,FALSE)+1,FALSE)="","",VLOOKUP($A17,'détails investissements'!$A$26:$DE$43,Q$3-VLOOKUP($A17,'détails investissements'!$A$71:$B$88,2,FALSE)+1,FALSE))),'détails investissements'!$U$6:$AB$7,2,FALSE),""),FALSE),"")</f>
        <v/>
      </c>
      <c r="R17" s="45" t="str">
        <f>IF(IF(IF(R$3-VLOOKUP($A17,'détails investissements'!$A$71:$B$88,2,FALSE)&lt;=0,"",IF(VLOOKUP($A17,'détails investissements'!$A$26:$DE$43,R$3-VLOOKUP($A17,'détails investissements'!$A$71:$B$88,2,FALSE)+1,FALSE)="","",VLOOKUP($A17,'détails investissements'!$A$26:$DE$43,R$3-VLOOKUP($A17,'détails investissements'!$A$71:$B$88,2,FALSE)+1,FALSE)))&lt;&gt;"",HLOOKUP(IF(R$3-VLOOKUP($A17,'détails investissements'!$A$71:$B$88,2,FALSE)&lt;=0,"",IF(VLOOKUP($A17,'détails investissements'!$A$26:$DE$43,R$3-VLOOKUP($A17,'détails investissements'!$A$71:$B$88,2,FALSE)+1,FALSE)="","",VLOOKUP($A17,'détails investissements'!$A$26:$DE$43,R$3-VLOOKUP($A17,'détails investissements'!$A$71:$B$88,2,FALSE)+1,FALSE))),'détails investissements'!$U$6:$AB$7,2,FALSE),"")&lt;&gt;"",VLOOKUP($A17,'détails investissements'!$A$7:$H$21,1+IF(IF(R$3-VLOOKUP($A17,'détails investissements'!$A$71:$B$88,2,FALSE)&lt;=0,"",IF(VLOOKUP($A17,'détails investissements'!$A$26:$DE$43,R$3-VLOOKUP($A17,'détails investissements'!$A$71:$B$88,2,FALSE)+1,FALSE)="","",VLOOKUP($A17,'détails investissements'!$A$26:$DE$43,R$3-VLOOKUP($A17,'détails investissements'!$A$71:$B$88,2,FALSE)+1,FALSE)))&lt;&gt;"",HLOOKUP(IF(R$3-VLOOKUP($A17,'détails investissements'!$A$71:$B$88,2,FALSE)&lt;=0,"",IF(VLOOKUP($A17,'détails investissements'!$A$26:$DE$43,R$3-VLOOKUP($A17,'détails investissements'!$A$71:$B$88,2,FALSE)+1,FALSE)="","",VLOOKUP($A17,'détails investissements'!$A$26:$DE$43,R$3-VLOOKUP($A17,'détails investissements'!$A$71:$B$88,2,FALSE)+1,FALSE))),'détails investissements'!$U$6:$AB$7,2,FALSE),""),FALSE),"")</f>
        <v/>
      </c>
      <c r="S17" s="45" t="str">
        <f>IF(IF(IF(S$3-VLOOKUP($A17,'détails investissements'!$A$71:$B$88,2,FALSE)&lt;=0,"",IF(VLOOKUP($A17,'détails investissements'!$A$26:$DE$43,S$3-VLOOKUP($A17,'détails investissements'!$A$71:$B$88,2,FALSE)+1,FALSE)="","",VLOOKUP($A17,'détails investissements'!$A$26:$DE$43,S$3-VLOOKUP($A17,'détails investissements'!$A$71:$B$88,2,FALSE)+1,FALSE)))&lt;&gt;"",HLOOKUP(IF(S$3-VLOOKUP($A17,'détails investissements'!$A$71:$B$88,2,FALSE)&lt;=0,"",IF(VLOOKUP($A17,'détails investissements'!$A$26:$DE$43,S$3-VLOOKUP($A17,'détails investissements'!$A$71:$B$88,2,FALSE)+1,FALSE)="","",VLOOKUP($A17,'détails investissements'!$A$26:$DE$43,S$3-VLOOKUP($A17,'détails investissements'!$A$71:$B$88,2,FALSE)+1,FALSE))),'détails investissements'!$U$6:$AB$7,2,FALSE),"")&lt;&gt;"",VLOOKUP($A17,'détails investissements'!$A$7:$H$21,1+IF(IF(S$3-VLOOKUP($A17,'détails investissements'!$A$71:$B$88,2,FALSE)&lt;=0,"",IF(VLOOKUP($A17,'détails investissements'!$A$26:$DE$43,S$3-VLOOKUP($A17,'détails investissements'!$A$71:$B$88,2,FALSE)+1,FALSE)="","",VLOOKUP($A17,'détails investissements'!$A$26:$DE$43,S$3-VLOOKUP($A17,'détails investissements'!$A$71:$B$88,2,FALSE)+1,FALSE)))&lt;&gt;"",HLOOKUP(IF(S$3-VLOOKUP($A17,'détails investissements'!$A$71:$B$88,2,FALSE)&lt;=0,"",IF(VLOOKUP($A17,'détails investissements'!$A$26:$DE$43,S$3-VLOOKUP($A17,'détails investissements'!$A$71:$B$88,2,FALSE)+1,FALSE)="","",VLOOKUP($A17,'détails investissements'!$A$26:$DE$43,S$3-VLOOKUP($A17,'détails investissements'!$A$71:$B$88,2,FALSE)+1,FALSE))),'détails investissements'!$U$6:$AB$7,2,FALSE),""),FALSE),"")</f>
        <v/>
      </c>
      <c r="T17" s="45">
        <f>IF(IF(IF(T$3-VLOOKUP($A17,'détails investissements'!$A$71:$B$88,2,FALSE)&lt;=0,"",IF(VLOOKUP($A17,'détails investissements'!$A$26:$DE$43,T$3-VLOOKUP($A17,'détails investissements'!$A$71:$B$88,2,FALSE)+1,FALSE)="","",VLOOKUP($A17,'détails investissements'!$A$26:$DE$43,T$3-VLOOKUP($A17,'détails investissements'!$A$71:$B$88,2,FALSE)+1,FALSE)))&lt;&gt;"",HLOOKUP(IF(T$3-VLOOKUP($A17,'détails investissements'!$A$71:$B$88,2,FALSE)&lt;=0,"",IF(VLOOKUP($A17,'détails investissements'!$A$26:$DE$43,T$3-VLOOKUP($A17,'détails investissements'!$A$71:$B$88,2,FALSE)+1,FALSE)="","",VLOOKUP($A17,'détails investissements'!$A$26:$DE$43,T$3-VLOOKUP($A17,'détails investissements'!$A$71:$B$88,2,FALSE)+1,FALSE))),'détails investissements'!$U$6:$AB$7,2,FALSE),"")&lt;&gt;"",VLOOKUP($A17,'détails investissements'!$A$7:$H$21,1+IF(IF(T$3-VLOOKUP($A17,'détails investissements'!$A$71:$B$88,2,FALSE)&lt;=0,"",IF(VLOOKUP($A17,'détails investissements'!$A$26:$DE$43,T$3-VLOOKUP($A17,'détails investissements'!$A$71:$B$88,2,FALSE)+1,FALSE)="","",VLOOKUP($A17,'détails investissements'!$A$26:$DE$43,T$3-VLOOKUP($A17,'détails investissements'!$A$71:$B$88,2,FALSE)+1,FALSE)))&lt;&gt;"",HLOOKUP(IF(T$3-VLOOKUP($A17,'détails investissements'!$A$71:$B$88,2,FALSE)&lt;=0,"",IF(VLOOKUP($A17,'détails investissements'!$A$26:$DE$43,T$3-VLOOKUP($A17,'détails investissements'!$A$71:$B$88,2,FALSE)+1,FALSE)="","",VLOOKUP($A17,'détails investissements'!$A$26:$DE$43,T$3-VLOOKUP($A17,'détails investissements'!$A$71:$B$88,2,FALSE)+1,FALSE))),'détails investissements'!$U$6:$AB$7,2,FALSE),""),FALSE),"")</f>
        <v>0.3</v>
      </c>
      <c r="U17" s="45" t="str">
        <f>IF(IF(IF(U$3-VLOOKUP($A17,'détails investissements'!$A$71:$B$88,2,FALSE)&lt;=0,"",IF(VLOOKUP($A17,'détails investissements'!$A$26:$DE$43,U$3-VLOOKUP($A17,'détails investissements'!$A$71:$B$88,2,FALSE)+1,FALSE)="","",VLOOKUP($A17,'détails investissements'!$A$26:$DE$43,U$3-VLOOKUP($A17,'détails investissements'!$A$71:$B$88,2,FALSE)+1,FALSE)))&lt;&gt;"",HLOOKUP(IF(U$3-VLOOKUP($A17,'détails investissements'!$A$71:$B$88,2,FALSE)&lt;=0,"",IF(VLOOKUP($A17,'détails investissements'!$A$26:$DE$43,U$3-VLOOKUP($A17,'détails investissements'!$A$71:$B$88,2,FALSE)+1,FALSE)="","",VLOOKUP($A17,'détails investissements'!$A$26:$DE$43,U$3-VLOOKUP($A17,'détails investissements'!$A$71:$B$88,2,FALSE)+1,FALSE))),'détails investissements'!$U$6:$AB$7,2,FALSE),"")&lt;&gt;"",VLOOKUP($A17,'détails investissements'!$A$7:$H$21,1+IF(IF(U$3-VLOOKUP($A17,'détails investissements'!$A$71:$B$88,2,FALSE)&lt;=0,"",IF(VLOOKUP($A17,'détails investissements'!$A$26:$DE$43,U$3-VLOOKUP($A17,'détails investissements'!$A$71:$B$88,2,FALSE)+1,FALSE)="","",VLOOKUP($A17,'détails investissements'!$A$26:$DE$43,U$3-VLOOKUP($A17,'détails investissements'!$A$71:$B$88,2,FALSE)+1,FALSE)))&lt;&gt;"",HLOOKUP(IF(U$3-VLOOKUP($A17,'détails investissements'!$A$71:$B$88,2,FALSE)&lt;=0,"",IF(VLOOKUP($A17,'détails investissements'!$A$26:$DE$43,U$3-VLOOKUP($A17,'détails investissements'!$A$71:$B$88,2,FALSE)+1,FALSE)="","",VLOOKUP($A17,'détails investissements'!$A$26:$DE$43,U$3-VLOOKUP($A17,'détails investissements'!$A$71:$B$88,2,FALSE)+1,FALSE))),'détails investissements'!$U$6:$AB$7,2,FALSE),""),FALSE),"")</f>
        <v/>
      </c>
      <c r="V17" s="45" t="str">
        <f>IF(IF(IF(V$3-VLOOKUP($A17,'détails investissements'!$A$71:$B$88,2,FALSE)&lt;=0,"",IF(VLOOKUP($A17,'détails investissements'!$A$26:$DE$43,V$3-VLOOKUP($A17,'détails investissements'!$A$71:$B$88,2,FALSE)+1,FALSE)="","",VLOOKUP($A17,'détails investissements'!$A$26:$DE$43,V$3-VLOOKUP($A17,'détails investissements'!$A$71:$B$88,2,FALSE)+1,FALSE)))&lt;&gt;"",HLOOKUP(IF(V$3-VLOOKUP($A17,'détails investissements'!$A$71:$B$88,2,FALSE)&lt;=0,"",IF(VLOOKUP($A17,'détails investissements'!$A$26:$DE$43,V$3-VLOOKUP($A17,'détails investissements'!$A$71:$B$88,2,FALSE)+1,FALSE)="","",VLOOKUP($A17,'détails investissements'!$A$26:$DE$43,V$3-VLOOKUP($A17,'détails investissements'!$A$71:$B$88,2,FALSE)+1,FALSE))),'détails investissements'!$U$6:$AB$7,2,FALSE),"")&lt;&gt;"",VLOOKUP($A17,'détails investissements'!$A$7:$H$21,1+IF(IF(V$3-VLOOKUP($A17,'détails investissements'!$A$71:$B$88,2,FALSE)&lt;=0,"",IF(VLOOKUP($A17,'détails investissements'!$A$26:$DE$43,V$3-VLOOKUP($A17,'détails investissements'!$A$71:$B$88,2,FALSE)+1,FALSE)="","",VLOOKUP($A17,'détails investissements'!$A$26:$DE$43,V$3-VLOOKUP($A17,'détails investissements'!$A$71:$B$88,2,FALSE)+1,FALSE)))&lt;&gt;"",HLOOKUP(IF(V$3-VLOOKUP($A17,'détails investissements'!$A$71:$B$88,2,FALSE)&lt;=0,"",IF(VLOOKUP($A17,'détails investissements'!$A$26:$DE$43,V$3-VLOOKUP($A17,'détails investissements'!$A$71:$B$88,2,FALSE)+1,FALSE)="","",VLOOKUP($A17,'détails investissements'!$A$26:$DE$43,V$3-VLOOKUP($A17,'détails investissements'!$A$71:$B$88,2,FALSE)+1,FALSE))),'détails investissements'!$U$6:$AB$7,2,FALSE),""),FALSE),"")</f>
        <v/>
      </c>
      <c r="W17" s="45" t="str">
        <f>IF(IF(IF(W$3-VLOOKUP($A17,'détails investissements'!$A$71:$B$88,2,FALSE)&lt;=0,"",IF(VLOOKUP($A17,'détails investissements'!$A$26:$DE$43,W$3-VLOOKUP($A17,'détails investissements'!$A$71:$B$88,2,FALSE)+1,FALSE)="","",VLOOKUP($A17,'détails investissements'!$A$26:$DE$43,W$3-VLOOKUP($A17,'détails investissements'!$A$71:$B$88,2,FALSE)+1,FALSE)))&lt;&gt;"",HLOOKUP(IF(W$3-VLOOKUP($A17,'détails investissements'!$A$71:$B$88,2,FALSE)&lt;=0,"",IF(VLOOKUP($A17,'détails investissements'!$A$26:$DE$43,W$3-VLOOKUP($A17,'détails investissements'!$A$71:$B$88,2,FALSE)+1,FALSE)="","",VLOOKUP($A17,'détails investissements'!$A$26:$DE$43,W$3-VLOOKUP($A17,'détails investissements'!$A$71:$B$88,2,FALSE)+1,FALSE))),'détails investissements'!$U$6:$AB$7,2,FALSE),"")&lt;&gt;"",VLOOKUP($A17,'détails investissements'!$A$7:$H$21,1+IF(IF(W$3-VLOOKUP($A17,'détails investissements'!$A$71:$B$88,2,FALSE)&lt;=0,"",IF(VLOOKUP($A17,'détails investissements'!$A$26:$DE$43,W$3-VLOOKUP($A17,'détails investissements'!$A$71:$B$88,2,FALSE)+1,FALSE)="","",VLOOKUP($A17,'détails investissements'!$A$26:$DE$43,W$3-VLOOKUP($A17,'détails investissements'!$A$71:$B$88,2,FALSE)+1,FALSE)))&lt;&gt;"",HLOOKUP(IF(W$3-VLOOKUP($A17,'détails investissements'!$A$71:$B$88,2,FALSE)&lt;=0,"",IF(VLOOKUP($A17,'détails investissements'!$A$26:$DE$43,W$3-VLOOKUP($A17,'détails investissements'!$A$71:$B$88,2,FALSE)+1,FALSE)="","",VLOOKUP($A17,'détails investissements'!$A$26:$DE$43,W$3-VLOOKUP($A17,'détails investissements'!$A$71:$B$88,2,FALSE)+1,FALSE))),'détails investissements'!$U$6:$AB$7,2,FALSE),""),FALSE),"")</f>
        <v/>
      </c>
      <c r="X17" s="45" t="str">
        <f>IF(IF(IF(X$3-VLOOKUP($A17,'détails investissements'!$A$71:$B$88,2,FALSE)&lt;=0,"",IF(VLOOKUP($A17,'détails investissements'!$A$26:$DE$43,X$3-VLOOKUP($A17,'détails investissements'!$A$71:$B$88,2,FALSE)+1,FALSE)="","",VLOOKUP($A17,'détails investissements'!$A$26:$DE$43,X$3-VLOOKUP($A17,'détails investissements'!$A$71:$B$88,2,FALSE)+1,FALSE)))&lt;&gt;"",HLOOKUP(IF(X$3-VLOOKUP($A17,'détails investissements'!$A$71:$B$88,2,FALSE)&lt;=0,"",IF(VLOOKUP($A17,'détails investissements'!$A$26:$DE$43,X$3-VLOOKUP($A17,'détails investissements'!$A$71:$B$88,2,FALSE)+1,FALSE)="","",VLOOKUP($A17,'détails investissements'!$A$26:$DE$43,X$3-VLOOKUP($A17,'détails investissements'!$A$71:$B$88,2,FALSE)+1,FALSE))),'détails investissements'!$U$6:$AB$7,2,FALSE),"")&lt;&gt;"",VLOOKUP($A17,'détails investissements'!$A$7:$H$21,1+IF(IF(X$3-VLOOKUP($A17,'détails investissements'!$A$71:$B$88,2,FALSE)&lt;=0,"",IF(VLOOKUP($A17,'détails investissements'!$A$26:$DE$43,X$3-VLOOKUP($A17,'détails investissements'!$A$71:$B$88,2,FALSE)+1,FALSE)="","",VLOOKUP($A17,'détails investissements'!$A$26:$DE$43,X$3-VLOOKUP($A17,'détails investissements'!$A$71:$B$88,2,FALSE)+1,FALSE)))&lt;&gt;"",HLOOKUP(IF(X$3-VLOOKUP($A17,'détails investissements'!$A$71:$B$88,2,FALSE)&lt;=0,"",IF(VLOOKUP($A17,'détails investissements'!$A$26:$DE$43,X$3-VLOOKUP($A17,'détails investissements'!$A$71:$B$88,2,FALSE)+1,FALSE)="","",VLOOKUP($A17,'détails investissements'!$A$26:$DE$43,X$3-VLOOKUP($A17,'détails investissements'!$A$71:$B$88,2,FALSE)+1,FALSE))),'détails investissements'!$U$6:$AB$7,2,FALSE),""),FALSE),"")</f>
        <v/>
      </c>
      <c r="Y17" s="45">
        <f>IF(IF(IF(Y$3-VLOOKUP($A17,'détails investissements'!$A$71:$B$88,2,FALSE)&lt;=0,"",IF(VLOOKUP($A17,'détails investissements'!$A$26:$DE$43,Y$3-VLOOKUP($A17,'détails investissements'!$A$71:$B$88,2,FALSE)+1,FALSE)="","",VLOOKUP($A17,'détails investissements'!$A$26:$DE$43,Y$3-VLOOKUP($A17,'détails investissements'!$A$71:$B$88,2,FALSE)+1,FALSE)))&lt;&gt;"",HLOOKUP(IF(Y$3-VLOOKUP($A17,'détails investissements'!$A$71:$B$88,2,FALSE)&lt;=0,"",IF(VLOOKUP($A17,'détails investissements'!$A$26:$DE$43,Y$3-VLOOKUP($A17,'détails investissements'!$A$71:$B$88,2,FALSE)+1,FALSE)="","",VLOOKUP($A17,'détails investissements'!$A$26:$DE$43,Y$3-VLOOKUP($A17,'détails investissements'!$A$71:$B$88,2,FALSE)+1,FALSE))),'détails investissements'!$U$6:$AB$7,2,FALSE),"")&lt;&gt;"",VLOOKUP($A17,'détails investissements'!$A$7:$H$21,1+IF(IF(Y$3-VLOOKUP($A17,'détails investissements'!$A$71:$B$88,2,FALSE)&lt;=0,"",IF(VLOOKUP($A17,'détails investissements'!$A$26:$DE$43,Y$3-VLOOKUP($A17,'détails investissements'!$A$71:$B$88,2,FALSE)+1,FALSE)="","",VLOOKUP($A17,'détails investissements'!$A$26:$DE$43,Y$3-VLOOKUP($A17,'détails investissements'!$A$71:$B$88,2,FALSE)+1,FALSE)))&lt;&gt;"",HLOOKUP(IF(Y$3-VLOOKUP($A17,'détails investissements'!$A$71:$B$88,2,FALSE)&lt;=0,"",IF(VLOOKUP($A17,'détails investissements'!$A$26:$DE$43,Y$3-VLOOKUP($A17,'détails investissements'!$A$71:$B$88,2,FALSE)+1,FALSE)="","",VLOOKUP($A17,'détails investissements'!$A$26:$DE$43,Y$3-VLOOKUP($A17,'détails investissements'!$A$71:$B$88,2,FALSE)+1,FALSE))),'détails investissements'!$U$6:$AB$7,2,FALSE),""),FALSE),"")</f>
        <v>0.1</v>
      </c>
      <c r="Z17" s="45" t="str">
        <f>IF(IF(IF(Z$3-VLOOKUP($A17,'détails investissements'!$A$71:$B$88,2,FALSE)&lt;=0,"",IF(VLOOKUP($A17,'détails investissements'!$A$26:$DE$43,Z$3-VLOOKUP($A17,'détails investissements'!$A$71:$B$88,2,FALSE)+1,FALSE)="","",VLOOKUP($A17,'détails investissements'!$A$26:$DE$43,Z$3-VLOOKUP($A17,'détails investissements'!$A$71:$B$88,2,FALSE)+1,FALSE)))&lt;&gt;"",HLOOKUP(IF(Z$3-VLOOKUP($A17,'détails investissements'!$A$71:$B$88,2,FALSE)&lt;=0,"",IF(VLOOKUP($A17,'détails investissements'!$A$26:$DE$43,Z$3-VLOOKUP($A17,'détails investissements'!$A$71:$B$88,2,FALSE)+1,FALSE)="","",VLOOKUP($A17,'détails investissements'!$A$26:$DE$43,Z$3-VLOOKUP($A17,'détails investissements'!$A$71:$B$88,2,FALSE)+1,FALSE))),'détails investissements'!$U$6:$AB$7,2,FALSE),"")&lt;&gt;"",VLOOKUP($A17,'détails investissements'!$A$7:$H$21,1+IF(IF(Z$3-VLOOKUP($A17,'détails investissements'!$A$71:$B$88,2,FALSE)&lt;=0,"",IF(VLOOKUP($A17,'détails investissements'!$A$26:$DE$43,Z$3-VLOOKUP($A17,'détails investissements'!$A$71:$B$88,2,FALSE)+1,FALSE)="","",VLOOKUP($A17,'détails investissements'!$A$26:$DE$43,Z$3-VLOOKUP($A17,'détails investissements'!$A$71:$B$88,2,FALSE)+1,FALSE)))&lt;&gt;"",HLOOKUP(IF(Z$3-VLOOKUP($A17,'détails investissements'!$A$71:$B$88,2,FALSE)&lt;=0,"",IF(VLOOKUP($A17,'détails investissements'!$A$26:$DE$43,Z$3-VLOOKUP($A17,'détails investissements'!$A$71:$B$88,2,FALSE)+1,FALSE)="","",VLOOKUP($A17,'détails investissements'!$A$26:$DE$43,Z$3-VLOOKUP($A17,'détails investissements'!$A$71:$B$88,2,FALSE)+1,FALSE))),'détails investissements'!$U$6:$AB$7,2,FALSE),""),FALSE),"")</f>
        <v/>
      </c>
      <c r="AA17" s="45" t="str">
        <f>IF(IF(IF(AA$3-VLOOKUP($A17,'détails investissements'!$A$71:$B$88,2,FALSE)&lt;=0,"",IF(VLOOKUP($A17,'détails investissements'!$A$26:$DE$43,AA$3-VLOOKUP($A17,'détails investissements'!$A$71:$B$88,2,FALSE)+1,FALSE)="","",VLOOKUP($A17,'détails investissements'!$A$26:$DE$43,AA$3-VLOOKUP($A17,'détails investissements'!$A$71:$B$88,2,FALSE)+1,FALSE)))&lt;&gt;"",HLOOKUP(IF(AA$3-VLOOKUP($A17,'détails investissements'!$A$71:$B$88,2,FALSE)&lt;=0,"",IF(VLOOKUP($A17,'détails investissements'!$A$26:$DE$43,AA$3-VLOOKUP($A17,'détails investissements'!$A$71:$B$88,2,FALSE)+1,FALSE)="","",VLOOKUP($A17,'détails investissements'!$A$26:$DE$43,AA$3-VLOOKUP($A17,'détails investissements'!$A$71:$B$88,2,FALSE)+1,FALSE))),'détails investissements'!$U$6:$AB$7,2,FALSE),"")&lt;&gt;"",VLOOKUP($A17,'détails investissements'!$A$7:$H$21,1+IF(IF(AA$3-VLOOKUP($A17,'détails investissements'!$A$71:$B$88,2,FALSE)&lt;=0,"",IF(VLOOKUP($A17,'détails investissements'!$A$26:$DE$43,AA$3-VLOOKUP($A17,'détails investissements'!$A$71:$B$88,2,FALSE)+1,FALSE)="","",VLOOKUP($A17,'détails investissements'!$A$26:$DE$43,AA$3-VLOOKUP($A17,'détails investissements'!$A$71:$B$88,2,FALSE)+1,FALSE)))&lt;&gt;"",HLOOKUP(IF(AA$3-VLOOKUP($A17,'détails investissements'!$A$71:$B$88,2,FALSE)&lt;=0,"",IF(VLOOKUP($A17,'détails investissements'!$A$26:$DE$43,AA$3-VLOOKUP($A17,'détails investissements'!$A$71:$B$88,2,FALSE)+1,FALSE)="","",VLOOKUP($A17,'détails investissements'!$A$26:$DE$43,AA$3-VLOOKUP($A17,'détails investissements'!$A$71:$B$88,2,FALSE)+1,FALSE))),'détails investissements'!$U$6:$AB$7,2,FALSE),""),FALSE),"")</f>
        <v/>
      </c>
      <c r="AB17" s="45" t="str">
        <f>IF(IF(IF(AB$3-VLOOKUP($A17,'détails investissements'!$A$71:$B$88,2,FALSE)&lt;=0,"",IF(VLOOKUP($A17,'détails investissements'!$A$26:$DE$43,AB$3-VLOOKUP($A17,'détails investissements'!$A$71:$B$88,2,FALSE)+1,FALSE)="","",VLOOKUP($A17,'détails investissements'!$A$26:$DE$43,AB$3-VLOOKUP($A17,'détails investissements'!$A$71:$B$88,2,FALSE)+1,FALSE)))&lt;&gt;"",HLOOKUP(IF(AB$3-VLOOKUP($A17,'détails investissements'!$A$71:$B$88,2,FALSE)&lt;=0,"",IF(VLOOKUP($A17,'détails investissements'!$A$26:$DE$43,AB$3-VLOOKUP($A17,'détails investissements'!$A$71:$B$88,2,FALSE)+1,FALSE)="","",VLOOKUP($A17,'détails investissements'!$A$26:$DE$43,AB$3-VLOOKUP($A17,'détails investissements'!$A$71:$B$88,2,FALSE)+1,FALSE))),'détails investissements'!$U$6:$AB$7,2,FALSE),"")&lt;&gt;"",VLOOKUP($A17,'détails investissements'!$A$7:$H$21,1+IF(IF(AB$3-VLOOKUP($A17,'détails investissements'!$A$71:$B$88,2,FALSE)&lt;=0,"",IF(VLOOKUP($A17,'détails investissements'!$A$26:$DE$43,AB$3-VLOOKUP($A17,'détails investissements'!$A$71:$B$88,2,FALSE)+1,FALSE)="","",VLOOKUP($A17,'détails investissements'!$A$26:$DE$43,AB$3-VLOOKUP($A17,'détails investissements'!$A$71:$B$88,2,FALSE)+1,FALSE)))&lt;&gt;"",HLOOKUP(IF(AB$3-VLOOKUP($A17,'détails investissements'!$A$71:$B$88,2,FALSE)&lt;=0,"",IF(VLOOKUP($A17,'détails investissements'!$A$26:$DE$43,AB$3-VLOOKUP($A17,'détails investissements'!$A$71:$B$88,2,FALSE)+1,FALSE)="","",VLOOKUP($A17,'détails investissements'!$A$26:$DE$43,AB$3-VLOOKUP($A17,'détails investissements'!$A$71:$B$88,2,FALSE)+1,FALSE))),'détails investissements'!$U$6:$AB$7,2,FALSE),""),FALSE),"")</f>
        <v/>
      </c>
      <c r="AC17" s="45" t="str">
        <f>IF(IF(IF(AC$3-VLOOKUP($A17,'détails investissements'!$A$71:$B$88,2,FALSE)&lt;=0,"",IF(VLOOKUP($A17,'détails investissements'!$A$26:$DE$43,AC$3-VLOOKUP($A17,'détails investissements'!$A$71:$B$88,2,FALSE)+1,FALSE)="","",VLOOKUP($A17,'détails investissements'!$A$26:$DE$43,AC$3-VLOOKUP($A17,'détails investissements'!$A$71:$B$88,2,FALSE)+1,FALSE)))&lt;&gt;"",HLOOKUP(IF(AC$3-VLOOKUP($A17,'détails investissements'!$A$71:$B$88,2,FALSE)&lt;=0,"",IF(VLOOKUP($A17,'détails investissements'!$A$26:$DE$43,AC$3-VLOOKUP($A17,'détails investissements'!$A$71:$B$88,2,FALSE)+1,FALSE)="","",VLOOKUP($A17,'détails investissements'!$A$26:$DE$43,AC$3-VLOOKUP($A17,'détails investissements'!$A$71:$B$88,2,FALSE)+1,FALSE))),'détails investissements'!$U$6:$AB$7,2,FALSE),"")&lt;&gt;"",VLOOKUP($A17,'détails investissements'!$A$7:$H$21,1+IF(IF(AC$3-VLOOKUP($A17,'détails investissements'!$A$71:$B$88,2,FALSE)&lt;=0,"",IF(VLOOKUP($A17,'détails investissements'!$A$26:$DE$43,AC$3-VLOOKUP($A17,'détails investissements'!$A$71:$B$88,2,FALSE)+1,FALSE)="","",VLOOKUP($A17,'détails investissements'!$A$26:$DE$43,AC$3-VLOOKUP($A17,'détails investissements'!$A$71:$B$88,2,FALSE)+1,FALSE)))&lt;&gt;"",HLOOKUP(IF(AC$3-VLOOKUP($A17,'détails investissements'!$A$71:$B$88,2,FALSE)&lt;=0,"",IF(VLOOKUP($A17,'détails investissements'!$A$26:$DE$43,AC$3-VLOOKUP($A17,'détails investissements'!$A$71:$B$88,2,FALSE)+1,FALSE)="","",VLOOKUP($A17,'détails investissements'!$A$26:$DE$43,AC$3-VLOOKUP($A17,'détails investissements'!$A$71:$B$88,2,FALSE)+1,FALSE))),'détails investissements'!$U$6:$AB$7,2,FALSE),""),FALSE),"")</f>
        <v/>
      </c>
      <c r="AD17" s="45" t="str">
        <f>IF(IF(IF(AD$3-VLOOKUP($A17,'détails investissements'!$A$71:$B$88,2,FALSE)&lt;=0,"",IF(VLOOKUP($A17,'détails investissements'!$A$26:$DE$43,AD$3-VLOOKUP($A17,'détails investissements'!$A$71:$B$88,2,FALSE)+1,FALSE)="","",VLOOKUP($A17,'détails investissements'!$A$26:$DE$43,AD$3-VLOOKUP($A17,'détails investissements'!$A$71:$B$88,2,FALSE)+1,FALSE)))&lt;&gt;"",HLOOKUP(IF(AD$3-VLOOKUP($A17,'détails investissements'!$A$71:$B$88,2,FALSE)&lt;=0,"",IF(VLOOKUP($A17,'détails investissements'!$A$26:$DE$43,AD$3-VLOOKUP($A17,'détails investissements'!$A$71:$B$88,2,FALSE)+1,FALSE)="","",VLOOKUP($A17,'détails investissements'!$A$26:$DE$43,AD$3-VLOOKUP($A17,'détails investissements'!$A$71:$B$88,2,FALSE)+1,FALSE))),'détails investissements'!$U$6:$AB$7,2,FALSE),"")&lt;&gt;"",VLOOKUP($A17,'détails investissements'!$A$7:$H$21,1+IF(IF(AD$3-VLOOKUP($A17,'détails investissements'!$A$71:$B$88,2,FALSE)&lt;=0,"",IF(VLOOKUP($A17,'détails investissements'!$A$26:$DE$43,AD$3-VLOOKUP($A17,'détails investissements'!$A$71:$B$88,2,FALSE)+1,FALSE)="","",VLOOKUP($A17,'détails investissements'!$A$26:$DE$43,AD$3-VLOOKUP($A17,'détails investissements'!$A$71:$B$88,2,FALSE)+1,FALSE)))&lt;&gt;"",HLOOKUP(IF(AD$3-VLOOKUP($A17,'détails investissements'!$A$71:$B$88,2,FALSE)&lt;=0,"",IF(VLOOKUP($A17,'détails investissements'!$A$26:$DE$43,AD$3-VLOOKUP($A17,'détails investissements'!$A$71:$B$88,2,FALSE)+1,FALSE)="","",VLOOKUP($A17,'détails investissements'!$A$26:$DE$43,AD$3-VLOOKUP($A17,'détails investissements'!$A$71:$B$88,2,FALSE)+1,FALSE))),'détails investissements'!$U$6:$AB$7,2,FALSE),""),FALSE),"")</f>
        <v/>
      </c>
      <c r="AE17" s="45" t="str">
        <f>IF(IF(IF(AE$3-VLOOKUP($A17,'détails investissements'!$A$71:$B$88,2,FALSE)&lt;=0,"",IF(VLOOKUP($A17,'détails investissements'!$A$26:$DE$43,AE$3-VLOOKUP($A17,'détails investissements'!$A$71:$B$88,2,FALSE)+1,FALSE)="","",VLOOKUP($A17,'détails investissements'!$A$26:$DE$43,AE$3-VLOOKUP($A17,'détails investissements'!$A$71:$B$88,2,FALSE)+1,FALSE)))&lt;&gt;"",HLOOKUP(IF(AE$3-VLOOKUP($A17,'détails investissements'!$A$71:$B$88,2,FALSE)&lt;=0,"",IF(VLOOKUP($A17,'détails investissements'!$A$26:$DE$43,AE$3-VLOOKUP($A17,'détails investissements'!$A$71:$B$88,2,FALSE)+1,FALSE)="","",VLOOKUP($A17,'détails investissements'!$A$26:$DE$43,AE$3-VLOOKUP($A17,'détails investissements'!$A$71:$B$88,2,FALSE)+1,FALSE))),'détails investissements'!$U$6:$AB$7,2,FALSE),"")&lt;&gt;"",VLOOKUP($A17,'détails investissements'!$A$7:$H$21,1+IF(IF(AE$3-VLOOKUP($A17,'détails investissements'!$A$71:$B$88,2,FALSE)&lt;=0,"",IF(VLOOKUP($A17,'détails investissements'!$A$26:$DE$43,AE$3-VLOOKUP($A17,'détails investissements'!$A$71:$B$88,2,FALSE)+1,FALSE)="","",VLOOKUP($A17,'détails investissements'!$A$26:$DE$43,AE$3-VLOOKUP($A17,'détails investissements'!$A$71:$B$88,2,FALSE)+1,FALSE)))&lt;&gt;"",HLOOKUP(IF(AE$3-VLOOKUP($A17,'détails investissements'!$A$71:$B$88,2,FALSE)&lt;=0,"",IF(VLOOKUP($A17,'détails investissements'!$A$26:$DE$43,AE$3-VLOOKUP($A17,'détails investissements'!$A$71:$B$88,2,FALSE)+1,FALSE)="","",VLOOKUP($A17,'détails investissements'!$A$26:$DE$43,AE$3-VLOOKUP($A17,'détails investissements'!$A$71:$B$88,2,FALSE)+1,FALSE))),'détails investissements'!$U$6:$AB$7,2,FALSE),""),FALSE),"")</f>
        <v/>
      </c>
      <c r="AF17" s="45" t="str">
        <f>IF(IF(IF(AF$3-VLOOKUP($A17,'détails investissements'!$A$71:$B$88,2,FALSE)&lt;=0,"",IF(VLOOKUP($A17,'détails investissements'!$A$26:$DE$43,AF$3-VLOOKUP($A17,'détails investissements'!$A$71:$B$88,2,FALSE)+1,FALSE)="","",VLOOKUP($A17,'détails investissements'!$A$26:$DE$43,AF$3-VLOOKUP($A17,'détails investissements'!$A$71:$B$88,2,FALSE)+1,FALSE)))&lt;&gt;"",HLOOKUP(IF(AF$3-VLOOKUP($A17,'détails investissements'!$A$71:$B$88,2,FALSE)&lt;=0,"",IF(VLOOKUP($A17,'détails investissements'!$A$26:$DE$43,AF$3-VLOOKUP($A17,'détails investissements'!$A$71:$B$88,2,FALSE)+1,FALSE)="","",VLOOKUP($A17,'détails investissements'!$A$26:$DE$43,AF$3-VLOOKUP($A17,'détails investissements'!$A$71:$B$88,2,FALSE)+1,FALSE))),'détails investissements'!$U$6:$AB$7,2,FALSE),"")&lt;&gt;"",VLOOKUP($A17,'détails investissements'!$A$7:$H$21,1+IF(IF(AF$3-VLOOKUP($A17,'détails investissements'!$A$71:$B$88,2,FALSE)&lt;=0,"",IF(VLOOKUP($A17,'détails investissements'!$A$26:$DE$43,AF$3-VLOOKUP($A17,'détails investissements'!$A$71:$B$88,2,FALSE)+1,FALSE)="","",VLOOKUP($A17,'détails investissements'!$A$26:$DE$43,AF$3-VLOOKUP($A17,'détails investissements'!$A$71:$B$88,2,FALSE)+1,FALSE)))&lt;&gt;"",HLOOKUP(IF(AF$3-VLOOKUP($A17,'détails investissements'!$A$71:$B$88,2,FALSE)&lt;=0,"",IF(VLOOKUP($A17,'détails investissements'!$A$26:$DE$43,AF$3-VLOOKUP($A17,'détails investissements'!$A$71:$B$88,2,FALSE)+1,FALSE)="","",VLOOKUP($A17,'détails investissements'!$A$26:$DE$43,AF$3-VLOOKUP($A17,'détails investissements'!$A$71:$B$88,2,FALSE)+1,FALSE))),'détails investissements'!$U$6:$AB$7,2,FALSE),""),FALSE),"")</f>
        <v/>
      </c>
      <c r="AG17" s="45" t="str">
        <f>IF(IF(IF(AG$3-VLOOKUP($A17,'détails investissements'!$A$71:$B$88,2,FALSE)&lt;=0,"",IF(VLOOKUP($A17,'détails investissements'!$A$26:$DE$43,AG$3-VLOOKUP($A17,'détails investissements'!$A$71:$B$88,2,FALSE)+1,FALSE)="","",VLOOKUP($A17,'détails investissements'!$A$26:$DE$43,AG$3-VLOOKUP($A17,'détails investissements'!$A$71:$B$88,2,FALSE)+1,FALSE)))&lt;&gt;"",HLOOKUP(IF(AG$3-VLOOKUP($A17,'détails investissements'!$A$71:$B$88,2,FALSE)&lt;=0,"",IF(VLOOKUP($A17,'détails investissements'!$A$26:$DE$43,AG$3-VLOOKUP($A17,'détails investissements'!$A$71:$B$88,2,FALSE)+1,FALSE)="","",VLOOKUP($A17,'détails investissements'!$A$26:$DE$43,AG$3-VLOOKUP($A17,'détails investissements'!$A$71:$B$88,2,FALSE)+1,FALSE))),'détails investissements'!$U$6:$AB$7,2,FALSE),"")&lt;&gt;"",VLOOKUP($A17,'détails investissements'!$A$7:$H$21,1+IF(IF(AG$3-VLOOKUP($A17,'détails investissements'!$A$71:$B$88,2,FALSE)&lt;=0,"",IF(VLOOKUP($A17,'détails investissements'!$A$26:$DE$43,AG$3-VLOOKUP($A17,'détails investissements'!$A$71:$B$88,2,FALSE)+1,FALSE)="","",VLOOKUP($A17,'détails investissements'!$A$26:$DE$43,AG$3-VLOOKUP($A17,'détails investissements'!$A$71:$B$88,2,FALSE)+1,FALSE)))&lt;&gt;"",HLOOKUP(IF(AG$3-VLOOKUP($A17,'détails investissements'!$A$71:$B$88,2,FALSE)&lt;=0,"",IF(VLOOKUP($A17,'détails investissements'!$A$26:$DE$43,AG$3-VLOOKUP($A17,'détails investissements'!$A$71:$B$88,2,FALSE)+1,FALSE)="","",VLOOKUP($A17,'détails investissements'!$A$26:$DE$43,AG$3-VLOOKUP($A17,'détails investissements'!$A$71:$B$88,2,FALSE)+1,FALSE))),'détails investissements'!$U$6:$AB$7,2,FALSE),""),FALSE),"")</f>
        <v/>
      </c>
      <c r="AH17" s="45" t="str">
        <f>IF(IF(IF(AH$3-VLOOKUP($A17,'détails investissements'!$A$71:$B$88,2,FALSE)&lt;=0,"",IF(VLOOKUP($A17,'détails investissements'!$A$26:$DE$43,AH$3-VLOOKUP($A17,'détails investissements'!$A$71:$B$88,2,FALSE)+1,FALSE)="","",VLOOKUP($A17,'détails investissements'!$A$26:$DE$43,AH$3-VLOOKUP($A17,'détails investissements'!$A$71:$B$88,2,FALSE)+1,FALSE)))&lt;&gt;"",HLOOKUP(IF(AH$3-VLOOKUP($A17,'détails investissements'!$A$71:$B$88,2,FALSE)&lt;=0,"",IF(VLOOKUP($A17,'détails investissements'!$A$26:$DE$43,AH$3-VLOOKUP($A17,'détails investissements'!$A$71:$B$88,2,FALSE)+1,FALSE)="","",VLOOKUP($A17,'détails investissements'!$A$26:$DE$43,AH$3-VLOOKUP($A17,'détails investissements'!$A$71:$B$88,2,FALSE)+1,FALSE))),'détails investissements'!$U$6:$AB$7,2,FALSE),"")&lt;&gt;"",VLOOKUP($A17,'détails investissements'!$A$7:$H$21,1+IF(IF(AH$3-VLOOKUP($A17,'détails investissements'!$A$71:$B$88,2,FALSE)&lt;=0,"",IF(VLOOKUP($A17,'détails investissements'!$A$26:$DE$43,AH$3-VLOOKUP($A17,'détails investissements'!$A$71:$B$88,2,FALSE)+1,FALSE)="","",VLOOKUP($A17,'détails investissements'!$A$26:$DE$43,AH$3-VLOOKUP($A17,'détails investissements'!$A$71:$B$88,2,FALSE)+1,FALSE)))&lt;&gt;"",HLOOKUP(IF(AH$3-VLOOKUP($A17,'détails investissements'!$A$71:$B$88,2,FALSE)&lt;=0,"",IF(VLOOKUP($A17,'détails investissements'!$A$26:$DE$43,AH$3-VLOOKUP($A17,'détails investissements'!$A$71:$B$88,2,FALSE)+1,FALSE)="","",VLOOKUP($A17,'détails investissements'!$A$26:$DE$43,AH$3-VLOOKUP($A17,'détails investissements'!$A$71:$B$88,2,FALSE)+1,FALSE))),'détails investissements'!$U$6:$AB$7,2,FALSE),""),FALSE),"")</f>
        <v/>
      </c>
      <c r="AI17" s="45" t="str">
        <f>IF(IF(IF(AI$3-VLOOKUP($A17,'détails investissements'!$A$71:$B$88,2,FALSE)&lt;=0,"",IF(VLOOKUP($A17,'détails investissements'!$A$26:$DE$43,AI$3-VLOOKUP($A17,'détails investissements'!$A$71:$B$88,2,FALSE)+1,FALSE)="","",VLOOKUP($A17,'détails investissements'!$A$26:$DE$43,AI$3-VLOOKUP($A17,'détails investissements'!$A$71:$B$88,2,FALSE)+1,FALSE)))&lt;&gt;"",HLOOKUP(IF(AI$3-VLOOKUP($A17,'détails investissements'!$A$71:$B$88,2,FALSE)&lt;=0,"",IF(VLOOKUP($A17,'détails investissements'!$A$26:$DE$43,AI$3-VLOOKUP($A17,'détails investissements'!$A$71:$B$88,2,FALSE)+1,FALSE)="","",VLOOKUP($A17,'détails investissements'!$A$26:$DE$43,AI$3-VLOOKUP($A17,'détails investissements'!$A$71:$B$88,2,FALSE)+1,FALSE))),'détails investissements'!$U$6:$AB$7,2,FALSE),"")&lt;&gt;"",VLOOKUP($A17,'détails investissements'!$A$7:$H$21,1+IF(IF(AI$3-VLOOKUP($A17,'détails investissements'!$A$71:$B$88,2,FALSE)&lt;=0,"",IF(VLOOKUP($A17,'détails investissements'!$A$26:$DE$43,AI$3-VLOOKUP($A17,'détails investissements'!$A$71:$B$88,2,FALSE)+1,FALSE)="","",VLOOKUP($A17,'détails investissements'!$A$26:$DE$43,AI$3-VLOOKUP($A17,'détails investissements'!$A$71:$B$88,2,FALSE)+1,FALSE)))&lt;&gt;"",HLOOKUP(IF(AI$3-VLOOKUP($A17,'détails investissements'!$A$71:$B$88,2,FALSE)&lt;=0,"",IF(VLOOKUP($A17,'détails investissements'!$A$26:$DE$43,AI$3-VLOOKUP($A17,'détails investissements'!$A$71:$B$88,2,FALSE)+1,FALSE)="","",VLOOKUP($A17,'détails investissements'!$A$26:$DE$43,AI$3-VLOOKUP($A17,'détails investissements'!$A$71:$B$88,2,FALSE)+1,FALSE))),'détails investissements'!$U$6:$AB$7,2,FALSE),""),FALSE),"")</f>
        <v/>
      </c>
      <c r="AJ17" s="45" t="str">
        <f>IF(IF(IF(AJ$3-VLOOKUP($A17,'détails investissements'!$A$71:$B$88,2,FALSE)&lt;=0,"",IF(VLOOKUP($A17,'détails investissements'!$A$26:$DE$43,AJ$3-VLOOKUP($A17,'détails investissements'!$A$71:$B$88,2,FALSE)+1,FALSE)="","",VLOOKUP($A17,'détails investissements'!$A$26:$DE$43,AJ$3-VLOOKUP($A17,'détails investissements'!$A$71:$B$88,2,FALSE)+1,FALSE)))&lt;&gt;"",HLOOKUP(IF(AJ$3-VLOOKUP($A17,'détails investissements'!$A$71:$B$88,2,FALSE)&lt;=0,"",IF(VLOOKUP($A17,'détails investissements'!$A$26:$DE$43,AJ$3-VLOOKUP($A17,'détails investissements'!$A$71:$B$88,2,FALSE)+1,FALSE)="","",VLOOKUP($A17,'détails investissements'!$A$26:$DE$43,AJ$3-VLOOKUP($A17,'détails investissements'!$A$71:$B$88,2,FALSE)+1,FALSE))),'détails investissements'!$U$6:$AB$7,2,FALSE),"")&lt;&gt;"",VLOOKUP($A17,'détails investissements'!$A$7:$H$21,1+IF(IF(AJ$3-VLOOKUP($A17,'détails investissements'!$A$71:$B$88,2,FALSE)&lt;=0,"",IF(VLOOKUP($A17,'détails investissements'!$A$26:$DE$43,AJ$3-VLOOKUP($A17,'détails investissements'!$A$71:$B$88,2,FALSE)+1,FALSE)="","",VLOOKUP($A17,'détails investissements'!$A$26:$DE$43,AJ$3-VLOOKUP($A17,'détails investissements'!$A$71:$B$88,2,FALSE)+1,FALSE)))&lt;&gt;"",HLOOKUP(IF(AJ$3-VLOOKUP($A17,'détails investissements'!$A$71:$B$88,2,FALSE)&lt;=0,"",IF(VLOOKUP($A17,'détails investissements'!$A$26:$DE$43,AJ$3-VLOOKUP($A17,'détails investissements'!$A$71:$B$88,2,FALSE)+1,FALSE)="","",VLOOKUP($A17,'détails investissements'!$A$26:$DE$43,AJ$3-VLOOKUP($A17,'détails investissements'!$A$71:$B$88,2,FALSE)+1,FALSE))),'détails investissements'!$U$6:$AB$7,2,FALSE),""),FALSE),"")</f>
        <v/>
      </c>
      <c r="AK17" s="45" t="str">
        <f>IF(IF(IF(AK$3-VLOOKUP($A17,'détails investissements'!$A$71:$B$88,2,FALSE)&lt;=0,"",IF(VLOOKUP($A17,'détails investissements'!$A$26:$DE$43,AK$3-VLOOKUP($A17,'détails investissements'!$A$71:$B$88,2,FALSE)+1,FALSE)="","",VLOOKUP($A17,'détails investissements'!$A$26:$DE$43,AK$3-VLOOKUP($A17,'détails investissements'!$A$71:$B$88,2,FALSE)+1,FALSE)))&lt;&gt;"",HLOOKUP(IF(AK$3-VLOOKUP($A17,'détails investissements'!$A$71:$B$88,2,FALSE)&lt;=0,"",IF(VLOOKUP($A17,'détails investissements'!$A$26:$DE$43,AK$3-VLOOKUP($A17,'détails investissements'!$A$71:$B$88,2,FALSE)+1,FALSE)="","",VLOOKUP($A17,'détails investissements'!$A$26:$DE$43,AK$3-VLOOKUP($A17,'détails investissements'!$A$71:$B$88,2,FALSE)+1,FALSE))),'détails investissements'!$U$6:$AB$7,2,FALSE),"")&lt;&gt;"",VLOOKUP($A17,'détails investissements'!$A$7:$H$21,1+IF(IF(AK$3-VLOOKUP($A17,'détails investissements'!$A$71:$B$88,2,FALSE)&lt;=0,"",IF(VLOOKUP($A17,'détails investissements'!$A$26:$DE$43,AK$3-VLOOKUP($A17,'détails investissements'!$A$71:$B$88,2,FALSE)+1,FALSE)="","",VLOOKUP($A17,'détails investissements'!$A$26:$DE$43,AK$3-VLOOKUP($A17,'détails investissements'!$A$71:$B$88,2,FALSE)+1,FALSE)))&lt;&gt;"",HLOOKUP(IF(AK$3-VLOOKUP($A17,'détails investissements'!$A$71:$B$88,2,FALSE)&lt;=0,"",IF(VLOOKUP($A17,'détails investissements'!$A$26:$DE$43,AK$3-VLOOKUP($A17,'détails investissements'!$A$71:$B$88,2,FALSE)+1,FALSE)="","",VLOOKUP($A17,'détails investissements'!$A$26:$DE$43,AK$3-VLOOKUP($A17,'détails investissements'!$A$71:$B$88,2,FALSE)+1,FALSE))),'détails investissements'!$U$6:$AB$7,2,FALSE),""),FALSE),"")</f>
        <v/>
      </c>
      <c r="AL17" s="45" t="str">
        <f>IF(IF(IF(AL$3-VLOOKUP($A17,'détails investissements'!$A$71:$B$88,2,FALSE)&lt;=0,"",IF(VLOOKUP($A17,'détails investissements'!$A$26:$DE$43,AL$3-VLOOKUP($A17,'détails investissements'!$A$71:$B$88,2,FALSE)+1,FALSE)="","",VLOOKUP($A17,'détails investissements'!$A$26:$DE$43,AL$3-VLOOKUP($A17,'détails investissements'!$A$71:$B$88,2,FALSE)+1,FALSE)))&lt;&gt;"",HLOOKUP(IF(AL$3-VLOOKUP($A17,'détails investissements'!$A$71:$B$88,2,FALSE)&lt;=0,"",IF(VLOOKUP($A17,'détails investissements'!$A$26:$DE$43,AL$3-VLOOKUP($A17,'détails investissements'!$A$71:$B$88,2,FALSE)+1,FALSE)="","",VLOOKUP($A17,'détails investissements'!$A$26:$DE$43,AL$3-VLOOKUP($A17,'détails investissements'!$A$71:$B$88,2,FALSE)+1,FALSE))),'détails investissements'!$U$6:$AB$7,2,FALSE),"")&lt;&gt;"",VLOOKUP($A17,'détails investissements'!$A$7:$H$21,1+IF(IF(AL$3-VLOOKUP($A17,'détails investissements'!$A$71:$B$88,2,FALSE)&lt;=0,"",IF(VLOOKUP($A17,'détails investissements'!$A$26:$DE$43,AL$3-VLOOKUP($A17,'détails investissements'!$A$71:$B$88,2,FALSE)+1,FALSE)="","",VLOOKUP($A17,'détails investissements'!$A$26:$DE$43,AL$3-VLOOKUP($A17,'détails investissements'!$A$71:$B$88,2,FALSE)+1,FALSE)))&lt;&gt;"",HLOOKUP(IF(AL$3-VLOOKUP($A17,'détails investissements'!$A$71:$B$88,2,FALSE)&lt;=0,"",IF(VLOOKUP($A17,'détails investissements'!$A$26:$DE$43,AL$3-VLOOKUP($A17,'détails investissements'!$A$71:$B$88,2,FALSE)+1,FALSE)="","",VLOOKUP($A17,'détails investissements'!$A$26:$DE$43,AL$3-VLOOKUP($A17,'détails investissements'!$A$71:$B$88,2,FALSE)+1,FALSE))),'détails investissements'!$U$6:$AB$7,2,FALSE),""),FALSE),"")</f>
        <v/>
      </c>
      <c r="AM17" s="45" t="str">
        <f>IF(IF(IF(AM$3-VLOOKUP($A17,'détails investissements'!$A$71:$B$88,2,FALSE)&lt;=0,"",IF(VLOOKUP($A17,'détails investissements'!$A$26:$DE$43,AM$3-VLOOKUP($A17,'détails investissements'!$A$71:$B$88,2,FALSE)+1,FALSE)="","",VLOOKUP($A17,'détails investissements'!$A$26:$DE$43,AM$3-VLOOKUP($A17,'détails investissements'!$A$71:$B$88,2,FALSE)+1,FALSE)))&lt;&gt;"",HLOOKUP(IF(AM$3-VLOOKUP($A17,'détails investissements'!$A$71:$B$88,2,FALSE)&lt;=0,"",IF(VLOOKUP($A17,'détails investissements'!$A$26:$DE$43,AM$3-VLOOKUP($A17,'détails investissements'!$A$71:$B$88,2,FALSE)+1,FALSE)="","",VLOOKUP($A17,'détails investissements'!$A$26:$DE$43,AM$3-VLOOKUP($A17,'détails investissements'!$A$71:$B$88,2,FALSE)+1,FALSE))),'détails investissements'!$U$6:$AB$7,2,FALSE),"")&lt;&gt;"",VLOOKUP($A17,'détails investissements'!$A$7:$H$21,1+IF(IF(AM$3-VLOOKUP($A17,'détails investissements'!$A$71:$B$88,2,FALSE)&lt;=0,"",IF(VLOOKUP($A17,'détails investissements'!$A$26:$DE$43,AM$3-VLOOKUP($A17,'détails investissements'!$A$71:$B$88,2,FALSE)+1,FALSE)="","",VLOOKUP($A17,'détails investissements'!$A$26:$DE$43,AM$3-VLOOKUP($A17,'détails investissements'!$A$71:$B$88,2,FALSE)+1,FALSE)))&lt;&gt;"",HLOOKUP(IF(AM$3-VLOOKUP($A17,'détails investissements'!$A$71:$B$88,2,FALSE)&lt;=0,"",IF(VLOOKUP($A17,'détails investissements'!$A$26:$DE$43,AM$3-VLOOKUP($A17,'détails investissements'!$A$71:$B$88,2,FALSE)+1,FALSE)="","",VLOOKUP($A17,'détails investissements'!$A$26:$DE$43,AM$3-VLOOKUP($A17,'détails investissements'!$A$71:$B$88,2,FALSE)+1,FALSE))),'détails investissements'!$U$6:$AB$7,2,FALSE),""),FALSE),"")</f>
        <v/>
      </c>
      <c r="AN17" s="45" t="str">
        <f>IF(IF(IF(AN$3-VLOOKUP($A17,'détails investissements'!$A$71:$B$88,2,FALSE)&lt;=0,"",IF(VLOOKUP($A17,'détails investissements'!$A$26:$DE$43,AN$3-VLOOKUP($A17,'détails investissements'!$A$71:$B$88,2,FALSE)+1,FALSE)="","",VLOOKUP($A17,'détails investissements'!$A$26:$DE$43,AN$3-VLOOKUP($A17,'détails investissements'!$A$71:$B$88,2,FALSE)+1,FALSE)))&lt;&gt;"",HLOOKUP(IF(AN$3-VLOOKUP($A17,'détails investissements'!$A$71:$B$88,2,FALSE)&lt;=0,"",IF(VLOOKUP($A17,'détails investissements'!$A$26:$DE$43,AN$3-VLOOKUP($A17,'détails investissements'!$A$71:$B$88,2,FALSE)+1,FALSE)="","",VLOOKUP($A17,'détails investissements'!$A$26:$DE$43,AN$3-VLOOKUP($A17,'détails investissements'!$A$71:$B$88,2,FALSE)+1,FALSE))),'détails investissements'!$U$6:$AB$7,2,FALSE),"")&lt;&gt;"",VLOOKUP($A17,'détails investissements'!$A$7:$H$21,1+IF(IF(AN$3-VLOOKUP($A17,'détails investissements'!$A$71:$B$88,2,FALSE)&lt;=0,"",IF(VLOOKUP($A17,'détails investissements'!$A$26:$DE$43,AN$3-VLOOKUP($A17,'détails investissements'!$A$71:$B$88,2,FALSE)+1,FALSE)="","",VLOOKUP($A17,'détails investissements'!$A$26:$DE$43,AN$3-VLOOKUP($A17,'détails investissements'!$A$71:$B$88,2,FALSE)+1,FALSE)))&lt;&gt;"",HLOOKUP(IF(AN$3-VLOOKUP($A17,'détails investissements'!$A$71:$B$88,2,FALSE)&lt;=0,"",IF(VLOOKUP($A17,'détails investissements'!$A$26:$DE$43,AN$3-VLOOKUP($A17,'détails investissements'!$A$71:$B$88,2,FALSE)+1,FALSE)="","",VLOOKUP($A17,'détails investissements'!$A$26:$DE$43,AN$3-VLOOKUP($A17,'détails investissements'!$A$71:$B$88,2,FALSE)+1,FALSE))),'détails investissements'!$U$6:$AB$7,2,FALSE),""),FALSE),"")</f>
        <v/>
      </c>
      <c r="AO17" s="45" t="str">
        <f>IF(IF(IF(AO$3-VLOOKUP($A17,'détails investissements'!$A$71:$B$88,2,FALSE)&lt;=0,"",IF(VLOOKUP($A17,'détails investissements'!$A$26:$DE$43,AO$3-VLOOKUP($A17,'détails investissements'!$A$71:$B$88,2,FALSE)+1,FALSE)="","",VLOOKUP($A17,'détails investissements'!$A$26:$DE$43,AO$3-VLOOKUP($A17,'détails investissements'!$A$71:$B$88,2,FALSE)+1,FALSE)))&lt;&gt;"",HLOOKUP(IF(AO$3-VLOOKUP($A17,'détails investissements'!$A$71:$B$88,2,FALSE)&lt;=0,"",IF(VLOOKUP($A17,'détails investissements'!$A$26:$DE$43,AO$3-VLOOKUP($A17,'détails investissements'!$A$71:$B$88,2,FALSE)+1,FALSE)="","",VLOOKUP($A17,'détails investissements'!$A$26:$DE$43,AO$3-VLOOKUP($A17,'détails investissements'!$A$71:$B$88,2,FALSE)+1,FALSE))),'détails investissements'!$U$6:$AB$7,2,FALSE),"")&lt;&gt;"",VLOOKUP($A17,'détails investissements'!$A$7:$H$21,1+IF(IF(AO$3-VLOOKUP($A17,'détails investissements'!$A$71:$B$88,2,FALSE)&lt;=0,"",IF(VLOOKUP($A17,'détails investissements'!$A$26:$DE$43,AO$3-VLOOKUP($A17,'détails investissements'!$A$71:$B$88,2,FALSE)+1,FALSE)="","",VLOOKUP($A17,'détails investissements'!$A$26:$DE$43,AO$3-VLOOKUP($A17,'détails investissements'!$A$71:$B$88,2,FALSE)+1,FALSE)))&lt;&gt;"",HLOOKUP(IF(AO$3-VLOOKUP($A17,'détails investissements'!$A$71:$B$88,2,FALSE)&lt;=0,"",IF(VLOOKUP($A17,'détails investissements'!$A$26:$DE$43,AO$3-VLOOKUP($A17,'détails investissements'!$A$71:$B$88,2,FALSE)+1,FALSE)="","",VLOOKUP($A17,'détails investissements'!$A$26:$DE$43,AO$3-VLOOKUP($A17,'détails investissements'!$A$71:$B$88,2,FALSE)+1,FALSE))),'détails investissements'!$U$6:$AB$7,2,FALSE),""),FALSE),"")</f>
        <v/>
      </c>
      <c r="AP17" s="45" t="str">
        <f>IF(IF(IF(AP$3-VLOOKUP($A17,'détails investissements'!$A$71:$B$88,2,FALSE)&lt;=0,"",IF(VLOOKUP($A17,'détails investissements'!$A$26:$DE$43,AP$3-VLOOKUP($A17,'détails investissements'!$A$71:$B$88,2,FALSE)+1,FALSE)="","",VLOOKUP($A17,'détails investissements'!$A$26:$DE$43,AP$3-VLOOKUP($A17,'détails investissements'!$A$71:$B$88,2,FALSE)+1,FALSE)))&lt;&gt;"",HLOOKUP(IF(AP$3-VLOOKUP($A17,'détails investissements'!$A$71:$B$88,2,FALSE)&lt;=0,"",IF(VLOOKUP($A17,'détails investissements'!$A$26:$DE$43,AP$3-VLOOKUP($A17,'détails investissements'!$A$71:$B$88,2,FALSE)+1,FALSE)="","",VLOOKUP($A17,'détails investissements'!$A$26:$DE$43,AP$3-VLOOKUP($A17,'détails investissements'!$A$71:$B$88,2,FALSE)+1,FALSE))),'détails investissements'!$U$6:$AB$7,2,FALSE),"")&lt;&gt;"",VLOOKUP($A17,'détails investissements'!$A$7:$H$21,1+IF(IF(AP$3-VLOOKUP($A17,'détails investissements'!$A$71:$B$88,2,FALSE)&lt;=0,"",IF(VLOOKUP($A17,'détails investissements'!$A$26:$DE$43,AP$3-VLOOKUP($A17,'détails investissements'!$A$71:$B$88,2,FALSE)+1,FALSE)="","",VLOOKUP($A17,'détails investissements'!$A$26:$DE$43,AP$3-VLOOKUP($A17,'détails investissements'!$A$71:$B$88,2,FALSE)+1,FALSE)))&lt;&gt;"",HLOOKUP(IF(AP$3-VLOOKUP($A17,'détails investissements'!$A$71:$B$88,2,FALSE)&lt;=0,"",IF(VLOOKUP($A17,'détails investissements'!$A$26:$DE$43,AP$3-VLOOKUP($A17,'détails investissements'!$A$71:$B$88,2,FALSE)+1,FALSE)="","",VLOOKUP($A17,'détails investissements'!$A$26:$DE$43,AP$3-VLOOKUP($A17,'détails investissements'!$A$71:$B$88,2,FALSE)+1,FALSE))),'détails investissements'!$U$6:$AB$7,2,FALSE),""),FALSE),"")</f>
        <v/>
      </c>
      <c r="AQ17" s="45" t="str">
        <f>IF(IF(IF(AQ$3-VLOOKUP($A17,'détails investissements'!$A$71:$B$88,2,FALSE)&lt;=0,"",IF(VLOOKUP($A17,'détails investissements'!$A$26:$DE$43,AQ$3-VLOOKUP($A17,'détails investissements'!$A$71:$B$88,2,FALSE)+1,FALSE)="","",VLOOKUP($A17,'détails investissements'!$A$26:$DE$43,AQ$3-VLOOKUP($A17,'détails investissements'!$A$71:$B$88,2,FALSE)+1,FALSE)))&lt;&gt;"",HLOOKUP(IF(AQ$3-VLOOKUP($A17,'détails investissements'!$A$71:$B$88,2,FALSE)&lt;=0,"",IF(VLOOKUP($A17,'détails investissements'!$A$26:$DE$43,AQ$3-VLOOKUP($A17,'détails investissements'!$A$71:$B$88,2,FALSE)+1,FALSE)="","",VLOOKUP($A17,'détails investissements'!$A$26:$DE$43,AQ$3-VLOOKUP($A17,'détails investissements'!$A$71:$B$88,2,FALSE)+1,FALSE))),'détails investissements'!$U$6:$AB$7,2,FALSE),"")&lt;&gt;"",VLOOKUP($A17,'détails investissements'!$A$7:$H$21,1+IF(IF(AQ$3-VLOOKUP($A17,'détails investissements'!$A$71:$B$88,2,FALSE)&lt;=0,"",IF(VLOOKUP($A17,'détails investissements'!$A$26:$DE$43,AQ$3-VLOOKUP($A17,'détails investissements'!$A$71:$B$88,2,FALSE)+1,FALSE)="","",VLOOKUP($A17,'détails investissements'!$A$26:$DE$43,AQ$3-VLOOKUP($A17,'détails investissements'!$A$71:$B$88,2,FALSE)+1,FALSE)))&lt;&gt;"",HLOOKUP(IF(AQ$3-VLOOKUP($A17,'détails investissements'!$A$71:$B$88,2,FALSE)&lt;=0,"",IF(VLOOKUP($A17,'détails investissements'!$A$26:$DE$43,AQ$3-VLOOKUP($A17,'détails investissements'!$A$71:$B$88,2,FALSE)+1,FALSE)="","",VLOOKUP($A17,'détails investissements'!$A$26:$DE$43,AQ$3-VLOOKUP($A17,'détails investissements'!$A$71:$B$88,2,FALSE)+1,FALSE))),'détails investissements'!$U$6:$AB$7,2,FALSE),""),FALSE),"")</f>
        <v/>
      </c>
      <c r="AR17" s="45" t="str">
        <f>IF(IF(IF(AR$3-VLOOKUP($A17,'détails investissements'!$A$71:$B$88,2,FALSE)&lt;=0,"",IF(VLOOKUP($A17,'détails investissements'!$A$26:$DE$43,AR$3-VLOOKUP($A17,'détails investissements'!$A$71:$B$88,2,FALSE)+1,FALSE)="","",VLOOKUP($A17,'détails investissements'!$A$26:$DE$43,AR$3-VLOOKUP($A17,'détails investissements'!$A$71:$B$88,2,FALSE)+1,FALSE)))&lt;&gt;"",HLOOKUP(IF(AR$3-VLOOKUP($A17,'détails investissements'!$A$71:$B$88,2,FALSE)&lt;=0,"",IF(VLOOKUP($A17,'détails investissements'!$A$26:$DE$43,AR$3-VLOOKUP($A17,'détails investissements'!$A$71:$B$88,2,FALSE)+1,FALSE)="","",VLOOKUP($A17,'détails investissements'!$A$26:$DE$43,AR$3-VLOOKUP($A17,'détails investissements'!$A$71:$B$88,2,FALSE)+1,FALSE))),'détails investissements'!$U$6:$AB$7,2,FALSE),"")&lt;&gt;"",VLOOKUP($A17,'détails investissements'!$A$7:$H$21,1+IF(IF(AR$3-VLOOKUP($A17,'détails investissements'!$A$71:$B$88,2,FALSE)&lt;=0,"",IF(VLOOKUP($A17,'détails investissements'!$A$26:$DE$43,AR$3-VLOOKUP($A17,'détails investissements'!$A$71:$B$88,2,FALSE)+1,FALSE)="","",VLOOKUP($A17,'détails investissements'!$A$26:$DE$43,AR$3-VLOOKUP($A17,'détails investissements'!$A$71:$B$88,2,FALSE)+1,FALSE)))&lt;&gt;"",HLOOKUP(IF(AR$3-VLOOKUP($A17,'détails investissements'!$A$71:$B$88,2,FALSE)&lt;=0,"",IF(VLOOKUP($A17,'détails investissements'!$A$26:$DE$43,AR$3-VLOOKUP($A17,'détails investissements'!$A$71:$B$88,2,FALSE)+1,FALSE)="","",VLOOKUP($A17,'détails investissements'!$A$26:$DE$43,AR$3-VLOOKUP($A17,'détails investissements'!$A$71:$B$88,2,FALSE)+1,FALSE))),'détails investissements'!$U$6:$AB$7,2,FALSE),""),FALSE),"")</f>
        <v/>
      </c>
      <c r="AS17" s="45" t="str">
        <f>IF(IF(IF(AS$3-VLOOKUP($A17,'détails investissements'!$A$71:$B$88,2,FALSE)&lt;=0,"",IF(VLOOKUP($A17,'détails investissements'!$A$26:$DE$43,AS$3-VLOOKUP($A17,'détails investissements'!$A$71:$B$88,2,FALSE)+1,FALSE)="","",VLOOKUP($A17,'détails investissements'!$A$26:$DE$43,AS$3-VLOOKUP($A17,'détails investissements'!$A$71:$B$88,2,FALSE)+1,FALSE)))&lt;&gt;"",HLOOKUP(IF(AS$3-VLOOKUP($A17,'détails investissements'!$A$71:$B$88,2,FALSE)&lt;=0,"",IF(VLOOKUP($A17,'détails investissements'!$A$26:$DE$43,AS$3-VLOOKUP($A17,'détails investissements'!$A$71:$B$88,2,FALSE)+1,FALSE)="","",VLOOKUP($A17,'détails investissements'!$A$26:$DE$43,AS$3-VLOOKUP($A17,'détails investissements'!$A$71:$B$88,2,FALSE)+1,FALSE))),'détails investissements'!$U$6:$AB$7,2,FALSE),"")&lt;&gt;"",VLOOKUP($A17,'détails investissements'!$A$7:$H$21,1+IF(IF(AS$3-VLOOKUP($A17,'détails investissements'!$A$71:$B$88,2,FALSE)&lt;=0,"",IF(VLOOKUP($A17,'détails investissements'!$A$26:$DE$43,AS$3-VLOOKUP($A17,'détails investissements'!$A$71:$B$88,2,FALSE)+1,FALSE)="","",VLOOKUP($A17,'détails investissements'!$A$26:$DE$43,AS$3-VLOOKUP($A17,'détails investissements'!$A$71:$B$88,2,FALSE)+1,FALSE)))&lt;&gt;"",HLOOKUP(IF(AS$3-VLOOKUP($A17,'détails investissements'!$A$71:$B$88,2,FALSE)&lt;=0,"",IF(VLOOKUP($A17,'détails investissements'!$A$26:$DE$43,AS$3-VLOOKUP($A17,'détails investissements'!$A$71:$B$88,2,FALSE)+1,FALSE)="","",VLOOKUP($A17,'détails investissements'!$A$26:$DE$43,AS$3-VLOOKUP($A17,'détails investissements'!$A$71:$B$88,2,FALSE)+1,FALSE))),'détails investissements'!$U$6:$AB$7,2,FALSE),""),FALSE),"")</f>
        <v/>
      </c>
      <c r="AT17" s="45" t="str">
        <f>IF(IF(IF(AT$3-VLOOKUP($A17,'détails investissements'!$A$71:$B$88,2,FALSE)&lt;=0,"",IF(VLOOKUP($A17,'détails investissements'!$A$26:$DE$43,AT$3-VLOOKUP($A17,'détails investissements'!$A$71:$B$88,2,FALSE)+1,FALSE)="","",VLOOKUP($A17,'détails investissements'!$A$26:$DE$43,AT$3-VLOOKUP($A17,'détails investissements'!$A$71:$B$88,2,FALSE)+1,FALSE)))&lt;&gt;"",HLOOKUP(IF(AT$3-VLOOKUP($A17,'détails investissements'!$A$71:$B$88,2,FALSE)&lt;=0,"",IF(VLOOKUP($A17,'détails investissements'!$A$26:$DE$43,AT$3-VLOOKUP($A17,'détails investissements'!$A$71:$B$88,2,FALSE)+1,FALSE)="","",VLOOKUP($A17,'détails investissements'!$A$26:$DE$43,AT$3-VLOOKUP($A17,'détails investissements'!$A$71:$B$88,2,FALSE)+1,FALSE))),'détails investissements'!$U$6:$AB$7,2,FALSE),"")&lt;&gt;"",VLOOKUP($A17,'détails investissements'!$A$7:$H$21,1+IF(IF(AT$3-VLOOKUP($A17,'détails investissements'!$A$71:$B$88,2,FALSE)&lt;=0,"",IF(VLOOKUP($A17,'détails investissements'!$A$26:$DE$43,AT$3-VLOOKUP($A17,'détails investissements'!$A$71:$B$88,2,FALSE)+1,FALSE)="","",VLOOKUP($A17,'détails investissements'!$A$26:$DE$43,AT$3-VLOOKUP($A17,'détails investissements'!$A$71:$B$88,2,FALSE)+1,FALSE)))&lt;&gt;"",HLOOKUP(IF(AT$3-VLOOKUP($A17,'détails investissements'!$A$71:$B$88,2,FALSE)&lt;=0,"",IF(VLOOKUP($A17,'détails investissements'!$A$26:$DE$43,AT$3-VLOOKUP($A17,'détails investissements'!$A$71:$B$88,2,FALSE)+1,FALSE)="","",VLOOKUP($A17,'détails investissements'!$A$26:$DE$43,AT$3-VLOOKUP($A17,'détails investissements'!$A$71:$B$88,2,FALSE)+1,FALSE))),'détails investissements'!$U$6:$AB$7,2,FALSE),""),FALSE),"")</f>
        <v/>
      </c>
      <c r="AU17" s="45" t="str">
        <f>IF(IF(IF(AU$3-VLOOKUP($A17,'détails investissements'!$A$71:$B$88,2,FALSE)&lt;=0,"",IF(VLOOKUP($A17,'détails investissements'!$A$26:$DE$43,AU$3-VLOOKUP($A17,'détails investissements'!$A$71:$B$88,2,FALSE)+1,FALSE)="","",VLOOKUP($A17,'détails investissements'!$A$26:$DE$43,AU$3-VLOOKUP($A17,'détails investissements'!$A$71:$B$88,2,FALSE)+1,FALSE)))&lt;&gt;"",HLOOKUP(IF(AU$3-VLOOKUP($A17,'détails investissements'!$A$71:$B$88,2,FALSE)&lt;=0,"",IF(VLOOKUP($A17,'détails investissements'!$A$26:$DE$43,AU$3-VLOOKUP($A17,'détails investissements'!$A$71:$B$88,2,FALSE)+1,FALSE)="","",VLOOKUP($A17,'détails investissements'!$A$26:$DE$43,AU$3-VLOOKUP($A17,'détails investissements'!$A$71:$B$88,2,FALSE)+1,FALSE))),'détails investissements'!$U$6:$AB$7,2,FALSE),"")&lt;&gt;"",VLOOKUP($A17,'détails investissements'!$A$7:$H$21,1+IF(IF(AU$3-VLOOKUP($A17,'détails investissements'!$A$71:$B$88,2,FALSE)&lt;=0,"",IF(VLOOKUP($A17,'détails investissements'!$A$26:$DE$43,AU$3-VLOOKUP($A17,'détails investissements'!$A$71:$B$88,2,FALSE)+1,FALSE)="","",VLOOKUP($A17,'détails investissements'!$A$26:$DE$43,AU$3-VLOOKUP($A17,'détails investissements'!$A$71:$B$88,2,FALSE)+1,FALSE)))&lt;&gt;"",HLOOKUP(IF(AU$3-VLOOKUP($A17,'détails investissements'!$A$71:$B$88,2,FALSE)&lt;=0,"",IF(VLOOKUP($A17,'détails investissements'!$A$26:$DE$43,AU$3-VLOOKUP($A17,'détails investissements'!$A$71:$B$88,2,FALSE)+1,FALSE)="","",VLOOKUP($A17,'détails investissements'!$A$26:$DE$43,AU$3-VLOOKUP($A17,'détails investissements'!$A$71:$B$88,2,FALSE)+1,FALSE))),'détails investissements'!$U$6:$AB$7,2,FALSE),""),FALSE),"")</f>
        <v/>
      </c>
      <c r="AV17" s="45" t="str">
        <f>IF(IF(IF(AV$3-VLOOKUP($A17,'détails investissements'!$A$71:$B$88,2,FALSE)&lt;=0,"",IF(VLOOKUP($A17,'détails investissements'!$A$26:$DE$43,AV$3-VLOOKUP($A17,'détails investissements'!$A$71:$B$88,2,FALSE)+1,FALSE)="","",VLOOKUP($A17,'détails investissements'!$A$26:$DE$43,AV$3-VLOOKUP($A17,'détails investissements'!$A$71:$B$88,2,FALSE)+1,FALSE)))&lt;&gt;"",HLOOKUP(IF(AV$3-VLOOKUP($A17,'détails investissements'!$A$71:$B$88,2,FALSE)&lt;=0,"",IF(VLOOKUP($A17,'détails investissements'!$A$26:$DE$43,AV$3-VLOOKUP($A17,'détails investissements'!$A$71:$B$88,2,FALSE)+1,FALSE)="","",VLOOKUP($A17,'détails investissements'!$A$26:$DE$43,AV$3-VLOOKUP($A17,'détails investissements'!$A$71:$B$88,2,FALSE)+1,FALSE))),'détails investissements'!$U$6:$AB$7,2,FALSE),"")&lt;&gt;"",VLOOKUP($A17,'détails investissements'!$A$7:$H$21,1+IF(IF(AV$3-VLOOKUP($A17,'détails investissements'!$A$71:$B$88,2,FALSE)&lt;=0,"",IF(VLOOKUP($A17,'détails investissements'!$A$26:$DE$43,AV$3-VLOOKUP($A17,'détails investissements'!$A$71:$B$88,2,FALSE)+1,FALSE)="","",VLOOKUP($A17,'détails investissements'!$A$26:$DE$43,AV$3-VLOOKUP($A17,'détails investissements'!$A$71:$B$88,2,FALSE)+1,FALSE)))&lt;&gt;"",HLOOKUP(IF(AV$3-VLOOKUP($A17,'détails investissements'!$A$71:$B$88,2,FALSE)&lt;=0,"",IF(VLOOKUP($A17,'détails investissements'!$A$26:$DE$43,AV$3-VLOOKUP($A17,'détails investissements'!$A$71:$B$88,2,FALSE)+1,FALSE)="","",VLOOKUP($A17,'détails investissements'!$A$26:$DE$43,AV$3-VLOOKUP($A17,'détails investissements'!$A$71:$B$88,2,FALSE)+1,FALSE))),'détails investissements'!$U$6:$AB$7,2,FALSE),""),FALSE),"")</f>
        <v/>
      </c>
      <c r="AW17" s="45" t="str">
        <f>IF(IF(IF(AW$3-VLOOKUP($A17,'détails investissements'!$A$71:$B$88,2,FALSE)&lt;=0,"",IF(VLOOKUP($A17,'détails investissements'!$A$26:$DE$43,AW$3-VLOOKUP($A17,'détails investissements'!$A$71:$B$88,2,FALSE)+1,FALSE)="","",VLOOKUP($A17,'détails investissements'!$A$26:$DE$43,AW$3-VLOOKUP($A17,'détails investissements'!$A$71:$B$88,2,FALSE)+1,FALSE)))&lt;&gt;"",HLOOKUP(IF(AW$3-VLOOKUP($A17,'détails investissements'!$A$71:$B$88,2,FALSE)&lt;=0,"",IF(VLOOKUP($A17,'détails investissements'!$A$26:$DE$43,AW$3-VLOOKUP($A17,'détails investissements'!$A$71:$B$88,2,FALSE)+1,FALSE)="","",VLOOKUP($A17,'détails investissements'!$A$26:$DE$43,AW$3-VLOOKUP($A17,'détails investissements'!$A$71:$B$88,2,FALSE)+1,FALSE))),'détails investissements'!$U$6:$AB$7,2,FALSE),"")&lt;&gt;"",VLOOKUP($A17,'détails investissements'!$A$7:$H$21,1+IF(IF(AW$3-VLOOKUP($A17,'détails investissements'!$A$71:$B$88,2,FALSE)&lt;=0,"",IF(VLOOKUP($A17,'détails investissements'!$A$26:$DE$43,AW$3-VLOOKUP($A17,'détails investissements'!$A$71:$B$88,2,FALSE)+1,FALSE)="","",VLOOKUP($A17,'détails investissements'!$A$26:$DE$43,AW$3-VLOOKUP($A17,'détails investissements'!$A$71:$B$88,2,FALSE)+1,FALSE)))&lt;&gt;"",HLOOKUP(IF(AW$3-VLOOKUP($A17,'détails investissements'!$A$71:$B$88,2,FALSE)&lt;=0,"",IF(VLOOKUP($A17,'détails investissements'!$A$26:$DE$43,AW$3-VLOOKUP($A17,'détails investissements'!$A$71:$B$88,2,FALSE)+1,FALSE)="","",VLOOKUP($A17,'détails investissements'!$A$26:$DE$43,AW$3-VLOOKUP($A17,'détails investissements'!$A$71:$B$88,2,FALSE)+1,FALSE))),'détails investissements'!$U$6:$AB$7,2,FALSE),""),FALSE),"")</f>
        <v/>
      </c>
      <c r="AX17" s="45" t="str">
        <f>IF(IF(IF(AX$3-VLOOKUP($A17,'détails investissements'!$A$71:$B$88,2,FALSE)&lt;=0,"",IF(VLOOKUP($A17,'détails investissements'!$A$26:$DE$43,AX$3-VLOOKUP($A17,'détails investissements'!$A$71:$B$88,2,FALSE)+1,FALSE)="","",VLOOKUP($A17,'détails investissements'!$A$26:$DE$43,AX$3-VLOOKUP($A17,'détails investissements'!$A$71:$B$88,2,FALSE)+1,FALSE)))&lt;&gt;"",HLOOKUP(IF(AX$3-VLOOKUP($A17,'détails investissements'!$A$71:$B$88,2,FALSE)&lt;=0,"",IF(VLOOKUP($A17,'détails investissements'!$A$26:$DE$43,AX$3-VLOOKUP($A17,'détails investissements'!$A$71:$B$88,2,FALSE)+1,FALSE)="","",VLOOKUP($A17,'détails investissements'!$A$26:$DE$43,AX$3-VLOOKUP($A17,'détails investissements'!$A$71:$B$88,2,FALSE)+1,FALSE))),'détails investissements'!$U$6:$AB$7,2,FALSE),"")&lt;&gt;"",VLOOKUP($A17,'détails investissements'!$A$7:$H$21,1+IF(IF(AX$3-VLOOKUP($A17,'détails investissements'!$A$71:$B$88,2,FALSE)&lt;=0,"",IF(VLOOKUP($A17,'détails investissements'!$A$26:$DE$43,AX$3-VLOOKUP($A17,'détails investissements'!$A$71:$B$88,2,FALSE)+1,FALSE)="","",VLOOKUP($A17,'détails investissements'!$A$26:$DE$43,AX$3-VLOOKUP($A17,'détails investissements'!$A$71:$B$88,2,FALSE)+1,FALSE)))&lt;&gt;"",HLOOKUP(IF(AX$3-VLOOKUP($A17,'détails investissements'!$A$71:$B$88,2,FALSE)&lt;=0,"",IF(VLOOKUP($A17,'détails investissements'!$A$26:$DE$43,AX$3-VLOOKUP($A17,'détails investissements'!$A$71:$B$88,2,FALSE)+1,FALSE)="","",VLOOKUP($A17,'détails investissements'!$A$26:$DE$43,AX$3-VLOOKUP($A17,'détails investissements'!$A$71:$B$88,2,FALSE)+1,FALSE))),'détails investissements'!$U$6:$AB$7,2,FALSE),""),FALSE),"")</f>
        <v/>
      </c>
      <c r="AY17" s="45" t="str">
        <f>IF(IF(IF(AY$3-VLOOKUP($A17,'détails investissements'!$A$71:$B$88,2,FALSE)&lt;=0,"",IF(VLOOKUP($A17,'détails investissements'!$A$26:$DE$43,AY$3-VLOOKUP($A17,'détails investissements'!$A$71:$B$88,2,FALSE)+1,FALSE)="","",VLOOKUP($A17,'détails investissements'!$A$26:$DE$43,AY$3-VLOOKUP($A17,'détails investissements'!$A$71:$B$88,2,FALSE)+1,FALSE)))&lt;&gt;"",HLOOKUP(IF(AY$3-VLOOKUP($A17,'détails investissements'!$A$71:$B$88,2,FALSE)&lt;=0,"",IF(VLOOKUP($A17,'détails investissements'!$A$26:$DE$43,AY$3-VLOOKUP($A17,'détails investissements'!$A$71:$B$88,2,FALSE)+1,FALSE)="","",VLOOKUP($A17,'détails investissements'!$A$26:$DE$43,AY$3-VLOOKUP($A17,'détails investissements'!$A$71:$B$88,2,FALSE)+1,FALSE))),'détails investissements'!$U$6:$AB$7,2,FALSE),"")&lt;&gt;"",VLOOKUP($A17,'détails investissements'!$A$7:$H$21,1+IF(IF(AY$3-VLOOKUP($A17,'détails investissements'!$A$71:$B$88,2,FALSE)&lt;=0,"",IF(VLOOKUP($A17,'détails investissements'!$A$26:$DE$43,AY$3-VLOOKUP($A17,'détails investissements'!$A$71:$B$88,2,FALSE)+1,FALSE)="","",VLOOKUP($A17,'détails investissements'!$A$26:$DE$43,AY$3-VLOOKUP($A17,'détails investissements'!$A$71:$B$88,2,FALSE)+1,FALSE)))&lt;&gt;"",HLOOKUP(IF(AY$3-VLOOKUP($A17,'détails investissements'!$A$71:$B$88,2,FALSE)&lt;=0,"",IF(VLOOKUP($A17,'détails investissements'!$A$26:$DE$43,AY$3-VLOOKUP($A17,'détails investissements'!$A$71:$B$88,2,FALSE)+1,FALSE)="","",VLOOKUP($A17,'détails investissements'!$A$26:$DE$43,AY$3-VLOOKUP($A17,'détails investissements'!$A$71:$B$88,2,FALSE)+1,FALSE))),'détails investissements'!$U$6:$AB$7,2,FALSE),""),FALSE),"")</f>
        <v/>
      </c>
      <c r="AZ17" s="45" t="str">
        <f>IF(IF(IF(AZ$3-VLOOKUP($A17,'détails investissements'!$A$71:$B$88,2,FALSE)&lt;=0,"",IF(VLOOKUP($A17,'détails investissements'!$A$26:$DE$43,AZ$3-VLOOKUP($A17,'détails investissements'!$A$71:$B$88,2,FALSE)+1,FALSE)="","",VLOOKUP($A17,'détails investissements'!$A$26:$DE$43,AZ$3-VLOOKUP($A17,'détails investissements'!$A$71:$B$88,2,FALSE)+1,FALSE)))&lt;&gt;"",HLOOKUP(IF(AZ$3-VLOOKUP($A17,'détails investissements'!$A$71:$B$88,2,FALSE)&lt;=0,"",IF(VLOOKUP($A17,'détails investissements'!$A$26:$DE$43,AZ$3-VLOOKUP($A17,'détails investissements'!$A$71:$B$88,2,FALSE)+1,FALSE)="","",VLOOKUP($A17,'détails investissements'!$A$26:$DE$43,AZ$3-VLOOKUP($A17,'détails investissements'!$A$71:$B$88,2,FALSE)+1,FALSE))),'détails investissements'!$U$6:$AB$7,2,FALSE),"")&lt;&gt;"",VLOOKUP($A17,'détails investissements'!$A$7:$H$21,1+IF(IF(AZ$3-VLOOKUP($A17,'détails investissements'!$A$71:$B$88,2,FALSE)&lt;=0,"",IF(VLOOKUP($A17,'détails investissements'!$A$26:$DE$43,AZ$3-VLOOKUP($A17,'détails investissements'!$A$71:$B$88,2,FALSE)+1,FALSE)="","",VLOOKUP($A17,'détails investissements'!$A$26:$DE$43,AZ$3-VLOOKUP($A17,'détails investissements'!$A$71:$B$88,2,FALSE)+1,FALSE)))&lt;&gt;"",HLOOKUP(IF(AZ$3-VLOOKUP($A17,'détails investissements'!$A$71:$B$88,2,FALSE)&lt;=0,"",IF(VLOOKUP($A17,'détails investissements'!$A$26:$DE$43,AZ$3-VLOOKUP($A17,'détails investissements'!$A$71:$B$88,2,FALSE)+1,FALSE)="","",VLOOKUP($A17,'détails investissements'!$A$26:$DE$43,AZ$3-VLOOKUP($A17,'détails investissements'!$A$71:$B$88,2,FALSE)+1,FALSE))),'détails investissements'!$U$6:$AB$7,2,FALSE),""),FALSE),"")</f>
        <v/>
      </c>
      <c r="BA17" s="45" t="str">
        <f>IF(IF(IF(BA$3-VLOOKUP($A17,'détails investissements'!$A$71:$B$88,2,FALSE)&lt;=0,"",IF(VLOOKUP($A17,'détails investissements'!$A$26:$DE$43,BA$3-VLOOKUP($A17,'détails investissements'!$A$71:$B$88,2,FALSE)+1,FALSE)="","",VLOOKUP($A17,'détails investissements'!$A$26:$DE$43,BA$3-VLOOKUP($A17,'détails investissements'!$A$71:$B$88,2,FALSE)+1,FALSE)))&lt;&gt;"",HLOOKUP(IF(BA$3-VLOOKUP($A17,'détails investissements'!$A$71:$B$88,2,FALSE)&lt;=0,"",IF(VLOOKUP($A17,'détails investissements'!$A$26:$DE$43,BA$3-VLOOKUP($A17,'détails investissements'!$A$71:$B$88,2,FALSE)+1,FALSE)="","",VLOOKUP($A17,'détails investissements'!$A$26:$DE$43,BA$3-VLOOKUP($A17,'détails investissements'!$A$71:$B$88,2,FALSE)+1,FALSE))),'détails investissements'!$U$6:$AB$7,2,FALSE),"")&lt;&gt;"",VLOOKUP($A17,'détails investissements'!$A$7:$H$21,1+IF(IF(BA$3-VLOOKUP($A17,'détails investissements'!$A$71:$B$88,2,FALSE)&lt;=0,"",IF(VLOOKUP($A17,'détails investissements'!$A$26:$DE$43,BA$3-VLOOKUP($A17,'détails investissements'!$A$71:$B$88,2,FALSE)+1,FALSE)="","",VLOOKUP($A17,'détails investissements'!$A$26:$DE$43,BA$3-VLOOKUP($A17,'détails investissements'!$A$71:$B$88,2,FALSE)+1,FALSE)))&lt;&gt;"",HLOOKUP(IF(BA$3-VLOOKUP($A17,'détails investissements'!$A$71:$B$88,2,FALSE)&lt;=0,"",IF(VLOOKUP($A17,'détails investissements'!$A$26:$DE$43,BA$3-VLOOKUP($A17,'détails investissements'!$A$71:$B$88,2,FALSE)+1,FALSE)="","",VLOOKUP($A17,'détails investissements'!$A$26:$DE$43,BA$3-VLOOKUP($A17,'détails investissements'!$A$71:$B$88,2,FALSE)+1,FALSE))),'détails investissements'!$U$6:$AB$7,2,FALSE),""),FALSE),"")</f>
        <v/>
      </c>
      <c r="BB17" s="45" t="str">
        <f>IF(IF(IF(BB$3-VLOOKUP($A17,'détails investissements'!$A$71:$B$88,2,FALSE)&lt;=0,"",IF(VLOOKUP($A17,'détails investissements'!$A$26:$DE$43,BB$3-VLOOKUP($A17,'détails investissements'!$A$71:$B$88,2,FALSE)+1,FALSE)="","",VLOOKUP($A17,'détails investissements'!$A$26:$DE$43,BB$3-VLOOKUP($A17,'détails investissements'!$A$71:$B$88,2,FALSE)+1,FALSE)))&lt;&gt;"",HLOOKUP(IF(BB$3-VLOOKUP($A17,'détails investissements'!$A$71:$B$88,2,FALSE)&lt;=0,"",IF(VLOOKUP($A17,'détails investissements'!$A$26:$DE$43,BB$3-VLOOKUP($A17,'détails investissements'!$A$71:$B$88,2,FALSE)+1,FALSE)="","",VLOOKUP($A17,'détails investissements'!$A$26:$DE$43,BB$3-VLOOKUP($A17,'détails investissements'!$A$71:$B$88,2,FALSE)+1,FALSE))),'détails investissements'!$U$6:$AB$7,2,FALSE),"")&lt;&gt;"",VLOOKUP($A17,'détails investissements'!$A$7:$H$21,1+IF(IF(BB$3-VLOOKUP($A17,'détails investissements'!$A$71:$B$88,2,FALSE)&lt;=0,"",IF(VLOOKUP($A17,'détails investissements'!$A$26:$DE$43,BB$3-VLOOKUP($A17,'détails investissements'!$A$71:$B$88,2,FALSE)+1,FALSE)="","",VLOOKUP($A17,'détails investissements'!$A$26:$DE$43,BB$3-VLOOKUP($A17,'détails investissements'!$A$71:$B$88,2,FALSE)+1,FALSE)))&lt;&gt;"",HLOOKUP(IF(BB$3-VLOOKUP($A17,'détails investissements'!$A$71:$B$88,2,FALSE)&lt;=0,"",IF(VLOOKUP($A17,'détails investissements'!$A$26:$DE$43,BB$3-VLOOKUP($A17,'détails investissements'!$A$71:$B$88,2,FALSE)+1,FALSE)="","",VLOOKUP($A17,'détails investissements'!$A$26:$DE$43,BB$3-VLOOKUP($A17,'détails investissements'!$A$71:$B$88,2,FALSE)+1,FALSE))),'détails investissements'!$U$6:$AB$7,2,FALSE),""),FALSE),"")</f>
        <v/>
      </c>
      <c r="BC17" s="45" t="str">
        <f>IF(IF(IF(BC$3-VLOOKUP($A17,'détails investissements'!$A$71:$B$88,2,FALSE)&lt;=0,"",IF(VLOOKUP($A17,'détails investissements'!$A$26:$DE$43,BC$3-VLOOKUP($A17,'détails investissements'!$A$71:$B$88,2,FALSE)+1,FALSE)="","",VLOOKUP($A17,'détails investissements'!$A$26:$DE$43,BC$3-VLOOKUP($A17,'détails investissements'!$A$71:$B$88,2,FALSE)+1,FALSE)))&lt;&gt;"",HLOOKUP(IF(BC$3-VLOOKUP($A17,'détails investissements'!$A$71:$B$88,2,FALSE)&lt;=0,"",IF(VLOOKUP($A17,'détails investissements'!$A$26:$DE$43,BC$3-VLOOKUP($A17,'détails investissements'!$A$71:$B$88,2,FALSE)+1,FALSE)="","",VLOOKUP($A17,'détails investissements'!$A$26:$DE$43,BC$3-VLOOKUP($A17,'détails investissements'!$A$71:$B$88,2,FALSE)+1,FALSE))),'détails investissements'!$U$6:$AB$7,2,FALSE),"")&lt;&gt;"",VLOOKUP($A17,'détails investissements'!$A$7:$H$21,1+IF(IF(BC$3-VLOOKUP($A17,'détails investissements'!$A$71:$B$88,2,FALSE)&lt;=0,"",IF(VLOOKUP($A17,'détails investissements'!$A$26:$DE$43,BC$3-VLOOKUP($A17,'détails investissements'!$A$71:$B$88,2,FALSE)+1,FALSE)="","",VLOOKUP($A17,'détails investissements'!$A$26:$DE$43,BC$3-VLOOKUP($A17,'détails investissements'!$A$71:$B$88,2,FALSE)+1,FALSE)))&lt;&gt;"",HLOOKUP(IF(BC$3-VLOOKUP($A17,'détails investissements'!$A$71:$B$88,2,FALSE)&lt;=0,"",IF(VLOOKUP($A17,'détails investissements'!$A$26:$DE$43,BC$3-VLOOKUP($A17,'détails investissements'!$A$71:$B$88,2,FALSE)+1,FALSE)="","",VLOOKUP($A17,'détails investissements'!$A$26:$DE$43,BC$3-VLOOKUP($A17,'détails investissements'!$A$71:$B$88,2,FALSE)+1,FALSE))),'détails investissements'!$U$6:$AB$7,2,FALSE),""),FALSE),"")</f>
        <v/>
      </c>
      <c r="BD17" s="45" t="str">
        <f>IF(IF(IF(BD$3-VLOOKUP($A17,'détails investissements'!$A$71:$B$88,2,FALSE)&lt;=0,"",IF(VLOOKUP($A17,'détails investissements'!$A$26:$DE$43,BD$3-VLOOKUP($A17,'détails investissements'!$A$71:$B$88,2,FALSE)+1,FALSE)="","",VLOOKUP($A17,'détails investissements'!$A$26:$DE$43,BD$3-VLOOKUP($A17,'détails investissements'!$A$71:$B$88,2,FALSE)+1,FALSE)))&lt;&gt;"",HLOOKUP(IF(BD$3-VLOOKUP($A17,'détails investissements'!$A$71:$B$88,2,FALSE)&lt;=0,"",IF(VLOOKUP($A17,'détails investissements'!$A$26:$DE$43,BD$3-VLOOKUP($A17,'détails investissements'!$A$71:$B$88,2,FALSE)+1,FALSE)="","",VLOOKUP($A17,'détails investissements'!$A$26:$DE$43,BD$3-VLOOKUP($A17,'détails investissements'!$A$71:$B$88,2,FALSE)+1,FALSE))),'détails investissements'!$U$6:$AB$7,2,FALSE),"")&lt;&gt;"",VLOOKUP($A17,'détails investissements'!$A$7:$H$21,1+IF(IF(BD$3-VLOOKUP($A17,'détails investissements'!$A$71:$B$88,2,FALSE)&lt;=0,"",IF(VLOOKUP($A17,'détails investissements'!$A$26:$DE$43,BD$3-VLOOKUP($A17,'détails investissements'!$A$71:$B$88,2,FALSE)+1,FALSE)="","",VLOOKUP($A17,'détails investissements'!$A$26:$DE$43,BD$3-VLOOKUP($A17,'détails investissements'!$A$71:$B$88,2,FALSE)+1,FALSE)))&lt;&gt;"",HLOOKUP(IF(BD$3-VLOOKUP($A17,'détails investissements'!$A$71:$B$88,2,FALSE)&lt;=0,"",IF(VLOOKUP($A17,'détails investissements'!$A$26:$DE$43,BD$3-VLOOKUP($A17,'détails investissements'!$A$71:$B$88,2,FALSE)+1,FALSE)="","",VLOOKUP($A17,'détails investissements'!$A$26:$DE$43,BD$3-VLOOKUP($A17,'détails investissements'!$A$71:$B$88,2,FALSE)+1,FALSE))),'détails investissements'!$U$6:$AB$7,2,FALSE),""),FALSE),"")</f>
        <v/>
      </c>
      <c r="BE17" s="45" t="str">
        <f>IF(IF(IF(BE$3-VLOOKUP($A17,'détails investissements'!$A$71:$B$88,2,FALSE)&lt;=0,"",IF(VLOOKUP($A17,'détails investissements'!$A$26:$DE$43,BE$3-VLOOKUP($A17,'détails investissements'!$A$71:$B$88,2,FALSE)+1,FALSE)="","",VLOOKUP($A17,'détails investissements'!$A$26:$DE$43,BE$3-VLOOKUP($A17,'détails investissements'!$A$71:$B$88,2,FALSE)+1,FALSE)))&lt;&gt;"",HLOOKUP(IF(BE$3-VLOOKUP($A17,'détails investissements'!$A$71:$B$88,2,FALSE)&lt;=0,"",IF(VLOOKUP($A17,'détails investissements'!$A$26:$DE$43,BE$3-VLOOKUP($A17,'détails investissements'!$A$71:$B$88,2,FALSE)+1,FALSE)="","",VLOOKUP($A17,'détails investissements'!$A$26:$DE$43,BE$3-VLOOKUP($A17,'détails investissements'!$A$71:$B$88,2,FALSE)+1,FALSE))),'détails investissements'!$U$6:$AB$7,2,FALSE),"")&lt;&gt;"",VLOOKUP($A17,'détails investissements'!$A$7:$H$21,1+IF(IF(BE$3-VLOOKUP($A17,'détails investissements'!$A$71:$B$88,2,FALSE)&lt;=0,"",IF(VLOOKUP($A17,'détails investissements'!$A$26:$DE$43,BE$3-VLOOKUP($A17,'détails investissements'!$A$71:$B$88,2,FALSE)+1,FALSE)="","",VLOOKUP($A17,'détails investissements'!$A$26:$DE$43,BE$3-VLOOKUP($A17,'détails investissements'!$A$71:$B$88,2,FALSE)+1,FALSE)))&lt;&gt;"",HLOOKUP(IF(BE$3-VLOOKUP($A17,'détails investissements'!$A$71:$B$88,2,FALSE)&lt;=0,"",IF(VLOOKUP($A17,'détails investissements'!$A$26:$DE$43,BE$3-VLOOKUP($A17,'détails investissements'!$A$71:$B$88,2,FALSE)+1,FALSE)="","",VLOOKUP($A17,'détails investissements'!$A$26:$DE$43,BE$3-VLOOKUP($A17,'détails investissements'!$A$71:$B$88,2,FALSE)+1,FALSE))),'détails investissements'!$U$6:$AB$7,2,FALSE),""),FALSE),"")</f>
        <v/>
      </c>
      <c r="BF17" s="45" t="str">
        <f>IF(IF(IF(BF$3-VLOOKUP($A17,'détails investissements'!$A$71:$B$88,2,FALSE)&lt;=0,"",IF(VLOOKUP($A17,'détails investissements'!$A$26:$DE$43,BF$3-VLOOKUP($A17,'détails investissements'!$A$71:$B$88,2,FALSE)+1,FALSE)="","",VLOOKUP($A17,'détails investissements'!$A$26:$DE$43,BF$3-VLOOKUP($A17,'détails investissements'!$A$71:$B$88,2,FALSE)+1,FALSE)))&lt;&gt;"",HLOOKUP(IF(BF$3-VLOOKUP($A17,'détails investissements'!$A$71:$B$88,2,FALSE)&lt;=0,"",IF(VLOOKUP($A17,'détails investissements'!$A$26:$DE$43,BF$3-VLOOKUP($A17,'détails investissements'!$A$71:$B$88,2,FALSE)+1,FALSE)="","",VLOOKUP($A17,'détails investissements'!$A$26:$DE$43,BF$3-VLOOKUP($A17,'détails investissements'!$A$71:$B$88,2,FALSE)+1,FALSE))),'détails investissements'!$U$6:$AB$7,2,FALSE),"")&lt;&gt;"",VLOOKUP($A17,'détails investissements'!$A$7:$H$21,1+IF(IF(BF$3-VLOOKUP($A17,'détails investissements'!$A$71:$B$88,2,FALSE)&lt;=0,"",IF(VLOOKUP($A17,'détails investissements'!$A$26:$DE$43,BF$3-VLOOKUP($A17,'détails investissements'!$A$71:$B$88,2,FALSE)+1,FALSE)="","",VLOOKUP($A17,'détails investissements'!$A$26:$DE$43,BF$3-VLOOKUP($A17,'détails investissements'!$A$71:$B$88,2,FALSE)+1,FALSE)))&lt;&gt;"",HLOOKUP(IF(BF$3-VLOOKUP($A17,'détails investissements'!$A$71:$B$88,2,FALSE)&lt;=0,"",IF(VLOOKUP($A17,'détails investissements'!$A$26:$DE$43,BF$3-VLOOKUP($A17,'détails investissements'!$A$71:$B$88,2,FALSE)+1,FALSE)="","",VLOOKUP($A17,'détails investissements'!$A$26:$DE$43,BF$3-VLOOKUP($A17,'détails investissements'!$A$71:$B$88,2,FALSE)+1,FALSE))),'détails investissements'!$U$6:$AB$7,2,FALSE),""),FALSE),"")</f>
        <v/>
      </c>
      <c r="BG17" s="45" t="str">
        <f>IF(IF(IF(BG$3-VLOOKUP($A17,'détails investissements'!$A$71:$B$88,2,FALSE)&lt;=0,"",IF(VLOOKUP($A17,'détails investissements'!$A$26:$DE$43,BG$3-VLOOKUP($A17,'détails investissements'!$A$71:$B$88,2,FALSE)+1,FALSE)="","",VLOOKUP($A17,'détails investissements'!$A$26:$DE$43,BG$3-VLOOKUP($A17,'détails investissements'!$A$71:$B$88,2,FALSE)+1,FALSE)))&lt;&gt;"",HLOOKUP(IF(BG$3-VLOOKUP($A17,'détails investissements'!$A$71:$B$88,2,FALSE)&lt;=0,"",IF(VLOOKUP($A17,'détails investissements'!$A$26:$DE$43,BG$3-VLOOKUP($A17,'détails investissements'!$A$71:$B$88,2,FALSE)+1,FALSE)="","",VLOOKUP($A17,'détails investissements'!$A$26:$DE$43,BG$3-VLOOKUP($A17,'détails investissements'!$A$71:$B$88,2,FALSE)+1,FALSE))),'détails investissements'!$U$6:$AB$7,2,FALSE),"")&lt;&gt;"",VLOOKUP($A17,'détails investissements'!$A$7:$H$21,1+IF(IF(BG$3-VLOOKUP($A17,'détails investissements'!$A$71:$B$88,2,FALSE)&lt;=0,"",IF(VLOOKUP($A17,'détails investissements'!$A$26:$DE$43,BG$3-VLOOKUP($A17,'détails investissements'!$A$71:$B$88,2,FALSE)+1,FALSE)="","",VLOOKUP($A17,'détails investissements'!$A$26:$DE$43,BG$3-VLOOKUP($A17,'détails investissements'!$A$71:$B$88,2,FALSE)+1,FALSE)))&lt;&gt;"",HLOOKUP(IF(BG$3-VLOOKUP($A17,'détails investissements'!$A$71:$B$88,2,FALSE)&lt;=0,"",IF(VLOOKUP($A17,'détails investissements'!$A$26:$DE$43,BG$3-VLOOKUP($A17,'détails investissements'!$A$71:$B$88,2,FALSE)+1,FALSE)="","",VLOOKUP($A17,'détails investissements'!$A$26:$DE$43,BG$3-VLOOKUP($A17,'détails investissements'!$A$71:$B$88,2,FALSE)+1,FALSE))),'détails investissements'!$U$6:$AB$7,2,FALSE),""),FALSE),"")</f>
        <v/>
      </c>
      <c r="BH17" s="45" t="str">
        <f>IF(IF(IF(BH$3-VLOOKUP($A17,'détails investissements'!$A$71:$B$88,2,FALSE)&lt;=0,"",IF(VLOOKUP($A17,'détails investissements'!$A$26:$DE$43,BH$3-VLOOKUP($A17,'détails investissements'!$A$71:$B$88,2,FALSE)+1,FALSE)="","",VLOOKUP($A17,'détails investissements'!$A$26:$DE$43,BH$3-VLOOKUP($A17,'détails investissements'!$A$71:$B$88,2,FALSE)+1,FALSE)))&lt;&gt;"",HLOOKUP(IF(BH$3-VLOOKUP($A17,'détails investissements'!$A$71:$B$88,2,FALSE)&lt;=0,"",IF(VLOOKUP($A17,'détails investissements'!$A$26:$DE$43,BH$3-VLOOKUP($A17,'détails investissements'!$A$71:$B$88,2,FALSE)+1,FALSE)="","",VLOOKUP($A17,'détails investissements'!$A$26:$DE$43,BH$3-VLOOKUP($A17,'détails investissements'!$A$71:$B$88,2,FALSE)+1,FALSE))),'détails investissements'!$U$6:$AB$7,2,FALSE),"")&lt;&gt;"",VLOOKUP($A17,'détails investissements'!$A$7:$H$21,1+IF(IF(BH$3-VLOOKUP($A17,'détails investissements'!$A$71:$B$88,2,FALSE)&lt;=0,"",IF(VLOOKUP($A17,'détails investissements'!$A$26:$DE$43,BH$3-VLOOKUP($A17,'détails investissements'!$A$71:$B$88,2,FALSE)+1,FALSE)="","",VLOOKUP($A17,'détails investissements'!$A$26:$DE$43,BH$3-VLOOKUP($A17,'détails investissements'!$A$71:$B$88,2,FALSE)+1,FALSE)))&lt;&gt;"",HLOOKUP(IF(BH$3-VLOOKUP($A17,'détails investissements'!$A$71:$B$88,2,FALSE)&lt;=0,"",IF(VLOOKUP($A17,'détails investissements'!$A$26:$DE$43,BH$3-VLOOKUP($A17,'détails investissements'!$A$71:$B$88,2,FALSE)+1,FALSE)="","",VLOOKUP($A17,'détails investissements'!$A$26:$DE$43,BH$3-VLOOKUP($A17,'détails investissements'!$A$71:$B$88,2,FALSE)+1,FALSE))),'détails investissements'!$U$6:$AB$7,2,FALSE),""),FALSE),"")</f>
        <v/>
      </c>
      <c r="BI17" s="45" t="str">
        <f>IF(IF(IF(BI$3-VLOOKUP($A17,'détails investissements'!$A$71:$B$88,2,FALSE)&lt;=0,"",IF(VLOOKUP($A17,'détails investissements'!$A$26:$DE$43,BI$3-VLOOKUP($A17,'détails investissements'!$A$71:$B$88,2,FALSE)+1,FALSE)="","",VLOOKUP($A17,'détails investissements'!$A$26:$DE$43,BI$3-VLOOKUP($A17,'détails investissements'!$A$71:$B$88,2,FALSE)+1,FALSE)))&lt;&gt;"",HLOOKUP(IF(BI$3-VLOOKUP($A17,'détails investissements'!$A$71:$B$88,2,FALSE)&lt;=0,"",IF(VLOOKUP($A17,'détails investissements'!$A$26:$DE$43,BI$3-VLOOKUP($A17,'détails investissements'!$A$71:$B$88,2,FALSE)+1,FALSE)="","",VLOOKUP($A17,'détails investissements'!$A$26:$DE$43,BI$3-VLOOKUP($A17,'détails investissements'!$A$71:$B$88,2,FALSE)+1,FALSE))),'détails investissements'!$U$6:$AB$7,2,FALSE),"")&lt;&gt;"",VLOOKUP($A17,'détails investissements'!$A$7:$H$21,1+IF(IF(BI$3-VLOOKUP($A17,'détails investissements'!$A$71:$B$88,2,FALSE)&lt;=0,"",IF(VLOOKUP($A17,'détails investissements'!$A$26:$DE$43,BI$3-VLOOKUP($A17,'détails investissements'!$A$71:$B$88,2,FALSE)+1,FALSE)="","",VLOOKUP($A17,'détails investissements'!$A$26:$DE$43,BI$3-VLOOKUP($A17,'détails investissements'!$A$71:$B$88,2,FALSE)+1,FALSE)))&lt;&gt;"",HLOOKUP(IF(BI$3-VLOOKUP($A17,'détails investissements'!$A$71:$B$88,2,FALSE)&lt;=0,"",IF(VLOOKUP($A17,'détails investissements'!$A$26:$DE$43,BI$3-VLOOKUP($A17,'détails investissements'!$A$71:$B$88,2,FALSE)+1,FALSE)="","",VLOOKUP($A17,'détails investissements'!$A$26:$DE$43,BI$3-VLOOKUP($A17,'détails investissements'!$A$71:$B$88,2,FALSE)+1,FALSE))),'détails investissements'!$U$6:$AB$7,2,FALSE),""),FALSE),"")</f>
        <v/>
      </c>
      <c r="BJ17" s="45" t="str">
        <f>IF(IF(IF(BJ$3-VLOOKUP($A17,'détails investissements'!$A$71:$B$88,2,FALSE)&lt;=0,"",IF(VLOOKUP($A17,'détails investissements'!$A$26:$DE$43,BJ$3-VLOOKUP($A17,'détails investissements'!$A$71:$B$88,2,FALSE)+1,FALSE)="","",VLOOKUP($A17,'détails investissements'!$A$26:$DE$43,BJ$3-VLOOKUP($A17,'détails investissements'!$A$71:$B$88,2,FALSE)+1,FALSE)))&lt;&gt;"",HLOOKUP(IF(BJ$3-VLOOKUP($A17,'détails investissements'!$A$71:$B$88,2,FALSE)&lt;=0,"",IF(VLOOKUP($A17,'détails investissements'!$A$26:$DE$43,BJ$3-VLOOKUP($A17,'détails investissements'!$A$71:$B$88,2,FALSE)+1,FALSE)="","",VLOOKUP($A17,'détails investissements'!$A$26:$DE$43,BJ$3-VLOOKUP($A17,'détails investissements'!$A$71:$B$88,2,FALSE)+1,FALSE))),'détails investissements'!$U$6:$AB$7,2,FALSE),"")&lt;&gt;"",VLOOKUP($A17,'détails investissements'!$A$7:$H$21,1+IF(IF(BJ$3-VLOOKUP($A17,'détails investissements'!$A$71:$B$88,2,FALSE)&lt;=0,"",IF(VLOOKUP($A17,'détails investissements'!$A$26:$DE$43,BJ$3-VLOOKUP($A17,'détails investissements'!$A$71:$B$88,2,FALSE)+1,FALSE)="","",VLOOKUP($A17,'détails investissements'!$A$26:$DE$43,BJ$3-VLOOKUP($A17,'détails investissements'!$A$71:$B$88,2,FALSE)+1,FALSE)))&lt;&gt;"",HLOOKUP(IF(BJ$3-VLOOKUP($A17,'détails investissements'!$A$71:$B$88,2,FALSE)&lt;=0,"",IF(VLOOKUP($A17,'détails investissements'!$A$26:$DE$43,BJ$3-VLOOKUP($A17,'détails investissements'!$A$71:$B$88,2,FALSE)+1,FALSE)="","",VLOOKUP($A17,'détails investissements'!$A$26:$DE$43,BJ$3-VLOOKUP($A17,'détails investissements'!$A$71:$B$88,2,FALSE)+1,FALSE))),'détails investissements'!$U$6:$AB$7,2,FALSE),""),FALSE),"")</f>
        <v/>
      </c>
      <c r="BK17" s="45" t="str">
        <f>IF(IF(IF(BK$3-VLOOKUP($A17,'détails investissements'!$A$71:$B$88,2,FALSE)&lt;=0,"",IF(VLOOKUP($A17,'détails investissements'!$A$26:$DE$43,BK$3-VLOOKUP($A17,'détails investissements'!$A$71:$B$88,2,FALSE)+1,FALSE)="","",VLOOKUP($A17,'détails investissements'!$A$26:$DE$43,BK$3-VLOOKUP($A17,'détails investissements'!$A$71:$B$88,2,FALSE)+1,FALSE)))&lt;&gt;"",HLOOKUP(IF(BK$3-VLOOKUP($A17,'détails investissements'!$A$71:$B$88,2,FALSE)&lt;=0,"",IF(VLOOKUP($A17,'détails investissements'!$A$26:$DE$43,BK$3-VLOOKUP($A17,'détails investissements'!$A$71:$B$88,2,FALSE)+1,FALSE)="","",VLOOKUP($A17,'détails investissements'!$A$26:$DE$43,BK$3-VLOOKUP($A17,'détails investissements'!$A$71:$B$88,2,FALSE)+1,FALSE))),'détails investissements'!$U$6:$AB$7,2,FALSE),"")&lt;&gt;"",VLOOKUP($A17,'détails investissements'!$A$7:$H$21,1+IF(IF(BK$3-VLOOKUP($A17,'détails investissements'!$A$71:$B$88,2,FALSE)&lt;=0,"",IF(VLOOKUP($A17,'détails investissements'!$A$26:$DE$43,BK$3-VLOOKUP($A17,'détails investissements'!$A$71:$B$88,2,FALSE)+1,FALSE)="","",VLOOKUP($A17,'détails investissements'!$A$26:$DE$43,BK$3-VLOOKUP($A17,'détails investissements'!$A$71:$B$88,2,FALSE)+1,FALSE)))&lt;&gt;"",HLOOKUP(IF(BK$3-VLOOKUP($A17,'détails investissements'!$A$71:$B$88,2,FALSE)&lt;=0,"",IF(VLOOKUP($A17,'détails investissements'!$A$26:$DE$43,BK$3-VLOOKUP($A17,'détails investissements'!$A$71:$B$88,2,FALSE)+1,FALSE)="","",VLOOKUP($A17,'détails investissements'!$A$26:$DE$43,BK$3-VLOOKUP($A17,'détails investissements'!$A$71:$B$88,2,FALSE)+1,FALSE))),'détails investissements'!$U$6:$AB$7,2,FALSE),""),FALSE),"")</f>
        <v/>
      </c>
      <c r="BL17" s="45" t="str">
        <f>IF(IF(IF(BL$3-VLOOKUP($A17,'détails investissements'!$A$71:$B$88,2,FALSE)&lt;=0,"",IF(VLOOKUP($A17,'détails investissements'!$A$26:$DE$43,BL$3-VLOOKUP($A17,'détails investissements'!$A$71:$B$88,2,FALSE)+1,FALSE)="","",VLOOKUP($A17,'détails investissements'!$A$26:$DE$43,BL$3-VLOOKUP($A17,'détails investissements'!$A$71:$B$88,2,FALSE)+1,FALSE)))&lt;&gt;"",HLOOKUP(IF(BL$3-VLOOKUP($A17,'détails investissements'!$A$71:$B$88,2,FALSE)&lt;=0,"",IF(VLOOKUP($A17,'détails investissements'!$A$26:$DE$43,BL$3-VLOOKUP($A17,'détails investissements'!$A$71:$B$88,2,FALSE)+1,FALSE)="","",VLOOKUP($A17,'détails investissements'!$A$26:$DE$43,BL$3-VLOOKUP($A17,'détails investissements'!$A$71:$B$88,2,FALSE)+1,FALSE))),'détails investissements'!$U$6:$AB$7,2,FALSE),"")&lt;&gt;"",VLOOKUP($A17,'détails investissements'!$A$7:$H$21,1+IF(IF(BL$3-VLOOKUP($A17,'détails investissements'!$A$71:$B$88,2,FALSE)&lt;=0,"",IF(VLOOKUP($A17,'détails investissements'!$A$26:$DE$43,BL$3-VLOOKUP($A17,'détails investissements'!$A$71:$B$88,2,FALSE)+1,FALSE)="","",VLOOKUP($A17,'détails investissements'!$A$26:$DE$43,BL$3-VLOOKUP($A17,'détails investissements'!$A$71:$B$88,2,FALSE)+1,FALSE)))&lt;&gt;"",HLOOKUP(IF(BL$3-VLOOKUP($A17,'détails investissements'!$A$71:$B$88,2,FALSE)&lt;=0,"",IF(VLOOKUP($A17,'détails investissements'!$A$26:$DE$43,BL$3-VLOOKUP($A17,'détails investissements'!$A$71:$B$88,2,FALSE)+1,FALSE)="","",VLOOKUP($A17,'détails investissements'!$A$26:$DE$43,BL$3-VLOOKUP($A17,'détails investissements'!$A$71:$B$88,2,FALSE)+1,FALSE))),'détails investissements'!$U$6:$AB$7,2,FALSE),""),FALSE),"")</f>
        <v/>
      </c>
      <c r="BM17" s="45" t="str">
        <f>IF(IF(IF(BM$3-VLOOKUP($A17,'détails investissements'!$A$71:$B$88,2,FALSE)&lt;=0,"",IF(VLOOKUP($A17,'détails investissements'!$A$26:$DE$43,BM$3-VLOOKUP($A17,'détails investissements'!$A$71:$B$88,2,FALSE)+1,FALSE)="","",VLOOKUP($A17,'détails investissements'!$A$26:$DE$43,BM$3-VLOOKUP($A17,'détails investissements'!$A$71:$B$88,2,FALSE)+1,FALSE)))&lt;&gt;"",HLOOKUP(IF(BM$3-VLOOKUP($A17,'détails investissements'!$A$71:$B$88,2,FALSE)&lt;=0,"",IF(VLOOKUP($A17,'détails investissements'!$A$26:$DE$43,BM$3-VLOOKUP($A17,'détails investissements'!$A$71:$B$88,2,FALSE)+1,FALSE)="","",VLOOKUP($A17,'détails investissements'!$A$26:$DE$43,BM$3-VLOOKUP($A17,'détails investissements'!$A$71:$B$88,2,FALSE)+1,FALSE))),'détails investissements'!$U$6:$AB$7,2,FALSE),"")&lt;&gt;"",VLOOKUP($A17,'détails investissements'!$A$7:$H$21,1+IF(IF(BM$3-VLOOKUP($A17,'détails investissements'!$A$71:$B$88,2,FALSE)&lt;=0,"",IF(VLOOKUP($A17,'détails investissements'!$A$26:$DE$43,BM$3-VLOOKUP($A17,'détails investissements'!$A$71:$B$88,2,FALSE)+1,FALSE)="","",VLOOKUP($A17,'détails investissements'!$A$26:$DE$43,BM$3-VLOOKUP($A17,'détails investissements'!$A$71:$B$88,2,FALSE)+1,FALSE)))&lt;&gt;"",HLOOKUP(IF(BM$3-VLOOKUP($A17,'détails investissements'!$A$71:$B$88,2,FALSE)&lt;=0,"",IF(VLOOKUP($A17,'détails investissements'!$A$26:$DE$43,BM$3-VLOOKUP($A17,'détails investissements'!$A$71:$B$88,2,FALSE)+1,FALSE)="","",VLOOKUP($A17,'détails investissements'!$A$26:$DE$43,BM$3-VLOOKUP($A17,'détails investissements'!$A$71:$B$88,2,FALSE)+1,FALSE))),'détails investissements'!$U$6:$AB$7,2,FALSE),""),FALSE),"")</f>
        <v/>
      </c>
      <c r="BN17" s="45" t="str">
        <f>IF(IF(IF(BN$3-VLOOKUP($A17,'détails investissements'!$A$71:$B$88,2,FALSE)&lt;=0,"",IF(VLOOKUP($A17,'détails investissements'!$A$26:$DE$43,BN$3-VLOOKUP($A17,'détails investissements'!$A$71:$B$88,2,FALSE)+1,FALSE)="","",VLOOKUP($A17,'détails investissements'!$A$26:$DE$43,BN$3-VLOOKUP($A17,'détails investissements'!$A$71:$B$88,2,FALSE)+1,FALSE)))&lt;&gt;"",HLOOKUP(IF(BN$3-VLOOKUP($A17,'détails investissements'!$A$71:$B$88,2,FALSE)&lt;=0,"",IF(VLOOKUP($A17,'détails investissements'!$A$26:$DE$43,BN$3-VLOOKUP($A17,'détails investissements'!$A$71:$B$88,2,FALSE)+1,FALSE)="","",VLOOKUP($A17,'détails investissements'!$A$26:$DE$43,BN$3-VLOOKUP($A17,'détails investissements'!$A$71:$B$88,2,FALSE)+1,FALSE))),'détails investissements'!$U$6:$AB$7,2,FALSE),"")&lt;&gt;"",VLOOKUP($A17,'détails investissements'!$A$7:$H$21,1+IF(IF(BN$3-VLOOKUP($A17,'détails investissements'!$A$71:$B$88,2,FALSE)&lt;=0,"",IF(VLOOKUP($A17,'détails investissements'!$A$26:$DE$43,BN$3-VLOOKUP($A17,'détails investissements'!$A$71:$B$88,2,FALSE)+1,FALSE)="","",VLOOKUP($A17,'détails investissements'!$A$26:$DE$43,BN$3-VLOOKUP($A17,'détails investissements'!$A$71:$B$88,2,FALSE)+1,FALSE)))&lt;&gt;"",HLOOKUP(IF(BN$3-VLOOKUP($A17,'détails investissements'!$A$71:$B$88,2,FALSE)&lt;=0,"",IF(VLOOKUP($A17,'détails investissements'!$A$26:$DE$43,BN$3-VLOOKUP($A17,'détails investissements'!$A$71:$B$88,2,FALSE)+1,FALSE)="","",VLOOKUP($A17,'détails investissements'!$A$26:$DE$43,BN$3-VLOOKUP($A17,'détails investissements'!$A$71:$B$88,2,FALSE)+1,FALSE))),'détails investissements'!$U$6:$AB$7,2,FALSE),""),FALSE),"")</f>
        <v/>
      </c>
      <c r="BO17" s="45" t="str">
        <f>IF(IF(IF(BO$3-VLOOKUP($A17,'détails investissements'!$A$71:$B$88,2,FALSE)&lt;=0,"",IF(VLOOKUP($A17,'détails investissements'!$A$26:$DE$43,BO$3-VLOOKUP($A17,'détails investissements'!$A$71:$B$88,2,FALSE)+1,FALSE)="","",VLOOKUP($A17,'détails investissements'!$A$26:$DE$43,BO$3-VLOOKUP($A17,'détails investissements'!$A$71:$B$88,2,FALSE)+1,FALSE)))&lt;&gt;"",HLOOKUP(IF(BO$3-VLOOKUP($A17,'détails investissements'!$A$71:$B$88,2,FALSE)&lt;=0,"",IF(VLOOKUP($A17,'détails investissements'!$A$26:$DE$43,BO$3-VLOOKUP($A17,'détails investissements'!$A$71:$B$88,2,FALSE)+1,FALSE)="","",VLOOKUP($A17,'détails investissements'!$A$26:$DE$43,BO$3-VLOOKUP($A17,'détails investissements'!$A$71:$B$88,2,FALSE)+1,FALSE))),'détails investissements'!$U$6:$AB$7,2,FALSE),"")&lt;&gt;"",VLOOKUP($A17,'détails investissements'!$A$7:$H$21,1+IF(IF(BO$3-VLOOKUP($A17,'détails investissements'!$A$71:$B$88,2,FALSE)&lt;=0,"",IF(VLOOKUP($A17,'détails investissements'!$A$26:$DE$43,BO$3-VLOOKUP($A17,'détails investissements'!$A$71:$B$88,2,FALSE)+1,FALSE)="","",VLOOKUP($A17,'détails investissements'!$A$26:$DE$43,BO$3-VLOOKUP($A17,'détails investissements'!$A$71:$B$88,2,FALSE)+1,FALSE)))&lt;&gt;"",HLOOKUP(IF(BO$3-VLOOKUP($A17,'détails investissements'!$A$71:$B$88,2,FALSE)&lt;=0,"",IF(VLOOKUP($A17,'détails investissements'!$A$26:$DE$43,BO$3-VLOOKUP($A17,'détails investissements'!$A$71:$B$88,2,FALSE)+1,FALSE)="","",VLOOKUP($A17,'détails investissements'!$A$26:$DE$43,BO$3-VLOOKUP($A17,'détails investissements'!$A$71:$B$88,2,FALSE)+1,FALSE))),'détails investissements'!$U$6:$AB$7,2,FALSE),""),FALSE),"")</f>
        <v/>
      </c>
      <c r="BP17" s="45" t="str">
        <f>IF(IF(IF(BP$3-VLOOKUP($A17,'détails investissements'!$A$71:$B$88,2,FALSE)&lt;=0,"",IF(VLOOKUP($A17,'détails investissements'!$A$26:$DE$43,BP$3-VLOOKUP($A17,'détails investissements'!$A$71:$B$88,2,FALSE)+1,FALSE)="","",VLOOKUP($A17,'détails investissements'!$A$26:$DE$43,BP$3-VLOOKUP($A17,'détails investissements'!$A$71:$B$88,2,FALSE)+1,FALSE)))&lt;&gt;"",HLOOKUP(IF(BP$3-VLOOKUP($A17,'détails investissements'!$A$71:$B$88,2,FALSE)&lt;=0,"",IF(VLOOKUP($A17,'détails investissements'!$A$26:$DE$43,BP$3-VLOOKUP($A17,'détails investissements'!$A$71:$B$88,2,FALSE)+1,FALSE)="","",VLOOKUP($A17,'détails investissements'!$A$26:$DE$43,BP$3-VLOOKUP($A17,'détails investissements'!$A$71:$B$88,2,FALSE)+1,FALSE))),'détails investissements'!$U$6:$AB$7,2,FALSE),"")&lt;&gt;"",VLOOKUP($A17,'détails investissements'!$A$7:$H$21,1+IF(IF(BP$3-VLOOKUP($A17,'détails investissements'!$A$71:$B$88,2,FALSE)&lt;=0,"",IF(VLOOKUP($A17,'détails investissements'!$A$26:$DE$43,BP$3-VLOOKUP($A17,'détails investissements'!$A$71:$B$88,2,FALSE)+1,FALSE)="","",VLOOKUP($A17,'détails investissements'!$A$26:$DE$43,BP$3-VLOOKUP($A17,'détails investissements'!$A$71:$B$88,2,FALSE)+1,FALSE)))&lt;&gt;"",HLOOKUP(IF(BP$3-VLOOKUP($A17,'détails investissements'!$A$71:$B$88,2,FALSE)&lt;=0,"",IF(VLOOKUP($A17,'détails investissements'!$A$26:$DE$43,BP$3-VLOOKUP($A17,'détails investissements'!$A$71:$B$88,2,FALSE)+1,FALSE)="","",VLOOKUP($A17,'détails investissements'!$A$26:$DE$43,BP$3-VLOOKUP($A17,'détails investissements'!$A$71:$B$88,2,FALSE)+1,FALSE))),'détails investissements'!$U$6:$AB$7,2,FALSE),""),FALSE),"")</f>
        <v/>
      </c>
      <c r="BQ17" s="45" t="str">
        <f>IF(IF(IF(BQ$3-VLOOKUP($A17,'détails investissements'!$A$71:$B$88,2,FALSE)&lt;=0,"",IF(VLOOKUP($A17,'détails investissements'!$A$26:$DE$43,BQ$3-VLOOKUP($A17,'détails investissements'!$A$71:$B$88,2,FALSE)+1,FALSE)="","",VLOOKUP($A17,'détails investissements'!$A$26:$DE$43,BQ$3-VLOOKUP($A17,'détails investissements'!$A$71:$B$88,2,FALSE)+1,FALSE)))&lt;&gt;"",HLOOKUP(IF(BQ$3-VLOOKUP($A17,'détails investissements'!$A$71:$B$88,2,FALSE)&lt;=0,"",IF(VLOOKUP($A17,'détails investissements'!$A$26:$DE$43,BQ$3-VLOOKUP($A17,'détails investissements'!$A$71:$B$88,2,FALSE)+1,FALSE)="","",VLOOKUP($A17,'détails investissements'!$A$26:$DE$43,BQ$3-VLOOKUP($A17,'détails investissements'!$A$71:$B$88,2,FALSE)+1,FALSE))),'détails investissements'!$U$6:$AB$7,2,FALSE),"")&lt;&gt;"",VLOOKUP($A17,'détails investissements'!$A$7:$H$21,1+IF(IF(BQ$3-VLOOKUP($A17,'détails investissements'!$A$71:$B$88,2,FALSE)&lt;=0,"",IF(VLOOKUP($A17,'détails investissements'!$A$26:$DE$43,BQ$3-VLOOKUP($A17,'détails investissements'!$A$71:$B$88,2,FALSE)+1,FALSE)="","",VLOOKUP($A17,'détails investissements'!$A$26:$DE$43,BQ$3-VLOOKUP($A17,'détails investissements'!$A$71:$B$88,2,FALSE)+1,FALSE)))&lt;&gt;"",HLOOKUP(IF(BQ$3-VLOOKUP($A17,'détails investissements'!$A$71:$B$88,2,FALSE)&lt;=0,"",IF(VLOOKUP($A17,'détails investissements'!$A$26:$DE$43,BQ$3-VLOOKUP($A17,'détails investissements'!$A$71:$B$88,2,FALSE)+1,FALSE)="","",VLOOKUP($A17,'détails investissements'!$A$26:$DE$43,BQ$3-VLOOKUP($A17,'détails investissements'!$A$71:$B$88,2,FALSE)+1,FALSE))),'détails investissements'!$U$6:$AB$7,2,FALSE),""),FALSE),"")</f>
        <v/>
      </c>
      <c r="BR17" s="45" t="str">
        <f>IF(IF(IF(BR$3-VLOOKUP($A17,'détails investissements'!$A$71:$B$88,2,FALSE)&lt;=0,"",IF(VLOOKUP($A17,'détails investissements'!$A$26:$DE$43,BR$3-VLOOKUP($A17,'détails investissements'!$A$71:$B$88,2,FALSE)+1,FALSE)="","",VLOOKUP($A17,'détails investissements'!$A$26:$DE$43,BR$3-VLOOKUP($A17,'détails investissements'!$A$71:$B$88,2,FALSE)+1,FALSE)))&lt;&gt;"",HLOOKUP(IF(BR$3-VLOOKUP($A17,'détails investissements'!$A$71:$B$88,2,FALSE)&lt;=0,"",IF(VLOOKUP($A17,'détails investissements'!$A$26:$DE$43,BR$3-VLOOKUP($A17,'détails investissements'!$A$71:$B$88,2,FALSE)+1,FALSE)="","",VLOOKUP($A17,'détails investissements'!$A$26:$DE$43,BR$3-VLOOKUP($A17,'détails investissements'!$A$71:$B$88,2,FALSE)+1,FALSE))),'détails investissements'!$U$6:$AB$7,2,FALSE),"")&lt;&gt;"",VLOOKUP($A17,'détails investissements'!$A$7:$H$21,1+IF(IF(BR$3-VLOOKUP($A17,'détails investissements'!$A$71:$B$88,2,FALSE)&lt;=0,"",IF(VLOOKUP($A17,'détails investissements'!$A$26:$DE$43,BR$3-VLOOKUP($A17,'détails investissements'!$A$71:$B$88,2,FALSE)+1,FALSE)="","",VLOOKUP($A17,'détails investissements'!$A$26:$DE$43,BR$3-VLOOKUP($A17,'détails investissements'!$A$71:$B$88,2,FALSE)+1,FALSE)))&lt;&gt;"",HLOOKUP(IF(BR$3-VLOOKUP($A17,'détails investissements'!$A$71:$B$88,2,FALSE)&lt;=0,"",IF(VLOOKUP($A17,'détails investissements'!$A$26:$DE$43,BR$3-VLOOKUP($A17,'détails investissements'!$A$71:$B$88,2,FALSE)+1,FALSE)="","",VLOOKUP($A17,'détails investissements'!$A$26:$DE$43,BR$3-VLOOKUP($A17,'détails investissements'!$A$71:$B$88,2,FALSE)+1,FALSE))),'détails investissements'!$U$6:$AB$7,2,FALSE),""),FALSE),"")</f>
        <v/>
      </c>
      <c r="BS17" s="45" t="str">
        <f>IF(IF(IF(BS$3-VLOOKUP($A17,'détails investissements'!$A$71:$B$88,2,FALSE)&lt;=0,"",IF(VLOOKUP($A17,'détails investissements'!$A$26:$DE$43,BS$3-VLOOKUP($A17,'détails investissements'!$A$71:$B$88,2,FALSE)+1,FALSE)="","",VLOOKUP($A17,'détails investissements'!$A$26:$DE$43,BS$3-VLOOKUP($A17,'détails investissements'!$A$71:$B$88,2,FALSE)+1,FALSE)))&lt;&gt;"",HLOOKUP(IF(BS$3-VLOOKUP($A17,'détails investissements'!$A$71:$B$88,2,FALSE)&lt;=0,"",IF(VLOOKUP($A17,'détails investissements'!$A$26:$DE$43,BS$3-VLOOKUP($A17,'détails investissements'!$A$71:$B$88,2,FALSE)+1,FALSE)="","",VLOOKUP($A17,'détails investissements'!$A$26:$DE$43,BS$3-VLOOKUP($A17,'détails investissements'!$A$71:$B$88,2,FALSE)+1,FALSE))),'détails investissements'!$U$6:$AB$7,2,FALSE),"")&lt;&gt;"",VLOOKUP($A17,'détails investissements'!$A$7:$H$21,1+IF(IF(BS$3-VLOOKUP($A17,'détails investissements'!$A$71:$B$88,2,FALSE)&lt;=0,"",IF(VLOOKUP($A17,'détails investissements'!$A$26:$DE$43,BS$3-VLOOKUP($A17,'détails investissements'!$A$71:$B$88,2,FALSE)+1,FALSE)="","",VLOOKUP($A17,'détails investissements'!$A$26:$DE$43,BS$3-VLOOKUP($A17,'détails investissements'!$A$71:$B$88,2,FALSE)+1,FALSE)))&lt;&gt;"",HLOOKUP(IF(BS$3-VLOOKUP($A17,'détails investissements'!$A$71:$B$88,2,FALSE)&lt;=0,"",IF(VLOOKUP($A17,'détails investissements'!$A$26:$DE$43,BS$3-VLOOKUP($A17,'détails investissements'!$A$71:$B$88,2,FALSE)+1,FALSE)="","",VLOOKUP($A17,'détails investissements'!$A$26:$DE$43,BS$3-VLOOKUP($A17,'détails investissements'!$A$71:$B$88,2,FALSE)+1,FALSE))),'détails investissements'!$U$6:$AB$7,2,FALSE),""),FALSE),"")</f>
        <v/>
      </c>
      <c r="BT17" s="45" t="str">
        <f>IF(IF(IF(BT$3-VLOOKUP($A17,'détails investissements'!$A$71:$B$88,2,FALSE)&lt;=0,"",IF(VLOOKUP($A17,'détails investissements'!$A$26:$DE$43,BT$3-VLOOKUP($A17,'détails investissements'!$A$71:$B$88,2,FALSE)+1,FALSE)="","",VLOOKUP($A17,'détails investissements'!$A$26:$DE$43,BT$3-VLOOKUP($A17,'détails investissements'!$A$71:$B$88,2,FALSE)+1,FALSE)))&lt;&gt;"",HLOOKUP(IF(BT$3-VLOOKUP($A17,'détails investissements'!$A$71:$B$88,2,FALSE)&lt;=0,"",IF(VLOOKUP($A17,'détails investissements'!$A$26:$DE$43,BT$3-VLOOKUP($A17,'détails investissements'!$A$71:$B$88,2,FALSE)+1,FALSE)="","",VLOOKUP($A17,'détails investissements'!$A$26:$DE$43,BT$3-VLOOKUP($A17,'détails investissements'!$A$71:$B$88,2,FALSE)+1,FALSE))),'détails investissements'!$U$6:$AB$7,2,FALSE),"")&lt;&gt;"",VLOOKUP($A17,'détails investissements'!$A$7:$H$21,1+IF(IF(BT$3-VLOOKUP($A17,'détails investissements'!$A$71:$B$88,2,FALSE)&lt;=0,"",IF(VLOOKUP($A17,'détails investissements'!$A$26:$DE$43,BT$3-VLOOKUP($A17,'détails investissements'!$A$71:$B$88,2,FALSE)+1,FALSE)="","",VLOOKUP($A17,'détails investissements'!$A$26:$DE$43,BT$3-VLOOKUP($A17,'détails investissements'!$A$71:$B$88,2,FALSE)+1,FALSE)))&lt;&gt;"",HLOOKUP(IF(BT$3-VLOOKUP($A17,'détails investissements'!$A$71:$B$88,2,FALSE)&lt;=0,"",IF(VLOOKUP($A17,'détails investissements'!$A$26:$DE$43,BT$3-VLOOKUP($A17,'détails investissements'!$A$71:$B$88,2,FALSE)+1,FALSE)="","",VLOOKUP($A17,'détails investissements'!$A$26:$DE$43,BT$3-VLOOKUP($A17,'détails investissements'!$A$71:$B$88,2,FALSE)+1,FALSE))),'détails investissements'!$U$6:$AB$7,2,FALSE),""),FALSE),"")</f>
        <v/>
      </c>
      <c r="BU17" s="45" t="str">
        <f>IF(IF(IF(BU$3-VLOOKUP($A17,'détails investissements'!$A$71:$B$88,2,FALSE)&lt;=0,"",IF(VLOOKUP($A17,'détails investissements'!$A$26:$DE$43,BU$3-VLOOKUP($A17,'détails investissements'!$A$71:$B$88,2,FALSE)+1,FALSE)="","",VLOOKUP($A17,'détails investissements'!$A$26:$DE$43,BU$3-VLOOKUP($A17,'détails investissements'!$A$71:$B$88,2,FALSE)+1,FALSE)))&lt;&gt;"",HLOOKUP(IF(BU$3-VLOOKUP($A17,'détails investissements'!$A$71:$B$88,2,FALSE)&lt;=0,"",IF(VLOOKUP($A17,'détails investissements'!$A$26:$DE$43,BU$3-VLOOKUP($A17,'détails investissements'!$A$71:$B$88,2,FALSE)+1,FALSE)="","",VLOOKUP($A17,'détails investissements'!$A$26:$DE$43,BU$3-VLOOKUP($A17,'détails investissements'!$A$71:$B$88,2,FALSE)+1,FALSE))),'détails investissements'!$U$6:$AB$7,2,FALSE),"")&lt;&gt;"",VLOOKUP($A17,'détails investissements'!$A$7:$H$21,1+IF(IF(BU$3-VLOOKUP($A17,'détails investissements'!$A$71:$B$88,2,FALSE)&lt;=0,"",IF(VLOOKUP($A17,'détails investissements'!$A$26:$DE$43,BU$3-VLOOKUP($A17,'détails investissements'!$A$71:$B$88,2,FALSE)+1,FALSE)="","",VLOOKUP($A17,'détails investissements'!$A$26:$DE$43,BU$3-VLOOKUP($A17,'détails investissements'!$A$71:$B$88,2,FALSE)+1,FALSE)))&lt;&gt;"",HLOOKUP(IF(BU$3-VLOOKUP($A17,'détails investissements'!$A$71:$B$88,2,FALSE)&lt;=0,"",IF(VLOOKUP($A17,'détails investissements'!$A$26:$DE$43,BU$3-VLOOKUP($A17,'détails investissements'!$A$71:$B$88,2,FALSE)+1,FALSE)="","",VLOOKUP($A17,'détails investissements'!$A$26:$DE$43,BU$3-VLOOKUP($A17,'détails investissements'!$A$71:$B$88,2,FALSE)+1,FALSE))),'détails investissements'!$U$6:$AB$7,2,FALSE),""),FALSE),"")</f>
        <v/>
      </c>
      <c r="BV17" s="45" t="str">
        <f>IF(IF(IF(BV$3-VLOOKUP($A17,'détails investissements'!$A$71:$B$88,2,FALSE)&lt;=0,"",IF(VLOOKUP($A17,'détails investissements'!$A$26:$DE$43,BV$3-VLOOKUP($A17,'détails investissements'!$A$71:$B$88,2,FALSE)+1,FALSE)="","",VLOOKUP($A17,'détails investissements'!$A$26:$DE$43,BV$3-VLOOKUP($A17,'détails investissements'!$A$71:$B$88,2,FALSE)+1,FALSE)))&lt;&gt;"",HLOOKUP(IF(BV$3-VLOOKUP($A17,'détails investissements'!$A$71:$B$88,2,FALSE)&lt;=0,"",IF(VLOOKUP($A17,'détails investissements'!$A$26:$DE$43,BV$3-VLOOKUP($A17,'détails investissements'!$A$71:$B$88,2,FALSE)+1,FALSE)="","",VLOOKUP($A17,'détails investissements'!$A$26:$DE$43,BV$3-VLOOKUP($A17,'détails investissements'!$A$71:$B$88,2,FALSE)+1,FALSE))),'détails investissements'!$U$6:$AB$7,2,FALSE),"")&lt;&gt;"",VLOOKUP($A17,'détails investissements'!$A$7:$H$21,1+IF(IF(BV$3-VLOOKUP($A17,'détails investissements'!$A$71:$B$88,2,FALSE)&lt;=0,"",IF(VLOOKUP($A17,'détails investissements'!$A$26:$DE$43,BV$3-VLOOKUP($A17,'détails investissements'!$A$71:$B$88,2,FALSE)+1,FALSE)="","",VLOOKUP($A17,'détails investissements'!$A$26:$DE$43,BV$3-VLOOKUP($A17,'détails investissements'!$A$71:$B$88,2,FALSE)+1,FALSE)))&lt;&gt;"",HLOOKUP(IF(BV$3-VLOOKUP($A17,'détails investissements'!$A$71:$B$88,2,FALSE)&lt;=0,"",IF(VLOOKUP($A17,'détails investissements'!$A$26:$DE$43,BV$3-VLOOKUP($A17,'détails investissements'!$A$71:$B$88,2,FALSE)+1,FALSE)="","",VLOOKUP($A17,'détails investissements'!$A$26:$DE$43,BV$3-VLOOKUP($A17,'détails investissements'!$A$71:$B$88,2,FALSE)+1,FALSE))),'détails investissements'!$U$6:$AB$7,2,FALSE),""),FALSE),"")</f>
        <v/>
      </c>
      <c r="BW17" s="45" t="str">
        <f>IF(IF(IF(BW$3-VLOOKUP($A17,'détails investissements'!$A$71:$B$88,2,FALSE)&lt;=0,"",IF(VLOOKUP($A17,'détails investissements'!$A$26:$DE$43,BW$3-VLOOKUP($A17,'détails investissements'!$A$71:$B$88,2,FALSE)+1,FALSE)="","",VLOOKUP($A17,'détails investissements'!$A$26:$DE$43,BW$3-VLOOKUP($A17,'détails investissements'!$A$71:$B$88,2,FALSE)+1,FALSE)))&lt;&gt;"",HLOOKUP(IF(BW$3-VLOOKUP($A17,'détails investissements'!$A$71:$B$88,2,FALSE)&lt;=0,"",IF(VLOOKUP($A17,'détails investissements'!$A$26:$DE$43,BW$3-VLOOKUP($A17,'détails investissements'!$A$71:$B$88,2,FALSE)+1,FALSE)="","",VLOOKUP($A17,'détails investissements'!$A$26:$DE$43,BW$3-VLOOKUP($A17,'détails investissements'!$A$71:$B$88,2,FALSE)+1,FALSE))),'détails investissements'!$U$6:$AB$7,2,FALSE),"")&lt;&gt;"",VLOOKUP($A17,'détails investissements'!$A$7:$H$21,1+IF(IF(BW$3-VLOOKUP($A17,'détails investissements'!$A$71:$B$88,2,FALSE)&lt;=0,"",IF(VLOOKUP($A17,'détails investissements'!$A$26:$DE$43,BW$3-VLOOKUP($A17,'détails investissements'!$A$71:$B$88,2,FALSE)+1,FALSE)="","",VLOOKUP($A17,'détails investissements'!$A$26:$DE$43,BW$3-VLOOKUP($A17,'détails investissements'!$A$71:$B$88,2,FALSE)+1,FALSE)))&lt;&gt;"",HLOOKUP(IF(BW$3-VLOOKUP($A17,'détails investissements'!$A$71:$B$88,2,FALSE)&lt;=0,"",IF(VLOOKUP($A17,'détails investissements'!$A$26:$DE$43,BW$3-VLOOKUP($A17,'détails investissements'!$A$71:$B$88,2,FALSE)+1,FALSE)="","",VLOOKUP($A17,'détails investissements'!$A$26:$DE$43,BW$3-VLOOKUP($A17,'détails investissements'!$A$71:$B$88,2,FALSE)+1,FALSE))),'détails investissements'!$U$6:$AB$7,2,FALSE),""),FALSE),"")</f>
        <v/>
      </c>
      <c r="BX17" s="45" t="str">
        <f>IF(IF(IF(BX$3-VLOOKUP($A17,'détails investissements'!$A$71:$B$88,2,FALSE)&lt;=0,"",IF(VLOOKUP($A17,'détails investissements'!$A$26:$DE$43,BX$3-VLOOKUP($A17,'détails investissements'!$A$71:$B$88,2,FALSE)+1,FALSE)="","",VLOOKUP($A17,'détails investissements'!$A$26:$DE$43,BX$3-VLOOKUP($A17,'détails investissements'!$A$71:$B$88,2,FALSE)+1,FALSE)))&lt;&gt;"",HLOOKUP(IF(BX$3-VLOOKUP($A17,'détails investissements'!$A$71:$B$88,2,FALSE)&lt;=0,"",IF(VLOOKUP($A17,'détails investissements'!$A$26:$DE$43,BX$3-VLOOKUP($A17,'détails investissements'!$A$71:$B$88,2,FALSE)+1,FALSE)="","",VLOOKUP($A17,'détails investissements'!$A$26:$DE$43,BX$3-VLOOKUP($A17,'détails investissements'!$A$71:$B$88,2,FALSE)+1,FALSE))),'détails investissements'!$U$6:$AB$7,2,FALSE),"")&lt;&gt;"",VLOOKUP($A17,'détails investissements'!$A$7:$H$21,1+IF(IF(BX$3-VLOOKUP($A17,'détails investissements'!$A$71:$B$88,2,FALSE)&lt;=0,"",IF(VLOOKUP($A17,'détails investissements'!$A$26:$DE$43,BX$3-VLOOKUP($A17,'détails investissements'!$A$71:$B$88,2,FALSE)+1,FALSE)="","",VLOOKUP($A17,'détails investissements'!$A$26:$DE$43,BX$3-VLOOKUP($A17,'détails investissements'!$A$71:$B$88,2,FALSE)+1,FALSE)))&lt;&gt;"",HLOOKUP(IF(BX$3-VLOOKUP($A17,'détails investissements'!$A$71:$B$88,2,FALSE)&lt;=0,"",IF(VLOOKUP($A17,'détails investissements'!$A$26:$DE$43,BX$3-VLOOKUP($A17,'détails investissements'!$A$71:$B$88,2,FALSE)+1,FALSE)="","",VLOOKUP($A17,'détails investissements'!$A$26:$DE$43,BX$3-VLOOKUP($A17,'détails investissements'!$A$71:$B$88,2,FALSE)+1,FALSE))),'détails investissements'!$U$6:$AB$7,2,FALSE),""),FALSE),"")</f>
        <v/>
      </c>
      <c r="BY17" s="45" t="str">
        <f>IF(IF(IF(BY$3-VLOOKUP($A17,'détails investissements'!$A$71:$B$88,2,FALSE)&lt;=0,"",IF(VLOOKUP($A17,'détails investissements'!$A$26:$DE$43,BY$3-VLOOKUP($A17,'détails investissements'!$A$71:$B$88,2,FALSE)+1,FALSE)="","",VLOOKUP($A17,'détails investissements'!$A$26:$DE$43,BY$3-VLOOKUP($A17,'détails investissements'!$A$71:$B$88,2,FALSE)+1,FALSE)))&lt;&gt;"",HLOOKUP(IF(BY$3-VLOOKUP($A17,'détails investissements'!$A$71:$B$88,2,FALSE)&lt;=0,"",IF(VLOOKUP($A17,'détails investissements'!$A$26:$DE$43,BY$3-VLOOKUP($A17,'détails investissements'!$A$71:$B$88,2,FALSE)+1,FALSE)="","",VLOOKUP($A17,'détails investissements'!$A$26:$DE$43,BY$3-VLOOKUP($A17,'détails investissements'!$A$71:$B$88,2,FALSE)+1,FALSE))),'détails investissements'!$U$6:$AB$7,2,FALSE),"")&lt;&gt;"",VLOOKUP($A17,'détails investissements'!$A$7:$H$21,1+IF(IF(BY$3-VLOOKUP($A17,'détails investissements'!$A$71:$B$88,2,FALSE)&lt;=0,"",IF(VLOOKUP($A17,'détails investissements'!$A$26:$DE$43,BY$3-VLOOKUP($A17,'détails investissements'!$A$71:$B$88,2,FALSE)+1,FALSE)="","",VLOOKUP($A17,'détails investissements'!$A$26:$DE$43,BY$3-VLOOKUP($A17,'détails investissements'!$A$71:$B$88,2,FALSE)+1,FALSE)))&lt;&gt;"",HLOOKUP(IF(BY$3-VLOOKUP($A17,'détails investissements'!$A$71:$B$88,2,FALSE)&lt;=0,"",IF(VLOOKUP($A17,'détails investissements'!$A$26:$DE$43,BY$3-VLOOKUP($A17,'détails investissements'!$A$71:$B$88,2,FALSE)+1,FALSE)="","",VLOOKUP($A17,'détails investissements'!$A$26:$DE$43,BY$3-VLOOKUP($A17,'détails investissements'!$A$71:$B$88,2,FALSE)+1,FALSE))),'détails investissements'!$U$6:$AB$7,2,FALSE),""),FALSE),"")</f>
        <v/>
      </c>
      <c r="BZ17" s="45" t="str">
        <f>IF(IF(IF(BZ$3-VLOOKUP($A17,'détails investissements'!$A$71:$B$88,2,FALSE)&lt;=0,"",IF(VLOOKUP($A17,'détails investissements'!$A$26:$DE$43,BZ$3-VLOOKUP($A17,'détails investissements'!$A$71:$B$88,2,FALSE)+1,FALSE)="","",VLOOKUP($A17,'détails investissements'!$A$26:$DE$43,BZ$3-VLOOKUP($A17,'détails investissements'!$A$71:$B$88,2,FALSE)+1,FALSE)))&lt;&gt;"",HLOOKUP(IF(BZ$3-VLOOKUP($A17,'détails investissements'!$A$71:$B$88,2,FALSE)&lt;=0,"",IF(VLOOKUP($A17,'détails investissements'!$A$26:$DE$43,BZ$3-VLOOKUP($A17,'détails investissements'!$A$71:$B$88,2,FALSE)+1,FALSE)="","",VLOOKUP($A17,'détails investissements'!$A$26:$DE$43,BZ$3-VLOOKUP($A17,'détails investissements'!$A$71:$B$88,2,FALSE)+1,FALSE))),'détails investissements'!$U$6:$AB$7,2,FALSE),"")&lt;&gt;"",VLOOKUP($A17,'détails investissements'!$A$7:$H$21,1+IF(IF(BZ$3-VLOOKUP($A17,'détails investissements'!$A$71:$B$88,2,FALSE)&lt;=0,"",IF(VLOOKUP($A17,'détails investissements'!$A$26:$DE$43,BZ$3-VLOOKUP($A17,'détails investissements'!$A$71:$B$88,2,FALSE)+1,FALSE)="","",VLOOKUP($A17,'détails investissements'!$A$26:$DE$43,BZ$3-VLOOKUP($A17,'détails investissements'!$A$71:$B$88,2,FALSE)+1,FALSE)))&lt;&gt;"",HLOOKUP(IF(BZ$3-VLOOKUP($A17,'détails investissements'!$A$71:$B$88,2,FALSE)&lt;=0,"",IF(VLOOKUP($A17,'détails investissements'!$A$26:$DE$43,BZ$3-VLOOKUP($A17,'détails investissements'!$A$71:$B$88,2,FALSE)+1,FALSE)="","",VLOOKUP($A17,'détails investissements'!$A$26:$DE$43,BZ$3-VLOOKUP($A17,'détails investissements'!$A$71:$B$88,2,FALSE)+1,FALSE))),'détails investissements'!$U$6:$AB$7,2,FALSE),""),FALSE),"")</f>
        <v/>
      </c>
      <c r="CA17" s="45" t="str">
        <f>IF(IF(IF(CA$3-VLOOKUP($A17,'détails investissements'!$A$71:$B$88,2,FALSE)&lt;=0,"",IF(VLOOKUP($A17,'détails investissements'!$A$26:$DE$43,CA$3-VLOOKUP($A17,'détails investissements'!$A$71:$B$88,2,FALSE)+1,FALSE)="","",VLOOKUP($A17,'détails investissements'!$A$26:$DE$43,CA$3-VLOOKUP($A17,'détails investissements'!$A$71:$B$88,2,FALSE)+1,FALSE)))&lt;&gt;"",HLOOKUP(IF(CA$3-VLOOKUP($A17,'détails investissements'!$A$71:$B$88,2,FALSE)&lt;=0,"",IF(VLOOKUP($A17,'détails investissements'!$A$26:$DE$43,CA$3-VLOOKUP($A17,'détails investissements'!$A$71:$B$88,2,FALSE)+1,FALSE)="","",VLOOKUP($A17,'détails investissements'!$A$26:$DE$43,CA$3-VLOOKUP($A17,'détails investissements'!$A$71:$B$88,2,FALSE)+1,FALSE))),'détails investissements'!$U$6:$AB$7,2,FALSE),"")&lt;&gt;"",VLOOKUP($A17,'détails investissements'!$A$7:$H$21,1+IF(IF(CA$3-VLOOKUP($A17,'détails investissements'!$A$71:$B$88,2,FALSE)&lt;=0,"",IF(VLOOKUP($A17,'détails investissements'!$A$26:$DE$43,CA$3-VLOOKUP($A17,'détails investissements'!$A$71:$B$88,2,FALSE)+1,FALSE)="","",VLOOKUP($A17,'détails investissements'!$A$26:$DE$43,CA$3-VLOOKUP($A17,'détails investissements'!$A$71:$B$88,2,FALSE)+1,FALSE)))&lt;&gt;"",HLOOKUP(IF(CA$3-VLOOKUP($A17,'détails investissements'!$A$71:$B$88,2,FALSE)&lt;=0,"",IF(VLOOKUP($A17,'détails investissements'!$A$26:$DE$43,CA$3-VLOOKUP($A17,'détails investissements'!$A$71:$B$88,2,FALSE)+1,FALSE)="","",VLOOKUP($A17,'détails investissements'!$A$26:$DE$43,CA$3-VLOOKUP($A17,'détails investissements'!$A$71:$B$88,2,FALSE)+1,FALSE))),'détails investissements'!$U$6:$AB$7,2,FALSE),""),FALSE),"")</f>
        <v/>
      </c>
      <c r="CB17" s="45" t="str">
        <f>IF(IF(IF(CB$3-VLOOKUP($A17,'détails investissements'!$A$71:$B$88,2,FALSE)&lt;=0,"",IF(VLOOKUP($A17,'détails investissements'!$A$26:$DE$43,CB$3-VLOOKUP($A17,'détails investissements'!$A$71:$B$88,2,FALSE)+1,FALSE)="","",VLOOKUP($A17,'détails investissements'!$A$26:$DE$43,CB$3-VLOOKUP($A17,'détails investissements'!$A$71:$B$88,2,FALSE)+1,FALSE)))&lt;&gt;"",HLOOKUP(IF(CB$3-VLOOKUP($A17,'détails investissements'!$A$71:$B$88,2,FALSE)&lt;=0,"",IF(VLOOKUP($A17,'détails investissements'!$A$26:$DE$43,CB$3-VLOOKUP($A17,'détails investissements'!$A$71:$B$88,2,FALSE)+1,FALSE)="","",VLOOKUP($A17,'détails investissements'!$A$26:$DE$43,CB$3-VLOOKUP($A17,'détails investissements'!$A$71:$B$88,2,FALSE)+1,FALSE))),'détails investissements'!$U$6:$AB$7,2,FALSE),"")&lt;&gt;"",VLOOKUP($A17,'détails investissements'!$A$7:$H$21,1+IF(IF(CB$3-VLOOKUP($A17,'détails investissements'!$A$71:$B$88,2,FALSE)&lt;=0,"",IF(VLOOKUP($A17,'détails investissements'!$A$26:$DE$43,CB$3-VLOOKUP($A17,'détails investissements'!$A$71:$B$88,2,FALSE)+1,FALSE)="","",VLOOKUP($A17,'détails investissements'!$A$26:$DE$43,CB$3-VLOOKUP($A17,'détails investissements'!$A$71:$B$88,2,FALSE)+1,FALSE)))&lt;&gt;"",HLOOKUP(IF(CB$3-VLOOKUP($A17,'détails investissements'!$A$71:$B$88,2,FALSE)&lt;=0,"",IF(VLOOKUP($A17,'détails investissements'!$A$26:$DE$43,CB$3-VLOOKUP($A17,'détails investissements'!$A$71:$B$88,2,FALSE)+1,FALSE)="","",VLOOKUP($A17,'détails investissements'!$A$26:$DE$43,CB$3-VLOOKUP($A17,'détails investissements'!$A$71:$B$88,2,FALSE)+1,FALSE))),'détails investissements'!$U$6:$AB$7,2,FALSE),""),FALSE),"")</f>
        <v/>
      </c>
      <c r="CC17" s="45" t="str">
        <f>IF(IF(IF(CC$3-VLOOKUP($A17,'détails investissements'!$A$71:$B$88,2,FALSE)&lt;=0,"",IF(VLOOKUP($A17,'détails investissements'!$A$26:$DE$43,CC$3-VLOOKUP($A17,'détails investissements'!$A$71:$B$88,2,FALSE)+1,FALSE)="","",VLOOKUP($A17,'détails investissements'!$A$26:$DE$43,CC$3-VLOOKUP($A17,'détails investissements'!$A$71:$B$88,2,FALSE)+1,FALSE)))&lt;&gt;"",HLOOKUP(IF(CC$3-VLOOKUP($A17,'détails investissements'!$A$71:$B$88,2,FALSE)&lt;=0,"",IF(VLOOKUP($A17,'détails investissements'!$A$26:$DE$43,CC$3-VLOOKUP($A17,'détails investissements'!$A$71:$B$88,2,FALSE)+1,FALSE)="","",VLOOKUP($A17,'détails investissements'!$A$26:$DE$43,CC$3-VLOOKUP($A17,'détails investissements'!$A$71:$B$88,2,FALSE)+1,FALSE))),'détails investissements'!$U$6:$AB$7,2,FALSE),"")&lt;&gt;"",VLOOKUP($A17,'détails investissements'!$A$7:$H$21,1+IF(IF(CC$3-VLOOKUP($A17,'détails investissements'!$A$71:$B$88,2,FALSE)&lt;=0,"",IF(VLOOKUP($A17,'détails investissements'!$A$26:$DE$43,CC$3-VLOOKUP($A17,'détails investissements'!$A$71:$B$88,2,FALSE)+1,FALSE)="","",VLOOKUP($A17,'détails investissements'!$A$26:$DE$43,CC$3-VLOOKUP($A17,'détails investissements'!$A$71:$B$88,2,FALSE)+1,FALSE)))&lt;&gt;"",HLOOKUP(IF(CC$3-VLOOKUP($A17,'détails investissements'!$A$71:$B$88,2,FALSE)&lt;=0,"",IF(VLOOKUP($A17,'détails investissements'!$A$26:$DE$43,CC$3-VLOOKUP($A17,'détails investissements'!$A$71:$B$88,2,FALSE)+1,FALSE)="","",VLOOKUP($A17,'détails investissements'!$A$26:$DE$43,CC$3-VLOOKUP($A17,'détails investissements'!$A$71:$B$88,2,FALSE)+1,FALSE))),'détails investissements'!$U$6:$AB$7,2,FALSE),""),FALSE),"")</f>
        <v/>
      </c>
      <c r="CD17" s="45" t="str">
        <f>IF(IF(IF(CD$3-VLOOKUP($A17,'détails investissements'!$A$71:$B$88,2,FALSE)&lt;=0,"",IF(VLOOKUP($A17,'détails investissements'!$A$26:$DE$43,CD$3-VLOOKUP($A17,'détails investissements'!$A$71:$B$88,2,FALSE)+1,FALSE)="","",VLOOKUP($A17,'détails investissements'!$A$26:$DE$43,CD$3-VLOOKUP($A17,'détails investissements'!$A$71:$B$88,2,FALSE)+1,FALSE)))&lt;&gt;"",HLOOKUP(IF(CD$3-VLOOKUP($A17,'détails investissements'!$A$71:$B$88,2,FALSE)&lt;=0,"",IF(VLOOKUP($A17,'détails investissements'!$A$26:$DE$43,CD$3-VLOOKUP($A17,'détails investissements'!$A$71:$B$88,2,FALSE)+1,FALSE)="","",VLOOKUP($A17,'détails investissements'!$A$26:$DE$43,CD$3-VLOOKUP($A17,'détails investissements'!$A$71:$B$88,2,FALSE)+1,FALSE))),'détails investissements'!$U$6:$AB$7,2,FALSE),"")&lt;&gt;"",VLOOKUP($A17,'détails investissements'!$A$7:$H$21,1+IF(IF(CD$3-VLOOKUP($A17,'détails investissements'!$A$71:$B$88,2,FALSE)&lt;=0,"",IF(VLOOKUP($A17,'détails investissements'!$A$26:$DE$43,CD$3-VLOOKUP($A17,'détails investissements'!$A$71:$B$88,2,FALSE)+1,FALSE)="","",VLOOKUP($A17,'détails investissements'!$A$26:$DE$43,CD$3-VLOOKUP($A17,'détails investissements'!$A$71:$B$88,2,FALSE)+1,FALSE)))&lt;&gt;"",HLOOKUP(IF(CD$3-VLOOKUP($A17,'détails investissements'!$A$71:$B$88,2,FALSE)&lt;=0,"",IF(VLOOKUP($A17,'détails investissements'!$A$26:$DE$43,CD$3-VLOOKUP($A17,'détails investissements'!$A$71:$B$88,2,FALSE)+1,FALSE)="","",VLOOKUP($A17,'détails investissements'!$A$26:$DE$43,CD$3-VLOOKUP($A17,'détails investissements'!$A$71:$B$88,2,FALSE)+1,FALSE))),'détails investissements'!$U$6:$AB$7,2,FALSE),""),FALSE),"")</f>
        <v/>
      </c>
      <c r="CE17" s="45" t="str">
        <f>IF(IF(IF(CE$3-VLOOKUP($A17,'détails investissements'!$A$71:$B$88,2,FALSE)&lt;=0,"",IF(VLOOKUP($A17,'détails investissements'!$A$26:$DE$43,CE$3-VLOOKUP($A17,'détails investissements'!$A$71:$B$88,2,FALSE)+1,FALSE)="","",VLOOKUP($A17,'détails investissements'!$A$26:$DE$43,CE$3-VLOOKUP($A17,'détails investissements'!$A$71:$B$88,2,FALSE)+1,FALSE)))&lt;&gt;"",HLOOKUP(IF(CE$3-VLOOKUP($A17,'détails investissements'!$A$71:$B$88,2,FALSE)&lt;=0,"",IF(VLOOKUP($A17,'détails investissements'!$A$26:$DE$43,CE$3-VLOOKUP($A17,'détails investissements'!$A$71:$B$88,2,FALSE)+1,FALSE)="","",VLOOKUP($A17,'détails investissements'!$A$26:$DE$43,CE$3-VLOOKUP($A17,'détails investissements'!$A$71:$B$88,2,FALSE)+1,FALSE))),'détails investissements'!$U$6:$AB$7,2,FALSE),"")&lt;&gt;"",VLOOKUP($A17,'détails investissements'!$A$7:$H$21,1+IF(IF(CE$3-VLOOKUP($A17,'détails investissements'!$A$71:$B$88,2,FALSE)&lt;=0,"",IF(VLOOKUP($A17,'détails investissements'!$A$26:$DE$43,CE$3-VLOOKUP($A17,'détails investissements'!$A$71:$B$88,2,FALSE)+1,FALSE)="","",VLOOKUP($A17,'détails investissements'!$A$26:$DE$43,CE$3-VLOOKUP($A17,'détails investissements'!$A$71:$B$88,2,FALSE)+1,FALSE)))&lt;&gt;"",HLOOKUP(IF(CE$3-VLOOKUP($A17,'détails investissements'!$A$71:$B$88,2,FALSE)&lt;=0,"",IF(VLOOKUP($A17,'détails investissements'!$A$26:$DE$43,CE$3-VLOOKUP($A17,'détails investissements'!$A$71:$B$88,2,FALSE)+1,FALSE)="","",VLOOKUP($A17,'détails investissements'!$A$26:$DE$43,CE$3-VLOOKUP($A17,'détails investissements'!$A$71:$B$88,2,FALSE)+1,FALSE))),'détails investissements'!$U$6:$AB$7,2,FALSE),""),FALSE),"")</f>
        <v/>
      </c>
      <c r="CF17" s="45" t="str">
        <f>IF(IF(IF(CF$3-VLOOKUP($A17,'détails investissements'!$A$71:$B$88,2,FALSE)&lt;=0,"",IF(VLOOKUP($A17,'détails investissements'!$A$26:$DE$43,CF$3-VLOOKUP($A17,'détails investissements'!$A$71:$B$88,2,FALSE)+1,FALSE)="","",VLOOKUP($A17,'détails investissements'!$A$26:$DE$43,CF$3-VLOOKUP($A17,'détails investissements'!$A$71:$B$88,2,FALSE)+1,FALSE)))&lt;&gt;"",HLOOKUP(IF(CF$3-VLOOKUP($A17,'détails investissements'!$A$71:$B$88,2,FALSE)&lt;=0,"",IF(VLOOKUP($A17,'détails investissements'!$A$26:$DE$43,CF$3-VLOOKUP($A17,'détails investissements'!$A$71:$B$88,2,FALSE)+1,FALSE)="","",VLOOKUP($A17,'détails investissements'!$A$26:$DE$43,CF$3-VLOOKUP($A17,'détails investissements'!$A$71:$B$88,2,FALSE)+1,FALSE))),'détails investissements'!$U$6:$AB$7,2,FALSE),"")&lt;&gt;"",VLOOKUP($A17,'détails investissements'!$A$7:$H$21,1+IF(IF(CF$3-VLOOKUP($A17,'détails investissements'!$A$71:$B$88,2,FALSE)&lt;=0,"",IF(VLOOKUP($A17,'détails investissements'!$A$26:$DE$43,CF$3-VLOOKUP($A17,'détails investissements'!$A$71:$B$88,2,FALSE)+1,FALSE)="","",VLOOKUP($A17,'détails investissements'!$A$26:$DE$43,CF$3-VLOOKUP($A17,'détails investissements'!$A$71:$B$88,2,FALSE)+1,FALSE)))&lt;&gt;"",HLOOKUP(IF(CF$3-VLOOKUP($A17,'détails investissements'!$A$71:$B$88,2,FALSE)&lt;=0,"",IF(VLOOKUP($A17,'détails investissements'!$A$26:$DE$43,CF$3-VLOOKUP($A17,'détails investissements'!$A$71:$B$88,2,FALSE)+1,FALSE)="","",VLOOKUP($A17,'détails investissements'!$A$26:$DE$43,CF$3-VLOOKUP($A17,'détails investissements'!$A$71:$B$88,2,FALSE)+1,FALSE))),'détails investissements'!$U$6:$AB$7,2,FALSE),""),FALSE),"")</f>
        <v/>
      </c>
      <c r="CG17" s="45" t="str">
        <f>IF(IF(IF(CG$3-VLOOKUP($A17,'détails investissements'!$A$71:$B$88,2,FALSE)&lt;=0,"",IF(VLOOKUP($A17,'détails investissements'!$A$26:$DE$43,CG$3-VLOOKUP($A17,'détails investissements'!$A$71:$B$88,2,FALSE)+1,FALSE)="","",VLOOKUP($A17,'détails investissements'!$A$26:$DE$43,CG$3-VLOOKUP($A17,'détails investissements'!$A$71:$B$88,2,FALSE)+1,FALSE)))&lt;&gt;"",HLOOKUP(IF(CG$3-VLOOKUP($A17,'détails investissements'!$A$71:$B$88,2,FALSE)&lt;=0,"",IF(VLOOKUP($A17,'détails investissements'!$A$26:$DE$43,CG$3-VLOOKUP($A17,'détails investissements'!$A$71:$B$88,2,FALSE)+1,FALSE)="","",VLOOKUP($A17,'détails investissements'!$A$26:$DE$43,CG$3-VLOOKUP($A17,'détails investissements'!$A$71:$B$88,2,FALSE)+1,FALSE))),'détails investissements'!$U$6:$AB$7,2,FALSE),"")&lt;&gt;"",VLOOKUP($A17,'détails investissements'!$A$7:$H$21,1+IF(IF(CG$3-VLOOKUP($A17,'détails investissements'!$A$71:$B$88,2,FALSE)&lt;=0,"",IF(VLOOKUP($A17,'détails investissements'!$A$26:$DE$43,CG$3-VLOOKUP($A17,'détails investissements'!$A$71:$B$88,2,FALSE)+1,FALSE)="","",VLOOKUP($A17,'détails investissements'!$A$26:$DE$43,CG$3-VLOOKUP($A17,'détails investissements'!$A$71:$B$88,2,FALSE)+1,FALSE)))&lt;&gt;"",HLOOKUP(IF(CG$3-VLOOKUP($A17,'détails investissements'!$A$71:$B$88,2,FALSE)&lt;=0,"",IF(VLOOKUP($A17,'détails investissements'!$A$26:$DE$43,CG$3-VLOOKUP($A17,'détails investissements'!$A$71:$B$88,2,FALSE)+1,FALSE)="","",VLOOKUP($A17,'détails investissements'!$A$26:$DE$43,CG$3-VLOOKUP($A17,'détails investissements'!$A$71:$B$88,2,FALSE)+1,FALSE))),'détails investissements'!$U$6:$AB$7,2,FALSE),""),FALSE),"")</f>
        <v/>
      </c>
      <c r="CH17" s="45" t="str">
        <f>IF(IF(IF(CH$3-VLOOKUP($A17,'détails investissements'!$A$71:$B$88,2,FALSE)&lt;=0,"",IF(VLOOKUP($A17,'détails investissements'!$A$26:$DE$43,CH$3-VLOOKUP($A17,'détails investissements'!$A$71:$B$88,2,FALSE)+1,FALSE)="","",VLOOKUP($A17,'détails investissements'!$A$26:$DE$43,CH$3-VLOOKUP($A17,'détails investissements'!$A$71:$B$88,2,FALSE)+1,FALSE)))&lt;&gt;"",HLOOKUP(IF(CH$3-VLOOKUP($A17,'détails investissements'!$A$71:$B$88,2,FALSE)&lt;=0,"",IF(VLOOKUP($A17,'détails investissements'!$A$26:$DE$43,CH$3-VLOOKUP($A17,'détails investissements'!$A$71:$B$88,2,FALSE)+1,FALSE)="","",VLOOKUP($A17,'détails investissements'!$A$26:$DE$43,CH$3-VLOOKUP($A17,'détails investissements'!$A$71:$B$88,2,FALSE)+1,FALSE))),'détails investissements'!$U$6:$AB$7,2,FALSE),"")&lt;&gt;"",VLOOKUP($A17,'détails investissements'!$A$7:$H$21,1+IF(IF(CH$3-VLOOKUP($A17,'détails investissements'!$A$71:$B$88,2,FALSE)&lt;=0,"",IF(VLOOKUP($A17,'détails investissements'!$A$26:$DE$43,CH$3-VLOOKUP($A17,'détails investissements'!$A$71:$B$88,2,FALSE)+1,FALSE)="","",VLOOKUP($A17,'détails investissements'!$A$26:$DE$43,CH$3-VLOOKUP($A17,'détails investissements'!$A$71:$B$88,2,FALSE)+1,FALSE)))&lt;&gt;"",HLOOKUP(IF(CH$3-VLOOKUP($A17,'détails investissements'!$A$71:$B$88,2,FALSE)&lt;=0,"",IF(VLOOKUP($A17,'détails investissements'!$A$26:$DE$43,CH$3-VLOOKUP($A17,'détails investissements'!$A$71:$B$88,2,FALSE)+1,FALSE)="","",VLOOKUP($A17,'détails investissements'!$A$26:$DE$43,CH$3-VLOOKUP($A17,'détails investissements'!$A$71:$B$88,2,FALSE)+1,FALSE))),'détails investissements'!$U$6:$AB$7,2,FALSE),""),FALSE),"")</f>
        <v/>
      </c>
      <c r="CI17" s="45" t="str">
        <f>IF(IF(IF(CI$3-VLOOKUP($A17,'détails investissements'!$A$71:$B$88,2,FALSE)&lt;=0,"",IF(VLOOKUP($A17,'détails investissements'!$A$26:$DE$43,CI$3-VLOOKUP($A17,'détails investissements'!$A$71:$B$88,2,FALSE)+1,FALSE)="","",VLOOKUP($A17,'détails investissements'!$A$26:$DE$43,CI$3-VLOOKUP($A17,'détails investissements'!$A$71:$B$88,2,FALSE)+1,FALSE)))&lt;&gt;"",HLOOKUP(IF(CI$3-VLOOKUP($A17,'détails investissements'!$A$71:$B$88,2,FALSE)&lt;=0,"",IF(VLOOKUP($A17,'détails investissements'!$A$26:$DE$43,CI$3-VLOOKUP($A17,'détails investissements'!$A$71:$B$88,2,FALSE)+1,FALSE)="","",VLOOKUP($A17,'détails investissements'!$A$26:$DE$43,CI$3-VLOOKUP($A17,'détails investissements'!$A$71:$B$88,2,FALSE)+1,FALSE))),'détails investissements'!$U$6:$AB$7,2,FALSE),"")&lt;&gt;"",VLOOKUP($A17,'détails investissements'!$A$7:$H$21,1+IF(IF(CI$3-VLOOKUP($A17,'détails investissements'!$A$71:$B$88,2,FALSE)&lt;=0,"",IF(VLOOKUP($A17,'détails investissements'!$A$26:$DE$43,CI$3-VLOOKUP($A17,'détails investissements'!$A$71:$B$88,2,FALSE)+1,FALSE)="","",VLOOKUP($A17,'détails investissements'!$A$26:$DE$43,CI$3-VLOOKUP($A17,'détails investissements'!$A$71:$B$88,2,FALSE)+1,FALSE)))&lt;&gt;"",HLOOKUP(IF(CI$3-VLOOKUP($A17,'détails investissements'!$A$71:$B$88,2,FALSE)&lt;=0,"",IF(VLOOKUP($A17,'détails investissements'!$A$26:$DE$43,CI$3-VLOOKUP($A17,'détails investissements'!$A$71:$B$88,2,FALSE)+1,FALSE)="","",VLOOKUP($A17,'détails investissements'!$A$26:$DE$43,CI$3-VLOOKUP($A17,'détails investissements'!$A$71:$B$88,2,FALSE)+1,FALSE))),'détails investissements'!$U$6:$AB$7,2,FALSE),""),FALSE),"")</f>
        <v/>
      </c>
      <c r="CJ17" s="45" t="str">
        <f>IF(IF(IF(CJ$3-VLOOKUP($A17,'détails investissements'!$A$71:$B$88,2,FALSE)&lt;=0,"",IF(VLOOKUP($A17,'détails investissements'!$A$26:$DE$43,CJ$3-VLOOKUP($A17,'détails investissements'!$A$71:$B$88,2,FALSE)+1,FALSE)="","",VLOOKUP($A17,'détails investissements'!$A$26:$DE$43,CJ$3-VLOOKUP($A17,'détails investissements'!$A$71:$B$88,2,FALSE)+1,FALSE)))&lt;&gt;"",HLOOKUP(IF(CJ$3-VLOOKUP($A17,'détails investissements'!$A$71:$B$88,2,FALSE)&lt;=0,"",IF(VLOOKUP($A17,'détails investissements'!$A$26:$DE$43,CJ$3-VLOOKUP($A17,'détails investissements'!$A$71:$B$88,2,FALSE)+1,FALSE)="","",VLOOKUP($A17,'détails investissements'!$A$26:$DE$43,CJ$3-VLOOKUP($A17,'détails investissements'!$A$71:$B$88,2,FALSE)+1,FALSE))),'détails investissements'!$U$6:$AB$7,2,FALSE),"")&lt;&gt;"",VLOOKUP($A17,'détails investissements'!$A$7:$H$21,1+IF(IF(CJ$3-VLOOKUP($A17,'détails investissements'!$A$71:$B$88,2,FALSE)&lt;=0,"",IF(VLOOKUP($A17,'détails investissements'!$A$26:$DE$43,CJ$3-VLOOKUP($A17,'détails investissements'!$A$71:$B$88,2,FALSE)+1,FALSE)="","",VLOOKUP($A17,'détails investissements'!$A$26:$DE$43,CJ$3-VLOOKUP($A17,'détails investissements'!$A$71:$B$88,2,FALSE)+1,FALSE)))&lt;&gt;"",HLOOKUP(IF(CJ$3-VLOOKUP($A17,'détails investissements'!$A$71:$B$88,2,FALSE)&lt;=0,"",IF(VLOOKUP($A17,'détails investissements'!$A$26:$DE$43,CJ$3-VLOOKUP($A17,'détails investissements'!$A$71:$B$88,2,FALSE)+1,FALSE)="","",VLOOKUP($A17,'détails investissements'!$A$26:$DE$43,CJ$3-VLOOKUP($A17,'détails investissements'!$A$71:$B$88,2,FALSE)+1,FALSE))),'détails investissements'!$U$6:$AB$7,2,FALSE),""),FALSE),"")</f>
        <v/>
      </c>
      <c r="CK17" s="45" t="str">
        <f>IF(IF(IF(CK$3-VLOOKUP($A17,'détails investissements'!$A$71:$B$88,2,FALSE)&lt;=0,"",IF(VLOOKUP($A17,'détails investissements'!$A$26:$DE$43,CK$3-VLOOKUP($A17,'détails investissements'!$A$71:$B$88,2,FALSE)+1,FALSE)="","",VLOOKUP($A17,'détails investissements'!$A$26:$DE$43,CK$3-VLOOKUP($A17,'détails investissements'!$A$71:$B$88,2,FALSE)+1,FALSE)))&lt;&gt;"",HLOOKUP(IF(CK$3-VLOOKUP($A17,'détails investissements'!$A$71:$B$88,2,FALSE)&lt;=0,"",IF(VLOOKUP($A17,'détails investissements'!$A$26:$DE$43,CK$3-VLOOKUP($A17,'détails investissements'!$A$71:$B$88,2,FALSE)+1,FALSE)="","",VLOOKUP($A17,'détails investissements'!$A$26:$DE$43,CK$3-VLOOKUP($A17,'détails investissements'!$A$71:$B$88,2,FALSE)+1,FALSE))),'détails investissements'!$U$6:$AB$7,2,FALSE),"")&lt;&gt;"",VLOOKUP($A17,'détails investissements'!$A$7:$H$21,1+IF(IF(CK$3-VLOOKUP($A17,'détails investissements'!$A$71:$B$88,2,FALSE)&lt;=0,"",IF(VLOOKUP($A17,'détails investissements'!$A$26:$DE$43,CK$3-VLOOKUP($A17,'détails investissements'!$A$71:$B$88,2,FALSE)+1,FALSE)="","",VLOOKUP($A17,'détails investissements'!$A$26:$DE$43,CK$3-VLOOKUP($A17,'détails investissements'!$A$71:$B$88,2,FALSE)+1,FALSE)))&lt;&gt;"",HLOOKUP(IF(CK$3-VLOOKUP($A17,'détails investissements'!$A$71:$B$88,2,FALSE)&lt;=0,"",IF(VLOOKUP($A17,'détails investissements'!$A$26:$DE$43,CK$3-VLOOKUP($A17,'détails investissements'!$A$71:$B$88,2,FALSE)+1,FALSE)="","",VLOOKUP($A17,'détails investissements'!$A$26:$DE$43,CK$3-VLOOKUP($A17,'détails investissements'!$A$71:$B$88,2,FALSE)+1,FALSE))),'détails investissements'!$U$6:$AB$7,2,FALSE),""),FALSE),"")</f>
        <v/>
      </c>
      <c r="CL17" s="45" t="str">
        <f>IF(IF(IF(CL$3-VLOOKUP($A17,'détails investissements'!$A$71:$B$88,2,FALSE)&lt;=0,"",IF(VLOOKUP($A17,'détails investissements'!$A$26:$DE$43,CL$3-VLOOKUP($A17,'détails investissements'!$A$71:$B$88,2,FALSE)+1,FALSE)="","",VLOOKUP($A17,'détails investissements'!$A$26:$DE$43,CL$3-VLOOKUP($A17,'détails investissements'!$A$71:$B$88,2,FALSE)+1,FALSE)))&lt;&gt;"",HLOOKUP(IF(CL$3-VLOOKUP($A17,'détails investissements'!$A$71:$B$88,2,FALSE)&lt;=0,"",IF(VLOOKUP($A17,'détails investissements'!$A$26:$DE$43,CL$3-VLOOKUP($A17,'détails investissements'!$A$71:$B$88,2,FALSE)+1,FALSE)="","",VLOOKUP($A17,'détails investissements'!$A$26:$DE$43,CL$3-VLOOKUP($A17,'détails investissements'!$A$71:$B$88,2,FALSE)+1,FALSE))),'détails investissements'!$U$6:$AB$7,2,FALSE),"")&lt;&gt;"",VLOOKUP($A17,'détails investissements'!$A$7:$H$21,1+IF(IF(CL$3-VLOOKUP($A17,'détails investissements'!$A$71:$B$88,2,FALSE)&lt;=0,"",IF(VLOOKUP($A17,'détails investissements'!$A$26:$DE$43,CL$3-VLOOKUP($A17,'détails investissements'!$A$71:$B$88,2,FALSE)+1,FALSE)="","",VLOOKUP($A17,'détails investissements'!$A$26:$DE$43,CL$3-VLOOKUP($A17,'détails investissements'!$A$71:$B$88,2,FALSE)+1,FALSE)))&lt;&gt;"",HLOOKUP(IF(CL$3-VLOOKUP($A17,'détails investissements'!$A$71:$B$88,2,FALSE)&lt;=0,"",IF(VLOOKUP($A17,'détails investissements'!$A$26:$DE$43,CL$3-VLOOKUP($A17,'détails investissements'!$A$71:$B$88,2,FALSE)+1,FALSE)="","",VLOOKUP($A17,'détails investissements'!$A$26:$DE$43,CL$3-VLOOKUP($A17,'détails investissements'!$A$71:$B$88,2,FALSE)+1,FALSE))),'détails investissements'!$U$6:$AB$7,2,FALSE),""),FALSE),"")</f>
        <v/>
      </c>
      <c r="CM17" s="45" t="str">
        <f>IF(IF(IF(CM$3-VLOOKUP($A17,'détails investissements'!$A$71:$B$88,2,FALSE)&lt;=0,"",IF(VLOOKUP($A17,'détails investissements'!$A$26:$DE$43,CM$3-VLOOKUP($A17,'détails investissements'!$A$71:$B$88,2,FALSE)+1,FALSE)="","",VLOOKUP($A17,'détails investissements'!$A$26:$DE$43,CM$3-VLOOKUP($A17,'détails investissements'!$A$71:$B$88,2,FALSE)+1,FALSE)))&lt;&gt;"",HLOOKUP(IF(CM$3-VLOOKUP($A17,'détails investissements'!$A$71:$B$88,2,FALSE)&lt;=0,"",IF(VLOOKUP($A17,'détails investissements'!$A$26:$DE$43,CM$3-VLOOKUP($A17,'détails investissements'!$A$71:$B$88,2,FALSE)+1,FALSE)="","",VLOOKUP($A17,'détails investissements'!$A$26:$DE$43,CM$3-VLOOKUP($A17,'détails investissements'!$A$71:$B$88,2,FALSE)+1,FALSE))),'détails investissements'!$U$6:$AB$7,2,FALSE),"")&lt;&gt;"",VLOOKUP($A17,'détails investissements'!$A$7:$H$21,1+IF(IF(CM$3-VLOOKUP($A17,'détails investissements'!$A$71:$B$88,2,FALSE)&lt;=0,"",IF(VLOOKUP($A17,'détails investissements'!$A$26:$DE$43,CM$3-VLOOKUP($A17,'détails investissements'!$A$71:$B$88,2,FALSE)+1,FALSE)="","",VLOOKUP($A17,'détails investissements'!$A$26:$DE$43,CM$3-VLOOKUP($A17,'détails investissements'!$A$71:$B$88,2,FALSE)+1,FALSE)))&lt;&gt;"",HLOOKUP(IF(CM$3-VLOOKUP($A17,'détails investissements'!$A$71:$B$88,2,FALSE)&lt;=0,"",IF(VLOOKUP($A17,'détails investissements'!$A$26:$DE$43,CM$3-VLOOKUP($A17,'détails investissements'!$A$71:$B$88,2,FALSE)+1,FALSE)="","",VLOOKUP($A17,'détails investissements'!$A$26:$DE$43,CM$3-VLOOKUP($A17,'détails investissements'!$A$71:$B$88,2,FALSE)+1,FALSE))),'détails investissements'!$U$6:$AB$7,2,FALSE),""),FALSE),"")</f>
        <v/>
      </c>
      <c r="CN17" s="45" t="str">
        <f>IF(IF(IF(CN$3-VLOOKUP($A17,'détails investissements'!$A$71:$B$88,2,FALSE)&lt;=0,"",IF(VLOOKUP($A17,'détails investissements'!$A$26:$DE$43,CN$3-VLOOKUP($A17,'détails investissements'!$A$71:$B$88,2,FALSE)+1,FALSE)="","",VLOOKUP($A17,'détails investissements'!$A$26:$DE$43,CN$3-VLOOKUP($A17,'détails investissements'!$A$71:$B$88,2,FALSE)+1,FALSE)))&lt;&gt;"",HLOOKUP(IF(CN$3-VLOOKUP($A17,'détails investissements'!$A$71:$B$88,2,FALSE)&lt;=0,"",IF(VLOOKUP($A17,'détails investissements'!$A$26:$DE$43,CN$3-VLOOKUP($A17,'détails investissements'!$A$71:$B$88,2,FALSE)+1,FALSE)="","",VLOOKUP($A17,'détails investissements'!$A$26:$DE$43,CN$3-VLOOKUP($A17,'détails investissements'!$A$71:$B$88,2,FALSE)+1,FALSE))),'détails investissements'!$U$6:$AB$7,2,FALSE),"")&lt;&gt;"",VLOOKUP($A17,'détails investissements'!$A$7:$H$21,1+IF(IF(CN$3-VLOOKUP($A17,'détails investissements'!$A$71:$B$88,2,FALSE)&lt;=0,"",IF(VLOOKUP($A17,'détails investissements'!$A$26:$DE$43,CN$3-VLOOKUP($A17,'détails investissements'!$A$71:$B$88,2,FALSE)+1,FALSE)="","",VLOOKUP($A17,'détails investissements'!$A$26:$DE$43,CN$3-VLOOKUP($A17,'détails investissements'!$A$71:$B$88,2,FALSE)+1,FALSE)))&lt;&gt;"",HLOOKUP(IF(CN$3-VLOOKUP($A17,'détails investissements'!$A$71:$B$88,2,FALSE)&lt;=0,"",IF(VLOOKUP($A17,'détails investissements'!$A$26:$DE$43,CN$3-VLOOKUP($A17,'détails investissements'!$A$71:$B$88,2,FALSE)+1,FALSE)="","",VLOOKUP($A17,'détails investissements'!$A$26:$DE$43,CN$3-VLOOKUP($A17,'détails investissements'!$A$71:$B$88,2,FALSE)+1,FALSE))),'détails investissements'!$U$6:$AB$7,2,FALSE),""),FALSE),"")</f>
        <v/>
      </c>
      <c r="CO17" s="45" t="str">
        <f>IF(IF(IF(CO$3-VLOOKUP($A17,'détails investissements'!$A$71:$B$88,2,FALSE)&lt;=0,"",IF(VLOOKUP($A17,'détails investissements'!$A$26:$DE$43,CO$3-VLOOKUP($A17,'détails investissements'!$A$71:$B$88,2,FALSE)+1,FALSE)="","",VLOOKUP($A17,'détails investissements'!$A$26:$DE$43,CO$3-VLOOKUP($A17,'détails investissements'!$A$71:$B$88,2,FALSE)+1,FALSE)))&lt;&gt;"",HLOOKUP(IF(CO$3-VLOOKUP($A17,'détails investissements'!$A$71:$B$88,2,FALSE)&lt;=0,"",IF(VLOOKUP($A17,'détails investissements'!$A$26:$DE$43,CO$3-VLOOKUP($A17,'détails investissements'!$A$71:$B$88,2,FALSE)+1,FALSE)="","",VLOOKUP($A17,'détails investissements'!$A$26:$DE$43,CO$3-VLOOKUP($A17,'détails investissements'!$A$71:$B$88,2,FALSE)+1,FALSE))),'détails investissements'!$U$6:$AB$7,2,FALSE),"")&lt;&gt;"",VLOOKUP($A17,'détails investissements'!$A$7:$H$21,1+IF(IF(CO$3-VLOOKUP($A17,'détails investissements'!$A$71:$B$88,2,FALSE)&lt;=0,"",IF(VLOOKUP($A17,'détails investissements'!$A$26:$DE$43,CO$3-VLOOKUP($A17,'détails investissements'!$A$71:$B$88,2,FALSE)+1,FALSE)="","",VLOOKUP($A17,'détails investissements'!$A$26:$DE$43,CO$3-VLOOKUP($A17,'détails investissements'!$A$71:$B$88,2,FALSE)+1,FALSE)))&lt;&gt;"",HLOOKUP(IF(CO$3-VLOOKUP($A17,'détails investissements'!$A$71:$B$88,2,FALSE)&lt;=0,"",IF(VLOOKUP($A17,'détails investissements'!$A$26:$DE$43,CO$3-VLOOKUP($A17,'détails investissements'!$A$71:$B$88,2,FALSE)+1,FALSE)="","",VLOOKUP($A17,'détails investissements'!$A$26:$DE$43,CO$3-VLOOKUP($A17,'détails investissements'!$A$71:$B$88,2,FALSE)+1,FALSE))),'détails investissements'!$U$6:$AB$7,2,FALSE),""),FALSE),"")</f>
        <v/>
      </c>
      <c r="CP17" s="45" t="str">
        <f>IF(IF(IF(CP$3-VLOOKUP($A17,'détails investissements'!$A$71:$B$88,2,FALSE)&lt;=0,"",IF(VLOOKUP($A17,'détails investissements'!$A$26:$DE$43,CP$3-VLOOKUP($A17,'détails investissements'!$A$71:$B$88,2,FALSE)+1,FALSE)="","",VLOOKUP($A17,'détails investissements'!$A$26:$DE$43,CP$3-VLOOKUP($A17,'détails investissements'!$A$71:$B$88,2,FALSE)+1,FALSE)))&lt;&gt;"",HLOOKUP(IF(CP$3-VLOOKUP($A17,'détails investissements'!$A$71:$B$88,2,FALSE)&lt;=0,"",IF(VLOOKUP($A17,'détails investissements'!$A$26:$DE$43,CP$3-VLOOKUP($A17,'détails investissements'!$A$71:$B$88,2,FALSE)+1,FALSE)="","",VLOOKUP($A17,'détails investissements'!$A$26:$DE$43,CP$3-VLOOKUP($A17,'détails investissements'!$A$71:$B$88,2,FALSE)+1,FALSE))),'détails investissements'!$U$6:$AB$7,2,FALSE),"")&lt;&gt;"",VLOOKUP($A17,'détails investissements'!$A$7:$H$21,1+IF(IF(CP$3-VLOOKUP($A17,'détails investissements'!$A$71:$B$88,2,FALSE)&lt;=0,"",IF(VLOOKUP($A17,'détails investissements'!$A$26:$DE$43,CP$3-VLOOKUP($A17,'détails investissements'!$A$71:$B$88,2,FALSE)+1,FALSE)="","",VLOOKUP($A17,'détails investissements'!$A$26:$DE$43,CP$3-VLOOKUP($A17,'détails investissements'!$A$71:$B$88,2,FALSE)+1,FALSE)))&lt;&gt;"",HLOOKUP(IF(CP$3-VLOOKUP($A17,'détails investissements'!$A$71:$B$88,2,FALSE)&lt;=0,"",IF(VLOOKUP($A17,'détails investissements'!$A$26:$DE$43,CP$3-VLOOKUP($A17,'détails investissements'!$A$71:$B$88,2,FALSE)+1,FALSE)="","",VLOOKUP($A17,'détails investissements'!$A$26:$DE$43,CP$3-VLOOKUP($A17,'détails investissements'!$A$71:$B$88,2,FALSE)+1,FALSE))),'détails investissements'!$U$6:$AB$7,2,FALSE),""),FALSE),"")</f>
        <v/>
      </c>
      <c r="CQ17" s="45" t="str">
        <f>IF(IF(IF(CQ$3-VLOOKUP($A17,'détails investissements'!$A$71:$B$88,2,FALSE)&lt;=0,"",IF(VLOOKUP($A17,'détails investissements'!$A$26:$DE$43,CQ$3-VLOOKUP($A17,'détails investissements'!$A$71:$B$88,2,FALSE)+1,FALSE)="","",VLOOKUP($A17,'détails investissements'!$A$26:$DE$43,CQ$3-VLOOKUP($A17,'détails investissements'!$A$71:$B$88,2,FALSE)+1,FALSE)))&lt;&gt;"",HLOOKUP(IF(CQ$3-VLOOKUP($A17,'détails investissements'!$A$71:$B$88,2,FALSE)&lt;=0,"",IF(VLOOKUP($A17,'détails investissements'!$A$26:$DE$43,CQ$3-VLOOKUP($A17,'détails investissements'!$A$71:$B$88,2,FALSE)+1,FALSE)="","",VLOOKUP($A17,'détails investissements'!$A$26:$DE$43,CQ$3-VLOOKUP($A17,'détails investissements'!$A$71:$B$88,2,FALSE)+1,FALSE))),'détails investissements'!$U$6:$AB$7,2,FALSE),"")&lt;&gt;"",VLOOKUP($A17,'détails investissements'!$A$7:$H$21,1+IF(IF(CQ$3-VLOOKUP($A17,'détails investissements'!$A$71:$B$88,2,FALSE)&lt;=0,"",IF(VLOOKUP($A17,'détails investissements'!$A$26:$DE$43,CQ$3-VLOOKUP($A17,'détails investissements'!$A$71:$B$88,2,FALSE)+1,FALSE)="","",VLOOKUP($A17,'détails investissements'!$A$26:$DE$43,CQ$3-VLOOKUP($A17,'détails investissements'!$A$71:$B$88,2,FALSE)+1,FALSE)))&lt;&gt;"",HLOOKUP(IF(CQ$3-VLOOKUP($A17,'détails investissements'!$A$71:$B$88,2,FALSE)&lt;=0,"",IF(VLOOKUP($A17,'détails investissements'!$A$26:$DE$43,CQ$3-VLOOKUP($A17,'détails investissements'!$A$71:$B$88,2,FALSE)+1,FALSE)="","",VLOOKUP($A17,'détails investissements'!$A$26:$DE$43,CQ$3-VLOOKUP($A17,'détails investissements'!$A$71:$B$88,2,FALSE)+1,FALSE))),'détails investissements'!$U$6:$AB$7,2,FALSE),""),FALSE),"")</f>
        <v/>
      </c>
      <c r="CR17" s="45" t="str">
        <f>IF(IF(IF(CR$3-VLOOKUP($A17,'détails investissements'!$A$71:$B$88,2,FALSE)&lt;=0,"",IF(VLOOKUP($A17,'détails investissements'!$A$26:$DE$43,CR$3-VLOOKUP($A17,'détails investissements'!$A$71:$B$88,2,FALSE)+1,FALSE)="","",VLOOKUP($A17,'détails investissements'!$A$26:$DE$43,CR$3-VLOOKUP($A17,'détails investissements'!$A$71:$B$88,2,FALSE)+1,FALSE)))&lt;&gt;"",HLOOKUP(IF(CR$3-VLOOKUP($A17,'détails investissements'!$A$71:$B$88,2,FALSE)&lt;=0,"",IF(VLOOKUP($A17,'détails investissements'!$A$26:$DE$43,CR$3-VLOOKUP($A17,'détails investissements'!$A$71:$B$88,2,FALSE)+1,FALSE)="","",VLOOKUP($A17,'détails investissements'!$A$26:$DE$43,CR$3-VLOOKUP($A17,'détails investissements'!$A$71:$B$88,2,FALSE)+1,FALSE))),'détails investissements'!$U$6:$AB$7,2,FALSE),"")&lt;&gt;"",VLOOKUP($A17,'détails investissements'!$A$7:$H$21,1+IF(IF(CR$3-VLOOKUP($A17,'détails investissements'!$A$71:$B$88,2,FALSE)&lt;=0,"",IF(VLOOKUP($A17,'détails investissements'!$A$26:$DE$43,CR$3-VLOOKUP($A17,'détails investissements'!$A$71:$B$88,2,FALSE)+1,FALSE)="","",VLOOKUP($A17,'détails investissements'!$A$26:$DE$43,CR$3-VLOOKUP($A17,'détails investissements'!$A$71:$B$88,2,FALSE)+1,FALSE)))&lt;&gt;"",HLOOKUP(IF(CR$3-VLOOKUP($A17,'détails investissements'!$A$71:$B$88,2,FALSE)&lt;=0,"",IF(VLOOKUP($A17,'détails investissements'!$A$26:$DE$43,CR$3-VLOOKUP($A17,'détails investissements'!$A$71:$B$88,2,FALSE)+1,FALSE)="","",VLOOKUP($A17,'détails investissements'!$A$26:$DE$43,CR$3-VLOOKUP($A17,'détails investissements'!$A$71:$B$88,2,FALSE)+1,FALSE))),'détails investissements'!$U$6:$AB$7,2,FALSE),""),FALSE),"")</f>
        <v/>
      </c>
      <c r="CS17" s="45" t="str">
        <f>IF(IF(IF(CS$3-VLOOKUP($A17,'détails investissements'!$A$71:$B$88,2,FALSE)&lt;=0,"",IF(VLOOKUP($A17,'détails investissements'!$A$26:$DE$43,CS$3-VLOOKUP($A17,'détails investissements'!$A$71:$B$88,2,FALSE)+1,FALSE)="","",VLOOKUP($A17,'détails investissements'!$A$26:$DE$43,CS$3-VLOOKUP($A17,'détails investissements'!$A$71:$B$88,2,FALSE)+1,FALSE)))&lt;&gt;"",HLOOKUP(IF(CS$3-VLOOKUP($A17,'détails investissements'!$A$71:$B$88,2,FALSE)&lt;=0,"",IF(VLOOKUP($A17,'détails investissements'!$A$26:$DE$43,CS$3-VLOOKUP($A17,'détails investissements'!$A$71:$B$88,2,FALSE)+1,FALSE)="","",VLOOKUP($A17,'détails investissements'!$A$26:$DE$43,CS$3-VLOOKUP($A17,'détails investissements'!$A$71:$B$88,2,FALSE)+1,FALSE))),'détails investissements'!$U$6:$AB$7,2,FALSE),"")&lt;&gt;"",VLOOKUP($A17,'détails investissements'!$A$7:$H$21,1+IF(IF(CS$3-VLOOKUP($A17,'détails investissements'!$A$71:$B$88,2,FALSE)&lt;=0,"",IF(VLOOKUP($A17,'détails investissements'!$A$26:$DE$43,CS$3-VLOOKUP($A17,'détails investissements'!$A$71:$B$88,2,FALSE)+1,FALSE)="","",VLOOKUP($A17,'détails investissements'!$A$26:$DE$43,CS$3-VLOOKUP($A17,'détails investissements'!$A$71:$B$88,2,FALSE)+1,FALSE)))&lt;&gt;"",HLOOKUP(IF(CS$3-VLOOKUP($A17,'détails investissements'!$A$71:$B$88,2,FALSE)&lt;=0,"",IF(VLOOKUP($A17,'détails investissements'!$A$26:$DE$43,CS$3-VLOOKUP($A17,'détails investissements'!$A$71:$B$88,2,FALSE)+1,FALSE)="","",VLOOKUP($A17,'détails investissements'!$A$26:$DE$43,CS$3-VLOOKUP($A17,'détails investissements'!$A$71:$B$88,2,FALSE)+1,FALSE))),'détails investissements'!$U$6:$AB$7,2,FALSE),""),FALSE),"")</f>
        <v/>
      </c>
      <c r="CT17" s="45" t="str">
        <f>IF(IF(IF(CT$3-VLOOKUP($A17,'détails investissements'!$A$71:$B$88,2,FALSE)&lt;=0,"",IF(VLOOKUP($A17,'détails investissements'!$A$26:$DE$43,CT$3-VLOOKUP($A17,'détails investissements'!$A$71:$B$88,2,FALSE)+1,FALSE)="","",VLOOKUP($A17,'détails investissements'!$A$26:$DE$43,CT$3-VLOOKUP($A17,'détails investissements'!$A$71:$B$88,2,FALSE)+1,FALSE)))&lt;&gt;"",HLOOKUP(IF(CT$3-VLOOKUP($A17,'détails investissements'!$A$71:$B$88,2,FALSE)&lt;=0,"",IF(VLOOKUP($A17,'détails investissements'!$A$26:$DE$43,CT$3-VLOOKUP($A17,'détails investissements'!$A$71:$B$88,2,FALSE)+1,FALSE)="","",VLOOKUP($A17,'détails investissements'!$A$26:$DE$43,CT$3-VLOOKUP($A17,'détails investissements'!$A$71:$B$88,2,FALSE)+1,FALSE))),'détails investissements'!$U$6:$AB$7,2,FALSE),"")&lt;&gt;"",VLOOKUP($A17,'détails investissements'!$A$7:$H$21,1+IF(IF(CT$3-VLOOKUP($A17,'détails investissements'!$A$71:$B$88,2,FALSE)&lt;=0,"",IF(VLOOKUP($A17,'détails investissements'!$A$26:$DE$43,CT$3-VLOOKUP($A17,'détails investissements'!$A$71:$B$88,2,FALSE)+1,FALSE)="","",VLOOKUP($A17,'détails investissements'!$A$26:$DE$43,CT$3-VLOOKUP($A17,'détails investissements'!$A$71:$B$88,2,FALSE)+1,FALSE)))&lt;&gt;"",HLOOKUP(IF(CT$3-VLOOKUP($A17,'détails investissements'!$A$71:$B$88,2,FALSE)&lt;=0,"",IF(VLOOKUP($A17,'détails investissements'!$A$26:$DE$43,CT$3-VLOOKUP($A17,'détails investissements'!$A$71:$B$88,2,FALSE)+1,FALSE)="","",VLOOKUP($A17,'détails investissements'!$A$26:$DE$43,CT$3-VLOOKUP($A17,'détails investissements'!$A$71:$B$88,2,FALSE)+1,FALSE))),'détails investissements'!$U$6:$AB$7,2,FALSE),""),FALSE),"")</f>
        <v/>
      </c>
      <c r="CU17" s="45" t="str">
        <f>IF(IF(IF(CU$3-VLOOKUP($A17,'détails investissements'!$A$71:$B$88,2,FALSE)&lt;=0,"",IF(VLOOKUP($A17,'détails investissements'!$A$26:$DE$43,CU$3-VLOOKUP($A17,'détails investissements'!$A$71:$B$88,2,FALSE)+1,FALSE)="","",VLOOKUP($A17,'détails investissements'!$A$26:$DE$43,CU$3-VLOOKUP($A17,'détails investissements'!$A$71:$B$88,2,FALSE)+1,FALSE)))&lt;&gt;"",HLOOKUP(IF(CU$3-VLOOKUP($A17,'détails investissements'!$A$71:$B$88,2,FALSE)&lt;=0,"",IF(VLOOKUP($A17,'détails investissements'!$A$26:$DE$43,CU$3-VLOOKUP($A17,'détails investissements'!$A$71:$B$88,2,FALSE)+1,FALSE)="","",VLOOKUP($A17,'détails investissements'!$A$26:$DE$43,CU$3-VLOOKUP($A17,'détails investissements'!$A$71:$B$88,2,FALSE)+1,FALSE))),'détails investissements'!$U$6:$AB$7,2,FALSE),"")&lt;&gt;"",VLOOKUP($A17,'détails investissements'!$A$7:$H$21,1+IF(IF(CU$3-VLOOKUP($A17,'détails investissements'!$A$71:$B$88,2,FALSE)&lt;=0,"",IF(VLOOKUP($A17,'détails investissements'!$A$26:$DE$43,CU$3-VLOOKUP($A17,'détails investissements'!$A$71:$B$88,2,FALSE)+1,FALSE)="","",VLOOKUP($A17,'détails investissements'!$A$26:$DE$43,CU$3-VLOOKUP($A17,'détails investissements'!$A$71:$B$88,2,FALSE)+1,FALSE)))&lt;&gt;"",HLOOKUP(IF(CU$3-VLOOKUP($A17,'détails investissements'!$A$71:$B$88,2,FALSE)&lt;=0,"",IF(VLOOKUP($A17,'détails investissements'!$A$26:$DE$43,CU$3-VLOOKUP($A17,'détails investissements'!$A$71:$B$88,2,FALSE)+1,FALSE)="","",VLOOKUP($A17,'détails investissements'!$A$26:$DE$43,CU$3-VLOOKUP($A17,'détails investissements'!$A$71:$B$88,2,FALSE)+1,FALSE))),'détails investissements'!$U$6:$AB$7,2,FALSE),""),FALSE),"")</f>
        <v/>
      </c>
      <c r="CV17" s="45" t="str">
        <f>IF(IF(IF(CV$3-VLOOKUP($A17,'détails investissements'!$A$71:$B$88,2,FALSE)&lt;=0,"",IF(VLOOKUP($A17,'détails investissements'!$A$26:$DE$43,CV$3-VLOOKUP($A17,'détails investissements'!$A$71:$B$88,2,FALSE)+1,FALSE)="","",VLOOKUP($A17,'détails investissements'!$A$26:$DE$43,CV$3-VLOOKUP($A17,'détails investissements'!$A$71:$B$88,2,FALSE)+1,FALSE)))&lt;&gt;"",HLOOKUP(IF(CV$3-VLOOKUP($A17,'détails investissements'!$A$71:$B$88,2,FALSE)&lt;=0,"",IF(VLOOKUP($A17,'détails investissements'!$A$26:$DE$43,CV$3-VLOOKUP($A17,'détails investissements'!$A$71:$B$88,2,FALSE)+1,FALSE)="","",VLOOKUP($A17,'détails investissements'!$A$26:$DE$43,CV$3-VLOOKUP($A17,'détails investissements'!$A$71:$B$88,2,FALSE)+1,FALSE))),'détails investissements'!$U$6:$AB$7,2,FALSE),"")&lt;&gt;"",VLOOKUP($A17,'détails investissements'!$A$7:$H$21,1+IF(IF(CV$3-VLOOKUP($A17,'détails investissements'!$A$71:$B$88,2,FALSE)&lt;=0,"",IF(VLOOKUP($A17,'détails investissements'!$A$26:$DE$43,CV$3-VLOOKUP($A17,'détails investissements'!$A$71:$B$88,2,FALSE)+1,FALSE)="","",VLOOKUP($A17,'détails investissements'!$A$26:$DE$43,CV$3-VLOOKUP($A17,'détails investissements'!$A$71:$B$88,2,FALSE)+1,FALSE)))&lt;&gt;"",HLOOKUP(IF(CV$3-VLOOKUP($A17,'détails investissements'!$A$71:$B$88,2,FALSE)&lt;=0,"",IF(VLOOKUP($A17,'détails investissements'!$A$26:$DE$43,CV$3-VLOOKUP($A17,'détails investissements'!$A$71:$B$88,2,FALSE)+1,FALSE)="","",VLOOKUP($A17,'détails investissements'!$A$26:$DE$43,CV$3-VLOOKUP($A17,'détails investissements'!$A$71:$B$88,2,FALSE)+1,FALSE))),'détails investissements'!$U$6:$AB$7,2,FALSE),""),FALSE),"")</f>
        <v/>
      </c>
      <c r="CW17" s="45" t="str">
        <f>IF(IF(IF(CW$3-VLOOKUP($A17,'détails investissements'!$A$71:$B$88,2,FALSE)&lt;=0,"",IF(VLOOKUP($A17,'détails investissements'!$A$26:$DE$43,CW$3-VLOOKUP($A17,'détails investissements'!$A$71:$B$88,2,FALSE)+1,FALSE)="","",VLOOKUP($A17,'détails investissements'!$A$26:$DE$43,CW$3-VLOOKUP($A17,'détails investissements'!$A$71:$B$88,2,FALSE)+1,FALSE)))&lt;&gt;"",HLOOKUP(IF(CW$3-VLOOKUP($A17,'détails investissements'!$A$71:$B$88,2,FALSE)&lt;=0,"",IF(VLOOKUP($A17,'détails investissements'!$A$26:$DE$43,CW$3-VLOOKUP($A17,'détails investissements'!$A$71:$B$88,2,FALSE)+1,FALSE)="","",VLOOKUP($A17,'détails investissements'!$A$26:$DE$43,CW$3-VLOOKUP($A17,'détails investissements'!$A$71:$B$88,2,FALSE)+1,FALSE))),'détails investissements'!$U$6:$AB$7,2,FALSE),"")&lt;&gt;"",VLOOKUP($A17,'détails investissements'!$A$7:$H$21,1+IF(IF(CW$3-VLOOKUP($A17,'détails investissements'!$A$71:$B$88,2,FALSE)&lt;=0,"",IF(VLOOKUP($A17,'détails investissements'!$A$26:$DE$43,CW$3-VLOOKUP($A17,'détails investissements'!$A$71:$B$88,2,FALSE)+1,FALSE)="","",VLOOKUP($A17,'détails investissements'!$A$26:$DE$43,CW$3-VLOOKUP($A17,'détails investissements'!$A$71:$B$88,2,FALSE)+1,FALSE)))&lt;&gt;"",HLOOKUP(IF(CW$3-VLOOKUP($A17,'détails investissements'!$A$71:$B$88,2,FALSE)&lt;=0,"",IF(VLOOKUP($A17,'détails investissements'!$A$26:$DE$43,CW$3-VLOOKUP($A17,'détails investissements'!$A$71:$B$88,2,FALSE)+1,FALSE)="","",VLOOKUP($A17,'détails investissements'!$A$26:$DE$43,CW$3-VLOOKUP($A17,'détails investissements'!$A$71:$B$88,2,FALSE)+1,FALSE))),'détails investissements'!$U$6:$AB$7,2,FALSE),""),FALSE),"")</f>
        <v/>
      </c>
      <c r="CX17" s="45" t="str">
        <f>IF(IF(IF(CX$3-VLOOKUP($A17,'détails investissements'!$A$71:$B$88,2,FALSE)&lt;=0,"",IF(VLOOKUP($A17,'détails investissements'!$A$26:$DE$43,CX$3-VLOOKUP($A17,'détails investissements'!$A$71:$B$88,2,FALSE)+1,FALSE)="","",VLOOKUP($A17,'détails investissements'!$A$26:$DE$43,CX$3-VLOOKUP($A17,'détails investissements'!$A$71:$B$88,2,FALSE)+1,FALSE)))&lt;&gt;"",HLOOKUP(IF(CX$3-VLOOKUP($A17,'détails investissements'!$A$71:$B$88,2,FALSE)&lt;=0,"",IF(VLOOKUP($A17,'détails investissements'!$A$26:$DE$43,CX$3-VLOOKUP($A17,'détails investissements'!$A$71:$B$88,2,FALSE)+1,FALSE)="","",VLOOKUP($A17,'détails investissements'!$A$26:$DE$43,CX$3-VLOOKUP($A17,'détails investissements'!$A$71:$B$88,2,FALSE)+1,FALSE))),'détails investissements'!$U$6:$AB$7,2,FALSE),"")&lt;&gt;"",VLOOKUP($A17,'détails investissements'!$A$7:$H$21,1+IF(IF(CX$3-VLOOKUP($A17,'détails investissements'!$A$71:$B$88,2,FALSE)&lt;=0,"",IF(VLOOKUP($A17,'détails investissements'!$A$26:$DE$43,CX$3-VLOOKUP($A17,'détails investissements'!$A$71:$B$88,2,FALSE)+1,FALSE)="","",VLOOKUP($A17,'détails investissements'!$A$26:$DE$43,CX$3-VLOOKUP($A17,'détails investissements'!$A$71:$B$88,2,FALSE)+1,FALSE)))&lt;&gt;"",HLOOKUP(IF(CX$3-VLOOKUP($A17,'détails investissements'!$A$71:$B$88,2,FALSE)&lt;=0,"",IF(VLOOKUP($A17,'détails investissements'!$A$26:$DE$43,CX$3-VLOOKUP($A17,'détails investissements'!$A$71:$B$88,2,FALSE)+1,FALSE)="","",VLOOKUP($A17,'détails investissements'!$A$26:$DE$43,CX$3-VLOOKUP($A17,'détails investissements'!$A$71:$B$88,2,FALSE)+1,FALSE))),'détails investissements'!$U$6:$AB$7,2,FALSE),""),FALSE),"")</f>
        <v/>
      </c>
      <c r="CY17" s="45" t="str">
        <f>IF(IF(IF(CY$3-VLOOKUP($A17,'détails investissements'!$A$71:$B$88,2,FALSE)&lt;=0,"",IF(VLOOKUP($A17,'détails investissements'!$A$26:$DE$43,CY$3-VLOOKUP($A17,'détails investissements'!$A$71:$B$88,2,FALSE)+1,FALSE)="","",VLOOKUP($A17,'détails investissements'!$A$26:$DE$43,CY$3-VLOOKUP($A17,'détails investissements'!$A$71:$B$88,2,FALSE)+1,FALSE)))&lt;&gt;"",HLOOKUP(IF(CY$3-VLOOKUP($A17,'détails investissements'!$A$71:$B$88,2,FALSE)&lt;=0,"",IF(VLOOKUP($A17,'détails investissements'!$A$26:$DE$43,CY$3-VLOOKUP($A17,'détails investissements'!$A$71:$B$88,2,FALSE)+1,FALSE)="","",VLOOKUP($A17,'détails investissements'!$A$26:$DE$43,CY$3-VLOOKUP($A17,'détails investissements'!$A$71:$B$88,2,FALSE)+1,FALSE))),'détails investissements'!$U$6:$AB$7,2,FALSE),"")&lt;&gt;"",VLOOKUP($A17,'détails investissements'!$A$7:$H$21,1+IF(IF(CY$3-VLOOKUP($A17,'détails investissements'!$A$71:$B$88,2,FALSE)&lt;=0,"",IF(VLOOKUP($A17,'détails investissements'!$A$26:$DE$43,CY$3-VLOOKUP($A17,'détails investissements'!$A$71:$B$88,2,FALSE)+1,FALSE)="","",VLOOKUP($A17,'détails investissements'!$A$26:$DE$43,CY$3-VLOOKUP($A17,'détails investissements'!$A$71:$B$88,2,FALSE)+1,FALSE)))&lt;&gt;"",HLOOKUP(IF(CY$3-VLOOKUP($A17,'détails investissements'!$A$71:$B$88,2,FALSE)&lt;=0,"",IF(VLOOKUP($A17,'détails investissements'!$A$26:$DE$43,CY$3-VLOOKUP($A17,'détails investissements'!$A$71:$B$88,2,FALSE)+1,FALSE)="","",VLOOKUP($A17,'détails investissements'!$A$26:$DE$43,CY$3-VLOOKUP($A17,'détails investissements'!$A$71:$B$88,2,FALSE)+1,FALSE))),'détails investissements'!$U$6:$AB$7,2,FALSE),""),FALSE),"")</f>
        <v/>
      </c>
      <c r="CZ17" s="45" t="str">
        <f>IF(IF(IF(CZ$3-VLOOKUP($A17,'détails investissements'!$A$71:$B$88,2,FALSE)&lt;=0,"",IF(VLOOKUP($A17,'détails investissements'!$A$26:$DE$43,CZ$3-VLOOKUP($A17,'détails investissements'!$A$71:$B$88,2,FALSE)+1,FALSE)="","",VLOOKUP($A17,'détails investissements'!$A$26:$DE$43,CZ$3-VLOOKUP($A17,'détails investissements'!$A$71:$B$88,2,FALSE)+1,FALSE)))&lt;&gt;"",HLOOKUP(IF(CZ$3-VLOOKUP($A17,'détails investissements'!$A$71:$B$88,2,FALSE)&lt;=0,"",IF(VLOOKUP($A17,'détails investissements'!$A$26:$DE$43,CZ$3-VLOOKUP($A17,'détails investissements'!$A$71:$B$88,2,FALSE)+1,FALSE)="","",VLOOKUP($A17,'détails investissements'!$A$26:$DE$43,CZ$3-VLOOKUP($A17,'détails investissements'!$A$71:$B$88,2,FALSE)+1,FALSE))),'détails investissements'!$U$6:$AB$7,2,FALSE),"")&lt;&gt;"",VLOOKUP($A17,'détails investissements'!$A$7:$H$21,1+IF(IF(CZ$3-VLOOKUP($A17,'détails investissements'!$A$71:$B$88,2,FALSE)&lt;=0,"",IF(VLOOKUP($A17,'détails investissements'!$A$26:$DE$43,CZ$3-VLOOKUP($A17,'détails investissements'!$A$71:$B$88,2,FALSE)+1,FALSE)="","",VLOOKUP($A17,'détails investissements'!$A$26:$DE$43,CZ$3-VLOOKUP($A17,'détails investissements'!$A$71:$B$88,2,FALSE)+1,FALSE)))&lt;&gt;"",HLOOKUP(IF(CZ$3-VLOOKUP($A17,'détails investissements'!$A$71:$B$88,2,FALSE)&lt;=0,"",IF(VLOOKUP($A17,'détails investissements'!$A$26:$DE$43,CZ$3-VLOOKUP($A17,'détails investissements'!$A$71:$B$88,2,FALSE)+1,FALSE)="","",VLOOKUP($A17,'détails investissements'!$A$26:$DE$43,CZ$3-VLOOKUP($A17,'détails investissements'!$A$71:$B$88,2,FALSE)+1,FALSE))),'détails investissements'!$U$6:$AB$7,2,FALSE),""),FALSE),"")</f>
        <v/>
      </c>
      <c r="DA17" s="45" t="str">
        <f>IF(IF(IF(DA$3-VLOOKUP($A17,'détails investissements'!$A$71:$B$88,2,FALSE)&lt;=0,"",IF(VLOOKUP($A17,'détails investissements'!$A$26:$DE$43,DA$3-VLOOKUP($A17,'détails investissements'!$A$71:$B$88,2,FALSE)+1,FALSE)="","",VLOOKUP($A17,'détails investissements'!$A$26:$DE$43,DA$3-VLOOKUP($A17,'détails investissements'!$A$71:$B$88,2,FALSE)+1,FALSE)))&lt;&gt;"",HLOOKUP(IF(DA$3-VLOOKUP($A17,'détails investissements'!$A$71:$B$88,2,FALSE)&lt;=0,"",IF(VLOOKUP($A17,'détails investissements'!$A$26:$DE$43,DA$3-VLOOKUP($A17,'détails investissements'!$A$71:$B$88,2,FALSE)+1,FALSE)="","",VLOOKUP($A17,'détails investissements'!$A$26:$DE$43,DA$3-VLOOKUP($A17,'détails investissements'!$A$71:$B$88,2,FALSE)+1,FALSE))),'détails investissements'!$U$6:$AB$7,2,FALSE),"")&lt;&gt;"",VLOOKUP($A17,'détails investissements'!$A$7:$H$21,1+IF(IF(DA$3-VLOOKUP($A17,'détails investissements'!$A$71:$B$88,2,FALSE)&lt;=0,"",IF(VLOOKUP($A17,'détails investissements'!$A$26:$DE$43,DA$3-VLOOKUP($A17,'détails investissements'!$A$71:$B$88,2,FALSE)+1,FALSE)="","",VLOOKUP($A17,'détails investissements'!$A$26:$DE$43,DA$3-VLOOKUP($A17,'détails investissements'!$A$71:$B$88,2,FALSE)+1,FALSE)))&lt;&gt;"",HLOOKUP(IF(DA$3-VLOOKUP($A17,'détails investissements'!$A$71:$B$88,2,FALSE)&lt;=0,"",IF(VLOOKUP($A17,'détails investissements'!$A$26:$DE$43,DA$3-VLOOKUP($A17,'détails investissements'!$A$71:$B$88,2,FALSE)+1,FALSE)="","",VLOOKUP($A17,'détails investissements'!$A$26:$DE$43,DA$3-VLOOKUP($A17,'détails investissements'!$A$71:$B$88,2,FALSE)+1,FALSE))),'détails investissements'!$U$6:$AB$7,2,FALSE),""),FALSE),"")</f>
        <v/>
      </c>
      <c r="DB17" s="45" t="str">
        <f>IF(IF(IF(DB$3-VLOOKUP($A17,'détails investissements'!$A$71:$B$88,2,FALSE)&lt;=0,"",IF(VLOOKUP($A17,'détails investissements'!$A$26:$DE$43,DB$3-VLOOKUP($A17,'détails investissements'!$A$71:$B$88,2,FALSE)+1,FALSE)="","",VLOOKUP($A17,'détails investissements'!$A$26:$DE$43,DB$3-VLOOKUP($A17,'détails investissements'!$A$71:$B$88,2,FALSE)+1,FALSE)))&lt;&gt;"",HLOOKUP(IF(DB$3-VLOOKUP($A17,'détails investissements'!$A$71:$B$88,2,FALSE)&lt;=0,"",IF(VLOOKUP($A17,'détails investissements'!$A$26:$DE$43,DB$3-VLOOKUP($A17,'détails investissements'!$A$71:$B$88,2,FALSE)+1,FALSE)="","",VLOOKUP($A17,'détails investissements'!$A$26:$DE$43,DB$3-VLOOKUP($A17,'détails investissements'!$A$71:$B$88,2,FALSE)+1,FALSE))),'détails investissements'!$U$6:$AB$7,2,FALSE),"")&lt;&gt;"",VLOOKUP($A17,'détails investissements'!$A$7:$H$21,1+IF(IF(DB$3-VLOOKUP($A17,'détails investissements'!$A$71:$B$88,2,FALSE)&lt;=0,"",IF(VLOOKUP($A17,'détails investissements'!$A$26:$DE$43,DB$3-VLOOKUP($A17,'détails investissements'!$A$71:$B$88,2,FALSE)+1,FALSE)="","",VLOOKUP($A17,'détails investissements'!$A$26:$DE$43,DB$3-VLOOKUP($A17,'détails investissements'!$A$71:$B$88,2,FALSE)+1,FALSE)))&lt;&gt;"",HLOOKUP(IF(DB$3-VLOOKUP($A17,'détails investissements'!$A$71:$B$88,2,FALSE)&lt;=0,"",IF(VLOOKUP($A17,'détails investissements'!$A$26:$DE$43,DB$3-VLOOKUP($A17,'détails investissements'!$A$71:$B$88,2,FALSE)+1,FALSE)="","",VLOOKUP($A17,'détails investissements'!$A$26:$DE$43,DB$3-VLOOKUP($A17,'détails investissements'!$A$71:$B$88,2,FALSE)+1,FALSE))),'détails investissements'!$U$6:$AB$7,2,FALSE),""),FALSE),"")</f>
        <v/>
      </c>
      <c r="DC17" s="45" t="str">
        <f>IF(IF(IF(DC$3-VLOOKUP($A17,'détails investissements'!$A$71:$B$88,2,FALSE)&lt;=0,"",IF(VLOOKUP($A17,'détails investissements'!$A$26:$DE$43,DC$3-VLOOKUP($A17,'détails investissements'!$A$71:$B$88,2,FALSE)+1,FALSE)="","",VLOOKUP($A17,'détails investissements'!$A$26:$DE$43,DC$3-VLOOKUP($A17,'détails investissements'!$A$71:$B$88,2,FALSE)+1,FALSE)))&lt;&gt;"",HLOOKUP(IF(DC$3-VLOOKUP($A17,'détails investissements'!$A$71:$B$88,2,FALSE)&lt;=0,"",IF(VLOOKUP($A17,'détails investissements'!$A$26:$DE$43,DC$3-VLOOKUP($A17,'détails investissements'!$A$71:$B$88,2,FALSE)+1,FALSE)="","",VLOOKUP($A17,'détails investissements'!$A$26:$DE$43,DC$3-VLOOKUP($A17,'détails investissements'!$A$71:$B$88,2,FALSE)+1,FALSE))),'détails investissements'!$U$6:$AB$7,2,FALSE),"")&lt;&gt;"",VLOOKUP($A17,'détails investissements'!$A$7:$H$21,1+IF(IF(DC$3-VLOOKUP($A17,'détails investissements'!$A$71:$B$88,2,FALSE)&lt;=0,"",IF(VLOOKUP($A17,'détails investissements'!$A$26:$DE$43,DC$3-VLOOKUP($A17,'détails investissements'!$A$71:$B$88,2,FALSE)+1,FALSE)="","",VLOOKUP($A17,'détails investissements'!$A$26:$DE$43,DC$3-VLOOKUP($A17,'détails investissements'!$A$71:$B$88,2,FALSE)+1,FALSE)))&lt;&gt;"",HLOOKUP(IF(DC$3-VLOOKUP($A17,'détails investissements'!$A$71:$B$88,2,FALSE)&lt;=0,"",IF(VLOOKUP($A17,'détails investissements'!$A$26:$DE$43,DC$3-VLOOKUP($A17,'détails investissements'!$A$71:$B$88,2,FALSE)+1,FALSE)="","",VLOOKUP($A17,'détails investissements'!$A$26:$DE$43,DC$3-VLOOKUP($A17,'détails investissements'!$A$71:$B$88,2,FALSE)+1,FALSE))),'détails investissements'!$U$6:$AB$7,2,FALSE),""),FALSE),"")</f>
        <v/>
      </c>
      <c r="DD17" s="45" t="str">
        <f>IF(IF(IF(DD$3-VLOOKUP($A17,'détails investissements'!$A$71:$B$88,2,FALSE)&lt;=0,"",IF(VLOOKUP($A17,'détails investissements'!$A$26:$DE$43,DD$3-VLOOKUP($A17,'détails investissements'!$A$71:$B$88,2,FALSE)+1,FALSE)="","",VLOOKUP($A17,'détails investissements'!$A$26:$DE$43,DD$3-VLOOKUP($A17,'détails investissements'!$A$71:$B$88,2,FALSE)+1,FALSE)))&lt;&gt;"",HLOOKUP(IF(DD$3-VLOOKUP($A17,'détails investissements'!$A$71:$B$88,2,FALSE)&lt;=0,"",IF(VLOOKUP($A17,'détails investissements'!$A$26:$DE$43,DD$3-VLOOKUP($A17,'détails investissements'!$A$71:$B$88,2,FALSE)+1,FALSE)="","",VLOOKUP($A17,'détails investissements'!$A$26:$DE$43,DD$3-VLOOKUP($A17,'détails investissements'!$A$71:$B$88,2,FALSE)+1,FALSE))),'détails investissements'!$U$6:$AB$7,2,FALSE),"")&lt;&gt;"",VLOOKUP($A17,'détails investissements'!$A$7:$H$21,1+IF(IF(DD$3-VLOOKUP($A17,'détails investissements'!$A$71:$B$88,2,FALSE)&lt;=0,"",IF(VLOOKUP($A17,'détails investissements'!$A$26:$DE$43,DD$3-VLOOKUP($A17,'détails investissements'!$A$71:$B$88,2,FALSE)+1,FALSE)="","",VLOOKUP($A17,'détails investissements'!$A$26:$DE$43,DD$3-VLOOKUP($A17,'détails investissements'!$A$71:$B$88,2,FALSE)+1,FALSE)))&lt;&gt;"",HLOOKUP(IF(DD$3-VLOOKUP($A17,'détails investissements'!$A$71:$B$88,2,FALSE)&lt;=0,"",IF(VLOOKUP($A17,'détails investissements'!$A$26:$DE$43,DD$3-VLOOKUP($A17,'détails investissements'!$A$71:$B$88,2,FALSE)+1,FALSE)="","",VLOOKUP($A17,'détails investissements'!$A$26:$DE$43,DD$3-VLOOKUP($A17,'détails investissements'!$A$71:$B$88,2,FALSE)+1,FALSE))),'détails investissements'!$U$6:$AB$7,2,FALSE),""),FALSE),"")</f>
        <v/>
      </c>
      <c r="DE17" s="45" t="str">
        <f>IF(IF(IF(DE$3-VLOOKUP($A17,'détails investissements'!$A$71:$B$88,2,FALSE)&lt;=0,"",IF(VLOOKUP($A17,'détails investissements'!$A$26:$DE$43,DE$3-VLOOKUP($A17,'détails investissements'!$A$71:$B$88,2,FALSE)+1,FALSE)="","",VLOOKUP($A17,'détails investissements'!$A$26:$DE$43,DE$3-VLOOKUP($A17,'détails investissements'!$A$71:$B$88,2,FALSE)+1,FALSE)))&lt;&gt;"",HLOOKUP(IF(DE$3-VLOOKUP($A17,'détails investissements'!$A$71:$B$88,2,FALSE)&lt;=0,"",IF(VLOOKUP($A17,'détails investissements'!$A$26:$DE$43,DE$3-VLOOKUP($A17,'détails investissements'!$A$71:$B$88,2,FALSE)+1,FALSE)="","",VLOOKUP($A17,'détails investissements'!$A$26:$DE$43,DE$3-VLOOKUP($A17,'détails investissements'!$A$71:$B$88,2,FALSE)+1,FALSE))),'détails investissements'!$U$6:$AB$7,2,FALSE),"")&lt;&gt;"",VLOOKUP($A17,'détails investissements'!$A$7:$H$21,1+IF(IF(DE$3-VLOOKUP($A17,'détails investissements'!$A$71:$B$88,2,FALSE)&lt;=0,"",IF(VLOOKUP($A17,'détails investissements'!$A$26:$DE$43,DE$3-VLOOKUP($A17,'détails investissements'!$A$71:$B$88,2,FALSE)+1,FALSE)="","",VLOOKUP($A17,'détails investissements'!$A$26:$DE$43,DE$3-VLOOKUP($A17,'détails investissements'!$A$71:$B$88,2,FALSE)+1,FALSE)))&lt;&gt;"",HLOOKUP(IF(DE$3-VLOOKUP($A17,'détails investissements'!$A$71:$B$88,2,FALSE)&lt;=0,"",IF(VLOOKUP($A17,'détails investissements'!$A$26:$DE$43,DE$3-VLOOKUP($A17,'détails investissements'!$A$71:$B$88,2,FALSE)+1,FALSE)="","",VLOOKUP($A17,'détails investissements'!$A$26:$DE$43,DE$3-VLOOKUP($A17,'détails investissements'!$A$71:$B$88,2,FALSE)+1,FALSE))),'détails investissements'!$U$6:$AB$7,2,FALSE),""),FALSE),"")</f>
        <v/>
      </c>
      <c r="DF17" s="45" t="str">
        <f>IF(IF(IF(DF$3-VLOOKUP($A17,'détails investissements'!$A$71:$B$88,2,FALSE)&lt;=0,"",IF(VLOOKUP($A17,'détails investissements'!$A$26:$DE$43,DF$3-VLOOKUP($A17,'détails investissements'!$A$71:$B$88,2,FALSE)+1,FALSE)="","",VLOOKUP($A17,'détails investissements'!$A$26:$DE$43,DF$3-VLOOKUP($A17,'détails investissements'!$A$71:$B$88,2,FALSE)+1,FALSE)))&lt;&gt;"",HLOOKUP(IF(DF$3-VLOOKUP($A17,'détails investissements'!$A$71:$B$88,2,FALSE)&lt;=0,"",IF(VLOOKUP($A17,'détails investissements'!$A$26:$DE$43,DF$3-VLOOKUP($A17,'détails investissements'!$A$71:$B$88,2,FALSE)+1,FALSE)="","",VLOOKUP($A17,'détails investissements'!$A$26:$DE$43,DF$3-VLOOKUP($A17,'détails investissements'!$A$71:$B$88,2,FALSE)+1,FALSE))),'détails investissements'!$U$6:$AB$7,2,FALSE),"")&lt;&gt;"",VLOOKUP($A17,'détails investissements'!$A$7:$H$21,1+IF(IF(DF$3-VLOOKUP($A17,'détails investissements'!$A$71:$B$88,2,FALSE)&lt;=0,"",IF(VLOOKUP($A17,'détails investissements'!$A$26:$DE$43,DF$3-VLOOKUP($A17,'détails investissements'!$A$71:$B$88,2,FALSE)+1,FALSE)="","",VLOOKUP($A17,'détails investissements'!$A$26:$DE$43,DF$3-VLOOKUP($A17,'détails investissements'!$A$71:$B$88,2,FALSE)+1,FALSE)))&lt;&gt;"",HLOOKUP(IF(DF$3-VLOOKUP($A17,'détails investissements'!$A$71:$B$88,2,FALSE)&lt;=0,"",IF(VLOOKUP($A17,'détails investissements'!$A$26:$DE$43,DF$3-VLOOKUP($A17,'détails investissements'!$A$71:$B$88,2,FALSE)+1,FALSE)="","",VLOOKUP($A17,'détails investissements'!$A$26:$DE$43,DF$3-VLOOKUP($A17,'détails investissements'!$A$71:$B$88,2,FALSE)+1,FALSE))),'détails investissements'!$U$6:$AB$7,2,FALSE),""),FALSE),"")</f>
        <v/>
      </c>
      <c r="DG17">
        <f t="shared" si="0"/>
        <v>1.0000000000000002</v>
      </c>
    </row>
    <row r="18" spans="1:111" x14ac:dyDescent="0.2">
      <c r="A18" s="15" t="str">
        <f>'[4]Données investissements'!A38</f>
        <v>Ponts (1 pour EB, 1 pour VAR, 2 prépa)</v>
      </c>
      <c r="B18" s="23">
        <f>'détails investissements'!B106</f>
        <v>0.45</v>
      </c>
      <c r="C18" s="45" t="str">
        <f>IF(IF(IF(C$3-VLOOKUP($A18,'détails investissements'!$A$71:$B$88,2,FALSE)&lt;=0,"",IF(VLOOKUP($A18,'détails investissements'!$A$26:$DE$43,C$3-VLOOKUP($A18,'détails investissements'!$A$71:$B$88,2,FALSE)+1,FALSE)="","",VLOOKUP($A18,'détails investissements'!$A$26:$DE$43,C$3-VLOOKUP($A18,'détails investissements'!$A$71:$B$88,2,FALSE)+1,FALSE)))&lt;&gt;"",HLOOKUP(IF(C$3-VLOOKUP($A18,'détails investissements'!$A$71:$B$88,2,FALSE)&lt;=0,"",IF(VLOOKUP($A18,'détails investissements'!$A$26:$DE$43,C$3-VLOOKUP($A18,'détails investissements'!$A$71:$B$88,2,FALSE)+1,FALSE)="","",VLOOKUP($A18,'détails investissements'!$A$26:$DE$43,C$3-VLOOKUP($A18,'détails investissements'!$A$71:$B$88,2,FALSE)+1,FALSE))),'détails investissements'!$U$6:$AB$7,2,FALSE),"")&lt;&gt;"",VLOOKUP($A18,'détails investissements'!$A$7:$H$21,1+IF(IF(C$3-VLOOKUP($A18,'détails investissements'!$A$71:$B$88,2,FALSE)&lt;=0,"",IF(VLOOKUP($A18,'détails investissements'!$A$26:$DE$43,C$3-VLOOKUP($A18,'détails investissements'!$A$71:$B$88,2,FALSE)+1,FALSE)="","",VLOOKUP($A18,'détails investissements'!$A$26:$DE$43,C$3-VLOOKUP($A18,'détails investissements'!$A$71:$B$88,2,FALSE)+1,FALSE)))&lt;&gt;"",HLOOKUP(IF(C$3-VLOOKUP($A18,'détails investissements'!$A$71:$B$88,2,FALSE)&lt;=0,"",IF(VLOOKUP($A18,'détails investissements'!$A$26:$DE$43,C$3-VLOOKUP($A18,'détails investissements'!$A$71:$B$88,2,FALSE)+1,FALSE)="","",VLOOKUP($A18,'détails investissements'!$A$26:$DE$43,C$3-VLOOKUP($A18,'détails investissements'!$A$71:$B$88,2,FALSE)+1,FALSE))),'détails investissements'!$U$6:$AB$7,2,FALSE),""),FALSE),"")</f>
        <v/>
      </c>
      <c r="D18" s="45" t="str">
        <f>IF(IF(IF(D$3-VLOOKUP($A18,'détails investissements'!$A$71:$B$88,2,FALSE)&lt;=0,"",IF(VLOOKUP($A18,'détails investissements'!$A$26:$DE$43,D$3-VLOOKUP($A18,'détails investissements'!$A$71:$B$88,2,FALSE)+1,FALSE)="","",VLOOKUP($A18,'détails investissements'!$A$26:$DE$43,D$3-VLOOKUP($A18,'détails investissements'!$A$71:$B$88,2,FALSE)+1,FALSE)))&lt;&gt;"",HLOOKUP(IF(D$3-VLOOKUP($A18,'détails investissements'!$A$71:$B$88,2,FALSE)&lt;=0,"",IF(VLOOKUP($A18,'détails investissements'!$A$26:$DE$43,D$3-VLOOKUP($A18,'détails investissements'!$A$71:$B$88,2,FALSE)+1,FALSE)="","",VLOOKUP($A18,'détails investissements'!$A$26:$DE$43,D$3-VLOOKUP($A18,'détails investissements'!$A$71:$B$88,2,FALSE)+1,FALSE))),'détails investissements'!$U$6:$AB$7,2,FALSE),"")&lt;&gt;"",VLOOKUP($A18,'détails investissements'!$A$7:$H$21,1+IF(IF(D$3-VLOOKUP($A18,'détails investissements'!$A$71:$B$88,2,FALSE)&lt;=0,"",IF(VLOOKUP($A18,'détails investissements'!$A$26:$DE$43,D$3-VLOOKUP($A18,'détails investissements'!$A$71:$B$88,2,FALSE)+1,FALSE)="","",VLOOKUP($A18,'détails investissements'!$A$26:$DE$43,D$3-VLOOKUP($A18,'détails investissements'!$A$71:$B$88,2,FALSE)+1,FALSE)))&lt;&gt;"",HLOOKUP(IF(D$3-VLOOKUP($A18,'détails investissements'!$A$71:$B$88,2,FALSE)&lt;=0,"",IF(VLOOKUP($A18,'détails investissements'!$A$26:$DE$43,D$3-VLOOKUP($A18,'détails investissements'!$A$71:$B$88,2,FALSE)+1,FALSE)="","",VLOOKUP($A18,'détails investissements'!$A$26:$DE$43,D$3-VLOOKUP($A18,'détails investissements'!$A$71:$B$88,2,FALSE)+1,FALSE))),'détails investissements'!$U$6:$AB$7,2,FALSE),""),FALSE),"")</f>
        <v/>
      </c>
      <c r="E18" s="45" t="str">
        <f>IF(IF(IF(E$3-VLOOKUP($A18,'détails investissements'!$A$71:$B$88,2,FALSE)&lt;=0,"",IF(VLOOKUP($A18,'détails investissements'!$A$26:$DE$43,E$3-VLOOKUP($A18,'détails investissements'!$A$71:$B$88,2,FALSE)+1,FALSE)="","",VLOOKUP($A18,'détails investissements'!$A$26:$DE$43,E$3-VLOOKUP($A18,'détails investissements'!$A$71:$B$88,2,FALSE)+1,FALSE)))&lt;&gt;"",HLOOKUP(IF(E$3-VLOOKUP($A18,'détails investissements'!$A$71:$B$88,2,FALSE)&lt;=0,"",IF(VLOOKUP($A18,'détails investissements'!$A$26:$DE$43,E$3-VLOOKUP($A18,'détails investissements'!$A$71:$B$88,2,FALSE)+1,FALSE)="","",VLOOKUP($A18,'détails investissements'!$A$26:$DE$43,E$3-VLOOKUP($A18,'détails investissements'!$A$71:$B$88,2,FALSE)+1,FALSE))),'détails investissements'!$U$6:$AB$7,2,FALSE),"")&lt;&gt;"",VLOOKUP($A18,'détails investissements'!$A$7:$H$21,1+IF(IF(E$3-VLOOKUP($A18,'détails investissements'!$A$71:$B$88,2,FALSE)&lt;=0,"",IF(VLOOKUP($A18,'détails investissements'!$A$26:$DE$43,E$3-VLOOKUP($A18,'détails investissements'!$A$71:$B$88,2,FALSE)+1,FALSE)="","",VLOOKUP($A18,'détails investissements'!$A$26:$DE$43,E$3-VLOOKUP($A18,'détails investissements'!$A$71:$B$88,2,FALSE)+1,FALSE)))&lt;&gt;"",HLOOKUP(IF(E$3-VLOOKUP($A18,'détails investissements'!$A$71:$B$88,2,FALSE)&lt;=0,"",IF(VLOOKUP($A18,'détails investissements'!$A$26:$DE$43,E$3-VLOOKUP($A18,'détails investissements'!$A$71:$B$88,2,FALSE)+1,FALSE)="","",VLOOKUP($A18,'détails investissements'!$A$26:$DE$43,E$3-VLOOKUP($A18,'détails investissements'!$A$71:$B$88,2,FALSE)+1,FALSE))),'détails investissements'!$U$6:$AB$7,2,FALSE),""),FALSE),"")</f>
        <v/>
      </c>
      <c r="F18" s="45" t="str">
        <f>IF(IF(IF(F$3-VLOOKUP($A18,'détails investissements'!$A$71:$B$88,2,FALSE)&lt;=0,"",IF(VLOOKUP($A18,'détails investissements'!$A$26:$DE$43,F$3-VLOOKUP($A18,'détails investissements'!$A$71:$B$88,2,FALSE)+1,FALSE)="","",VLOOKUP($A18,'détails investissements'!$A$26:$DE$43,F$3-VLOOKUP($A18,'détails investissements'!$A$71:$B$88,2,FALSE)+1,FALSE)))&lt;&gt;"",HLOOKUP(IF(F$3-VLOOKUP($A18,'détails investissements'!$A$71:$B$88,2,FALSE)&lt;=0,"",IF(VLOOKUP($A18,'détails investissements'!$A$26:$DE$43,F$3-VLOOKUP($A18,'détails investissements'!$A$71:$B$88,2,FALSE)+1,FALSE)="","",VLOOKUP($A18,'détails investissements'!$A$26:$DE$43,F$3-VLOOKUP($A18,'détails investissements'!$A$71:$B$88,2,FALSE)+1,FALSE))),'détails investissements'!$U$6:$AB$7,2,FALSE),"")&lt;&gt;"",VLOOKUP($A18,'détails investissements'!$A$7:$H$21,1+IF(IF(F$3-VLOOKUP($A18,'détails investissements'!$A$71:$B$88,2,FALSE)&lt;=0,"",IF(VLOOKUP($A18,'détails investissements'!$A$26:$DE$43,F$3-VLOOKUP($A18,'détails investissements'!$A$71:$B$88,2,FALSE)+1,FALSE)="","",VLOOKUP($A18,'détails investissements'!$A$26:$DE$43,F$3-VLOOKUP($A18,'détails investissements'!$A$71:$B$88,2,FALSE)+1,FALSE)))&lt;&gt;"",HLOOKUP(IF(F$3-VLOOKUP($A18,'détails investissements'!$A$71:$B$88,2,FALSE)&lt;=0,"",IF(VLOOKUP($A18,'détails investissements'!$A$26:$DE$43,F$3-VLOOKUP($A18,'détails investissements'!$A$71:$B$88,2,FALSE)+1,FALSE)="","",VLOOKUP($A18,'détails investissements'!$A$26:$DE$43,F$3-VLOOKUP($A18,'détails investissements'!$A$71:$B$88,2,FALSE)+1,FALSE))),'détails investissements'!$U$6:$AB$7,2,FALSE),""),FALSE),"")</f>
        <v/>
      </c>
      <c r="G18" s="45" t="str">
        <f>IF(IF(IF(G$3-VLOOKUP($A18,'détails investissements'!$A$71:$B$88,2,FALSE)&lt;=0,"",IF(VLOOKUP($A18,'détails investissements'!$A$26:$DE$43,G$3-VLOOKUP($A18,'détails investissements'!$A$71:$B$88,2,FALSE)+1,FALSE)="","",VLOOKUP($A18,'détails investissements'!$A$26:$DE$43,G$3-VLOOKUP($A18,'détails investissements'!$A$71:$B$88,2,FALSE)+1,FALSE)))&lt;&gt;"",HLOOKUP(IF(G$3-VLOOKUP($A18,'détails investissements'!$A$71:$B$88,2,FALSE)&lt;=0,"",IF(VLOOKUP($A18,'détails investissements'!$A$26:$DE$43,G$3-VLOOKUP($A18,'détails investissements'!$A$71:$B$88,2,FALSE)+1,FALSE)="","",VLOOKUP($A18,'détails investissements'!$A$26:$DE$43,G$3-VLOOKUP($A18,'détails investissements'!$A$71:$B$88,2,FALSE)+1,FALSE))),'détails investissements'!$U$6:$AB$7,2,FALSE),"")&lt;&gt;"",VLOOKUP($A18,'détails investissements'!$A$7:$H$21,1+IF(IF(G$3-VLOOKUP($A18,'détails investissements'!$A$71:$B$88,2,FALSE)&lt;=0,"",IF(VLOOKUP($A18,'détails investissements'!$A$26:$DE$43,G$3-VLOOKUP($A18,'détails investissements'!$A$71:$B$88,2,FALSE)+1,FALSE)="","",VLOOKUP($A18,'détails investissements'!$A$26:$DE$43,G$3-VLOOKUP($A18,'détails investissements'!$A$71:$B$88,2,FALSE)+1,FALSE)))&lt;&gt;"",HLOOKUP(IF(G$3-VLOOKUP($A18,'détails investissements'!$A$71:$B$88,2,FALSE)&lt;=0,"",IF(VLOOKUP($A18,'détails investissements'!$A$26:$DE$43,G$3-VLOOKUP($A18,'détails investissements'!$A$71:$B$88,2,FALSE)+1,FALSE)="","",VLOOKUP($A18,'détails investissements'!$A$26:$DE$43,G$3-VLOOKUP($A18,'détails investissements'!$A$71:$B$88,2,FALSE)+1,FALSE))),'détails investissements'!$U$6:$AB$7,2,FALSE),""),FALSE),"")</f>
        <v/>
      </c>
      <c r="H18" s="45" t="str">
        <f>IF(IF(IF(H$3-VLOOKUP($A18,'détails investissements'!$A$71:$B$88,2,FALSE)&lt;=0,"",IF(VLOOKUP($A18,'détails investissements'!$A$26:$DE$43,H$3-VLOOKUP($A18,'détails investissements'!$A$71:$B$88,2,FALSE)+1,FALSE)="","",VLOOKUP($A18,'détails investissements'!$A$26:$DE$43,H$3-VLOOKUP($A18,'détails investissements'!$A$71:$B$88,2,FALSE)+1,FALSE)))&lt;&gt;"",HLOOKUP(IF(H$3-VLOOKUP($A18,'détails investissements'!$A$71:$B$88,2,FALSE)&lt;=0,"",IF(VLOOKUP($A18,'détails investissements'!$A$26:$DE$43,H$3-VLOOKUP($A18,'détails investissements'!$A$71:$B$88,2,FALSE)+1,FALSE)="","",VLOOKUP($A18,'détails investissements'!$A$26:$DE$43,H$3-VLOOKUP($A18,'détails investissements'!$A$71:$B$88,2,FALSE)+1,FALSE))),'détails investissements'!$U$6:$AB$7,2,FALSE),"")&lt;&gt;"",VLOOKUP($A18,'détails investissements'!$A$7:$H$21,1+IF(IF(H$3-VLOOKUP($A18,'détails investissements'!$A$71:$B$88,2,FALSE)&lt;=0,"",IF(VLOOKUP($A18,'détails investissements'!$A$26:$DE$43,H$3-VLOOKUP($A18,'détails investissements'!$A$71:$B$88,2,FALSE)+1,FALSE)="","",VLOOKUP($A18,'détails investissements'!$A$26:$DE$43,H$3-VLOOKUP($A18,'détails investissements'!$A$71:$B$88,2,FALSE)+1,FALSE)))&lt;&gt;"",HLOOKUP(IF(H$3-VLOOKUP($A18,'détails investissements'!$A$71:$B$88,2,FALSE)&lt;=0,"",IF(VLOOKUP($A18,'détails investissements'!$A$26:$DE$43,H$3-VLOOKUP($A18,'détails investissements'!$A$71:$B$88,2,FALSE)+1,FALSE)="","",VLOOKUP($A18,'détails investissements'!$A$26:$DE$43,H$3-VLOOKUP($A18,'détails investissements'!$A$71:$B$88,2,FALSE)+1,FALSE))),'détails investissements'!$U$6:$AB$7,2,FALSE),""),FALSE),"")</f>
        <v/>
      </c>
      <c r="I18" s="45" t="str">
        <f>IF(IF(IF(I$3-VLOOKUP($A18,'détails investissements'!$A$71:$B$88,2,FALSE)&lt;=0,"",IF(VLOOKUP($A18,'détails investissements'!$A$26:$DE$43,I$3-VLOOKUP($A18,'détails investissements'!$A$71:$B$88,2,FALSE)+1,FALSE)="","",VLOOKUP($A18,'détails investissements'!$A$26:$DE$43,I$3-VLOOKUP($A18,'détails investissements'!$A$71:$B$88,2,FALSE)+1,FALSE)))&lt;&gt;"",HLOOKUP(IF(I$3-VLOOKUP($A18,'détails investissements'!$A$71:$B$88,2,FALSE)&lt;=0,"",IF(VLOOKUP($A18,'détails investissements'!$A$26:$DE$43,I$3-VLOOKUP($A18,'détails investissements'!$A$71:$B$88,2,FALSE)+1,FALSE)="","",VLOOKUP($A18,'détails investissements'!$A$26:$DE$43,I$3-VLOOKUP($A18,'détails investissements'!$A$71:$B$88,2,FALSE)+1,FALSE))),'détails investissements'!$U$6:$AB$7,2,FALSE),"")&lt;&gt;"",VLOOKUP($A18,'détails investissements'!$A$7:$H$21,1+IF(IF(I$3-VLOOKUP($A18,'détails investissements'!$A$71:$B$88,2,FALSE)&lt;=0,"",IF(VLOOKUP($A18,'détails investissements'!$A$26:$DE$43,I$3-VLOOKUP($A18,'détails investissements'!$A$71:$B$88,2,FALSE)+1,FALSE)="","",VLOOKUP($A18,'détails investissements'!$A$26:$DE$43,I$3-VLOOKUP($A18,'détails investissements'!$A$71:$B$88,2,FALSE)+1,FALSE)))&lt;&gt;"",HLOOKUP(IF(I$3-VLOOKUP($A18,'détails investissements'!$A$71:$B$88,2,FALSE)&lt;=0,"",IF(VLOOKUP($A18,'détails investissements'!$A$26:$DE$43,I$3-VLOOKUP($A18,'détails investissements'!$A$71:$B$88,2,FALSE)+1,FALSE)="","",VLOOKUP($A18,'détails investissements'!$A$26:$DE$43,I$3-VLOOKUP($A18,'détails investissements'!$A$71:$B$88,2,FALSE)+1,FALSE))),'détails investissements'!$U$6:$AB$7,2,FALSE),""),FALSE),"")</f>
        <v/>
      </c>
      <c r="J18" s="45" t="str">
        <f>IF(IF(IF(J$3-VLOOKUP($A18,'détails investissements'!$A$71:$B$88,2,FALSE)&lt;=0,"",IF(VLOOKUP($A18,'détails investissements'!$A$26:$DE$43,J$3-VLOOKUP($A18,'détails investissements'!$A$71:$B$88,2,FALSE)+1,FALSE)="","",VLOOKUP($A18,'détails investissements'!$A$26:$DE$43,J$3-VLOOKUP($A18,'détails investissements'!$A$71:$B$88,2,FALSE)+1,FALSE)))&lt;&gt;"",HLOOKUP(IF(J$3-VLOOKUP($A18,'détails investissements'!$A$71:$B$88,2,FALSE)&lt;=0,"",IF(VLOOKUP($A18,'détails investissements'!$A$26:$DE$43,J$3-VLOOKUP($A18,'détails investissements'!$A$71:$B$88,2,FALSE)+1,FALSE)="","",VLOOKUP($A18,'détails investissements'!$A$26:$DE$43,J$3-VLOOKUP($A18,'détails investissements'!$A$71:$B$88,2,FALSE)+1,FALSE))),'détails investissements'!$U$6:$AB$7,2,FALSE),"")&lt;&gt;"",VLOOKUP($A18,'détails investissements'!$A$7:$H$21,1+IF(IF(J$3-VLOOKUP($A18,'détails investissements'!$A$71:$B$88,2,FALSE)&lt;=0,"",IF(VLOOKUP($A18,'détails investissements'!$A$26:$DE$43,J$3-VLOOKUP($A18,'détails investissements'!$A$71:$B$88,2,FALSE)+1,FALSE)="","",VLOOKUP($A18,'détails investissements'!$A$26:$DE$43,J$3-VLOOKUP($A18,'détails investissements'!$A$71:$B$88,2,FALSE)+1,FALSE)))&lt;&gt;"",HLOOKUP(IF(J$3-VLOOKUP($A18,'détails investissements'!$A$71:$B$88,2,FALSE)&lt;=0,"",IF(VLOOKUP($A18,'détails investissements'!$A$26:$DE$43,J$3-VLOOKUP($A18,'détails investissements'!$A$71:$B$88,2,FALSE)+1,FALSE)="","",VLOOKUP($A18,'détails investissements'!$A$26:$DE$43,J$3-VLOOKUP($A18,'détails investissements'!$A$71:$B$88,2,FALSE)+1,FALSE))),'détails investissements'!$U$6:$AB$7,2,FALSE),""),FALSE),"")</f>
        <v/>
      </c>
      <c r="K18" s="45">
        <f>IF(IF(IF(K$3-VLOOKUP($A18,'détails investissements'!$A$71:$B$88,2,FALSE)&lt;=0,"",IF(VLOOKUP($A18,'détails investissements'!$A$26:$DE$43,K$3-VLOOKUP($A18,'détails investissements'!$A$71:$B$88,2,FALSE)+1,FALSE)="","",VLOOKUP($A18,'détails investissements'!$A$26:$DE$43,K$3-VLOOKUP($A18,'détails investissements'!$A$71:$B$88,2,FALSE)+1,FALSE)))&lt;&gt;"",HLOOKUP(IF(K$3-VLOOKUP($A18,'détails investissements'!$A$71:$B$88,2,FALSE)&lt;=0,"",IF(VLOOKUP($A18,'détails investissements'!$A$26:$DE$43,K$3-VLOOKUP($A18,'détails investissements'!$A$71:$B$88,2,FALSE)+1,FALSE)="","",VLOOKUP($A18,'détails investissements'!$A$26:$DE$43,K$3-VLOOKUP($A18,'détails investissements'!$A$71:$B$88,2,FALSE)+1,FALSE))),'détails investissements'!$U$6:$AB$7,2,FALSE),"")&lt;&gt;"",VLOOKUP($A18,'détails investissements'!$A$7:$H$21,1+IF(IF(K$3-VLOOKUP($A18,'détails investissements'!$A$71:$B$88,2,FALSE)&lt;=0,"",IF(VLOOKUP($A18,'détails investissements'!$A$26:$DE$43,K$3-VLOOKUP($A18,'détails investissements'!$A$71:$B$88,2,FALSE)+1,FALSE)="","",VLOOKUP($A18,'détails investissements'!$A$26:$DE$43,K$3-VLOOKUP($A18,'détails investissements'!$A$71:$B$88,2,FALSE)+1,FALSE)))&lt;&gt;"",HLOOKUP(IF(K$3-VLOOKUP($A18,'détails investissements'!$A$71:$B$88,2,FALSE)&lt;=0,"",IF(VLOOKUP($A18,'détails investissements'!$A$26:$DE$43,K$3-VLOOKUP($A18,'détails investissements'!$A$71:$B$88,2,FALSE)+1,FALSE)="","",VLOOKUP($A18,'détails investissements'!$A$26:$DE$43,K$3-VLOOKUP($A18,'détails investissements'!$A$71:$B$88,2,FALSE)+1,FALSE))),'détails investissements'!$U$6:$AB$7,2,FALSE),""),FALSE),"")</f>
        <v>0.15</v>
      </c>
      <c r="L18" s="45">
        <f>IF(IF(IF(L$3-VLOOKUP($A18,'détails investissements'!$A$71:$B$88,2,FALSE)&lt;=0,"",IF(VLOOKUP($A18,'détails investissements'!$A$26:$DE$43,L$3-VLOOKUP($A18,'détails investissements'!$A$71:$B$88,2,FALSE)+1,FALSE)="","",VLOOKUP($A18,'détails investissements'!$A$26:$DE$43,L$3-VLOOKUP($A18,'détails investissements'!$A$71:$B$88,2,FALSE)+1,FALSE)))&lt;&gt;"",HLOOKUP(IF(L$3-VLOOKUP($A18,'détails investissements'!$A$71:$B$88,2,FALSE)&lt;=0,"",IF(VLOOKUP($A18,'détails investissements'!$A$26:$DE$43,L$3-VLOOKUP($A18,'détails investissements'!$A$71:$B$88,2,FALSE)+1,FALSE)="","",VLOOKUP($A18,'détails investissements'!$A$26:$DE$43,L$3-VLOOKUP($A18,'détails investissements'!$A$71:$B$88,2,FALSE)+1,FALSE))),'détails investissements'!$U$6:$AB$7,2,FALSE),"")&lt;&gt;"",VLOOKUP($A18,'détails investissements'!$A$7:$H$21,1+IF(IF(L$3-VLOOKUP($A18,'détails investissements'!$A$71:$B$88,2,FALSE)&lt;=0,"",IF(VLOOKUP($A18,'détails investissements'!$A$26:$DE$43,L$3-VLOOKUP($A18,'détails investissements'!$A$71:$B$88,2,FALSE)+1,FALSE)="","",VLOOKUP($A18,'détails investissements'!$A$26:$DE$43,L$3-VLOOKUP($A18,'détails investissements'!$A$71:$B$88,2,FALSE)+1,FALSE)))&lt;&gt;"",HLOOKUP(IF(L$3-VLOOKUP($A18,'détails investissements'!$A$71:$B$88,2,FALSE)&lt;=0,"",IF(VLOOKUP($A18,'détails investissements'!$A$26:$DE$43,L$3-VLOOKUP($A18,'détails investissements'!$A$71:$B$88,2,FALSE)+1,FALSE)="","",VLOOKUP($A18,'détails investissements'!$A$26:$DE$43,L$3-VLOOKUP($A18,'détails investissements'!$A$71:$B$88,2,FALSE)+1,FALSE))),'détails investissements'!$U$6:$AB$7,2,FALSE),""),FALSE),"")</f>
        <v>0.05</v>
      </c>
      <c r="M18" s="45" t="str">
        <f>IF(IF(IF(M$3-VLOOKUP($A18,'détails investissements'!$A$71:$B$88,2,FALSE)&lt;=0,"",IF(VLOOKUP($A18,'détails investissements'!$A$26:$DE$43,M$3-VLOOKUP($A18,'détails investissements'!$A$71:$B$88,2,FALSE)+1,FALSE)="","",VLOOKUP($A18,'détails investissements'!$A$26:$DE$43,M$3-VLOOKUP($A18,'détails investissements'!$A$71:$B$88,2,FALSE)+1,FALSE)))&lt;&gt;"",HLOOKUP(IF(M$3-VLOOKUP($A18,'détails investissements'!$A$71:$B$88,2,FALSE)&lt;=0,"",IF(VLOOKUP($A18,'détails investissements'!$A$26:$DE$43,M$3-VLOOKUP($A18,'détails investissements'!$A$71:$B$88,2,FALSE)+1,FALSE)="","",VLOOKUP($A18,'détails investissements'!$A$26:$DE$43,M$3-VLOOKUP($A18,'détails investissements'!$A$71:$B$88,2,FALSE)+1,FALSE))),'détails investissements'!$U$6:$AB$7,2,FALSE),"")&lt;&gt;"",VLOOKUP($A18,'détails investissements'!$A$7:$H$21,1+IF(IF(M$3-VLOOKUP($A18,'détails investissements'!$A$71:$B$88,2,FALSE)&lt;=0,"",IF(VLOOKUP($A18,'détails investissements'!$A$26:$DE$43,M$3-VLOOKUP($A18,'détails investissements'!$A$71:$B$88,2,FALSE)+1,FALSE)="","",VLOOKUP($A18,'détails investissements'!$A$26:$DE$43,M$3-VLOOKUP($A18,'détails investissements'!$A$71:$B$88,2,FALSE)+1,FALSE)))&lt;&gt;"",HLOOKUP(IF(M$3-VLOOKUP($A18,'détails investissements'!$A$71:$B$88,2,FALSE)&lt;=0,"",IF(VLOOKUP($A18,'détails investissements'!$A$26:$DE$43,M$3-VLOOKUP($A18,'détails investissements'!$A$71:$B$88,2,FALSE)+1,FALSE)="","",VLOOKUP($A18,'détails investissements'!$A$26:$DE$43,M$3-VLOOKUP($A18,'détails investissements'!$A$71:$B$88,2,FALSE)+1,FALSE))),'détails investissements'!$U$6:$AB$7,2,FALSE),""),FALSE),"")</f>
        <v/>
      </c>
      <c r="N18" s="45" t="str">
        <f>IF(IF(IF(N$3-VLOOKUP($A18,'détails investissements'!$A$71:$B$88,2,FALSE)&lt;=0,"",IF(VLOOKUP($A18,'détails investissements'!$A$26:$DE$43,N$3-VLOOKUP($A18,'détails investissements'!$A$71:$B$88,2,FALSE)+1,FALSE)="","",VLOOKUP($A18,'détails investissements'!$A$26:$DE$43,N$3-VLOOKUP($A18,'détails investissements'!$A$71:$B$88,2,FALSE)+1,FALSE)))&lt;&gt;"",HLOOKUP(IF(N$3-VLOOKUP($A18,'détails investissements'!$A$71:$B$88,2,FALSE)&lt;=0,"",IF(VLOOKUP($A18,'détails investissements'!$A$26:$DE$43,N$3-VLOOKUP($A18,'détails investissements'!$A$71:$B$88,2,FALSE)+1,FALSE)="","",VLOOKUP($A18,'détails investissements'!$A$26:$DE$43,N$3-VLOOKUP($A18,'détails investissements'!$A$71:$B$88,2,FALSE)+1,FALSE))),'détails investissements'!$U$6:$AB$7,2,FALSE),"")&lt;&gt;"",VLOOKUP($A18,'détails investissements'!$A$7:$H$21,1+IF(IF(N$3-VLOOKUP($A18,'détails investissements'!$A$71:$B$88,2,FALSE)&lt;=0,"",IF(VLOOKUP($A18,'détails investissements'!$A$26:$DE$43,N$3-VLOOKUP($A18,'détails investissements'!$A$71:$B$88,2,FALSE)+1,FALSE)="","",VLOOKUP($A18,'détails investissements'!$A$26:$DE$43,N$3-VLOOKUP($A18,'détails investissements'!$A$71:$B$88,2,FALSE)+1,FALSE)))&lt;&gt;"",HLOOKUP(IF(N$3-VLOOKUP($A18,'détails investissements'!$A$71:$B$88,2,FALSE)&lt;=0,"",IF(VLOOKUP($A18,'détails investissements'!$A$26:$DE$43,N$3-VLOOKUP($A18,'détails investissements'!$A$71:$B$88,2,FALSE)+1,FALSE)="","",VLOOKUP($A18,'détails investissements'!$A$26:$DE$43,N$3-VLOOKUP($A18,'détails investissements'!$A$71:$B$88,2,FALSE)+1,FALSE))),'détails investissements'!$U$6:$AB$7,2,FALSE),""),FALSE),"")</f>
        <v/>
      </c>
      <c r="O18" s="45" t="str">
        <f>IF(IF(IF(O$3-VLOOKUP($A18,'détails investissements'!$A$71:$B$88,2,FALSE)&lt;=0,"",IF(VLOOKUP($A18,'détails investissements'!$A$26:$DE$43,O$3-VLOOKUP($A18,'détails investissements'!$A$71:$B$88,2,FALSE)+1,FALSE)="","",VLOOKUP($A18,'détails investissements'!$A$26:$DE$43,O$3-VLOOKUP($A18,'détails investissements'!$A$71:$B$88,2,FALSE)+1,FALSE)))&lt;&gt;"",HLOOKUP(IF(O$3-VLOOKUP($A18,'détails investissements'!$A$71:$B$88,2,FALSE)&lt;=0,"",IF(VLOOKUP($A18,'détails investissements'!$A$26:$DE$43,O$3-VLOOKUP($A18,'détails investissements'!$A$71:$B$88,2,FALSE)+1,FALSE)="","",VLOOKUP($A18,'détails investissements'!$A$26:$DE$43,O$3-VLOOKUP($A18,'détails investissements'!$A$71:$B$88,2,FALSE)+1,FALSE))),'détails investissements'!$U$6:$AB$7,2,FALSE),"")&lt;&gt;"",VLOOKUP($A18,'détails investissements'!$A$7:$H$21,1+IF(IF(O$3-VLOOKUP($A18,'détails investissements'!$A$71:$B$88,2,FALSE)&lt;=0,"",IF(VLOOKUP($A18,'détails investissements'!$A$26:$DE$43,O$3-VLOOKUP($A18,'détails investissements'!$A$71:$B$88,2,FALSE)+1,FALSE)="","",VLOOKUP($A18,'détails investissements'!$A$26:$DE$43,O$3-VLOOKUP($A18,'détails investissements'!$A$71:$B$88,2,FALSE)+1,FALSE)))&lt;&gt;"",HLOOKUP(IF(O$3-VLOOKUP($A18,'détails investissements'!$A$71:$B$88,2,FALSE)&lt;=0,"",IF(VLOOKUP($A18,'détails investissements'!$A$26:$DE$43,O$3-VLOOKUP($A18,'détails investissements'!$A$71:$B$88,2,FALSE)+1,FALSE)="","",VLOOKUP($A18,'détails investissements'!$A$26:$DE$43,O$3-VLOOKUP($A18,'détails investissements'!$A$71:$B$88,2,FALSE)+1,FALSE))),'détails investissements'!$U$6:$AB$7,2,FALSE),""),FALSE),"")</f>
        <v/>
      </c>
      <c r="P18" s="45" t="str">
        <f>IF(IF(IF(P$3-VLOOKUP($A18,'détails investissements'!$A$71:$B$88,2,FALSE)&lt;=0,"",IF(VLOOKUP($A18,'détails investissements'!$A$26:$DE$43,P$3-VLOOKUP($A18,'détails investissements'!$A$71:$B$88,2,FALSE)+1,FALSE)="","",VLOOKUP($A18,'détails investissements'!$A$26:$DE$43,P$3-VLOOKUP($A18,'détails investissements'!$A$71:$B$88,2,FALSE)+1,FALSE)))&lt;&gt;"",HLOOKUP(IF(P$3-VLOOKUP($A18,'détails investissements'!$A$71:$B$88,2,FALSE)&lt;=0,"",IF(VLOOKUP($A18,'détails investissements'!$A$26:$DE$43,P$3-VLOOKUP($A18,'détails investissements'!$A$71:$B$88,2,FALSE)+1,FALSE)="","",VLOOKUP($A18,'détails investissements'!$A$26:$DE$43,P$3-VLOOKUP($A18,'détails investissements'!$A$71:$B$88,2,FALSE)+1,FALSE))),'détails investissements'!$U$6:$AB$7,2,FALSE),"")&lt;&gt;"",VLOOKUP($A18,'détails investissements'!$A$7:$H$21,1+IF(IF(P$3-VLOOKUP($A18,'détails investissements'!$A$71:$B$88,2,FALSE)&lt;=0,"",IF(VLOOKUP($A18,'détails investissements'!$A$26:$DE$43,P$3-VLOOKUP($A18,'détails investissements'!$A$71:$B$88,2,FALSE)+1,FALSE)="","",VLOOKUP($A18,'détails investissements'!$A$26:$DE$43,P$3-VLOOKUP($A18,'détails investissements'!$A$71:$B$88,2,FALSE)+1,FALSE)))&lt;&gt;"",HLOOKUP(IF(P$3-VLOOKUP($A18,'détails investissements'!$A$71:$B$88,2,FALSE)&lt;=0,"",IF(VLOOKUP($A18,'détails investissements'!$A$26:$DE$43,P$3-VLOOKUP($A18,'détails investissements'!$A$71:$B$88,2,FALSE)+1,FALSE)="","",VLOOKUP($A18,'détails investissements'!$A$26:$DE$43,P$3-VLOOKUP($A18,'détails investissements'!$A$71:$B$88,2,FALSE)+1,FALSE))),'détails investissements'!$U$6:$AB$7,2,FALSE),""),FALSE),"")</f>
        <v/>
      </c>
      <c r="Q18" s="45">
        <f>IF(IF(IF(Q$3-VLOOKUP($A18,'détails investissements'!$A$71:$B$88,2,FALSE)&lt;=0,"",IF(VLOOKUP($A18,'détails investissements'!$A$26:$DE$43,Q$3-VLOOKUP($A18,'détails investissements'!$A$71:$B$88,2,FALSE)+1,FALSE)="","",VLOOKUP($A18,'détails investissements'!$A$26:$DE$43,Q$3-VLOOKUP($A18,'détails investissements'!$A$71:$B$88,2,FALSE)+1,FALSE)))&lt;&gt;"",HLOOKUP(IF(Q$3-VLOOKUP($A18,'détails investissements'!$A$71:$B$88,2,FALSE)&lt;=0,"",IF(VLOOKUP($A18,'détails investissements'!$A$26:$DE$43,Q$3-VLOOKUP($A18,'détails investissements'!$A$71:$B$88,2,FALSE)+1,FALSE)="","",VLOOKUP($A18,'détails investissements'!$A$26:$DE$43,Q$3-VLOOKUP($A18,'détails investissements'!$A$71:$B$88,2,FALSE)+1,FALSE))),'détails investissements'!$U$6:$AB$7,2,FALSE),"")&lt;&gt;"",VLOOKUP($A18,'détails investissements'!$A$7:$H$21,1+IF(IF(Q$3-VLOOKUP($A18,'détails investissements'!$A$71:$B$88,2,FALSE)&lt;=0,"",IF(VLOOKUP($A18,'détails investissements'!$A$26:$DE$43,Q$3-VLOOKUP($A18,'détails investissements'!$A$71:$B$88,2,FALSE)+1,FALSE)="","",VLOOKUP($A18,'détails investissements'!$A$26:$DE$43,Q$3-VLOOKUP($A18,'détails investissements'!$A$71:$B$88,2,FALSE)+1,FALSE)))&lt;&gt;"",HLOOKUP(IF(Q$3-VLOOKUP($A18,'détails investissements'!$A$71:$B$88,2,FALSE)&lt;=0,"",IF(VLOOKUP($A18,'détails investissements'!$A$26:$DE$43,Q$3-VLOOKUP($A18,'détails investissements'!$A$71:$B$88,2,FALSE)+1,FALSE)="","",VLOOKUP($A18,'détails investissements'!$A$26:$DE$43,Q$3-VLOOKUP($A18,'détails investissements'!$A$71:$B$88,2,FALSE)+1,FALSE))),'détails investissements'!$U$6:$AB$7,2,FALSE),""),FALSE),"")</f>
        <v>0.15</v>
      </c>
      <c r="R18" s="45" t="str">
        <f>IF(IF(IF(R$3-VLOOKUP($A18,'détails investissements'!$A$71:$B$88,2,FALSE)&lt;=0,"",IF(VLOOKUP($A18,'détails investissements'!$A$26:$DE$43,R$3-VLOOKUP($A18,'détails investissements'!$A$71:$B$88,2,FALSE)+1,FALSE)="","",VLOOKUP($A18,'détails investissements'!$A$26:$DE$43,R$3-VLOOKUP($A18,'détails investissements'!$A$71:$B$88,2,FALSE)+1,FALSE)))&lt;&gt;"",HLOOKUP(IF(R$3-VLOOKUP($A18,'détails investissements'!$A$71:$B$88,2,FALSE)&lt;=0,"",IF(VLOOKUP($A18,'détails investissements'!$A$26:$DE$43,R$3-VLOOKUP($A18,'détails investissements'!$A$71:$B$88,2,FALSE)+1,FALSE)="","",VLOOKUP($A18,'détails investissements'!$A$26:$DE$43,R$3-VLOOKUP($A18,'détails investissements'!$A$71:$B$88,2,FALSE)+1,FALSE))),'détails investissements'!$U$6:$AB$7,2,FALSE),"")&lt;&gt;"",VLOOKUP($A18,'détails investissements'!$A$7:$H$21,1+IF(IF(R$3-VLOOKUP($A18,'détails investissements'!$A$71:$B$88,2,FALSE)&lt;=0,"",IF(VLOOKUP($A18,'détails investissements'!$A$26:$DE$43,R$3-VLOOKUP($A18,'détails investissements'!$A$71:$B$88,2,FALSE)+1,FALSE)="","",VLOOKUP($A18,'détails investissements'!$A$26:$DE$43,R$3-VLOOKUP($A18,'détails investissements'!$A$71:$B$88,2,FALSE)+1,FALSE)))&lt;&gt;"",HLOOKUP(IF(R$3-VLOOKUP($A18,'détails investissements'!$A$71:$B$88,2,FALSE)&lt;=0,"",IF(VLOOKUP($A18,'détails investissements'!$A$26:$DE$43,R$3-VLOOKUP($A18,'détails investissements'!$A$71:$B$88,2,FALSE)+1,FALSE)="","",VLOOKUP($A18,'détails investissements'!$A$26:$DE$43,R$3-VLOOKUP($A18,'détails investissements'!$A$71:$B$88,2,FALSE)+1,FALSE))),'détails investissements'!$U$6:$AB$7,2,FALSE),""),FALSE),"")</f>
        <v/>
      </c>
      <c r="S18" s="45">
        <f>IF(IF(IF(S$3-VLOOKUP($A18,'détails investissements'!$A$71:$B$88,2,FALSE)&lt;=0,"",IF(VLOOKUP($A18,'détails investissements'!$A$26:$DE$43,S$3-VLOOKUP($A18,'détails investissements'!$A$71:$B$88,2,FALSE)+1,FALSE)="","",VLOOKUP($A18,'détails investissements'!$A$26:$DE$43,S$3-VLOOKUP($A18,'détails investissements'!$A$71:$B$88,2,FALSE)+1,FALSE)))&lt;&gt;"",HLOOKUP(IF(S$3-VLOOKUP($A18,'détails investissements'!$A$71:$B$88,2,FALSE)&lt;=0,"",IF(VLOOKUP($A18,'détails investissements'!$A$26:$DE$43,S$3-VLOOKUP($A18,'détails investissements'!$A$71:$B$88,2,FALSE)+1,FALSE)="","",VLOOKUP($A18,'détails investissements'!$A$26:$DE$43,S$3-VLOOKUP($A18,'détails investissements'!$A$71:$B$88,2,FALSE)+1,FALSE))),'détails investissements'!$U$6:$AB$7,2,FALSE),"")&lt;&gt;"",VLOOKUP($A18,'détails investissements'!$A$7:$H$21,1+IF(IF(S$3-VLOOKUP($A18,'détails investissements'!$A$71:$B$88,2,FALSE)&lt;=0,"",IF(VLOOKUP($A18,'détails investissements'!$A$26:$DE$43,S$3-VLOOKUP($A18,'détails investissements'!$A$71:$B$88,2,FALSE)+1,FALSE)="","",VLOOKUP($A18,'détails investissements'!$A$26:$DE$43,S$3-VLOOKUP($A18,'détails investissements'!$A$71:$B$88,2,FALSE)+1,FALSE)))&lt;&gt;"",HLOOKUP(IF(S$3-VLOOKUP($A18,'détails investissements'!$A$71:$B$88,2,FALSE)&lt;=0,"",IF(VLOOKUP($A18,'détails investissements'!$A$26:$DE$43,S$3-VLOOKUP($A18,'détails investissements'!$A$71:$B$88,2,FALSE)+1,FALSE)="","",VLOOKUP($A18,'détails investissements'!$A$26:$DE$43,S$3-VLOOKUP($A18,'détails investissements'!$A$71:$B$88,2,FALSE)+1,FALSE))),'détails investissements'!$U$6:$AB$7,2,FALSE),""),FALSE),"")</f>
        <v>0.2</v>
      </c>
      <c r="T18" s="45">
        <f>IF(IF(IF(T$3-VLOOKUP($A18,'détails investissements'!$A$71:$B$88,2,FALSE)&lt;=0,"",IF(VLOOKUP($A18,'détails investissements'!$A$26:$DE$43,T$3-VLOOKUP($A18,'détails investissements'!$A$71:$B$88,2,FALSE)+1,FALSE)="","",VLOOKUP($A18,'détails investissements'!$A$26:$DE$43,T$3-VLOOKUP($A18,'détails investissements'!$A$71:$B$88,2,FALSE)+1,FALSE)))&lt;&gt;"",HLOOKUP(IF(T$3-VLOOKUP($A18,'détails investissements'!$A$71:$B$88,2,FALSE)&lt;=0,"",IF(VLOOKUP($A18,'détails investissements'!$A$26:$DE$43,T$3-VLOOKUP($A18,'détails investissements'!$A$71:$B$88,2,FALSE)+1,FALSE)="","",VLOOKUP($A18,'détails investissements'!$A$26:$DE$43,T$3-VLOOKUP($A18,'détails investissements'!$A$71:$B$88,2,FALSE)+1,FALSE))),'détails investissements'!$U$6:$AB$7,2,FALSE),"")&lt;&gt;"",VLOOKUP($A18,'détails investissements'!$A$7:$H$21,1+IF(IF(T$3-VLOOKUP($A18,'détails investissements'!$A$71:$B$88,2,FALSE)&lt;=0,"",IF(VLOOKUP($A18,'détails investissements'!$A$26:$DE$43,T$3-VLOOKUP($A18,'détails investissements'!$A$71:$B$88,2,FALSE)+1,FALSE)="","",VLOOKUP($A18,'détails investissements'!$A$26:$DE$43,T$3-VLOOKUP($A18,'détails investissements'!$A$71:$B$88,2,FALSE)+1,FALSE)))&lt;&gt;"",HLOOKUP(IF(T$3-VLOOKUP($A18,'détails investissements'!$A$71:$B$88,2,FALSE)&lt;=0,"",IF(VLOOKUP($A18,'détails investissements'!$A$26:$DE$43,T$3-VLOOKUP($A18,'détails investissements'!$A$71:$B$88,2,FALSE)+1,FALSE)="","",VLOOKUP($A18,'détails investissements'!$A$26:$DE$43,T$3-VLOOKUP($A18,'détails investissements'!$A$71:$B$88,2,FALSE)+1,FALSE))),'détails investissements'!$U$6:$AB$7,2,FALSE),""),FALSE),"")</f>
        <v>0.25</v>
      </c>
      <c r="U18" s="45" t="str">
        <f>IF(IF(IF(U$3-VLOOKUP($A18,'détails investissements'!$A$71:$B$88,2,FALSE)&lt;=0,"",IF(VLOOKUP($A18,'détails investissements'!$A$26:$DE$43,U$3-VLOOKUP($A18,'détails investissements'!$A$71:$B$88,2,FALSE)+1,FALSE)="","",VLOOKUP($A18,'détails investissements'!$A$26:$DE$43,U$3-VLOOKUP($A18,'détails investissements'!$A$71:$B$88,2,FALSE)+1,FALSE)))&lt;&gt;"",HLOOKUP(IF(U$3-VLOOKUP($A18,'détails investissements'!$A$71:$B$88,2,FALSE)&lt;=0,"",IF(VLOOKUP($A18,'détails investissements'!$A$26:$DE$43,U$3-VLOOKUP($A18,'détails investissements'!$A$71:$B$88,2,FALSE)+1,FALSE)="","",VLOOKUP($A18,'détails investissements'!$A$26:$DE$43,U$3-VLOOKUP($A18,'détails investissements'!$A$71:$B$88,2,FALSE)+1,FALSE))),'détails investissements'!$U$6:$AB$7,2,FALSE),"")&lt;&gt;"",VLOOKUP($A18,'détails investissements'!$A$7:$H$21,1+IF(IF(U$3-VLOOKUP($A18,'détails investissements'!$A$71:$B$88,2,FALSE)&lt;=0,"",IF(VLOOKUP($A18,'détails investissements'!$A$26:$DE$43,U$3-VLOOKUP($A18,'détails investissements'!$A$71:$B$88,2,FALSE)+1,FALSE)="","",VLOOKUP($A18,'détails investissements'!$A$26:$DE$43,U$3-VLOOKUP($A18,'détails investissements'!$A$71:$B$88,2,FALSE)+1,FALSE)))&lt;&gt;"",HLOOKUP(IF(U$3-VLOOKUP($A18,'détails investissements'!$A$71:$B$88,2,FALSE)&lt;=0,"",IF(VLOOKUP($A18,'détails investissements'!$A$26:$DE$43,U$3-VLOOKUP($A18,'détails investissements'!$A$71:$B$88,2,FALSE)+1,FALSE)="","",VLOOKUP($A18,'détails investissements'!$A$26:$DE$43,U$3-VLOOKUP($A18,'détails investissements'!$A$71:$B$88,2,FALSE)+1,FALSE))),'détails investissements'!$U$6:$AB$7,2,FALSE),""),FALSE),"")</f>
        <v/>
      </c>
      <c r="V18" s="45">
        <f>IF(IF(IF(V$3-VLOOKUP($A18,'détails investissements'!$A$71:$B$88,2,FALSE)&lt;=0,"",IF(VLOOKUP($A18,'détails investissements'!$A$26:$DE$43,V$3-VLOOKUP($A18,'détails investissements'!$A$71:$B$88,2,FALSE)+1,FALSE)="","",VLOOKUP($A18,'détails investissements'!$A$26:$DE$43,V$3-VLOOKUP($A18,'détails investissements'!$A$71:$B$88,2,FALSE)+1,FALSE)))&lt;&gt;"",HLOOKUP(IF(V$3-VLOOKUP($A18,'détails investissements'!$A$71:$B$88,2,FALSE)&lt;=0,"",IF(VLOOKUP($A18,'détails investissements'!$A$26:$DE$43,V$3-VLOOKUP($A18,'détails investissements'!$A$71:$B$88,2,FALSE)+1,FALSE)="","",VLOOKUP($A18,'détails investissements'!$A$26:$DE$43,V$3-VLOOKUP($A18,'détails investissements'!$A$71:$B$88,2,FALSE)+1,FALSE))),'détails investissements'!$U$6:$AB$7,2,FALSE),"")&lt;&gt;"",VLOOKUP($A18,'détails investissements'!$A$7:$H$21,1+IF(IF(V$3-VLOOKUP($A18,'détails investissements'!$A$71:$B$88,2,FALSE)&lt;=0,"",IF(VLOOKUP($A18,'détails investissements'!$A$26:$DE$43,V$3-VLOOKUP($A18,'détails investissements'!$A$71:$B$88,2,FALSE)+1,FALSE)="","",VLOOKUP($A18,'détails investissements'!$A$26:$DE$43,V$3-VLOOKUP($A18,'détails investissements'!$A$71:$B$88,2,FALSE)+1,FALSE)))&lt;&gt;"",HLOOKUP(IF(V$3-VLOOKUP($A18,'détails investissements'!$A$71:$B$88,2,FALSE)&lt;=0,"",IF(VLOOKUP($A18,'détails investissements'!$A$26:$DE$43,V$3-VLOOKUP($A18,'détails investissements'!$A$71:$B$88,2,FALSE)+1,FALSE)="","",VLOOKUP($A18,'détails investissements'!$A$26:$DE$43,V$3-VLOOKUP($A18,'détails investissements'!$A$71:$B$88,2,FALSE)+1,FALSE))),'détails investissements'!$U$6:$AB$7,2,FALSE),""),FALSE),"")</f>
        <v>0.15</v>
      </c>
      <c r="W18" s="45" t="str">
        <f>IF(IF(IF(W$3-VLOOKUP($A18,'détails investissements'!$A$71:$B$88,2,FALSE)&lt;=0,"",IF(VLOOKUP($A18,'détails investissements'!$A$26:$DE$43,W$3-VLOOKUP($A18,'détails investissements'!$A$71:$B$88,2,FALSE)+1,FALSE)="","",VLOOKUP($A18,'détails investissements'!$A$26:$DE$43,W$3-VLOOKUP($A18,'détails investissements'!$A$71:$B$88,2,FALSE)+1,FALSE)))&lt;&gt;"",HLOOKUP(IF(W$3-VLOOKUP($A18,'détails investissements'!$A$71:$B$88,2,FALSE)&lt;=0,"",IF(VLOOKUP($A18,'détails investissements'!$A$26:$DE$43,W$3-VLOOKUP($A18,'détails investissements'!$A$71:$B$88,2,FALSE)+1,FALSE)="","",VLOOKUP($A18,'détails investissements'!$A$26:$DE$43,W$3-VLOOKUP($A18,'détails investissements'!$A$71:$B$88,2,FALSE)+1,FALSE))),'détails investissements'!$U$6:$AB$7,2,FALSE),"")&lt;&gt;"",VLOOKUP($A18,'détails investissements'!$A$7:$H$21,1+IF(IF(W$3-VLOOKUP($A18,'détails investissements'!$A$71:$B$88,2,FALSE)&lt;=0,"",IF(VLOOKUP($A18,'détails investissements'!$A$26:$DE$43,W$3-VLOOKUP($A18,'détails investissements'!$A$71:$B$88,2,FALSE)+1,FALSE)="","",VLOOKUP($A18,'détails investissements'!$A$26:$DE$43,W$3-VLOOKUP($A18,'détails investissements'!$A$71:$B$88,2,FALSE)+1,FALSE)))&lt;&gt;"",HLOOKUP(IF(W$3-VLOOKUP($A18,'détails investissements'!$A$71:$B$88,2,FALSE)&lt;=0,"",IF(VLOOKUP($A18,'détails investissements'!$A$26:$DE$43,W$3-VLOOKUP($A18,'détails investissements'!$A$71:$B$88,2,FALSE)+1,FALSE)="","",VLOOKUP($A18,'détails investissements'!$A$26:$DE$43,W$3-VLOOKUP($A18,'détails investissements'!$A$71:$B$88,2,FALSE)+1,FALSE))),'détails investissements'!$U$6:$AB$7,2,FALSE),""),FALSE),"")</f>
        <v/>
      </c>
      <c r="X18" s="45" t="str">
        <f>IF(IF(IF(X$3-VLOOKUP($A18,'détails investissements'!$A$71:$B$88,2,FALSE)&lt;=0,"",IF(VLOOKUP($A18,'détails investissements'!$A$26:$DE$43,X$3-VLOOKUP($A18,'détails investissements'!$A$71:$B$88,2,FALSE)+1,FALSE)="","",VLOOKUP($A18,'détails investissements'!$A$26:$DE$43,X$3-VLOOKUP($A18,'détails investissements'!$A$71:$B$88,2,FALSE)+1,FALSE)))&lt;&gt;"",HLOOKUP(IF(X$3-VLOOKUP($A18,'détails investissements'!$A$71:$B$88,2,FALSE)&lt;=0,"",IF(VLOOKUP($A18,'détails investissements'!$A$26:$DE$43,X$3-VLOOKUP($A18,'détails investissements'!$A$71:$B$88,2,FALSE)+1,FALSE)="","",VLOOKUP($A18,'détails investissements'!$A$26:$DE$43,X$3-VLOOKUP($A18,'détails investissements'!$A$71:$B$88,2,FALSE)+1,FALSE))),'détails investissements'!$U$6:$AB$7,2,FALSE),"")&lt;&gt;"",VLOOKUP($A18,'détails investissements'!$A$7:$H$21,1+IF(IF(X$3-VLOOKUP($A18,'détails investissements'!$A$71:$B$88,2,FALSE)&lt;=0,"",IF(VLOOKUP($A18,'détails investissements'!$A$26:$DE$43,X$3-VLOOKUP($A18,'détails investissements'!$A$71:$B$88,2,FALSE)+1,FALSE)="","",VLOOKUP($A18,'détails investissements'!$A$26:$DE$43,X$3-VLOOKUP($A18,'détails investissements'!$A$71:$B$88,2,FALSE)+1,FALSE)))&lt;&gt;"",HLOOKUP(IF(X$3-VLOOKUP($A18,'détails investissements'!$A$71:$B$88,2,FALSE)&lt;=0,"",IF(VLOOKUP($A18,'détails investissements'!$A$26:$DE$43,X$3-VLOOKUP($A18,'détails investissements'!$A$71:$B$88,2,FALSE)+1,FALSE)="","",VLOOKUP($A18,'détails investissements'!$A$26:$DE$43,X$3-VLOOKUP($A18,'détails investissements'!$A$71:$B$88,2,FALSE)+1,FALSE))),'détails investissements'!$U$6:$AB$7,2,FALSE),""),FALSE),"")</f>
        <v/>
      </c>
      <c r="Y18" s="45" t="str">
        <f>IF(IF(IF(Y$3-VLOOKUP($A18,'détails investissements'!$A$71:$B$88,2,FALSE)&lt;=0,"",IF(VLOOKUP($A18,'détails investissements'!$A$26:$DE$43,Y$3-VLOOKUP($A18,'détails investissements'!$A$71:$B$88,2,FALSE)+1,FALSE)="","",VLOOKUP($A18,'détails investissements'!$A$26:$DE$43,Y$3-VLOOKUP($A18,'détails investissements'!$A$71:$B$88,2,FALSE)+1,FALSE)))&lt;&gt;"",HLOOKUP(IF(Y$3-VLOOKUP($A18,'détails investissements'!$A$71:$B$88,2,FALSE)&lt;=0,"",IF(VLOOKUP($A18,'détails investissements'!$A$26:$DE$43,Y$3-VLOOKUP($A18,'détails investissements'!$A$71:$B$88,2,FALSE)+1,FALSE)="","",VLOOKUP($A18,'détails investissements'!$A$26:$DE$43,Y$3-VLOOKUP($A18,'détails investissements'!$A$71:$B$88,2,FALSE)+1,FALSE))),'détails investissements'!$U$6:$AB$7,2,FALSE),"")&lt;&gt;"",VLOOKUP($A18,'détails investissements'!$A$7:$H$21,1+IF(IF(Y$3-VLOOKUP($A18,'détails investissements'!$A$71:$B$88,2,FALSE)&lt;=0,"",IF(VLOOKUP($A18,'détails investissements'!$A$26:$DE$43,Y$3-VLOOKUP($A18,'détails investissements'!$A$71:$B$88,2,FALSE)+1,FALSE)="","",VLOOKUP($A18,'détails investissements'!$A$26:$DE$43,Y$3-VLOOKUP($A18,'détails investissements'!$A$71:$B$88,2,FALSE)+1,FALSE)))&lt;&gt;"",HLOOKUP(IF(Y$3-VLOOKUP($A18,'détails investissements'!$A$71:$B$88,2,FALSE)&lt;=0,"",IF(VLOOKUP($A18,'détails investissements'!$A$26:$DE$43,Y$3-VLOOKUP($A18,'détails investissements'!$A$71:$B$88,2,FALSE)+1,FALSE)="","",VLOOKUP($A18,'détails investissements'!$A$26:$DE$43,Y$3-VLOOKUP($A18,'détails investissements'!$A$71:$B$88,2,FALSE)+1,FALSE))),'détails investissements'!$U$6:$AB$7,2,FALSE),""),FALSE),"")</f>
        <v/>
      </c>
      <c r="Z18" s="45" t="str">
        <f>IF(IF(IF(Z$3-VLOOKUP($A18,'détails investissements'!$A$71:$B$88,2,FALSE)&lt;=0,"",IF(VLOOKUP($A18,'détails investissements'!$A$26:$DE$43,Z$3-VLOOKUP($A18,'détails investissements'!$A$71:$B$88,2,FALSE)+1,FALSE)="","",VLOOKUP($A18,'détails investissements'!$A$26:$DE$43,Z$3-VLOOKUP($A18,'détails investissements'!$A$71:$B$88,2,FALSE)+1,FALSE)))&lt;&gt;"",HLOOKUP(IF(Z$3-VLOOKUP($A18,'détails investissements'!$A$71:$B$88,2,FALSE)&lt;=0,"",IF(VLOOKUP($A18,'détails investissements'!$A$26:$DE$43,Z$3-VLOOKUP($A18,'détails investissements'!$A$71:$B$88,2,FALSE)+1,FALSE)="","",VLOOKUP($A18,'détails investissements'!$A$26:$DE$43,Z$3-VLOOKUP($A18,'détails investissements'!$A$71:$B$88,2,FALSE)+1,FALSE))),'détails investissements'!$U$6:$AB$7,2,FALSE),"")&lt;&gt;"",VLOOKUP($A18,'détails investissements'!$A$7:$H$21,1+IF(IF(Z$3-VLOOKUP($A18,'détails investissements'!$A$71:$B$88,2,FALSE)&lt;=0,"",IF(VLOOKUP($A18,'détails investissements'!$A$26:$DE$43,Z$3-VLOOKUP($A18,'détails investissements'!$A$71:$B$88,2,FALSE)+1,FALSE)="","",VLOOKUP($A18,'détails investissements'!$A$26:$DE$43,Z$3-VLOOKUP($A18,'détails investissements'!$A$71:$B$88,2,FALSE)+1,FALSE)))&lt;&gt;"",HLOOKUP(IF(Z$3-VLOOKUP($A18,'détails investissements'!$A$71:$B$88,2,FALSE)&lt;=0,"",IF(VLOOKUP($A18,'détails investissements'!$A$26:$DE$43,Z$3-VLOOKUP($A18,'détails investissements'!$A$71:$B$88,2,FALSE)+1,FALSE)="","",VLOOKUP($A18,'détails investissements'!$A$26:$DE$43,Z$3-VLOOKUP($A18,'détails investissements'!$A$71:$B$88,2,FALSE)+1,FALSE))),'détails investissements'!$U$6:$AB$7,2,FALSE),""),FALSE),"")</f>
        <v/>
      </c>
      <c r="AA18" s="45" t="str">
        <f>IF(IF(IF(AA$3-VLOOKUP($A18,'détails investissements'!$A$71:$B$88,2,FALSE)&lt;=0,"",IF(VLOOKUP($A18,'détails investissements'!$A$26:$DE$43,AA$3-VLOOKUP($A18,'détails investissements'!$A$71:$B$88,2,FALSE)+1,FALSE)="","",VLOOKUP($A18,'détails investissements'!$A$26:$DE$43,AA$3-VLOOKUP($A18,'détails investissements'!$A$71:$B$88,2,FALSE)+1,FALSE)))&lt;&gt;"",HLOOKUP(IF(AA$3-VLOOKUP($A18,'détails investissements'!$A$71:$B$88,2,FALSE)&lt;=0,"",IF(VLOOKUP($A18,'détails investissements'!$A$26:$DE$43,AA$3-VLOOKUP($A18,'détails investissements'!$A$71:$B$88,2,FALSE)+1,FALSE)="","",VLOOKUP($A18,'détails investissements'!$A$26:$DE$43,AA$3-VLOOKUP($A18,'détails investissements'!$A$71:$B$88,2,FALSE)+1,FALSE))),'détails investissements'!$U$6:$AB$7,2,FALSE),"")&lt;&gt;"",VLOOKUP($A18,'détails investissements'!$A$7:$H$21,1+IF(IF(AA$3-VLOOKUP($A18,'détails investissements'!$A$71:$B$88,2,FALSE)&lt;=0,"",IF(VLOOKUP($A18,'détails investissements'!$A$26:$DE$43,AA$3-VLOOKUP($A18,'détails investissements'!$A$71:$B$88,2,FALSE)+1,FALSE)="","",VLOOKUP($A18,'détails investissements'!$A$26:$DE$43,AA$3-VLOOKUP($A18,'détails investissements'!$A$71:$B$88,2,FALSE)+1,FALSE)))&lt;&gt;"",HLOOKUP(IF(AA$3-VLOOKUP($A18,'détails investissements'!$A$71:$B$88,2,FALSE)&lt;=0,"",IF(VLOOKUP($A18,'détails investissements'!$A$26:$DE$43,AA$3-VLOOKUP($A18,'détails investissements'!$A$71:$B$88,2,FALSE)+1,FALSE)="","",VLOOKUP($A18,'détails investissements'!$A$26:$DE$43,AA$3-VLOOKUP($A18,'détails investissements'!$A$71:$B$88,2,FALSE)+1,FALSE))),'détails investissements'!$U$6:$AB$7,2,FALSE),""),FALSE),"")</f>
        <v/>
      </c>
      <c r="AB18" s="45" t="str">
        <f>IF(IF(IF(AB$3-VLOOKUP($A18,'détails investissements'!$A$71:$B$88,2,FALSE)&lt;=0,"",IF(VLOOKUP($A18,'détails investissements'!$A$26:$DE$43,AB$3-VLOOKUP($A18,'détails investissements'!$A$71:$B$88,2,FALSE)+1,FALSE)="","",VLOOKUP($A18,'détails investissements'!$A$26:$DE$43,AB$3-VLOOKUP($A18,'détails investissements'!$A$71:$B$88,2,FALSE)+1,FALSE)))&lt;&gt;"",HLOOKUP(IF(AB$3-VLOOKUP($A18,'détails investissements'!$A$71:$B$88,2,FALSE)&lt;=0,"",IF(VLOOKUP($A18,'détails investissements'!$A$26:$DE$43,AB$3-VLOOKUP($A18,'détails investissements'!$A$71:$B$88,2,FALSE)+1,FALSE)="","",VLOOKUP($A18,'détails investissements'!$A$26:$DE$43,AB$3-VLOOKUP($A18,'détails investissements'!$A$71:$B$88,2,FALSE)+1,FALSE))),'détails investissements'!$U$6:$AB$7,2,FALSE),"")&lt;&gt;"",VLOOKUP($A18,'détails investissements'!$A$7:$H$21,1+IF(IF(AB$3-VLOOKUP($A18,'détails investissements'!$A$71:$B$88,2,FALSE)&lt;=0,"",IF(VLOOKUP($A18,'détails investissements'!$A$26:$DE$43,AB$3-VLOOKUP($A18,'détails investissements'!$A$71:$B$88,2,FALSE)+1,FALSE)="","",VLOOKUP($A18,'détails investissements'!$A$26:$DE$43,AB$3-VLOOKUP($A18,'détails investissements'!$A$71:$B$88,2,FALSE)+1,FALSE)))&lt;&gt;"",HLOOKUP(IF(AB$3-VLOOKUP($A18,'détails investissements'!$A$71:$B$88,2,FALSE)&lt;=0,"",IF(VLOOKUP($A18,'détails investissements'!$A$26:$DE$43,AB$3-VLOOKUP($A18,'détails investissements'!$A$71:$B$88,2,FALSE)+1,FALSE)="","",VLOOKUP($A18,'détails investissements'!$A$26:$DE$43,AB$3-VLOOKUP($A18,'détails investissements'!$A$71:$B$88,2,FALSE)+1,FALSE))),'détails investissements'!$U$6:$AB$7,2,FALSE),""),FALSE),"")</f>
        <v/>
      </c>
      <c r="AC18" s="45" t="str">
        <f>IF(IF(IF(AC$3-VLOOKUP($A18,'détails investissements'!$A$71:$B$88,2,FALSE)&lt;=0,"",IF(VLOOKUP($A18,'détails investissements'!$A$26:$DE$43,AC$3-VLOOKUP($A18,'détails investissements'!$A$71:$B$88,2,FALSE)+1,FALSE)="","",VLOOKUP($A18,'détails investissements'!$A$26:$DE$43,AC$3-VLOOKUP($A18,'détails investissements'!$A$71:$B$88,2,FALSE)+1,FALSE)))&lt;&gt;"",HLOOKUP(IF(AC$3-VLOOKUP($A18,'détails investissements'!$A$71:$B$88,2,FALSE)&lt;=0,"",IF(VLOOKUP($A18,'détails investissements'!$A$26:$DE$43,AC$3-VLOOKUP($A18,'détails investissements'!$A$71:$B$88,2,FALSE)+1,FALSE)="","",VLOOKUP($A18,'détails investissements'!$A$26:$DE$43,AC$3-VLOOKUP($A18,'détails investissements'!$A$71:$B$88,2,FALSE)+1,FALSE))),'détails investissements'!$U$6:$AB$7,2,FALSE),"")&lt;&gt;"",VLOOKUP($A18,'détails investissements'!$A$7:$H$21,1+IF(IF(AC$3-VLOOKUP($A18,'détails investissements'!$A$71:$B$88,2,FALSE)&lt;=0,"",IF(VLOOKUP($A18,'détails investissements'!$A$26:$DE$43,AC$3-VLOOKUP($A18,'détails investissements'!$A$71:$B$88,2,FALSE)+1,FALSE)="","",VLOOKUP($A18,'détails investissements'!$A$26:$DE$43,AC$3-VLOOKUP($A18,'détails investissements'!$A$71:$B$88,2,FALSE)+1,FALSE)))&lt;&gt;"",HLOOKUP(IF(AC$3-VLOOKUP($A18,'détails investissements'!$A$71:$B$88,2,FALSE)&lt;=0,"",IF(VLOOKUP($A18,'détails investissements'!$A$26:$DE$43,AC$3-VLOOKUP($A18,'détails investissements'!$A$71:$B$88,2,FALSE)+1,FALSE)="","",VLOOKUP($A18,'détails investissements'!$A$26:$DE$43,AC$3-VLOOKUP($A18,'détails investissements'!$A$71:$B$88,2,FALSE)+1,FALSE))),'détails investissements'!$U$6:$AB$7,2,FALSE),""),FALSE),"")</f>
        <v/>
      </c>
      <c r="AD18" s="45" t="str">
        <f>IF(IF(IF(AD$3-VLOOKUP($A18,'détails investissements'!$A$71:$B$88,2,FALSE)&lt;=0,"",IF(VLOOKUP($A18,'détails investissements'!$A$26:$DE$43,AD$3-VLOOKUP($A18,'détails investissements'!$A$71:$B$88,2,FALSE)+1,FALSE)="","",VLOOKUP($A18,'détails investissements'!$A$26:$DE$43,AD$3-VLOOKUP($A18,'détails investissements'!$A$71:$B$88,2,FALSE)+1,FALSE)))&lt;&gt;"",HLOOKUP(IF(AD$3-VLOOKUP($A18,'détails investissements'!$A$71:$B$88,2,FALSE)&lt;=0,"",IF(VLOOKUP($A18,'détails investissements'!$A$26:$DE$43,AD$3-VLOOKUP($A18,'détails investissements'!$A$71:$B$88,2,FALSE)+1,FALSE)="","",VLOOKUP($A18,'détails investissements'!$A$26:$DE$43,AD$3-VLOOKUP($A18,'détails investissements'!$A$71:$B$88,2,FALSE)+1,FALSE))),'détails investissements'!$U$6:$AB$7,2,FALSE),"")&lt;&gt;"",VLOOKUP($A18,'détails investissements'!$A$7:$H$21,1+IF(IF(AD$3-VLOOKUP($A18,'détails investissements'!$A$71:$B$88,2,FALSE)&lt;=0,"",IF(VLOOKUP($A18,'détails investissements'!$A$26:$DE$43,AD$3-VLOOKUP($A18,'détails investissements'!$A$71:$B$88,2,FALSE)+1,FALSE)="","",VLOOKUP($A18,'détails investissements'!$A$26:$DE$43,AD$3-VLOOKUP($A18,'détails investissements'!$A$71:$B$88,2,FALSE)+1,FALSE)))&lt;&gt;"",HLOOKUP(IF(AD$3-VLOOKUP($A18,'détails investissements'!$A$71:$B$88,2,FALSE)&lt;=0,"",IF(VLOOKUP($A18,'détails investissements'!$A$26:$DE$43,AD$3-VLOOKUP($A18,'détails investissements'!$A$71:$B$88,2,FALSE)+1,FALSE)="","",VLOOKUP($A18,'détails investissements'!$A$26:$DE$43,AD$3-VLOOKUP($A18,'détails investissements'!$A$71:$B$88,2,FALSE)+1,FALSE))),'détails investissements'!$U$6:$AB$7,2,FALSE),""),FALSE),"")</f>
        <v/>
      </c>
      <c r="AE18" s="45" t="str">
        <f>IF(IF(IF(AE$3-VLOOKUP($A18,'détails investissements'!$A$71:$B$88,2,FALSE)&lt;=0,"",IF(VLOOKUP($A18,'détails investissements'!$A$26:$DE$43,AE$3-VLOOKUP($A18,'détails investissements'!$A$71:$B$88,2,FALSE)+1,FALSE)="","",VLOOKUP($A18,'détails investissements'!$A$26:$DE$43,AE$3-VLOOKUP($A18,'détails investissements'!$A$71:$B$88,2,FALSE)+1,FALSE)))&lt;&gt;"",HLOOKUP(IF(AE$3-VLOOKUP($A18,'détails investissements'!$A$71:$B$88,2,FALSE)&lt;=0,"",IF(VLOOKUP($A18,'détails investissements'!$A$26:$DE$43,AE$3-VLOOKUP($A18,'détails investissements'!$A$71:$B$88,2,FALSE)+1,FALSE)="","",VLOOKUP($A18,'détails investissements'!$A$26:$DE$43,AE$3-VLOOKUP($A18,'détails investissements'!$A$71:$B$88,2,FALSE)+1,FALSE))),'détails investissements'!$U$6:$AB$7,2,FALSE),"")&lt;&gt;"",VLOOKUP($A18,'détails investissements'!$A$7:$H$21,1+IF(IF(AE$3-VLOOKUP($A18,'détails investissements'!$A$71:$B$88,2,FALSE)&lt;=0,"",IF(VLOOKUP($A18,'détails investissements'!$A$26:$DE$43,AE$3-VLOOKUP($A18,'détails investissements'!$A$71:$B$88,2,FALSE)+1,FALSE)="","",VLOOKUP($A18,'détails investissements'!$A$26:$DE$43,AE$3-VLOOKUP($A18,'détails investissements'!$A$71:$B$88,2,FALSE)+1,FALSE)))&lt;&gt;"",HLOOKUP(IF(AE$3-VLOOKUP($A18,'détails investissements'!$A$71:$B$88,2,FALSE)&lt;=0,"",IF(VLOOKUP($A18,'détails investissements'!$A$26:$DE$43,AE$3-VLOOKUP($A18,'détails investissements'!$A$71:$B$88,2,FALSE)+1,FALSE)="","",VLOOKUP($A18,'détails investissements'!$A$26:$DE$43,AE$3-VLOOKUP($A18,'détails investissements'!$A$71:$B$88,2,FALSE)+1,FALSE))),'détails investissements'!$U$6:$AB$7,2,FALSE),""),FALSE),"")</f>
        <v/>
      </c>
      <c r="AF18" s="45" t="str">
        <f>IF(IF(IF(AF$3-VLOOKUP($A18,'détails investissements'!$A$71:$B$88,2,FALSE)&lt;=0,"",IF(VLOOKUP($A18,'détails investissements'!$A$26:$DE$43,AF$3-VLOOKUP($A18,'détails investissements'!$A$71:$B$88,2,FALSE)+1,FALSE)="","",VLOOKUP($A18,'détails investissements'!$A$26:$DE$43,AF$3-VLOOKUP($A18,'détails investissements'!$A$71:$B$88,2,FALSE)+1,FALSE)))&lt;&gt;"",HLOOKUP(IF(AF$3-VLOOKUP($A18,'détails investissements'!$A$71:$B$88,2,FALSE)&lt;=0,"",IF(VLOOKUP($A18,'détails investissements'!$A$26:$DE$43,AF$3-VLOOKUP($A18,'détails investissements'!$A$71:$B$88,2,FALSE)+1,FALSE)="","",VLOOKUP($A18,'détails investissements'!$A$26:$DE$43,AF$3-VLOOKUP($A18,'détails investissements'!$A$71:$B$88,2,FALSE)+1,FALSE))),'détails investissements'!$U$6:$AB$7,2,FALSE),"")&lt;&gt;"",VLOOKUP($A18,'détails investissements'!$A$7:$H$21,1+IF(IF(AF$3-VLOOKUP($A18,'détails investissements'!$A$71:$B$88,2,FALSE)&lt;=0,"",IF(VLOOKUP($A18,'détails investissements'!$A$26:$DE$43,AF$3-VLOOKUP($A18,'détails investissements'!$A$71:$B$88,2,FALSE)+1,FALSE)="","",VLOOKUP($A18,'détails investissements'!$A$26:$DE$43,AF$3-VLOOKUP($A18,'détails investissements'!$A$71:$B$88,2,FALSE)+1,FALSE)))&lt;&gt;"",HLOOKUP(IF(AF$3-VLOOKUP($A18,'détails investissements'!$A$71:$B$88,2,FALSE)&lt;=0,"",IF(VLOOKUP($A18,'détails investissements'!$A$26:$DE$43,AF$3-VLOOKUP($A18,'détails investissements'!$A$71:$B$88,2,FALSE)+1,FALSE)="","",VLOOKUP($A18,'détails investissements'!$A$26:$DE$43,AF$3-VLOOKUP($A18,'détails investissements'!$A$71:$B$88,2,FALSE)+1,FALSE))),'détails investissements'!$U$6:$AB$7,2,FALSE),""),FALSE),"")</f>
        <v/>
      </c>
      <c r="AG18" s="45" t="str">
        <f>IF(IF(IF(AG$3-VLOOKUP($A18,'détails investissements'!$A$71:$B$88,2,FALSE)&lt;=0,"",IF(VLOOKUP($A18,'détails investissements'!$A$26:$DE$43,AG$3-VLOOKUP($A18,'détails investissements'!$A$71:$B$88,2,FALSE)+1,FALSE)="","",VLOOKUP($A18,'détails investissements'!$A$26:$DE$43,AG$3-VLOOKUP($A18,'détails investissements'!$A$71:$B$88,2,FALSE)+1,FALSE)))&lt;&gt;"",HLOOKUP(IF(AG$3-VLOOKUP($A18,'détails investissements'!$A$71:$B$88,2,FALSE)&lt;=0,"",IF(VLOOKUP($A18,'détails investissements'!$A$26:$DE$43,AG$3-VLOOKUP($A18,'détails investissements'!$A$71:$B$88,2,FALSE)+1,FALSE)="","",VLOOKUP($A18,'détails investissements'!$A$26:$DE$43,AG$3-VLOOKUP($A18,'détails investissements'!$A$71:$B$88,2,FALSE)+1,FALSE))),'détails investissements'!$U$6:$AB$7,2,FALSE),"")&lt;&gt;"",VLOOKUP($A18,'détails investissements'!$A$7:$H$21,1+IF(IF(AG$3-VLOOKUP($A18,'détails investissements'!$A$71:$B$88,2,FALSE)&lt;=0,"",IF(VLOOKUP($A18,'détails investissements'!$A$26:$DE$43,AG$3-VLOOKUP($A18,'détails investissements'!$A$71:$B$88,2,FALSE)+1,FALSE)="","",VLOOKUP($A18,'détails investissements'!$A$26:$DE$43,AG$3-VLOOKUP($A18,'détails investissements'!$A$71:$B$88,2,FALSE)+1,FALSE)))&lt;&gt;"",HLOOKUP(IF(AG$3-VLOOKUP($A18,'détails investissements'!$A$71:$B$88,2,FALSE)&lt;=0,"",IF(VLOOKUP($A18,'détails investissements'!$A$26:$DE$43,AG$3-VLOOKUP($A18,'détails investissements'!$A$71:$B$88,2,FALSE)+1,FALSE)="","",VLOOKUP($A18,'détails investissements'!$A$26:$DE$43,AG$3-VLOOKUP($A18,'détails investissements'!$A$71:$B$88,2,FALSE)+1,FALSE))),'détails investissements'!$U$6:$AB$7,2,FALSE),""),FALSE),"")</f>
        <v/>
      </c>
      <c r="AH18" s="45">
        <f>IF(IF(IF(AH$3-VLOOKUP($A18,'détails investissements'!$A$71:$B$88,2,FALSE)&lt;=0,"",IF(VLOOKUP($A18,'détails investissements'!$A$26:$DE$43,AH$3-VLOOKUP($A18,'détails investissements'!$A$71:$B$88,2,FALSE)+1,FALSE)="","",VLOOKUP($A18,'détails investissements'!$A$26:$DE$43,AH$3-VLOOKUP($A18,'détails investissements'!$A$71:$B$88,2,FALSE)+1,FALSE)))&lt;&gt;"",HLOOKUP(IF(AH$3-VLOOKUP($A18,'détails investissements'!$A$71:$B$88,2,FALSE)&lt;=0,"",IF(VLOOKUP($A18,'détails investissements'!$A$26:$DE$43,AH$3-VLOOKUP($A18,'détails investissements'!$A$71:$B$88,2,FALSE)+1,FALSE)="","",VLOOKUP($A18,'détails investissements'!$A$26:$DE$43,AH$3-VLOOKUP($A18,'détails investissements'!$A$71:$B$88,2,FALSE)+1,FALSE))),'détails investissements'!$U$6:$AB$7,2,FALSE),"")&lt;&gt;"",VLOOKUP($A18,'détails investissements'!$A$7:$H$21,1+IF(IF(AH$3-VLOOKUP($A18,'détails investissements'!$A$71:$B$88,2,FALSE)&lt;=0,"",IF(VLOOKUP($A18,'détails investissements'!$A$26:$DE$43,AH$3-VLOOKUP($A18,'détails investissements'!$A$71:$B$88,2,FALSE)+1,FALSE)="","",VLOOKUP($A18,'détails investissements'!$A$26:$DE$43,AH$3-VLOOKUP($A18,'détails investissements'!$A$71:$B$88,2,FALSE)+1,FALSE)))&lt;&gt;"",HLOOKUP(IF(AH$3-VLOOKUP($A18,'détails investissements'!$A$71:$B$88,2,FALSE)&lt;=0,"",IF(VLOOKUP($A18,'détails investissements'!$A$26:$DE$43,AH$3-VLOOKUP($A18,'détails investissements'!$A$71:$B$88,2,FALSE)+1,FALSE)="","",VLOOKUP($A18,'détails investissements'!$A$26:$DE$43,AH$3-VLOOKUP($A18,'détails investissements'!$A$71:$B$88,2,FALSE)+1,FALSE))),'détails investissements'!$U$6:$AB$7,2,FALSE),""),FALSE),"")</f>
        <v>0.05</v>
      </c>
      <c r="AI18" s="45" t="str">
        <f>IF(IF(IF(AI$3-VLOOKUP($A18,'détails investissements'!$A$71:$B$88,2,FALSE)&lt;=0,"",IF(VLOOKUP($A18,'détails investissements'!$A$26:$DE$43,AI$3-VLOOKUP($A18,'détails investissements'!$A$71:$B$88,2,FALSE)+1,FALSE)="","",VLOOKUP($A18,'détails investissements'!$A$26:$DE$43,AI$3-VLOOKUP($A18,'détails investissements'!$A$71:$B$88,2,FALSE)+1,FALSE)))&lt;&gt;"",HLOOKUP(IF(AI$3-VLOOKUP($A18,'détails investissements'!$A$71:$B$88,2,FALSE)&lt;=0,"",IF(VLOOKUP($A18,'détails investissements'!$A$26:$DE$43,AI$3-VLOOKUP($A18,'détails investissements'!$A$71:$B$88,2,FALSE)+1,FALSE)="","",VLOOKUP($A18,'détails investissements'!$A$26:$DE$43,AI$3-VLOOKUP($A18,'détails investissements'!$A$71:$B$88,2,FALSE)+1,FALSE))),'détails investissements'!$U$6:$AB$7,2,FALSE),"")&lt;&gt;"",VLOOKUP($A18,'détails investissements'!$A$7:$H$21,1+IF(IF(AI$3-VLOOKUP($A18,'détails investissements'!$A$71:$B$88,2,FALSE)&lt;=0,"",IF(VLOOKUP($A18,'détails investissements'!$A$26:$DE$43,AI$3-VLOOKUP($A18,'détails investissements'!$A$71:$B$88,2,FALSE)+1,FALSE)="","",VLOOKUP($A18,'détails investissements'!$A$26:$DE$43,AI$3-VLOOKUP($A18,'détails investissements'!$A$71:$B$88,2,FALSE)+1,FALSE)))&lt;&gt;"",HLOOKUP(IF(AI$3-VLOOKUP($A18,'détails investissements'!$A$71:$B$88,2,FALSE)&lt;=0,"",IF(VLOOKUP($A18,'détails investissements'!$A$26:$DE$43,AI$3-VLOOKUP($A18,'détails investissements'!$A$71:$B$88,2,FALSE)+1,FALSE)="","",VLOOKUP($A18,'détails investissements'!$A$26:$DE$43,AI$3-VLOOKUP($A18,'détails investissements'!$A$71:$B$88,2,FALSE)+1,FALSE))),'détails investissements'!$U$6:$AB$7,2,FALSE),""),FALSE),"")</f>
        <v/>
      </c>
      <c r="AJ18" s="45" t="str">
        <f>IF(IF(IF(AJ$3-VLOOKUP($A18,'détails investissements'!$A$71:$B$88,2,FALSE)&lt;=0,"",IF(VLOOKUP($A18,'détails investissements'!$A$26:$DE$43,AJ$3-VLOOKUP($A18,'détails investissements'!$A$71:$B$88,2,FALSE)+1,FALSE)="","",VLOOKUP($A18,'détails investissements'!$A$26:$DE$43,AJ$3-VLOOKUP($A18,'détails investissements'!$A$71:$B$88,2,FALSE)+1,FALSE)))&lt;&gt;"",HLOOKUP(IF(AJ$3-VLOOKUP($A18,'détails investissements'!$A$71:$B$88,2,FALSE)&lt;=0,"",IF(VLOOKUP($A18,'détails investissements'!$A$26:$DE$43,AJ$3-VLOOKUP($A18,'détails investissements'!$A$71:$B$88,2,FALSE)+1,FALSE)="","",VLOOKUP($A18,'détails investissements'!$A$26:$DE$43,AJ$3-VLOOKUP($A18,'détails investissements'!$A$71:$B$88,2,FALSE)+1,FALSE))),'détails investissements'!$U$6:$AB$7,2,FALSE),"")&lt;&gt;"",VLOOKUP($A18,'détails investissements'!$A$7:$H$21,1+IF(IF(AJ$3-VLOOKUP($A18,'détails investissements'!$A$71:$B$88,2,FALSE)&lt;=0,"",IF(VLOOKUP($A18,'détails investissements'!$A$26:$DE$43,AJ$3-VLOOKUP($A18,'détails investissements'!$A$71:$B$88,2,FALSE)+1,FALSE)="","",VLOOKUP($A18,'détails investissements'!$A$26:$DE$43,AJ$3-VLOOKUP($A18,'détails investissements'!$A$71:$B$88,2,FALSE)+1,FALSE)))&lt;&gt;"",HLOOKUP(IF(AJ$3-VLOOKUP($A18,'détails investissements'!$A$71:$B$88,2,FALSE)&lt;=0,"",IF(VLOOKUP($A18,'détails investissements'!$A$26:$DE$43,AJ$3-VLOOKUP($A18,'détails investissements'!$A$71:$B$88,2,FALSE)+1,FALSE)="","",VLOOKUP($A18,'détails investissements'!$A$26:$DE$43,AJ$3-VLOOKUP($A18,'détails investissements'!$A$71:$B$88,2,FALSE)+1,FALSE))),'détails investissements'!$U$6:$AB$7,2,FALSE),""),FALSE),"")</f>
        <v/>
      </c>
      <c r="AK18" s="45" t="str">
        <f>IF(IF(IF(AK$3-VLOOKUP($A18,'détails investissements'!$A$71:$B$88,2,FALSE)&lt;=0,"",IF(VLOOKUP($A18,'détails investissements'!$A$26:$DE$43,AK$3-VLOOKUP($A18,'détails investissements'!$A$71:$B$88,2,FALSE)+1,FALSE)="","",VLOOKUP($A18,'détails investissements'!$A$26:$DE$43,AK$3-VLOOKUP($A18,'détails investissements'!$A$71:$B$88,2,FALSE)+1,FALSE)))&lt;&gt;"",HLOOKUP(IF(AK$3-VLOOKUP($A18,'détails investissements'!$A$71:$B$88,2,FALSE)&lt;=0,"",IF(VLOOKUP($A18,'détails investissements'!$A$26:$DE$43,AK$3-VLOOKUP($A18,'détails investissements'!$A$71:$B$88,2,FALSE)+1,FALSE)="","",VLOOKUP($A18,'détails investissements'!$A$26:$DE$43,AK$3-VLOOKUP($A18,'détails investissements'!$A$71:$B$88,2,FALSE)+1,FALSE))),'détails investissements'!$U$6:$AB$7,2,FALSE),"")&lt;&gt;"",VLOOKUP($A18,'détails investissements'!$A$7:$H$21,1+IF(IF(AK$3-VLOOKUP($A18,'détails investissements'!$A$71:$B$88,2,FALSE)&lt;=0,"",IF(VLOOKUP($A18,'détails investissements'!$A$26:$DE$43,AK$3-VLOOKUP($A18,'détails investissements'!$A$71:$B$88,2,FALSE)+1,FALSE)="","",VLOOKUP($A18,'détails investissements'!$A$26:$DE$43,AK$3-VLOOKUP($A18,'détails investissements'!$A$71:$B$88,2,FALSE)+1,FALSE)))&lt;&gt;"",HLOOKUP(IF(AK$3-VLOOKUP($A18,'détails investissements'!$A$71:$B$88,2,FALSE)&lt;=0,"",IF(VLOOKUP($A18,'détails investissements'!$A$26:$DE$43,AK$3-VLOOKUP($A18,'détails investissements'!$A$71:$B$88,2,FALSE)+1,FALSE)="","",VLOOKUP($A18,'détails investissements'!$A$26:$DE$43,AK$3-VLOOKUP($A18,'détails investissements'!$A$71:$B$88,2,FALSE)+1,FALSE))),'détails investissements'!$U$6:$AB$7,2,FALSE),""),FALSE),"")</f>
        <v/>
      </c>
      <c r="AL18" s="45" t="str">
        <f>IF(IF(IF(AL$3-VLOOKUP($A18,'détails investissements'!$A$71:$B$88,2,FALSE)&lt;=0,"",IF(VLOOKUP($A18,'détails investissements'!$A$26:$DE$43,AL$3-VLOOKUP($A18,'détails investissements'!$A$71:$B$88,2,FALSE)+1,FALSE)="","",VLOOKUP($A18,'détails investissements'!$A$26:$DE$43,AL$3-VLOOKUP($A18,'détails investissements'!$A$71:$B$88,2,FALSE)+1,FALSE)))&lt;&gt;"",HLOOKUP(IF(AL$3-VLOOKUP($A18,'détails investissements'!$A$71:$B$88,2,FALSE)&lt;=0,"",IF(VLOOKUP($A18,'détails investissements'!$A$26:$DE$43,AL$3-VLOOKUP($A18,'détails investissements'!$A$71:$B$88,2,FALSE)+1,FALSE)="","",VLOOKUP($A18,'détails investissements'!$A$26:$DE$43,AL$3-VLOOKUP($A18,'détails investissements'!$A$71:$B$88,2,FALSE)+1,FALSE))),'détails investissements'!$U$6:$AB$7,2,FALSE),"")&lt;&gt;"",VLOOKUP($A18,'détails investissements'!$A$7:$H$21,1+IF(IF(AL$3-VLOOKUP($A18,'détails investissements'!$A$71:$B$88,2,FALSE)&lt;=0,"",IF(VLOOKUP($A18,'détails investissements'!$A$26:$DE$43,AL$3-VLOOKUP($A18,'détails investissements'!$A$71:$B$88,2,FALSE)+1,FALSE)="","",VLOOKUP($A18,'détails investissements'!$A$26:$DE$43,AL$3-VLOOKUP($A18,'détails investissements'!$A$71:$B$88,2,FALSE)+1,FALSE)))&lt;&gt;"",HLOOKUP(IF(AL$3-VLOOKUP($A18,'détails investissements'!$A$71:$B$88,2,FALSE)&lt;=0,"",IF(VLOOKUP($A18,'détails investissements'!$A$26:$DE$43,AL$3-VLOOKUP($A18,'détails investissements'!$A$71:$B$88,2,FALSE)+1,FALSE)="","",VLOOKUP($A18,'détails investissements'!$A$26:$DE$43,AL$3-VLOOKUP($A18,'détails investissements'!$A$71:$B$88,2,FALSE)+1,FALSE))),'détails investissements'!$U$6:$AB$7,2,FALSE),""),FALSE),"")</f>
        <v/>
      </c>
      <c r="AM18" s="45" t="str">
        <f>IF(IF(IF(AM$3-VLOOKUP($A18,'détails investissements'!$A$71:$B$88,2,FALSE)&lt;=0,"",IF(VLOOKUP($A18,'détails investissements'!$A$26:$DE$43,AM$3-VLOOKUP($A18,'détails investissements'!$A$71:$B$88,2,FALSE)+1,FALSE)="","",VLOOKUP($A18,'détails investissements'!$A$26:$DE$43,AM$3-VLOOKUP($A18,'détails investissements'!$A$71:$B$88,2,FALSE)+1,FALSE)))&lt;&gt;"",HLOOKUP(IF(AM$3-VLOOKUP($A18,'détails investissements'!$A$71:$B$88,2,FALSE)&lt;=0,"",IF(VLOOKUP($A18,'détails investissements'!$A$26:$DE$43,AM$3-VLOOKUP($A18,'détails investissements'!$A$71:$B$88,2,FALSE)+1,FALSE)="","",VLOOKUP($A18,'détails investissements'!$A$26:$DE$43,AM$3-VLOOKUP($A18,'détails investissements'!$A$71:$B$88,2,FALSE)+1,FALSE))),'détails investissements'!$U$6:$AB$7,2,FALSE),"")&lt;&gt;"",VLOOKUP($A18,'détails investissements'!$A$7:$H$21,1+IF(IF(AM$3-VLOOKUP($A18,'détails investissements'!$A$71:$B$88,2,FALSE)&lt;=0,"",IF(VLOOKUP($A18,'détails investissements'!$A$26:$DE$43,AM$3-VLOOKUP($A18,'détails investissements'!$A$71:$B$88,2,FALSE)+1,FALSE)="","",VLOOKUP($A18,'détails investissements'!$A$26:$DE$43,AM$3-VLOOKUP($A18,'détails investissements'!$A$71:$B$88,2,FALSE)+1,FALSE)))&lt;&gt;"",HLOOKUP(IF(AM$3-VLOOKUP($A18,'détails investissements'!$A$71:$B$88,2,FALSE)&lt;=0,"",IF(VLOOKUP($A18,'détails investissements'!$A$26:$DE$43,AM$3-VLOOKUP($A18,'détails investissements'!$A$71:$B$88,2,FALSE)+1,FALSE)="","",VLOOKUP($A18,'détails investissements'!$A$26:$DE$43,AM$3-VLOOKUP($A18,'détails investissements'!$A$71:$B$88,2,FALSE)+1,FALSE))),'détails investissements'!$U$6:$AB$7,2,FALSE),""),FALSE),"")</f>
        <v/>
      </c>
      <c r="AN18" s="45" t="str">
        <f>IF(IF(IF(AN$3-VLOOKUP($A18,'détails investissements'!$A$71:$B$88,2,FALSE)&lt;=0,"",IF(VLOOKUP($A18,'détails investissements'!$A$26:$DE$43,AN$3-VLOOKUP($A18,'détails investissements'!$A$71:$B$88,2,FALSE)+1,FALSE)="","",VLOOKUP($A18,'détails investissements'!$A$26:$DE$43,AN$3-VLOOKUP($A18,'détails investissements'!$A$71:$B$88,2,FALSE)+1,FALSE)))&lt;&gt;"",HLOOKUP(IF(AN$3-VLOOKUP($A18,'détails investissements'!$A$71:$B$88,2,FALSE)&lt;=0,"",IF(VLOOKUP($A18,'détails investissements'!$A$26:$DE$43,AN$3-VLOOKUP($A18,'détails investissements'!$A$71:$B$88,2,FALSE)+1,FALSE)="","",VLOOKUP($A18,'détails investissements'!$A$26:$DE$43,AN$3-VLOOKUP($A18,'détails investissements'!$A$71:$B$88,2,FALSE)+1,FALSE))),'détails investissements'!$U$6:$AB$7,2,FALSE),"")&lt;&gt;"",VLOOKUP($A18,'détails investissements'!$A$7:$H$21,1+IF(IF(AN$3-VLOOKUP($A18,'détails investissements'!$A$71:$B$88,2,FALSE)&lt;=0,"",IF(VLOOKUP($A18,'détails investissements'!$A$26:$DE$43,AN$3-VLOOKUP($A18,'détails investissements'!$A$71:$B$88,2,FALSE)+1,FALSE)="","",VLOOKUP($A18,'détails investissements'!$A$26:$DE$43,AN$3-VLOOKUP($A18,'détails investissements'!$A$71:$B$88,2,FALSE)+1,FALSE)))&lt;&gt;"",HLOOKUP(IF(AN$3-VLOOKUP($A18,'détails investissements'!$A$71:$B$88,2,FALSE)&lt;=0,"",IF(VLOOKUP($A18,'détails investissements'!$A$26:$DE$43,AN$3-VLOOKUP($A18,'détails investissements'!$A$71:$B$88,2,FALSE)+1,FALSE)="","",VLOOKUP($A18,'détails investissements'!$A$26:$DE$43,AN$3-VLOOKUP($A18,'détails investissements'!$A$71:$B$88,2,FALSE)+1,FALSE))),'détails investissements'!$U$6:$AB$7,2,FALSE),""),FALSE),"")</f>
        <v/>
      </c>
      <c r="AO18" s="45" t="str">
        <f>IF(IF(IF(AO$3-VLOOKUP($A18,'détails investissements'!$A$71:$B$88,2,FALSE)&lt;=0,"",IF(VLOOKUP($A18,'détails investissements'!$A$26:$DE$43,AO$3-VLOOKUP($A18,'détails investissements'!$A$71:$B$88,2,FALSE)+1,FALSE)="","",VLOOKUP($A18,'détails investissements'!$A$26:$DE$43,AO$3-VLOOKUP($A18,'détails investissements'!$A$71:$B$88,2,FALSE)+1,FALSE)))&lt;&gt;"",HLOOKUP(IF(AO$3-VLOOKUP($A18,'détails investissements'!$A$71:$B$88,2,FALSE)&lt;=0,"",IF(VLOOKUP($A18,'détails investissements'!$A$26:$DE$43,AO$3-VLOOKUP($A18,'détails investissements'!$A$71:$B$88,2,FALSE)+1,FALSE)="","",VLOOKUP($A18,'détails investissements'!$A$26:$DE$43,AO$3-VLOOKUP($A18,'détails investissements'!$A$71:$B$88,2,FALSE)+1,FALSE))),'détails investissements'!$U$6:$AB$7,2,FALSE),"")&lt;&gt;"",VLOOKUP($A18,'détails investissements'!$A$7:$H$21,1+IF(IF(AO$3-VLOOKUP($A18,'détails investissements'!$A$71:$B$88,2,FALSE)&lt;=0,"",IF(VLOOKUP($A18,'détails investissements'!$A$26:$DE$43,AO$3-VLOOKUP($A18,'détails investissements'!$A$71:$B$88,2,FALSE)+1,FALSE)="","",VLOOKUP($A18,'détails investissements'!$A$26:$DE$43,AO$3-VLOOKUP($A18,'détails investissements'!$A$71:$B$88,2,FALSE)+1,FALSE)))&lt;&gt;"",HLOOKUP(IF(AO$3-VLOOKUP($A18,'détails investissements'!$A$71:$B$88,2,FALSE)&lt;=0,"",IF(VLOOKUP($A18,'détails investissements'!$A$26:$DE$43,AO$3-VLOOKUP($A18,'détails investissements'!$A$71:$B$88,2,FALSE)+1,FALSE)="","",VLOOKUP($A18,'détails investissements'!$A$26:$DE$43,AO$3-VLOOKUP($A18,'détails investissements'!$A$71:$B$88,2,FALSE)+1,FALSE))),'détails investissements'!$U$6:$AB$7,2,FALSE),""),FALSE),"")</f>
        <v/>
      </c>
      <c r="AP18" s="45" t="str">
        <f>IF(IF(IF(AP$3-VLOOKUP($A18,'détails investissements'!$A$71:$B$88,2,FALSE)&lt;=0,"",IF(VLOOKUP($A18,'détails investissements'!$A$26:$DE$43,AP$3-VLOOKUP($A18,'détails investissements'!$A$71:$B$88,2,FALSE)+1,FALSE)="","",VLOOKUP($A18,'détails investissements'!$A$26:$DE$43,AP$3-VLOOKUP($A18,'détails investissements'!$A$71:$B$88,2,FALSE)+1,FALSE)))&lt;&gt;"",HLOOKUP(IF(AP$3-VLOOKUP($A18,'détails investissements'!$A$71:$B$88,2,FALSE)&lt;=0,"",IF(VLOOKUP($A18,'détails investissements'!$A$26:$DE$43,AP$3-VLOOKUP($A18,'détails investissements'!$A$71:$B$88,2,FALSE)+1,FALSE)="","",VLOOKUP($A18,'détails investissements'!$A$26:$DE$43,AP$3-VLOOKUP($A18,'détails investissements'!$A$71:$B$88,2,FALSE)+1,FALSE))),'détails investissements'!$U$6:$AB$7,2,FALSE),"")&lt;&gt;"",VLOOKUP($A18,'détails investissements'!$A$7:$H$21,1+IF(IF(AP$3-VLOOKUP($A18,'détails investissements'!$A$71:$B$88,2,FALSE)&lt;=0,"",IF(VLOOKUP($A18,'détails investissements'!$A$26:$DE$43,AP$3-VLOOKUP($A18,'détails investissements'!$A$71:$B$88,2,FALSE)+1,FALSE)="","",VLOOKUP($A18,'détails investissements'!$A$26:$DE$43,AP$3-VLOOKUP($A18,'détails investissements'!$A$71:$B$88,2,FALSE)+1,FALSE)))&lt;&gt;"",HLOOKUP(IF(AP$3-VLOOKUP($A18,'détails investissements'!$A$71:$B$88,2,FALSE)&lt;=0,"",IF(VLOOKUP($A18,'détails investissements'!$A$26:$DE$43,AP$3-VLOOKUP($A18,'détails investissements'!$A$71:$B$88,2,FALSE)+1,FALSE)="","",VLOOKUP($A18,'détails investissements'!$A$26:$DE$43,AP$3-VLOOKUP($A18,'détails investissements'!$A$71:$B$88,2,FALSE)+1,FALSE))),'détails investissements'!$U$6:$AB$7,2,FALSE),""),FALSE),"")</f>
        <v/>
      </c>
      <c r="AQ18" s="45" t="str">
        <f>IF(IF(IF(AQ$3-VLOOKUP($A18,'détails investissements'!$A$71:$B$88,2,FALSE)&lt;=0,"",IF(VLOOKUP($A18,'détails investissements'!$A$26:$DE$43,AQ$3-VLOOKUP($A18,'détails investissements'!$A$71:$B$88,2,FALSE)+1,FALSE)="","",VLOOKUP($A18,'détails investissements'!$A$26:$DE$43,AQ$3-VLOOKUP($A18,'détails investissements'!$A$71:$B$88,2,FALSE)+1,FALSE)))&lt;&gt;"",HLOOKUP(IF(AQ$3-VLOOKUP($A18,'détails investissements'!$A$71:$B$88,2,FALSE)&lt;=0,"",IF(VLOOKUP($A18,'détails investissements'!$A$26:$DE$43,AQ$3-VLOOKUP($A18,'détails investissements'!$A$71:$B$88,2,FALSE)+1,FALSE)="","",VLOOKUP($A18,'détails investissements'!$A$26:$DE$43,AQ$3-VLOOKUP($A18,'détails investissements'!$A$71:$B$88,2,FALSE)+1,FALSE))),'détails investissements'!$U$6:$AB$7,2,FALSE),"")&lt;&gt;"",VLOOKUP($A18,'détails investissements'!$A$7:$H$21,1+IF(IF(AQ$3-VLOOKUP($A18,'détails investissements'!$A$71:$B$88,2,FALSE)&lt;=0,"",IF(VLOOKUP($A18,'détails investissements'!$A$26:$DE$43,AQ$3-VLOOKUP($A18,'détails investissements'!$A$71:$B$88,2,FALSE)+1,FALSE)="","",VLOOKUP($A18,'détails investissements'!$A$26:$DE$43,AQ$3-VLOOKUP($A18,'détails investissements'!$A$71:$B$88,2,FALSE)+1,FALSE)))&lt;&gt;"",HLOOKUP(IF(AQ$3-VLOOKUP($A18,'détails investissements'!$A$71:$B$88,2,FALSE)&lt;=0,"",IF(VLOOKUP($A18,'détails investissements'!$A$26:$DE$43,AQ$3-VLOOKUP($A18,'détails investissements'!$A$71:$B$88,2,FALSE)+1,FALSE)="","",VLOOKUP($A18,'détails investissements'!$A$26:$DE$43,AQ$3-VLOOKUP($A18,'détails investissements'!$A$71:$B$88,2,FALSE)+1,FALSE))),'détails investissements'!$U$6:$AB$7,2,FALSE),""),FALSE),"")</f>
        <v/>
      </c>
      <c r="AR18" s="45" t="str">
        <f>IF(IF(IF(AR$3-VLOOKUP($A18,'détails investissements'!$A$71:$B$88,2,FALSE)&lt;=0,"",IF(VLOOKUP($A18,'détails investissements'!$A$26:$DE$43,AR$3-VLOOKUP($A18,'détails investissements'!$A$71:$B$88,2,FALSE)+1,FALSE)="","",VLOOKUP($A18,'détails investissements'!$A$26:$DE$43,AR$3-VLOOKUP($A18,'détails investissements'!$A$71:$B$88,2,FALSE)+1,FALSE)))&lt;&gt;"",HLOOKUP(IF(AR$3-VLOOKUP($A18,'détails investissements'!$A$71:$B$88,2,FALSE)&lt;=0,"",IF(VLOOKUP($A18,'détails investissements'!$A$26:$DE$43,AR$3-VLOOKUP($A18,'détails investissements'!$A$71:$B$88,2,FALSE)+1,FALSE)="","",VLOOKUP($A18,'détails investissements'!$A$26:$DE$43,AR$3-VLOOKUP($A18,'détails investissements'!$A$71:$B$88,2,FALSE)+1,FALSE))),'détails investissements'!$U$6:$AB$7,2,FALSE),"")&lt;&gt;"",VLOOKUP($A18,'détails investissements'!$A$7:$H$21,1+IF(IF(AR$3-VLOOKUP($A18,'détails investissements'!$A$71:$B$88,2,FALSE)&lt;=0,"",IF(VLOOKUP($A18,'détails investissements'!$A$26:$DE$43,AR$3-VLOOKUP($A18,'détails investissements'!$A$71:$B$88,2,FALSE)+1,FALSE)="","",VLOOKUP($A18,'détails investissements'!$A$26:$DE$43,AR$3-VLOOKUP($A18,'détails investissements'!$A$71:$B$88,2,FALSE)+1,FALSE)))&lt;&gt;"",HLOOKUP(IF(AR$3-VLOOKUP($A18,'détails investissements'!$A$71:$B$88,2,FALSE)&lt;=0,"",IF(VLOOKUP($A18,'détails investissements'!$A$26:$DE$43,AR$3-VLOOKUP($A18,'détails investissements'!$A$71:$B$88,2,FALSE)+1,FALSE)="","",VLOOKUP($A18,'détails investissements'!$A$26:$DE$43,AR$3-VLOOKUP($A18,'détails investissements'!$A$71:$B$88,2,FALSE)+1,FALSE))),'détails investissements'!$U$6:$AB$7,2,FALSE),""),FALSE),"")</f>
        <v/>
      </c>
      <c r="AS18" s="45" t="str">
        <f>IF(IF(IF(AS$3-VLOOKUP($A18,'détails investissements'!$A$71:$B$88,2,FALSE)&lt;=0,"",IF(VLOOKUP($A18,'détails investissements'!$A$26:$DE$43,AS$3-VLOOKUP($A18,'détails investissements'!$A$71:$B$88,2,FALSE)+1,FALSE)="","",VLOOKUP($A18,'détails investissements'!$A$26:$DE$43,AS$3-VLOOKUP($A18,'détails investissements'!$A$71:$B$88,2,FALSE)+1,FALSE)))&lt;&gt;"",HLOOKUP(IF(AS$3-VLOOKUP($A18,'détails investissements'!$A$71:$B$88,2,FALSE)&lt;=0,"",IF(VLOOKUP($A18,'détails investissements'!$A$26:$DE$43,AS$3-VLOOKUP($A18,'détails investissements'!$A$71:$B$88,2,FALSE)+1,FALSE)="","",VLOOKUP($A18,'détails investissements'!$A$26:$DE$43,AS$3-VLOOKUP($A18,'détails investissements'!$A$71:$B$88,2,FALSE)+1,FALSE))),'détails investissements'!$U$6:$AB$7,2,FALSE),"")&lt;&gt;"",VLOOKUP($A18,'détails investissements'!$A$7:$H$21,1+IF(IF(AS$3-VLOOKUP($A18,'détails investissements'!$A$71:$B$88,2,FALSE)&lt;=0,"",IF(VLOOKUP($A18,'détails investissements'!$A$26:$DE$43,AS$3-VLOOKUP($A18,'détails investissements'!$A$71:$B$88,2,FALSE)+1,FALSE)="","",VLOOKUP($A18,'détails investissements'!$A$26:$DE$43,AS$3-VLOOKUP($A18,'détails investissements'!$A$71:$B$88,2,FALSE)+1,FALSE)))&lt;&gt;"",HLOOKUP(IF(AS$3-VLOOKUP($A18,'détails investissements'!$A$71:$B$88,2,FALSE)&lt;=0,"",IF(VLOOKUP($A18,'détails investissements'!$A$26:$DE$43,AS$3-VLOOKUP($A18,'détails investissements'!$A$71:$B$88,2,FALSE)+1,FALSE)="","",VLOOKUP($A18,'détails investissements'!$A$26:$DE$43,AS$3-VLOOKUP($A18,'détails investissements'!$A$71:$B$88,2,FALSE)+1,FALSE))),'détails investissements'!$U$6:$AB$7,2,FALSE),""),FALSE),"")</f>
        <v/>
      </c>
      <c r="AT18" s="45" t="str">
        <f>IF(IF(IF(AT$3-VLOOKUP($A18,'détails investissements'!$A$71:$B$88,2,FALSE)&lt;=0,"",IF(VLOOKUP($A18,'détails investissements'!$A$26:$DE$43,AT$3-VLOOKUP($A18,'détails investissements'!$A$71:$B$88,2,FALSE)+1,FALSE)="","",VLOOKUP($A18,'détails investissements'!$A$26:$DE$43,AT$3-VLOOKUP($A18,'détails investissements'!$A$71:$B$88,2,FALSE)+1,FALSE)))&lt;&gt;"",HLOOKUP(IF(AT$3-VLOOKUP($A18,'détails investissements'!$A$71:$B$88,2,FALSE)&lt;=0,"",IF(VLOOKUP($A18,'détails investissements'!$A$26:$DE$43,AT$3-VLOOKUP($A18,'détails investissements'!$A$71:$B$88,2,FALSE)+1,FALSE)="","",VLOOKUP($A18,'détails investissements'!$A$26:$DE$43,AT$3-VLOOKUP($A18,'détails investissements'!$A$71:$B$88,2,FALSE)+1,FALSE))),'détails investissements'!$U$6:$AB$7,2,FALSE),"")&lt;&gt;"",VLOOKUP($A18,'détails investissements'!$A$7:$H$21,1+IF(IF(AT$3-VLOOKUP($A18,'détails investissements'!$A$71:$B$88,2,FALSE)&lt;=0,"",IF(VLOOKUP($A18,'détails investissements'!$A$26:$DE$43,AT$3-VLOOKUP($A18,'détails investissements'!$A$71:$B$88,2,FALSE)+1,FALSE)="","",VLOOKUP($A18,'détails investissements'!$A$26:$DE$43,AT$3-VLOOKUP($A18,'détails investissements'!$A$71:$B$88,2,FALSE)+1,FALSE)))&lt;&gt;"",HLOOKUP(IF(AT$3-VLOOKUP($A18,'détails investissements'!$A$71:$B$88,2,FALSE)&lt;=0,"",IF(VLOOKUP($A18,'détails investissements'!$A$26:$DE$43,AT$3-VLOOKUP($A18,'détails investissements'!$A$71:$B$88,2,FALSE)+1,FALSE)="","",VLOOKUP($A18,'détails investissements'!$A$26:$DE$43,AT$3-VLOOKUP($A18,'détails investissements'!$A$71:$B$88,2,FALSE)+1,FALSE))),'détails investissements'!$U$6:$AB$7,2,FALSE),""),FALSE),"")</f>
        <v/>
      </c>
      <c r="AU18" s="45" t="str">
        <f>IF(IF(IF(AU$3-VLOOKUP($A18,'détails investissements'!$A$71:$B$88,2,FALSE)&lt;=0,"",IF(VLOOKUP($A18,'détails investissements'!$A$26:$DE$43,AU$3-VLOOKUP($A18,'détails investissements'!$A$71:$B$88,2,FALSE)+1,FALSE)="","",VLOOKUP($A18,'détails investissements'!$A$26:$DE$43,AU$3-VLOOKUP($A18,'détails investissements'!$A$71:$B$88,2,FALSE)+1,FALSE)))&lt;&gt;"",HLOOKUP(IF(AU$3-VLOOKUP($A18,'détails investissements'!$A$71:$B$88,2,FALSE)&lt;=0,"",IF(VLOOKUP($A18,'détails investissements'!$A$26:$DE$43,AU$3-VLOOKUP($A18,'détails investissements'!$A$71:$B$88,2,FALSE)+1,FALSE)="","",VLOOKUP($A18,'détails investissements'!$A$26:$DE$43,AU$3-VLOOKUP($A18,'détails investissements'!$A$71:$B$88,2,FALSE)+1,FALSE))),'détails investissements'!$U$6:$AB$7,2,FALSE),"")&lt;&gt;"",VLOOKUP($A18,'détails investissements'!$A$7:$H$21,1+IF(IF(AU$3-VLOOKUP($A18,'détails investissements'!$A$71:$B$88,2,FALSE)&lt;=0,"",IF(VLOOKUP($A18,'détails investissements'!$A$26:$DE$43,AU$3-VLOOKUP($A18,'détails investissements'!$A$71:$B$88,2,FALSE)+1,FALSE)="","",VLOOKUP($A18,'détails investissements'!$A$26:$DE$43,AU$3-VLOOKUP($A18,'détails investissements'!$A$71:$B$88,2,FALSE)+1,FALSE)))&lt;&gt;"",HLOOKUP(IF(AU$3-VLOOKUP($A18,'détails investissements'!$A$71:$B$88,2,FALSE)&lt;=0,"",IF(VLOOKUP($A18,'détails investissements'!$A$26:$DE$43,AU$3-VLOOKUP($A18,'détails investissements'!$A$71:$B$88,2,FALSE)+1,FALSE)="","",VLOOKUP($A18,'détails investissements'!$A$26:$DE$43,AU$3-VLOOKUP($A18,'détails investissements'!$A$71:$B$88,2,FALSE)+1,FALSE))),'détails investissements'!$U$6:$AB$7,2,FALSE),""),FALSE),"")</f>
        <v/>
      </c>
      <c r="AV18" s="45" t="str">
        <f>IF(IF(IF(AV$3-VLOOKUP($A18,'détails investissements'!$A$71:$B$88,2,FALSE)&lt;=0,"",IF(VLOOKUP($A18,'détails investissements'!$A$26:$DE$43,AV$3-VLOOKUP($A18,'détails investissements'!$A$71:$B$88,2,FALSE)+1,FALSE)="","",VLOOKUP($A18,'détails investissements'!$A$26:$DE$43,AV$3-VLOOKUP($A18,'détails investissements'!$A$71:$B$88,2,FALSE)+1,FALSE)))&lt;&gt;"",HLOOKUP(IF(AV$3-VLOOKUP($A18,'détails investissements'!$A$71:$B$88,2,FALSE)&lt;=0,"",IF(VLOOKUP($A18,'détails investissements'!$A$26:$DE$43,AV$3-VLOOKUP($A18,'détails investissements'!$A$71:$B$88,2,FALSE)+1,FALSE)="","",VLOOKUP($A18,'détails investissements'!$A$26:$DE$43,AV$3-VLOOKUP($A18,'détails investissements'!$A$71:$B$88,2,FALSE)+1,FALSE))),'détails investissements'!$U$6:$AB$7,2,FALSE),"")&lt;&gt;"",VLOOKUP($A18,'détails investissements'!$A$7:$H$21,1+IF(IF(AV$3-VLOOKUP($A18,'détails investissements'!$A$71:$B$88,2,FALSE)&lt;=0,"",IF(VLOOKUP($A18,'détails investissements'!$A$26:$DE$43,AV$3-VLOOKUP($A18,'détails investissements'!$A$71:$B$88,2,FALSE)+1,FALSE)="","",VLOOKUP($A18,'détails investissements'!$A$26:$DE$43,AV$3-VLOOKUP($A18,'détails investissements'!$A$71:$B$88,2,FALSE)+1,FALSE)))&lt;&gt;"",HLOOKUP(IF(AV$3-VLOOKUP($A18,'détails investissements'!$A$71:$B$88,2,FALSE)&lt;=0,"",IF(VLOOKUP($A18,'détails investissements'!$A$26:$DE$43,AV$3-VLOOKUP($A18,'détails investissements'!$A$71:$B$88,2,FALSE)+1,FALSE)="","",VLOOKUP($A18,'détails investissements'!$A$26:$DE$43,AV$3-VLOOKUP($A18,'détails investissements'!$A$71:$B$88,2,FALSE)+1,FALSE))),'détails investissements'!$U$6:$AB$7,2,FALSE),""),FALSE),"")</f>
        <v/>
      </c>
      <c r="AW18" s="45" t="str">
        <f>IF(IF(IF(AW$3-VLOOKUP($A18,'détails investissements'!$A$71:$B$88,2,FALSE)&lt;=0,"",IF(VLOOKUP($A18,'détails investissements'!$A$26:$DE$43,AW$3-VLOOKUP($A18,'détails investissements'!$A$71:$B$88,2,FALSE)+1,FALSE)="","",VLOOKUP($A18,'détails investissements'!$A$26:$DE$43,AW$3-VLOOKUP($A18,'détails investissements'!$A$71:$B$88,2,FALSE)+1,FALSE)))&lt;&gt;"",HLOOKUP(IF(AW$3-VLOOKUP($A18,'détails investissements'!$A$71:$B$88,2,FALSE)&lt;=0,"",IF(VLOOKUP($A18,'détails investissements'!$A$26:$DE$43,AW$3-VLOOKUP($A18,'détails investissements'!$A$71:$B$88,2,FALSE)+1,FALSE)="","",VLOOKUP($A18,'détails investissements'!$A$26:$DE$43,AW$3-VLOOKUP($A18,'détails investissements'!$A$71:$B$88,2,FALSE)+1,FALSE))),'détails investissements'!$U$6:$AB$7,2,FALSE),"")&lt;&gt;"",VLOOKUP($A18,'détails investissements'!$A$7:$H$21,1+IF(IF(AW$3-VLOOKUP($A18,'détails investissements'!$A$71:$B$88,2,FALSE)&lt;=0,"",IF(VLOOKUP($A18,'détails investissements'!$A$26:$DE$43,AW$3-VLOOKUP($A18,'détails investissements'!$A$71:$B$88,2,FALSE)+1,FALSE)="","",VLOOKUP($A18,'détails investissements'!$A$26:$DE$43,AW$3-VLOOKUP($A18,'détails investissements'!$A$71:$B$88,2,FALSE)+1,FALSE)))&lt;&gt;"",HLOOKUP(IF(AW$3-VLOOKUP($A18,'détails investissements'!$A$71:$B$88,2,FALSE)&lt;=0,"",IF(VLOOKUP($A18,'détails investissements'!$A$26:$DE$43,AW$3-VLOOKUP($A18,'détails investissements'!$A$71:$B$88,2,FALSE)+1,FALSE)="","",VLOOKUP($A18,'détails investissements'!$A$26:$DE$43,AW$3-VLOOKUP($A18,'détails investissements'!$A$71:$B$88,2,FALSE)+1,FALSE))),'détails investissements'!$U$6:$AB$7,2,FALSE),""),FALSE),"")</f>
        <v/>
      </c>
      <c r="AX18" s="45" t="str">
        <f>IF(IF(IF(AX$3-VLOOKUP($A18,'détails investissements'!$A$71:$B$88,2,FALSE)&lt;=0,"",IF(VLOOKUP($A18,'détails investissements'!$A$26:$DE$43,AX$3-VLOOKUP($A18,'détails investissements'!$A$71:$B$88,2,FALSE)+1,FALSE)="","",VLOOKUP($A18,'détails investissements'!$A$26:$DE$43,AX$3-VLOOKUP($A18,'détails investissements'!$A$71:$B$88,2,FALSE)+1,FALSE)))&lt;&gt;"",HLOOKUP(IF(AX$3-VLOOKUP($A18,'détails investissements'!$A$71:$B$88,2,FALSE)&lt;=0,"",IF(VLOOKUP($A18,'détails investissements'!$A$26:$DE$43,AX$3-VLOOKUP($A18,'détails investissements'!$A$71:$B$88,2,FALSE)+1,FALSE)="","",VLOOKUP($A18,'détails investissements'!$A$26:$DE$43,AX$3-VLOOKUP($A18,'détails investissements'!$A$71:$B$88,2,FALSE)+1,FALSE))),'détails investissements'!$U$6:$AB$7,2,FALSE),"")&lt;&gt;"",VLOOKUP($A18,'détails investissements'!$A$7:$H$21,1+IF(IF(AX$3-VLOOKUP($A18,'détails investissements'!$A$71:$B$88,2,FALSE)&lt;=0,"",IF(VLOOKUP($A18,'détails investissements'!$A$26:$DE$43,AX$3-VLOOKUP($A18,'détails investissements'!$A$71:$B$88,2,FALSE)+1,FALSE)="","",VLOOKUP($A18,'détails investissements'!$A$26:$DE$43,AX$3-VLOOKUP($A18,'détails investissements'!$A$71:$B$88,2,FALSE)+1,FALSE)))&lt;&gt;"",HLOOKUP(IF(AX$3-VLOOKUP($A18,'détails investissements'!$A$71:$B$88,2,FALSE)&lt;=0,"",IF(VLOOKUP($A18,'détails investissements'!$A$26:$DE$43,AX$3-VLOOKUP($A18,'détails investissements'!$A$71:$B$88,2,FALSE)+1,FALSE)="","",VLOOKUP($A18,'détails investissements'!$A$26:$DE$43,AX$3-VLOOKUP($A18,'détails investissements'!$A$71:$B$88,2,FALSE)+1,FALSE))),'détails investissements'!$U$6:$AB$7,2,FALSE),""),FALSE),"")</f>
        <v/>
      </c>
      <c r="AY18" s="45" t="str">
        <f>IF(IF(IF(AY$3-VLOOKUP($A18,'détails investissements'!$A$71:$B$88,2,FALSE)&lt;=0,"",IF(VLOOKUP($A18,'détails investissements'!$A$26:$DE$43,AY$3-VLOOKUP($A18,'détails investissements'!$A$71:$B$88,2,FALSE)+1,FALSE)="","",VLOOKUP($A18,'détails investissements'!$A$26:$DE$43,AY$3-VLOOKUP($A18,'détails investissements'!$A$71:$B$88,2,FALSE)+1,FALSE)))&lt;&gt;"",HLOOKUP(IF(AY$3-VLOOKUP($A18,'détails investissements'!$A$71:$B$88,2,FALSE)&lt;=0,"",IF(VLOOKUP($A18,'détails investissements'!$A$26:$DE$43,AY$3-VLOOKUP($A18,'détails investissements'!$A$71:$B$88,2,FALSE)+1,FALSE)="","",VLOOKUP($A18,'détails investissements'!$A$26:$DE$43,AY$3-VLOOKUP($A18,'détails investissements'!$A$71:$B$88,2,FALSE)+1,FALSE))),'détails investissements'!$U$6:$AB$7,2,FALSE),"")&lt;&gt;"",VLOOKUP($A18,'détails investissements'!$A$7:$H$21,1+IF(IF(AY$3-VLOOKUP($A18,'détails investissements'!$A$71:$B$88,2,FALSE)&lt;=0,"",IF(VLOOKUP($A18,'détails investissements'!$A$26:$DE$43,AY$3-VLOOKUP($A18,'détails investissements'!$A$71:$B$88,2,FALSE)+1,FALSE)="","",VLOOKUP($A18,'détails investissements'!$A$26:$DE$43,AY$3-VLOOKUP($A18,'détails investissements'!$A$71:$B$88,2,FALSE)+1,FALSE)))&lt;&gt;"",HLOOKUP(IF(AY$3-VLOOKUP($A18,'détails investissements'!$A$71:$B$88,2,FALSE)&lt;=0,"",IF(VLOOKUP($A18,'détails investissements'!$A$26:$DE$43,AY$3-VLOOKUP($A18,'détails investissements'!$A$71:$B$88,2,FALSE)+1,FALSE)="","",VLOOKUP($A18,'détails investissements'!$A$26:$DE$43,AY$3-VLOOKUP($A18,'détails investissements'!$A$71:$B$88,2,FALSE)+1,FALSE))),'détails investissements'!$U$6:$AB$7,2,FALSE),""),FALSE),"")</f>
        <v/>
      </c>
      <c r="AZ18" s="45" t="str">
        <f>IF(IF(IF(AZ$3-VLOOKUP($A18,'détails investissements'!$A$71:$B$88,2,FALSE)&lt;=0,"",IF(VLOOKUP($A18,'détails investissements'!$A$26:$DE$43,AZ$3-VLOOKUP($A18,'détails investissements'!$A$71:$B$88,2,FALSE)+1,FALSE)="","",VLOOKUP($A18,'détails investissements'!$A$26:$DE$43,AZ$3-VLOOKUP($A18,'détails investissements'!$A$71:$B$88,2,FALSE)+1,FALSE)))&lt;&gt;"",HLOOKUP(IF(AZ$3-VLOOKUP($A18,'détails investissements'!$A$71:$B$88,2,FALSE)&lt;=0,"",IF(VLOOKUP($A18,'détails investissements'!$A$26:$DE$43,AZ$3-VLOOKUP($A18,'détails investissements'!$A$71:$B$88,2,FALSE)+1,FALSE)="","",VLOOKUP($A18,'détails investissements'!$A$26:$DE$43,AZ$3-VLOOKUP($A18,'détails investissements'!$A$71:$B$88,2,FALSE)+1,FALSE))),'détails investissements'!$U$6:$AB$7,2,FALSE),"")&lt;&gt;"",VLOOKUP($A18,'détails investissements'!$A$7:$H$21,1+IF(IF(AZ$3-VLOOKUP($A18,'détails investissements'!$A$71:$B$88,2,FALSE)&lt;=0,"",IF(VLOOKUP($A18,'détails investissements'!$A$26:$DE$43,AZ$3-VLOOKUP($A18,'détails investissements'!$A$71:$B$88,2,FALSE)+1,FALSE)="","",VLOOKUP($A18,'détails investissements'!$A$26:$DE$43,AZ$3-VLOOKUP($A18,'détails investissements'!$A$71:$B$88,2,FALSE)+1,FALSE)))&lt;&gt;"",HLOOKUP(IF(AZ$3-VLOOKUP($A18,'détails investissements'!$A$71:$B$88,2,FALSE)&lt;=0,"",IF(VLOOKUP($A18,'détails investissements'!$A$26:$DE$43,AZ$3-VLOOKUP($A18,'détails investissements'!$A$71:$B$88,2,FALSE)+1,FALSE)="","",VLOOKUP($A18,'détails investissements'!$A$26:$DE$43,AZ$3-VLOOKUP($A18,'détails investissements'!$A$71:$B$88,2,FALSE)+1,FALSE))),'détails investissements'!$U$6:$AB$7,2,FALSE),""),FALSE),"")</f>
        <v/>
      </c>
      <c r="BA18" s="45" t="str">
        <f>IF(IF(IF(BA$3-VLOOKUP($A18,'détails investissements'!$A$71:$B$88,2,FALSE)&lt;=0,"",IF(VLOOKUP($A18,'détails investissements'!$A$26:$DE$43,BA$3-VLOOKUP($A18,'détails investissements'!$A$71:$B$88,2,FALSE)+1,FALSE)="","",VLOOKUP($A18,'détails investissements'!$A$26:$DE$43,BA$3-VLOOKUP($A18,'détails investissements'!$A$71:$B$88,2,FALSE)+1,FALSE)))&lt;&gt;"",HLOOKUP(IF(BA$3-VLOOKUP($A18,'détails investissements'!$A$71:$B$88,2,FALSE)&lt;=0,"",IF(VLOOKUP($A18,'détails investissements'!$A$26:$DE$43,BA$3-VLOOKUP($A18,'détails investissements'!$A$71:$B$88,2,FALSE)+1,FALSE)="","",VLOOKUP($A18,'détails investissements'!$A$26:$DE$43,BA$3-VLOOKUP($A18,'détails investissements'!$A$71:$B$88,2,FALSE)+1,FALSE))),'détails investissements'!$U$6:$AB$7,2,FALSE),"")&lt;&gt;"",VLOOKUP($A18,'détails investissements'!$A$7:$H$21,1+IF(IF(BA$3-VLOOKUP($A18,'détails investissements'!$A$71:$B$88,2,FALSE)&lt;=0,"",IF(VLOOKUP($A18,'détails investissements'!$A$26:$DE$43,BA$3-VLOOKUP($A18,'détails investissements'!$A$71:$B$88,2,FALSE)+1,FALSE)="","",VLOOKUP($A18,'détails investissements'!$A$26:$DE$43,BA$3-VLOOKUP($A18,'détails investissements'!$A$71:$B$88,2,FALSE)+1,FALSE)))&lt;&gt;"",HLOOKUP(IF(BA$3-VLOOKUP($A18,'détails investissements'!$A$71:$B$88,2,FALSE)&lt;=0,"",IF(VLOOKUP($A18,'détails investissements'!$A$26:$DE$43,BA$3-VLOOKUP($A18,'détails investissements'!$A$71:$B$88,2,FALSE)+1,FALSE)="","",VLOOKUP($A18,'détails investissements'!$A$26:$DE$43,BA$3-VLOOKUP($A18,'détails investissements'!$A$71:$B$88,2,FALSE)+1,FALSE))),'détails investissements'!$U$6:$AB$7,2,FALSE),""),FALSE),"")</f>
        <v/>
      </c>
      <c r="BB18" s="45" t="str">
        <f>IF(IF(IF(BB$3-VLOOKUP($A18,'détails investissements'!$A$71:$B$88,2,FALSE)&lt;=0,"",IF(VLOOKUP($A18,'détails investissements'!$A$26:$DE$43,BB$3-VLOOKUP($A18,'détails investissements'!$A$71:$B$88,2,FALSE)+1,FALSE)="","",VLOOKUP($A18,'détails investissements'!$A$26:$DE$43,BB$3-VLOOKUP($A18,'détails investissements'!$A$71:$B$88,2,FALSE)+1,FALSE)))&lt;&gt;"",HLOOKUP(IF(BB$3-VLOOKUP($A18,'détails investissements'!$A$71:$B$88,2,FALSE)&lt;=0,"",IF(VLOOKUP($A18,'détails investissements'!$A$26:$DE$43,BB$3-VLOOKUP($A18,'détails investissements'!$A$71:$B$88,2,FALSE)+1,FALSE)="","",VLOOKUP($A18,'détails investissements'!$A$26:$DE$43,BB$3-VLOOKUP($A18,'détails investissements'!$A$71:$B$88,2,FALSE)+1,FALSE))),'détails investissements'!$U$6:$AB$7,2,FALSE),"")&lt;&gt;"",VLOOKUP($A18,'détails investissements'!$A$7:$H$21,1+IF(IF(BB$3-VLOOKUP($A18,'détails investissements'!$A$71:$B$88,2,FALSE)&lt;=0,"",IF(VLOOKUP($A18,'détails investissements'!$A$26:$DE$43,BB$3-VLOOKUP($A18,'détails investissements'!$A$71:$B$88,2,FALSE)+1,FALSE)="","",VLOOKUP($A18,'détails investissements'!$A$26:$DE$43,BB$3-VLOOKUP($A18,'détails investissements'!$A$71:$B$88,2,FALSE)+1,FALSE)))&lt;&gt;"",HLOOKUP(IF(BB$3-VLOOKUP($A18,'détails investissements'!$A$71:$B$88,2,FALSE)&lt;=0,"",IF(VLOOKUP($A18,'détails investissements'!$A$26:$DE$43,BB$3-VLOOKUP($A18,'détails investissements'!$A$71:$B$88,2,FALSE)+1,FALSE)="","",VLOOKUP($A18,'détails investissements'!$A$26:$DE$43,BB$3-VLOOKUP($A18,'détails investissements'!$A$71:$B$88,2,FALSE)+1,FALSE))),'détails investissements'!$U$6:$AB$7,2,FALSE),""),FALSE),"")</f>
        <v/>
      </c>
      <c r="BC18" s="45" t="str">
        <f>IF(IF(IF(BC$3-VLOOKUP($A18,'détails investissements'!$A$71:$B$88,2,FALSE)&lt;=0,"",IF(VLOOKUP($A18,'détails investissements'!$A$26:$DE$43,BC$3-VLOOKUP($A18,'détails investissements'!$A$71:$B$88,2,FALSE)+1,FALSE)="","",VLOOKUP($A18,'détails investissements'!$A$26:$DE$43,BC$3-VLOOKUP($A18,'détails investissements'!$A$71:$B$88,2,FALSE)+1,FALSE)))&lt;&gt;"",HLOOKUP(IF(BC$3-VLOOKUP($A18,'détails investissements'!$A$71:$B$88,2,FALSE)&lt;=0,"",IF(VLOOKUP($A18,'détails investissements'!$A$26:$DE$43,BC$3-VLOOKUP($A18,'détails investissements'!$A$71:$B$88,2,FALSE)+1,FALSE)="","",VLOOKUP($A18,'détails investissements'!$A$26:$DE$43,BC$3-VLOOKUP($A18,'détails investissements'!$A$71:$B$88,2,FALSE)+1,FALSE))),'détails investissements'!$U$6:$AB$7,2,FALSE),"")&lt;&gt;"",VLOOKUP($A18,'détails investissements'!$A$7:$H$21,1+IF(IF(BC$3-VLOOKUP($A18,'détails investissements'!$A$71:$B$88,2,FALSE)&lt;=0,"",IF(VLOOKUP($A18,'détails investissements'!$A$26:$DE$43,BC$3-VLOOKUP($A18,'détails investissements'!$A$71:$B$88,2,FALSE)+1,FALSE)="","",VLOOKUP($A18,'détails investissements'!$A$26:$DE$43,BC$3-VLOOKUP($A18,'détails investissements'!$A$71:$B$88,2,FALSE)+1,FALSE)))&lt;&gt;"",HLOOKUP(IF(BC$3-VLOOKUP($A18,'détails investissements'!$A$71:$B$88,2,FALSE)&lt;=0,"",IF(VLOOKUP($A18,'détails investissements'!$A$26:$DE$43,BC$3-VLOOKUP($A18,'détails investissements'!$A$71:$B$88,2,FALSE)+1,FALSE)="","",VLOOKUP($A18,'détails investissements'!$A$26:$DE$43,BC$3-VLOOKUP($A18,'détails investissements'!$A$71:$B$88,2,FALSE)+1,FALSE))),'détails investissements'!$U$6:$AB$7,2,FALSE),""),FALSE),"")</f>
        <v/>
      </c>
      <c r="BD18" s="45" t="str">
        <f>IF(IF(IF(BD$3-VLOOKUP($A18,'détails investissements'!$A$71:$B$88,2,FALSE)&lt;=0,"",IF(VLOOKUP($A18,'détails investissements'!$A$26:$DE$43,BD$3-VLOOKUP($A18,'détails investissements'!$A$71:$B$88,2,FALSE)+1,FALSE)="","",VLOOKUP($A18,'détails investissements'!$A$26:$DE$43,BD$3-VLOOKUP($A18,'détails investissements'!$A$71:$B$88,2,FALSE)+1,FALSE)))&lt;&gt;"",HLOOKUP(IF(BD$3-VLOOKUP($A18,'détails investissements'!$A$71:$B$88,2,FALSE)&lt;=0,"",IF(VLOOKUP($A18,'détails investissements'!$A$26:$DE$43,BD$3-VLOOKUP($A18,'détails investissements'!$A$71:$B$88,2,FALSE)+1,FALSE)="","",VLOOKUP($A18,'détails investissements'!$A$26:$DE$43,BD$3-VLOOKUP($A18,'détails investissements'!$A$71:$B$88,2,FALSE)+1,FALSE))),'détails investissements'!$U$6:$AB$7,2,FALSE),"")&lt;&gt;"",VLOOKUP($A18,'détails investissements'!$A$7:$H$21,1+IF(IF(BD$3-VLOOKUP($A18,'détails investissements'!$A$71:$B$88,2,FALSE)&lt;=0,"",IF(VLOOKUP($A18,'détails investissements'!$A$26:$DE$43,BD$3-VLOOKUP($A18,'détails investissements'!$A$71:$B$88,2,FALSE)+1,FALSE)="","",VLOOKUP($A18,'détails investissements'!$A$26:$DE$43,BD$3-VLOOKUP($A18,'détails investissements'!$A$71:$B$88,2,FALSE)+1,FALSE)))&lt;&gt;"",HLOOKUP(IF(BD$3-VLOOKUP($A18,'détails investissements'!$A$71:$B$88,2,FALSE)&lt;=0,"",IF(VLOOKUP($A18,'détails investissements'!$A$26:$DE$43,BD$3-VLOOKUP($A18,'détails investissements'!$A$71:$B$88,2,FALSE)+1,FALSE)="","",VLOOKUP($A18,'détails investissements'!$A$26:$DE$43,BD$3-VLOOKUP($A18,'détails investissements'!$A$71:$B$88,2,FALSE)+1,FALSE))),'détails investissements'!$U$6:$AB$7,2,FALSE),""),FALSE),"")</f>
        <v/>
      </c>
      <c r="BE18" s="45" t="str">
        <f>IF(IF(IF(BE$3-VLOOKUP($A18,'détails investissements'!$A$71:$B$88,2,FALSE)&lt;=0,"",IF(VLOOKUP($A18,'détails investissements'!$A$26:$DE$43,BE$3-VLOOKUP($A18,'détails investissements'!$A$71:$B$88,2,FALSE)+1,FALSE)="","",VLOOKUP($A18,'détails investissements'!$A$26:$DE$43,BE$3-VLOOKUP($A18,'détails investissements'!$A$71:$B$88,2,FALSE)+1,FALSE)))&lt;&gt;"",HLOOKUP(IF(BE$3-VLOOKUP($A18,'détails investissements'!$A$71:$B$88,2,FALSE)&lt;=0,"",IF(VLOOKUP($A18,'détails investissements'!$A$26:$DE$43,BE$3-VLOOKUP($A18,'détails investissements'!$A$71:$B$88,2,FALSE)+1,FALSE)="","",VLOOKUP($A18,'détails investissements'!$A$26:$DE$43,BE$3-VLOOKUP($A18,'détails investissements'!$A$71:$B$88,2,FALSE)+1,FALSE))),'détails investissements'!$U$6:$AB$7,2,FALSE),"")&lt;&gt;"",VLOOKUP($A18,'détails investissements'!$A$7:$H$21,1+IF(IF(BE$3-VLOOKUP($A18,'détails investissements'!$A$71:$B$88,2,FALSE)&lt;=0,"",IF(VLOOKUP($A18,'détails investissements'!$A$26:$DE$43,BE$3-VLOOKUP($A18,'détails investissements'!$A$71:$B$88,2,FALSE)+1,FALSE)="","",VLOOKUP($A18,'détails investissements'!$A$26:$DE$43,BE$3-VLOOKUP($A18,'détails investissements'!$A$71:$B$88,2,FALSE)+1,FALSE)))&lt;&gt;"",HLOOKUP(IF(BE$3-VLOOKUP($A18,'détails investissements'!$A$71:$B$88,2,FALSE)&lt;=0,"",IF(VLOOKUP($A18,'détails investissements'!$A$26:$DE$43,BE$3-VLOOKUP($A18,'détails investissements'!$A$71:$B$88,2,FALSE)+1,FALSE)="","",VLOOKUP($A18,'détails investissements'!$A$26:$DE$43,BE$3-VLOOKUP($A18,'détails investissements'!$A$71:$B$88,2,FALSE)+1,FALSE))),'détails investissements'!$U$6:$AB$7,2,FALSE),""),FALSE),"")</f>
        <v/>
      </c>
      <c r="BF18" s="45" t="str">
        <f>IF(IF(IF(BF$3-VLOOKUP($A18,'détails investissements'!$A$71:$B$88,2,FALSE)&lt;=0,"",IF(VLOOKUP($A18,'détails investissements'!$A$26:$DE$43,BF$3-VLOOKUP($A18,'détails investissements'!$A$71:$B$88,2,FALSE)+1,FALSE)="","",VLOOKUP($A18,'détails investissements'!$A$26:$DE$43,BF$3-VLOOKUP($A18,'détails investissements'!$A$71:$B$88,2,FALSE)+1,FALSE)))&lt;&gt;"",HLOOKUP(IF(BF$3-VLOOKUP($A18,'détails investissements'!$A$71:$B$88,2,FALSE)&lt;=0,"",IF(VLOOKUP($A18,'détails investissements'!$A$26:$DE$43,BF$3-VLOOKUP($A18,'détails investissements'!$A$71:$B$88,2,FALSE)+1,FALSE)="","",VLOOKUP($A18,'détails investissements'!$A$26:$DE$43,BF$3-VLOOKUP($A18,'détails investissements'!$A$71:$B$88,2,FALSE)+1,FALSE))),'détails investissements'!$U$6:$AB$7,2,FALSE),"")&lt;&gt;"",VLOOKUP($A18,'détails investissements'!$A$7:$H$21,1+IF(IF(BF$3-VLOOKUP($A18,'détails investissements'!$A$71:$B$88,2,FALSE)&lt;=0,"",IF(VLOOKUP($A18,'détails investissements'!$A$26:$DE$43,BF$3-VLOOKUP($A18,'détails investissements'!$A$71:$B$88,2,FALSE)+1,FALSE)="","",VLOOKUP($A18,'détails investissements'!$A$26:$DE$43,BF$3-VLOOKUP($A18,'détails investissements'!$A$71:$B$88,2,FALSE)+1,FALSE)))&lt;&gt;"",HLOOKUP(IF(BF$3-VLOOKUP($A18,'détails investissements'!$A$71:$B$88,2,FALSE)&lt;=0,"",IF(VLOOKUP($A18,'détails investissements'!$A$26:$DE$43,BF$3-VLOOKUP($A18,'détails investissements'!$A$71:$B$88,2,FALSE)+1,FALSE)="","",VLOOKUP($A18,'détails investissements'!$A$26:$DE$43,BF$3-VLOOKUP($A18,'détails investissements'!$A$71:$B$88,2,FALSE)+1,FALSE))),'détails investissements'!$U$6:$AB$7,2,FALSE),""),FALSE),"")</f>
        <v/>
      </c>
      <c r="BG18" s="45" t="str">
        <f>IF(IF(IF(BG$3-VLOOKUP($A18,'détails investissements'!$A$71:$B$88,2,FALSE)&lt;=0,"",IF(VLOOKUP($A18,'détails investissements'!$A$26:$DE$43,BG$3-VLOOKUP($A18,'détails investissements'!$A$71:$B$88,2,FALSE)+1,FALSE)="","",VLOOKUP($A18,'détails investissements'!$A$26:$DE$43,BG$3-VLOOKUP($A18,'détails investissements'!$A$71:$B$88,2,FALSE)+1,FALSE)))&lt;&gt;"",HLOOKUP(IF(BG$3-VLOOKUP($A18,'détails investissements'!$A$71:$B$88,2,FALSE)&lt;=0,"",IF(VLOOKUP($A18,'détails investissements'!$A$26:$DE$43,BG$3-VLOOKUP($A18,'détails investissements'!$A$71:$B$88,2,FALSE)+1,FALSE)="","",VLOOKUP($A18,'détails investissements'!$A$26:$DE$43,BG$3-VLOOKUP($A18,'détails investissements'!$A$71:$B$88,2,FALSE)+1,FALSE))),'détails investissements'!$U$6:$AB$7,2,FALSE),"")&lt;&gt;"",VLOOKUP($A18,'détails investissements'!$A$7:$H$21,1+IF(IF(BG$3-VLOOKUP($A18,'détails investissements'!$A$71:$B$88,2,FALSE)&lt;=0,"",IF(VLOOKUP($A18,'détails investissements'!$A$26:$DE$43,BG$3-VLOOKUP($A18,'détails investissements'!$A$71:$B$88,2,FALSE)+1,FALSE)="","",VLOOKUP($A18,'détails investissements'!$A$26:$DE$43,BG$3-VLOOKUP($A18,'détails investissements'!$A$71:$B$88,2,FALSE)+1,FALSE)))&lt;&gt;"",HLOOKUP(IF(BG$3-VLOOKUP($A18,'détails investissements'!$A$71:$B$88,2,FALSE)&lt;=0,"",IF(VLOOKUP($A18,'détails investissements'!$A$26:$DE$43,BG$3-VLOOKUP($A18,'détails investissements'!$A$71:$B$88,2,FALSE)+1,FALSE)="","",VLOOKUP($A18,'détails investissements'!$A$26:$DE$43,BG$3-VLOOKUP($A18,'détails investissements'!$A$71:$B$88,2,FALSE)+1,FALSE))),'détails investissements'!$U$6:$AB$7,2,FALSE),""),FALSE),"")</f>
        <v/>
      </c>
      <c r="BH18" s="45" t="str">
        <f>IF(IF(IF(BH$3-VLOOKUP($A18,'détails investissements'!$A$71:$B$88,2,FALSE)&lt;=0,"",IF(VLOOKUP($A18,'détails investissements'!$A$26:$DE$43,BH$3-VLOOKUP($A18,'détails investissements'!$A$71:$B$88,2,FALSE)+1,FALSE)="","",VLOOKUP($A18,'détails investissements'!$A$26:$DE$43,BH$3-VLOOKUP($A18,'détails investissements'!$A$71:$B$88,2,FALSE)+1,FALSE)))&lt;&gt;"",HLOOKUP(IF(BH$3-VLOOKUP($A18,'détails investissements'!$A$71:$B$88,2,FALSE)&lt;=0,"",IF(VLOOKUP($A18,'détails investissements'!$A$26:$DE$43,BH$3-VLOOKUP($A18,'détails investissements'!$A$71:$B$88,2,FALSE)+1,FALSE)="","",VLOOKUP($A18,'détails investissements'!$A$26:$DE$43,BH$3-VLOOKUP($A18,'détails investissements'!$A$71:$B$88,2,FALSE)+1,FALSE))),'détails investissements'!$U$6:$AB$7,2,FALSE),"")&lt;&gt;"",VLOOKUP($A18,'détails investissements'!$A$7:$H$21,1+IF(IF(BH$3-VLOOKUP($A18,'détails investissements'!$A$71:$B$88,2,FALSE)&lt;=0,"",IF(VLOOKUP($A18,'détails investissements'!$A$26:$DE$43,BH$3-VLOOKUP($A18,'détails investissements'!$A$71:$B$88,2,FALSE)+1,FALSE)="","",VLOOKUP($A18,'détails investissements'!$A$26:$DE$43,BH$3-VLOOKUP($A18,'détails investissements'!$A$71:$B$88,2,FALSE)+1,FALSE)))&lt;&gt;"",HLOOKUP(IF(BH$3-VLOOKUP($A18,'détails investissements'!$A$71:$B$88,2,FALSE)&lt;=0,"",IF(VLOOKUP($A18,'détails investissements'!$A$26:$DE$43,BH$3-VLOOKUP($A18,'détails investissements'!$A$71:$B$88,2,FALSE)+1,FALSE)="","",VLOOKUP($A18,'détails investissements'!$A$26:$DE$43,BH$3-VLOOKUP($A18,'détails investissements'!$A$71:$B$88,2,FALSE)+1,FALSE))),'détails investissements'!$U$6:$AB$7,2,FALSE),""),FALSE),"")</f>
        <v/>
      </c>
      <c r="BI18" s="45" t="str">
        <f>IF(IF(IF(BI$3-VLOOKUP($A18,'détails investissements'!$A$71:$B$88,2,FALSE)&lt;=0,"",IF(VLOOKUP($A18,'détails investissements'!$A$26:$DE$43,BI$3-VLOOKUP($A18,'détails investissements'!$A$71:$B$88,2,FALSE)+1,FALSE)="","",VLOOKUP($A18,'détails investissements'!$A$26:$DE$43,BI$3-VLOOKUP($A18,'détails investissements'!$A$71:$B$88,2,FALSE)+1,FALSE)))&lt;&gt;"",HLOOKUP(IF(BI$3-VLOOKUP($A18,'détails investissements'!$A$71:$B$88,2,FALSE)&lt;=0,"",IF(VLOOKUP($A18,'détails investissements'!$A$26:$DE$43,BI$3-VLOOKUP($A18,'détails investissements'!$A$71:$B$88,2,FALSE)+1,FALSE)="","",VLOOKUP($A18,'détails investissements'!$A$26:$DE$43,BI$3-VLOOKUP($A18,'détails investissements'!$A$71:$B$88,2,FALSE)+1,FALSE))),'détails investissements'!$U$6:$AB$7,2,FALSE),"")&lt;&gt;"",VLOOKUP($A18,'détails investissements'!$A$7:$H$21,1+IF(IF(BI$3-VLOOKUP($A18,'détails investissements'!$A$71:$B$88,2,FALSE)&lt;=0,"",IF(VLOOKUP($A18,'détails investissements'!$A$26:$DE$43,BI$3-VLOOKUP($A18,'détails investissements'!$A$71:$B$88,2,FALSE)+1,FALSE)="","",VLOOKUP($A18,'détails investissements'!$A$26:$DE$43,BI$3-VLOOKUP($A18,'détails investissements'!$A$71:$B$88,2,FALSE)+1,FALSE)))&lt;&gt;"",HLOOKUP(IF(BI$3-VLOOKUP($A18,'détails investissements'!$A$71:$B$88,2,FALSE)&lt;=0,"",IF(VLOOKUP($A18,'détails investissements'!$A$26:$DE$43,BI$3-VLOOKUP($A18,'détails investissements'!$A$71:$B$88,2,FALSE)+1,FALSE)="","",VLOOKUP($A18,'détails investissements'!$A$26:$DE$43,BI$3-VLOOKUP($A18,'détails investissements'!$A$71:$B$88,2,FALSE)+1,FALSE))),'détails investissements'!$U$6:$AB$7,2,FALSE),""),FALSE),"")</f>
        <v/>
      </c>
      <c r="BJ18" s="45" t="str">
        <f>IF(IF(IF(BJ$3-VLOOKUP($A18,'détails investissements'!$A$71:$B$88,2,FALSE)&lt;=0,"",IF(VLOOKUP($A18,'détails investissements'!$A$26:$DE$43,BJ$3-VLOOKUP($A18,'détails investissements'!$A$71:$B$88,2,FALSE)+1,FALSE)="","",VLOOKUP($A18,'détails investissements'!$A$26:$DE$43,BJ$3-VLOOKUP($A18,'détails investissements'!$A$71:$B$88,2,FALSE)+1,FALSE)))&lt;&gt;"",HLOOKUP(IF(BJ$3-VLOOKUP($A18,'détails investissements'!$A$71:$B$88,2,FALSE)&lt;=0,"",IF(VLOOKUP($A18,'détails investissements'!$A$26:$DE$43,BJ$3-VLOOKUP($A18,'détails investissements'!$A$71:$B$88,2,FALSE)+1,FALSE)="","",VLOOKUP($A18,'détails investissements'!$A$26:$DE$43,BJ$3-VLOOKUP($A18,'détails investissements'!$A$71:$B$88,2,FALSE)+1,FALSE))),'détails investissements'!$U$6:$AB$7,2,FALSE),"")&lt;&gt;"",VLOOKUP($A18,'détails investissements'!$A$7:$H$21,1+IF(IF(BJ$3-VLOOKUP($A18,'détails investissements'!$A$71:$B$88,2,FALSE)&lt;=0,"",IF(VLOOKUP($A18,'détails investissements'!$A$26:$DE$43,BJ$3-VLOOKUP($A18,'détails investissements'!$A$71:$B$88,2,FALSE)+1,FALSE)="","",VLOOKUP($A18,'détails investissements'!$A$26:$DE$43,BJ$3-VLOOKUP($A18,'détails investissements'!$A$71:$B$88,2,FALSE)+1,FALSE)))&lt;&gt;"",HLOOKUP(IF(BJ$3-VLOOKUP($A18,'détails investissements'!$A$71:$B$88,2,FALSE)&lt;=0,"",IF(VLOOKUP($A18,'détails investissements'!$A$26:$DE$43,BJ$3-VLOOKUP($A18,'détails investissements'!$A$71:$B$88,2,FALSE)+1,FALSE)="","",VLOOKUP($A18,'détails investissements'!$A$26:$DE$43,BJ$3-VLOOKUP($A18,'détails investissements'!$A$71:$B$88,2,FALSE)+1,FALSE))),'détails investissements'!$U$6:$AB$7,2,FALSE),""),FALSE),"")</f>
        <v/>
      </c>
      <c r="BK18" s="45" t="str">
        <f>IF(IF(IF(BK$3-VLOOKUP($A18,'détails investissements'!$A$71:$B$88,2,FALSE)&lt;=0,"",IF(VLOOKUP($A18,'détails investissements'!$A$26:$DE$43,BK$3-VLOOKUP($A18,'détails investissements'!$A$71:$B$88,2,FALSE)+1,FALSE)="","",VLOOKUP($A18,'détails investissements'!$A$26:$DE$43,BK$3-VLOOKUP($A18,'détails investissements'!$A$71:$B$88,2,FALSE)+1,FALSE)))&lt;&gt;"",HLOOKUP(IF(BK$3-VLOOKUP($A18,'détails investissements'!$A$71:$B$88,2,FALSE)&lt;=0,"",IF(VLOOKUP($A18,'détails investissements'!$A$26:$DE$43,BK$3-VLOOKUP($A18,'détails investissements'!$A$71:$B$88,2,FALSE)+1,FALSE)="","",VLOOKUP($A18,'détails investissements'!$A$26:$DE$43,BK$3-VLOOKUP($A18,'détails investissements'!$A$71:$B$88,2,FALSE)+1,FALSE))),'détails investissements'!$U$6:$AB$7,2,FALSE),"")&lt;&gt;"",VLOOKUP($A18,'détails investissements'!$A$7:$H$21,1+IF(IF(BK$3-VLOOKUP($A18,'détails investissements'!$A$71:$B$88,2,FALSE)&lt;=0,"",IF(VLOOKUP($A18,'détails investissements'!$A$26:$DE$43,BK$3-VLOOKUP($A18,'détails investissements'!$A$71:$B$88,2,FALSE)+1,FALSE)="","",VLOOKUP($A18,'détails investissements'!$A$26:$DE$43,BK$3-VLOOKUP($A18,'détails investissements'!$A$71:$B$88,2,FALSE)+1,FALSE)))&lt;&gt;"",HLOOKUP(IF(BK$3-VLOOKUP($A18,'détails investissements'!$A$71:$B$88,2,FALSE)&lt;=0,"",IF(VLOOKUP($A18,'détails investissements'!$A$26:$DE$43,BK$3-VLOOKUP($A18,'détails investissements'!$A$71:$B$88,2,FALSE)+1,FALSE)="","",VLOOKUP($A18,'détails investissements'!$A$26:$DE$43,BK$3-VLOOKUP($A18,'détails investissements'!$A$71:$B$88,2,FALSE)+1,FALSE))),'détails investissements'!$U$6:$AB$7,2,FALSE),""),FALSE),"")</f>
        <v/>
      </c>
      <c r="BL18" s="45" t="str">
        <f>IF(IF(IF(BL$3-VLOOKUP($A18,'détails investissements'!$A$71:$B$88,2,FALSE)&lt;=0,"",IF(VLOOKUP($A18,'détails investissements'!$A$26:$DE$43,BL$3-VLOOKUP($A18,'détails investissements'!$A$71:$B$88,2,FALSE)+1,FALSE)="","",VLOOKUP($A18,'détails investissements'!$A$26:$DE$43,BL$3-VLOOKUP($A18,'détails investissements'!$A$71:$B$88,2,FALSE)+1,FALSE)))&lt;&gt;"",HLOOKUP(IF(BL$3-VLOOKUP($A18,'détails investissements'!$A$71:$B$88,2,FALSE)&lt;=0,"",IF(VLOOKUP($A18,'détails investissements'!$A$26:$DE$43,BL$3-VLOOKUP($A18,'détails investissements'!$A$71:$B$88,2,FALSE)+1,FALSE)="","",VLOOKUP($A18,'détails investissements'!$A$26:$DE$43,BL$3-VLOOKUP($A18,'détails investissements'!$A$71:$B$88,2,FALSE)+1,FALSE))),'détails investissements'!$U$6:$AB$7,2,FALSE),"")&lt;&gt;"",VLOOKUP($A18,'détails investissements'!$A$7:$H$21,1+IF(IF(BL$3-VLOOKUP($A18,'détails investissements'!$A$71:$B$88,2,FALSE)&lt;=0,"",IF(VLOOKUP($A18,'détails investissements'!$A$26:$DE$43,BL$3-VLOOKUP($A18,'détails investissements'!$A$71:$B$88,2,FALSE)+1,FALSE)="","",VLOOKUP($A18,'détails investissements'!$A$26:$DE$43,BL$3-VLOOKUP($A18,'détails investissements'!$A$71:$B$88,2,FALSE)+1,FALSE)))&lt;&gt;"",HLOOKUP(IF(BL$3-VLOOKUP($A18,'détails investissements'!$A$71:$B$88,2,FALSE)&lt;=0,"",IF(VLOOKUP($A18,'détails investissements'!$A$26:$DE$43,BL$3-VLOOKUP($A18,'détails investissements'!$A$71:$B$88,2,FALSE)+1,FALSE)="","",VLOOKUP($A18,'détails investissements'!$A$26:$DE$43,BL$3-VLOOKUP($A18,'détails investissements'!$A$71:$B$88,2,FALSE)+1,FALSE))),'détails investissements'!$U$6:$AB$7,2,FALSE),""),FALSE),"")</f>
        <v/>
      </c>
      <c r="BM18" s="45" t="str">
        <f>IF(IF(IF(BM$3-VLOOKUP($A18,'détails investissements'!$A$71:$B$88,2,FALSE)&lt;=0,"",IF(VLOOKUP($A18,'détails investissements'!$A$26:$DE$43,BM$3-VLOOKUP($A18,'détails investissements'!$A$71:$B$88,2,FALSE)+1,FALSE)="","",VLOOKUP($A18,'détails investissements'!$A$26:$DE$43,BM$3-VLOOKUP($A18,'détails investissements'!$A$71:$B$88,2,FALSE)+1,FALSE)))&lt;&gt;"",HLOOKUP(IF(BM$3-VLOOKUP($A18,'détails investissements'!$A$71:$B$88,2,FALSE)&lt;=0,"",IF(VLOOKUP($A18,'détails investissements'!$A$26:$DE$43,BM$3-VLOOKUP($A18,'détails investissements'!$A$71:$B$88,2,FALSE)+1,FALSE)="","",VLOOKUP($A18,'détails investissements'!$A$26:$DE$43,BM$3-VLOOKUP($A18,'détails investissements'!$A$71:$B$88,2,FALSE)+1,FALSE))),'détails investissements'!$U$6:$AB$7,2,FALSE),"")&lt;&gt;"",VLOOKUP($A18,'détails investissements'!$A$7:$H$21,1+IF(IF(BM$3-VLOOKUP($A18,'détails investissements'!$A$71:$B$88,2,FALSE)&lt;=0,"",IF(VLOOKUP($A18,'détails investissements'!$A$26:$DE$43,BM$3-VLOOKUP($A18,'détails investissements'!$A$71:$B$88,2,FALSE)+1,FALSE)="","",VLOOKUP($A18,'détails investissements'!$A$26:$DE$43,BM$3-VLOOKUP($A18,'détails investissements'!$A$71:$B$88,2,FALSE)+1,FALSE)))&lt;&gt;"",HLOOKUP(IF(BM$3-VLOOKUP($A18,'détails investissements'!$A$71:$B$88,2,FALSE)&lt;=0,"",IF(VLOOKUP($A18,'détails investissements'!$A$26:$DE$43,BM$3-VLOOKUP($A18,'détails investissements'!$A$71:$B$88,2,FALSE)+1,FALSE)="","",VLOOKUP($A18,'détails investissements'!$A$26:$DE$43,BM$3-VLOOKUP($A18,'détails investissements'!$A$71:$B$88,2,FALSE)+1,FALSE))),'détails investissements'!$U$6:$AB$7,2,FALSE),""),FALSE),"")</f>
        <v/>
      </c>
      <c r="BN18" s="45" t="str">
        <f>IF(IF(IF(BN$3-VLOOKUP($A18,'détails investissements'!$A$71:$B$88,2,FALSE)&lt;=0,"",IF(VLOOKUP($A18,'détails investissements'!$A$26:$DE$43,BN$3-VLOOKUP($A18,'détails investissements'!$A$71:$B$88,2,FALSE)+1,FALSE)="","",VLOOKUP($A18,'détails investissements'!$A$26:$DE$43,BN$3-VLOOKUP($A18,'détails investissements'!$A$71:$B$88,2,FALSE)+1,FALSE)))&lt;&gt;"",HLOOKUP(IF(BN$3-VLOOKUP($A18,'détails investissements'!$A$71:$B$88,2,FALSE)&lt;=0,"",IF(VLOOKUP($A18,'détails investissements'!$A$26:$DE$43,BN$3-VLOOKUP($A18,'détails investissements'!$A$71:$B$88,2,FALSE)+1,FALSE)="","",VLOOKUP($A18,'détails investissements'!$A$26:$DE$43,BN$3-VLOOKUP($A18,'détails investissements'!$A$71:$B$88,2,FALSE)+1,FALSE))),'détails investissements'!$U$6:$AB$7,2,FALSE),"")&lt;&gt;"",VLOOKUP($A18,'détails investissements'!$A$7:$H$21,1+IF(IF(BN$3-VLOOKUP($A18,'détails investissements'!$A$71:$B$88,2,FALSE)&lt;=0,"",IF(VLOOKUP($A18,'détails investissements'!$A$26:$DE$43,BN$3-VLOOKUP($A18,'détails investissements'!$A$71:$B$88,2,FALSE)+1,FALSE)="","",VLOOKUP($A18,'détails investissements'!$A$26:$DE$43,BN$3-VLOOKUP($A18,'détails investissements'!$A$71:$B$88,2,FALSE)+1,FALSE)))&lt;&gt;"",HLOOKUP(IF(BN$3-VLOOKUP($A18,'détails investissements'!$A$71:$B$88,2,FALSE)&lt;=0,"",IF(VLOOKUP($A18,'détails investissements'!$A$26:$DE$43,BN$3-VLOOKUP($A18,'détails investissements'!$A$71:$B$88,2,FALSE)+1,FALSE)="","",VLOOKUP($A18,'détails investissements'!$A$26:$DE$43,BN$3-VLOOKUP($A18,'détails investissements'!$A$71:$B$88,2,FALSE)+1,FALSE))),'détails investissements'!$U$6:$AB$7,2,FALSE),""),FALSE),"")</f>
        <v/>
      </c>
      <c r="BO18" s="45" t="str">
        <f>IF(IF(IF(BO$3-VLOOKUP($A18,'détails investissements'!$A$71:$B$88,2,FALSE)&lt;=0,"",IF(VLOOKUP($A18,'détails investissements'!$A$26:$DE$43,BO$3-VLOOKUP($A18,'détails investissements'!$A$71:$B$88,2,FALSE)+1,FALSE)="","",VLOOKUP($A18,'détails investissements'!$A$26:$DE$43,BO$3-VLOOKUP($A18,'détails investissements'!$A$71:$B$88,2,FALSE)+1,FALSE)))&lt;&gt;"",HLOOKUP(IF(BO$3-VLOOKUP($A18,'détails investissements'!$A$71:$B$88,2,FALSE)&lt;=0,"",IF(VLOOKUP($A18,'détails investissements'!$A$26:$DE$43,BO$3-VLOOKUP($A18,'détails investissements'!$A$71:$B$88,2,FALSE)+1,FALSE)="","",VLOOKUP($A18,'détails investissements'!$A$26:$DE$43,BO$3-VLOOKUP($A18,'détails investissements'!$A$71:$B$88,2,FALSE)+1,FALSE))),'détails investissements'!$U$6:$AB$7,2,FALSE),"")&lt;&gt;"",VLOOKUP($A18,'détails investissements'!$A$7:$H$21,1+IF(IF(BO$3-VLOOKUP($A18,'détails investissements'!$A$71:$B$88,2,FALSE)&lt;=0,"",IF(VLOOKUP($A18,'détails investissements'!$A$26:$DE$43,BO$3-VLOOKUP($A18,'détails investissements'!$A$71:$B$88,2,FALSE)+1,FALSE)="","",VLOOKUP($A18,'détails investissements'!$A$26:$DE$43,BO$3-VLOOKUP($A18,'détails investissements'!$A$71:$B$88,2,FALSE)+1,FALSE)))&lt;&gt;"",HLOOKUP(IF(BO$3-VLOOKUP($A18,'détails investissements'!$A$71:$B$88,2,FALSE)&lt;=0,"",IF(VLOOKUP($A18,'détails investissements'!$A$26:$DE$43,BO$3-VLOOKUP($A18,'détails investissements'!$A$71:$B$88,2,FALSE)+1,FALSE)="","",VLOOKUP($A18,'détails investissements'!$A$26:$DE$43,BO$3-VLOOKUP($A18,'détails investissements'!$A$71:$B$88,2,FALSE)+1,FALSE))),'détails investissements'!$U$6:$AB$7,2,FALSE),""),FALSE),"")</f>
        <v/>
      </c>
      <c r="BP18" s="45" t="str">
        <f>IF(IF(IF(BP$3-VLOOKUP($A18,'détails investissements'!$A$71:$B$88,2,FALSE)&lt;=0,"",IF(VLOOKUP($A18,'détails investissements'!$A$26:$DE$43,BP$3-VLOOKUP($A18,'détails investissements'!$A$71:$B$88,2,FALSE)+1,FALSE)="","",VLOOKUP($A18,'détails investissements'!$A$26:$DE$43,BP$3-VLOOKUP($A18,'détails investissements'!$A$71:$B$88,2,FALSE)+1,FALSE)))&lt;&gt;"",HLOOKUP(IF(BP$3-VLOOKUP($A18,'détails investissements'!$A$71:$B$88,2,FALSE)&lt;=0,"",IF(VLOOKUP($A18,'détails investissements'!$A$26:$DE$43,BP$3-VLOOKUP($A18,'détails investissements'!$A$71:$B$88,2,FALSE)+1,FALSE)="","",VLOOKUP($A18,'détails investissements'!$A$26:$DE$43,BP$3-VLOOKUP($A18,'détails investissements'!$A$71:$B$88,2,FALSE)+1,FALSE))),'détails investissements'!$U$6:$AB$7,2,FALSE),"")&lt;&gt;"",VLOOKUP($A18,'détails investissements'!$A$7:$H$21,1+IF(IF(BP$3-VLOOKUP($A18,'détails investissements'!$A$71:$B$88,2,FALSE)&lt;=0,"",IF(VLOOKUP($A18,'détails investissements'!$A$26:$DE$43,BP$3-VLOOKUP($A18,'détails investissements'!$A$71:$B$88,2,FALSE)+1,FALSE)="","",VLOOKUP($A18,'détails investissements'!$A$26:$DE$43,BP$3-VLOOKUP($A18,'détails investissements'!$A$71:$B$88,2,FALSE)+1,FALSE)))&lt;&gt;"",HLOOKUP(IF(BP$3-VLOOKUP($A18,'détails investissements'!$A$71:$B$88,2,FALSE)&lt;=0,"",IF(VLOOKUP($A18,'détails investissements'!$A$26:$DE$43,BP$3-VLOOKUP($A18,'détails investissements'!$A$71:$B$88,2,FALSE)+1,FALSE)="","",VLOOKUP($A18,'détails investissements'!$A$26:$DE$43,BP$3-VLOOKUP($A18,'détails investissements'!$A$71:$B$88,2,FALSE)+1,FALSE))),'détails investissements'!$U$6:$AB$7,2,FALSE),""),FALSE),"")</f>
        <v/>
      </c>
      <c r="BQ18" s="45" t="str">
        <f>IF(IF(IF(BQ$3-VLOOKUP($A18,'détails investissements'!$A$71:$B$88,2,FALSE)&lt;=0,"",IF(VLOOKUP($A18,'détails investissements'!$A$26:$DE$43,BQ$3-VLOOKUP($A18,'détails investissements'!$A$71:$B$88,2,FALSE)+1,FALSE)="","",VLOOKUP($A18,'détails investissements'!$A$26:$DE$43,BQ$3-VLOOKUP($A18,'détails investissements'!$A$71:$B$88,2,FALSE)+1,FALSE)))&lt;&gt;"",HLOOKUP(IF(BQ$3-VLOOKUP($A18,'détails investissements'!$A$71:$B$88,2,FALSE)&lt;=0,"",IF(VLOOKUP($A18,'détails investissements'!$A$26:$DE$43,BQ$3-VLOOKUP($A18,'détails investissements'!$A$71:$B$88,2,FALSE)+1,FALSE)="","",VLOOKUP($A18,'détails investissements'!$A$26:$DE$43,BQ$3-VLOOKUP($A18,'détails investissements'!$A$71:$B$88,2,FALSE)+1,FALSE))),'détails investissements'!$U$6:$AB$7,2,FALSE),"")&lt;&gt;"",VLOOKUP($A18,'détails investissements'!$A$7:$H$21,1+IF(IF(BQ$3-VLOOKUP($A18,'détails investissements'!$A$71:$B$88,2,FALSE)&lt;=0,"",IF(VLOOKUP($A18,'détails investissements'!$A$26:$DE$43,BQ$3-VLOOKUP($A18,'détails investissements'!$A$71:$B$88,2,FALSE)+1,FALSE)="","",VLOOKUP($A18,'détails investissements'!$A$26:$DE$43,BQ$3-VLOOKUP($A18,'détails investissements'!$A$71:$B$88,2,FALSE)+1,FALSE)))&lt;&gt;"",HLOOKUP(IF(BQ$3-VLOOKUP($A18,'détails investissements'!$A$71:$B$88,2,FALSE)&lt;=0,"",IF(VLOOKUP($A18,'détails investissements'!$A$26:$DE$43,BQ$3-VLOOKUP($A18,'détails investissements'!$A$71:$B$88,2,FALSE)+1,FALSE)="","",VLOOKUP($A18,'détails investissements'!$A$26:$DE$43,BQ$3-VLOOKUP($A18,'détails investissements'!$A$71:$B$88,2,FALSE)+1,FALSE))),'détails investissements'!$U$6:$AB$7,2,FALSE),""),FALSE),"")</f>
        <v/>
      </c>
      <c r="BR18" s="45" t="str">
        <f>IF(IF(IF(BR$3-VLOOKUP($A18,'détails investissements'!$A$71:$B$88,2,FALSE)&lt;=0,"",IF(VLOOKUP($A18,'détails investissements'!$A$26:$DE$43,BR$3-VLOOKUP($A18,'détails investissements'!$A$71:$B$88,2,FALSE)+1,FALSE)="","",VLOOKUP($A18,'détails investissements'!$A$26:$DE$43,BR$3-VLOOKUP($A18,'détails investissements'!$A$71:$B$88,2,FALSE)+1,FALSE)))&lt;&gt;"",HLOOKUP(IF(BR$3-VLOOKUP($A18,'détails investissements'!$A$71:$B$88,2,FALSE)&lt;=0,"",IF(VLOOKUP($A18,'détails investissements'!$A$26:$DE$43,BR$3-VLOOKUP($A18,'détails investissements'!$A$71:$B$88,2,FALSE)+1,FALSE)="","",VLOOKUP($A18,'détails investissements'!$A$26:$DE$43,BR$3-VLOOKUP($A18,'détails investissements'!$A$71:$B$88,2,FALSE)+1,FALSE))),'détails investissements'!$U$6:$AB$7,2,FALSE),"")&lt;&gt;"",VLOOKUP($A18,'détails investissements'!$A$7:$H$21,1+IF(IF(BR$3-VLOOKUP($A18,'détails investissements'!$A$71:$B$88,2,FALSE)&lt;=0,"",IF(VLOOKUP($A18,'détails investissements'!$A$26:$DE$43,BR$3-VLOOKUP($A18,'détails investissements'!$A$71:$B$88,2,FALSE)+1,FALSE)="","",VLOOKUP($A18,'détails investissements'!$A$26:$DE$43,BR$3-VLOOKUP($A18,'détails investissements'!$A$71:$B$88,2,FALSE)+1,FALSE)))&lt;&gt;"",HLOOKUP(IF(BR$3-VLOOKUP($A18,'détails investissements'!$A$71:$B$88,2,FALSE)&lt;=0,"",IF(VLOOKUP($A18,'détails investissements'!$A$26:$DE$43,BR$3-VLOOKUP($A18,'détails investissements'!$A$71:$B$88,2,FALSE)+1,FALSE)="","",VLOOKUP($A18,'détails investissements'!$A$26:$DE$43,BR$3-VLOOKUP($A18,'détails investissements'!$A$71:$B$88,2,FALSE)+1,FALSE))),'détails investissements'!$U$6:$AB$7,2,FALSE),""),FALSE),"")</f>
        <v/>
      </c>
      <c r="BS18" s="45" t="str">
        <f>IF(IF(IF(BS$3-VLOOKUP($A18,'détails investissements'!$A$71:$B$88,2,FALSE)&lt;=0,"",IF(VLOOKUP($A18,'détails investissements'!$A$26:$DE$43,BS$3-VLOOKUP($A18,'détails investissements'!$A$71:$B$88,2,FALSE)+1,FALSE)="","",VLOOKUP($A18,'détails investissements'!$A$26:$DE$43,BS$3-VLOOKUP($A18,'détails investissements'!$A$71:$B$88,2,FALSE)+1,FALSE)))&lt;&gt;"",HLOOKUP(IF(BS$3-VLOOKUP($A18,'détails investissements'!$A$71:$B$88,2,FALSE)&lt;=0,"",IF(VLOOKUP($A18,'détails investissements'!$A$26:$DE$43,BS$3-VLOOKUP($A18,'détails investissements'!$A$71:$B$88,2,FALSE)+1,FALSE)="","",VLOOKUP($A18,'détails investissements'!$A$26:$DE$43,BS$3-VLOOKUP($A18,'détails investissements'!$A$71:$B$88,2,FALSE)+1,FALSE))),'détails investissements'!$U$6:$AB$7,2,FALSE),"")&lt;&gt;"",VLOOKUP($A18,'détails investissements'!$A$7:$H$21,1+IF(IF(BS$3-VLOOKUP($A18,'détails investissements'!$A$71:$B$88,2,FALSE)&lt;=0,"",IF(VLOOKUP($A18,'détails investissements'!$A$26:$DE$43,BS$3-VLOOKUP($A18,'détails investissements'!$A$71:$B$88,2,FALSE)+1,FALSE)="","",VLOOKUP($A18,'détails investissements'!$A$26:$DE$43,BS$3-VLOOKUP($A18,'détails investissements'!$A$71:$B$88,2,FALSE)+1,FALSE)))&lt;&gt;"",HLOOKUP(IF(BS$3-VLOOKUP($A18,'détails investissements'!$A$71:$B$88,2,FALSE)&lt;=0,"",IF(VLOOKUP($A18,'détails investissements'!$A$26:$DE$43,BS$3-VLOOKUP($A18,'détails investissements'!$A$71:$B$88,2,FALSE)+1,FALSE)="","",VLOOKUP($A18,'détails investissements'!$A$26:$DE$43,BS$3-VLOOKUP($A18,'détails investissements'!$A$71:$B$88,2,FALSE)+1,FALSE))),'détails investissements'!$U$6:$AB$7,2,FALSE),""),FALSE),"")</f>
        <v/>
      </c>
      <c r="BT18" s="45" t="str">
        <f>IF(IF(IF(BT$3-VLOOKUP($A18,'détails investissements'!$A$71:$B$88,2,FALSE)&lt;=0,"",IF(VLOOKUP($A18,'détails investissements'!$A$26:$DE$43,BT$3-VLOOKUP($A18,'détails investissements'!$A$71:$B$88,2,FALSE)+1,FALSE)="","",VLOOKUP($A18,'détails investissements'!$A$26:$DE$43,BT$3-VLOOKUP($A18,'détails investissements'!$A$71:$B$88,2,FALSE)+1,FALSE)))&lt;&gt;"",HLOOKUP(IF(BT$3-VLOOKUP($A18,'détails investissements'!$A$71:$B$88,2,FALSE)&lt;=0,"",IF(VLOOKUP($A18,'détails investissements'!$A$26:$DE$43,BT$3-VLOOKUP($A18,'détails investissements'!$A$71:$B$88,2,FALSE)+1,FALSE)="","",VLOOKUP($A18,'détails investissements'!$A$26:$DE$43,BT$3-VLOOKUP($A18,'détails investissements'!$A$71:$B$88,2,FALSE)+1,FALSE))),'détails investissements'!$U$6:$AB$7,2,FALSE),"")&lt;&gt;"",VLOOKUP($A18,'détails investissements'!$A$7:$H$21,1+IF(IF(BT$3-VLOOKUP($A18,'détails investissements'!$A$71:$B$88,2,FALSE)&lt;=0,"",IF(VLOOKUP($A18,'détails investissements'!$A$26:$DE$43,BT$3-VLOOKUP($A18,'détails investissements'!$A$71:$B$88,2,FALSE)+1,FALSE)="","",VLOOKUP($A18,'détails investissements'!$A$26:$DE$43,BT$3-VLOOKUP($A18,'détails investissements'!$A$71:$B$88,2,FALSE)+1,FALSE)))&lt;&gt;"",HLOOKUP(IF(BT$3-VLOOKUP($A18,'détails investissements'!$A$71:$B$88,2,FALSE)&lt;=0,"",IF(VLOOKUP($A18,'détails investissements'!$A$26:$DE$43,BT$3-VLOOKUP($A18,'détails investissements'!$A$71:$B$88,2,FALSE)+1,FALSE)="","",VLOOKUP($A18,'détails investissements'!$A$26:$DE$43,BT$3-VLOOKUP($A18,'détails investissements'!$A$71:$B$88,2,FALSE)+1,FALSE))),'détails investissements'!$U$6:$AB$7,2,FALSE),""),FALSE),"")</f>
        <v/>
      </c>
      <c r="BU18" s="45" t="str">
        <f>IF(IF(IF(BU$3-VLOOKUP($A18,'détails investissements'!$A$71:$B$88,2,FALSE)&lt;=0,"",IF(VLOOKUP($A18,'détails investissements'!$A$26:$DE$43,BU$3-VLOOKUP($A18,'détails investissements'!$A$71:$B$88,2,FALSE)+1,FALSE)="","",VLOOKUP($A18,'détails investissements'!$A$26:$DE$43,BU$3-VLOOKUP($A18,'détails investissements'!$A$71:$B$88,2,FALSE)+1,FALSE)))&lt;&gt;"",HLOOKUP(IF(BU$3-VLOOKUP($A18,'détails investissements'!$A$71:$B$88,2,FALSE)&lt;=0,"",IF(VLOOKUP($A18,'détails investissements'!$A$26:$DE$43,BU$3-VLOOKUP($A18,'détails investissements'!$A$71:$B$88,2,FALSE)+1,FALSE)="","",VLOOKUP($A18,'détails investissements'!$A$26:$DE$43,BU$3-VLOOKUP($A18,'détails investissements'!$A$71:$B$88,2,FALSE)+1,FALSE))),'détails investissements'!$U$6:$AB$7,2,FALSE),"")&lt;&gt;"",VLOOKUP($A18,'détails investissements'!$A$7:$H$21,1+IF(IF(BU$3-VLOOKUP($A18,'détails investissements'!$A$71:$B$88,2,FALSE)&lt;=0,"",IF(VLOOKUP($A18,'détails investissements'!$A$26:$DE$43,BU$3-VLOOKUP($A18,'détails investissements'!$A$71:$B$88,2,FALSE)+1,FALSE)="","",VLOOKUP($A18,'détails investissements'!$A$26:$DE$43,BU$3-VLOOKUP($A18,'détails investissements'!$A$71:$B$88,2,FALSE)+1,FALSE)))&lt;&gt;"",HLOOKUP(IF(BU$3-VLOOKUP($A18,'détails investissements'!$A$71:$B$88,2,FALSE)&lt;=0,"",IF(VLOOKUP($A18,'détails investissements'!$A$26:$DE$43,BU$3-VLOOKUP($A18,'détails investissements'!$A$71:$B$88,2,FALSE)+1,FALSE)="","",VLOOKUP($A18,'détails investissements'!$A$26:$DE$43,BU$3-VLOOKUP($A18,'détails investissements'!$A$71:$B$88,2,FALSE)+1,FALSE))),'détails investissements'!$U$6:$AB$7,2,FALSE),""),FALSE),"")</f>
        <v/>
      </c>
      <c r="BV18" s="45" t="str">
        <f>IF(IF(IF(BV$3-VLOOKUP($A18,'détails investissements'!$A$71:$B$88,2,FALSE)&lt;=0,"",IF(VLOOKUP($A18,'détails investissements'!$A$26:$DE$43,BV$3-VLOOKUP($A18,'détails investissements'!$A$71:$B$88,2,FALSE)+1,FALSE)="","",VLOOKUP($A18,'détails investissements'!$A$26:$DE$43,BV$3-VLOOKUP($A18,'détails investissements'!$A$71:$B$88,2,FALSE)+1,FALSE)))&lt;&gt;"",HLOOKUP(IF(BV$3-VLOOKUP($A18,'détails investissements'!$A$71:$B$88,2,FALSE)&lt;=0,"",IF(VLOOKUP($A18,'détails investissements'!$A$26:$DE$43,BV$3-VLOOKUP($A18,'détails investissements'!$A$71:$B$88,2,FALSE)+1,FALSE)="","",VLOOKUP($A18,'détails investissements'!$A$26:$DE$43,BV$3-VLOOKUP($A18,'détails investissements'!$A$71:$B$88,2,FALSE)+1,FALSE))),'détails investissements'!$U$6:$AB$7,2,FALSE),"")&lt;&gt;"",VLOOKUP($A18,'détails investissements'!$A$7:$H$21,1+IF(IF(BV$3-VLOOKUP($A18,'détails investissements'!$A$71:$B$88,2,FALSE)&lt;=0,"",IF(VLOOKUP($A18,'détails investissements'!$A$26:$DE$43,BV$3-VLOOKUP($A18,'détails investissements'!$A$71:$B$88,2,FALSE)+1,FALSE)="","",VLOOKUP($A18,'détails investissements'!$A$26:$DE$43,BV$3-VLOOKUP($A18,'détails investissements'!$A$71:$B$88,2,FALSE)+1,FALSE)))&lt;&gt;"",HLOOKUP(IF(BV$3-VLOOKUP($A18,'détails investissements'!$A$71:$B$88,2,FALSE)&lt;=0,"",IF(VLOOKUP($A18,'détails investissements'!$A$26:$DE$43,BV$3-VLOOKUP($A18,'détails investissements'!$A$71:$B$88,2,FALSE)+1,FALSE)="","",VLOOKUP($A18,'détails investissements'!$A$26:$DE$43,BV$3-VLOOKUP($A18,'détails investissements'!$A$71:$B$88,2,FALSE)+1,FALSE))),'détails investissements'!$U$6:$AB$7,2,FALSE),""),FALSE),"")</f>
        <v/>
      </c>
      <c r="BW18" s="45" t="str">
        <f>IF(IF(IF(BW$3-VLOOKUP($A18,'détails investissements'!$A$71:$B$88,2,FALSE)&lt;=0,"",IF(VLOOKUP($A18,'détails investissements'!$A$26:$DE$43,BW$3-VLOOKUP($A18,'détails investissements'!$A$71:$B$88,2,FALSE)+1,FALSE)="","",VLOOKUP($A18,'détails investissements'!$A$26:$DE$43,BW$3-VLOOKUP($A18,'détails investissements'!$A$71:$B$88,2,FALSE)+1,FALSE)))&lt;&gt;"",HLOOKUP(IF(BW$3-VLOOKUP($A18,'détails investissements'!$A$71:$B$88,2,FALSE)&lt;=0,"",IF(VLOOKUP($A18,'détails investissements'!$A$26:$DE$43,BW$3-VLOOKUP($A18,'détails investissements'!$A$71:$B$88,2,FALSE)+1,FALSE)="","",VLOOKUP($A18,'détails investissements'!$A$26:$DE$43,BW$3-VLOOKUP($A18,'détails investissements'!$A$71:$B$88,2,FALSE)+1,FALSE))),'détails investissements'!$U$6:$AB$7,2,FALSE),"")&lt;&gt;"",VLOOKUP($A18,'détails investissements'!$A$7:$H$21,1+IF(IF(BW$3-VLOOKUP($A18,'détails investissements'!$A$71:$B$88,2,FALSE)&lt;=0,"",IF(VLOOKUP($A18,'détails investissements'!$A$26:$DE$43,BW$3-VLOOKUP($A18,'détails investissements'!$A$71:$B$88,2,FALSE)+1,FALSE)="","",VLOOKUP($A18,'détails investissements'!$A$26:$DE$43,BW$3-VLOOKUP($A18,'détails investissements'!$A$71:$B$88,2,FALSE)+1,FALSE)))&lt;&gt;"",HLOOKUP(IF(BW$3-VLOOKUP($A18,'détails investissements'!$A$71:$B$88,2,FALSE)&lt;=0,"",IF(VLOOKUP($A18,'détails investissements'!$A$26:$DE$43,BW$3-VLOOKUP($A18,'détails investissements'!$A$71:$B$88,2,FALSE)+1,FALSE)="","",VLOOKUP($A18,'détails investissements'!$A$26:$DE$43,BW$3-VLOOKUP($A18,'détails investissements'!$A$71:$B$88,2,FALSE)+1,FALSE))),'détails investissements'!$U$6:$AB$7,2,FALSE),""),FALSE),"")</f>
        <v/>
      </c>
      <c r="BX18" s="45" t="str">
        <f>IF(IF(IF(BX$3-VLOOKUP($A18,'détails investissements'!$A$71:$B$88,2,FALSE)&lt;=0,"",IF(VLOOKUP($A18,'détails investissements'!$A$26:$DE$43,BX$3-VLOOKUP($A18,'détails investissements'!$A$71:$B$88,2,FALSE)+1,FALSE)="","",VLOOKUP($A18,'détails investissements'!$A$26:$DE$43,BX$3-VLOOKUP($A18,'détails investissements'!$A$71:$B$88,2,FALSE)+1,FALSE)))&lt;&gt;"",HLOOKUP(IF(BX$3-VLOOKUP($A18,'détails investissements'!$A$71:$B$88,2,FALSE)&lt;=0,"",IF(VLOOKUP($A18,'détails investissements'!$A$26:$DE$43,BX$3-VLOOKUP($A18,'détails investissements'!$A$71:$B$88,2,FALSE)+1,FALSE)="","",VLOOKUP($A18,'détails investissements'!$A$26:$DE$43,BX$3-VLOOKUP($A18,'détails investissements'!$A$71:$B$88,2,FALSE)+1,FALSE))),'détails investissements'!$U$6:$AB$7,2,FALSE),"")&lt;&gt;"",VLOOKUP($A18,'détails investissements'!$A$7:$H$21,1+IF(IF(BX$3-VLOOKUP($A18,'détails investissements'!$A$71:$B$88,2,FALSE)&lt;=0,"",IF(VLOOKUP($A18,'détails investissements'!$A$26:$DE$43,BX$3-VLOOKUP($A18,'détails investissements'!$A$71:$B$88,2,FALSE)+1,FALSE)="","",VLOOKUP($A18,'détails investissements'!$A$26:$DE$43,BX$3-VLOOKUP($A18,'détails investissements'!$A$71:$B$88,2,FALSE)+1,FALSE)))&lt;&gt;"",HLOOKUP(IF(BX$3-VLOOKUP($A18,'détails investissements'!$A$71:$B$88,2,FALSE)&lt;=0,"",IF(VLOOKUP($A18,'détails investissements'!$A$26:$DE$43,BX$3-VLOOKUP($A18,'détails investissements'!$A$71:$B$88,2,FALSE)+1,FALSE)="","",VLOOKUP($A18,'détails investissements'!$A$26:$DE$43,BX$3-VLOOKUP($A18,'détails investissements'!$A$71:$B$88,2,FALSE)+1,FALSE))),'détails investissements'!$U$6:$AB$7,2,FALSE),""),FALSE),"")</f>
        <v/>
      </c>
      <c r="BY18" s="45" t="str">
        <f>IF(IF(IF(BY$3-VLOOKUP($A18,'détails investissements'!$A$71:$B$88,2,FALSE)&lt;=0,"",IF(VLOOKUP($A18,'détails investissements'!$A$26:$DE$43,BY$3-VLOOKUP($A18,'détails investissements'!$A$71:$B$88,2,FALSE)+1,FALSE)="","",VLOOKUP($A18,'détails investissements'!$A$26:$DE$43,BY$3-VLOOKUP($A18,'détails investissements'!$A$71:$B$88,2,FALSE)+1,FALSE)))&lt;&gt;"",HLOOKUP(IF(BY$3-VLOOKUP($A18,'détails investissements'!$A$71:$B$88,2,FALSE)&lt;=0,"",IF(VLOOKUP($A18,'détails investissements'!$A$26:$DE$43,BY$3-VLOOKUP($A18,'détails investissements'!$A$71:$B$88,2,FALSE)+1,FALSE)="","",VLOOKUP($A18,'détails investissements'!$A$26:$DE$43,BY$3-VLOOKUP($A18,'détails investissements'!$A$71:$B$88,2,FALSE)+1,FALSE))),'détails investissements'!$U$6:$AB$7,2,FALSE),"")&lt;&gt;"",VLOOKUP($A18,'détails investissements'!$A$7:$H$21,1+IF(IF(BY$3-VLOOKUP($A18,'détails investissements'!$A$71:$B$88,2,FALSE)&lt;=0,"",IF(VLOOKUP($A18,'détails investissements'!$A$26:$DE$43,BY$3-VLOOKUP($A18,'détails investissements'!$A$71:$B$88,2,FALSE)+1,FALSE)="","",VLOOKUP($A18,'détails investissements'!$A$26:$DE$43,BY$3-VLOOKUP($A18,'détails investissements'!$A$71:$B$88,2,FALSE)+1,FALSE)))&lt;&gt;"",HLOOKUP(IF(BY$3-VLOOKUP($A18,'détails investissements'!$A$71:$B$88,2,FALSE)&lt;=0,"",IF(VLOOKUP($A18,'détails investissements'!$A$26:$DE$43,BY$3-VLOOKUP($A18,'détails investissements'!$A$71:$B$88,2,FALSE)+1,FALSE)="","",VLOOKUP($A18,'détails investissements'!$A$26:$DE$43,BY$3-VLOOKUP($A18,'détails investissements'!$A$71:$B$88,2,FALSE)+1,FALSE))),'détails investissements'!$U$6:$AB$7,2,FALSE),""),FALSE),"")</f>
        <v/>
      </c>
      <c r="BZ18" s="45" t="str">
        <f>IF(IF(IF(BZ$3-VLOOKUP($A18,'détails investissements'!$A$71:$B$88,2,FALSE)&lt;=0,"",IF(VLOOKUP($A18,'détails investissements'!$A$26:$DE$43,BZ$3-VLOOKUP($A18,'détails investissements'!$A$71:$B$88,2,FALSE)+1,FALSE)="","",VLOOKUP($A18,'détails investissements'!$A$26:$DE$43,BZ$3-VLOOKUP($A18,'détails investissements'!$A$71:$B$88,2,FALSE)+1,FALSE)))&lt;&gt;"",HLOOKUP(IF(BZ$3-VLOOKUP($A18,'détails investissements'!$A$71:$B$88,2,FALSE)&lt;=0,"",IF(VLOOKUP($A18,'détails investissements'!$A$26:$DE$43,BZ$3-VLOOKUP($A18,'détails investissements'!$A$71:$B$88,2,FALSE)+1,FALSE)="","",VLOOKUP($A18,'détails investissements'!$A$26:$DE$43,BZ$3-VLOOKUP($A18,'détails investissements'!$A$71:$B$88,2,FALSE)+1,FALSE))),'détails investissements'!$U$6:$AB$7,2,FALSE),"")&lt;&gt;"",VLOOKUP($A18,'détails investissements'!$A$7:$H$21,1+IF(IF(BZ$3-VLOOKUP($A18,'détails investissements'!$A$71:$B$88,2,FALSE)&lt;=0,"",IF(VLOOKUP($A18,'détails investissements'!$A$26:$DE$43,BZ$3-VLOOKUP($A18,'détails investissements'!$A$71:$B$88,2,FALSE)+1,FALSE)="","",VLOOKUP($A18,'détails investissements'!$A$26:$DE$43,BZ$3-VLOOKUP($A18,'détails investissements'!$A$71:$B$88,2,FALSE)+1,FALSE)))&lt;&gt;"",HLOOKUP(IF(BZ$3-VLOOKUP($A18,'détails investissements'!$A$71:$B$88,2,FALSE)&lt;=0,"",IF(VLOOKUP($A18,'détails investissements'!$A$26:$DE$43,BZ$3-VLOOKUP($A18,'détails investissements'!$A$71:$B$88,2,FALSE)+1,FALSE)="","",VLOOKUP($A18,'détails investissements'!$A$26:$DE$43,BZ$3-VLOOKUP($A18,'détails investissements'!$A$71:$B$88,2,FALSE)+1,FALSE))),'détails investissements'!$U$6:$AB$7,2,FALSE),""),FALSE),"")</f>
        <v/>
      </c>
      <c r="CA18" s="45" t="str">
        <f>IF(IF(IF(CA$3-VLOOKUP($A18,'détails investissements'!$A$71:$B$88,2,FALSE)&lt;=0,"",IF(VLOOKUP($A18,'détails investissements'!$A$26:$DE$43,CA$3-VLOOKUP($A18,'détails investissements'!$A$71:$B$88,2,FALSE)+1,FALSE)="","",VLOOKUP($A18,'détails investissements'!$A$26:$DE$43,CA$3-VLOOKUP($A18,'détails investissements'!$A$71:$B$88,2,FALSE)+1,FALSE)))&lt;&gt;"",HLOOKUP(IF(CA$3-VLOOKUP($A18,'détails investissements'!$A$71:$B$88,2,FALSE)&lt;=0,"",IF(VLOOKUP($A18,'détails investissements'!$A$26:$DE$43,CA$3-VLOOKUP($A18,'détails investissements'!$A$71:$B$88,2,FALSE)+1,FALSE)="","",VLOOKUP($A18,'détails investissements'!$A$26:$DE$43,CA$3-VLOOKUP($A18,'détails investissements'!$A$71:$B$88,2,FALSE)+1,FALSE))),'détails investissements'!$U$6:$AB$7,2,FALSE),"")&lt;&gt;"",VLOOKUP($A18,'détails investissements'!$A$7:$H$21,1+IF(IF(CA$3-VLOOKUP($A18,'détails investissements'!$A$71:$B$88,2,FALSE)&lt;=0,"",IF(VLOOKUP($A18,'détails investissements'!$A$26:$DE$43,CA$3-VLOOKUP($A18,'détails investissements'!$A$71:$B$88,2,FALSE)+1,FALSE)="","",VLOOKUP($A18,'détails investissements'!$A$26:$DE$43,CA$3-VLOOKUP($A18,'détails investissements'!$A$71:$B$88,2,FALSE)+1,FALSE)))&lt;&gt;"",HLOOKUP(IF(CA$3-VLOOKUP($A18,'détails investissements'!$A$71:$B$88,2,FALSE)&lt;=0,"",IF(VLOOKUP($A18,'détails investissements'!$A$26:$DE$43,CA$3-VLOOKUP($A18,'détails investissements'!$A$71:$B$88,2,FALSE)+1,FALSE)="","",VLOOKUP($A18,'détails investissements'!$A$26:$DE$43,CA$3-VLOOKUP($A18,'détails investissements'!$A$71:$B$88,2,FALSE)+1,FALSE))),'détails investissements'!$U$6:$AB$7,2,FALSE),""),FALSE),"")</f>
        <v/>
      </c>
      <c r="CB18" s="45" t="str">
        <f>IF(IF(IF(CB$3-VLOOKUP($A18,'détails investissements'!$A$71:$B$88,2,FALSE)&lt;=0,"",IF(VLOOKUP($A18,'détails investissements'!$A$26:$DE$43,CB$3-VLOOKUP($A18,'détails investissements'!$A$71:$B$88,2,FALSE)+1,FALSE)="","",VLOOKUP($A18,'détails investissements'!$A$26:$DE$43,CB$3-VLOOKUP($A18,'détails investissements'!$A$71:$B$88,2,FALSE)+1,FALSE)))&lt;&gt;"",HLOOKUP(IF(CB$3-VLOOKUP($A18,'détails investissements'!$A$71:$B$88,2,FALSE)&lt;=0,"",IF(VLOOKUP($A18,'détails investissements'!$A$26:$DE$43,CB$3-VLOOKUP($A18,'détails investissements'!$A$71:$B$88,2,FALSE)+1,FALSE)="","",VLOOKUP($A18,'détails investissements'!$A$26:$DE$43,CB$3-VLOOKUP($A18,'détails investissements'!$A$71:$B$88,2,FALSE)+1,FALSE))),'détails investissements'!$U$6:$AB$7,2,FALSE),"")&lt;&gt;"",VLOOKUP($A18,'détails investissements'!$A$7:$H$21,1+IF(IF(CB$3-VLOOKUP($A18,'détails investissements'!$A$71:$B$88,2,FALSE)&lt;=0,"",IF(VLOOKUP($A18,'détails investissements'!$A$26:$DE$43,CB$3-VLOOKUP($A18,'détails investissements'!$A$71:$B$88,2,FALSE)+1,FALSE)="","",VLOOKUP($A18,'détails investissements'!$A$26:$DE$43,CB$3-VLOOKUP($A18,'détails investissements'!$A$71:$B$88,2,FALSE)+1,FALSE)))&lt;&gt;"",HLOOKUP(IF(CB$3-VLOOKUP($A18,'détails investissements'!$A$71:$B$88,2,FALSE)&lt;=0,"",IF(VLOOKUP($A18,'détails investissements'!$A$26:$DE$43,CB$3-VLOOKUP($A18,'détails investissements'!$A$71:$B$88,2,FALSE)+1,FALSE)="","",VLOOKUP($A18,'détails investissements'!$A$26:$DE$43,CB$3-VLOOKUP($A18,'détails investissements'!$A$71:$B$88,2,FALSE)+1,FALSE))),'détails investissements'!$U$6:$AB$7,2,FALSE),""),FALSE),"")</f>
        <v/>
      </c>
      <c r="CC18" s="45" t="str">
        <f>IF(IF(IF(CC$3-VLOOKUP($A18,'détails investissements'!$A$71:$B$88,2,FALSE)&lt;=0,"",IF(VLOOKUP($A18,'détails investissements'!$A$26:$DE$43,CC$3-VLOOKUP($A18,'détails investissements'!$A$71:$B$88,2,FALSE)+1,FALSE)="","",VLOOKUP($A18,'détails investissements'!$A$26:$DE$43,CC$3-VLOOKUP($A18,'détails investissements'!$A$71:$B$88,2,FALSE)+1,FALSE)))&lt;&gt;"",HLOOKUP(IF(CC$3-VLOOKUP($A18,'détails investissements'!$A$71:$B$88,2,FALSE)&lt;=0,"",IF(VLOOKUP($A18,'détails investissements'!$A$26:$DE$43,CC$3-VLOOKUP($A18,'détails investissements'!$A$71:$B$88,2,FALSE)+1,FALSE)="","",VLOOKUP($A18,'détails investissements'!$A$26:$DE$43,CC$3-VLOOKUP($A18,'détails investissements'!$A$71:$B$88,2,FALSE)+1,FALSE))),'détails investissements'!$U$6:$AB$7,2,FALSE),"")&lt;&gt;"",VLOOKUP($A18,'détails investissements'!$A$7:$H$21,1+IF(IF(CC$3-VLOOKUP($A18,'détails investissements'!$A$71:$B$88,2,FALSE)&lt;=0,"",IF(VLOOKUP($A18,'détails investissements'!$A$26:$DE$43,CC$3-VLOOKUP($A18,'détails investissements'!$A$71:$B$88,2,FALSE)+1,FALSE)="","",VLOOKUP($A18,'détails investissements'!$A$26:$DE$43,CC$3-VLOOKUP($A18,'détails investissements'!$A$71:$B$88,2,FALSE)+1,FALSE)))&lt;&gt;"",HLOOKUP(IF(CC$3-VLOOKUP($A18,'détails investissements'!$A$71:$B$88,2,FALSE)&lt;=0,"",IF(VLOOKUP($A18,'détails investissements'!$A$26:$DE$43,CC$3-VLOOKUP($A18,'détails investissements'!$A$71:$B$88,2,FALSE)+1,FALSE)="","",VLOOKUP($A18,'détails investissements'!$A$26:$DE$43,CC$3-VLOOKUP($A18,'détails investissements'!$A$71:$B$88,2,FALSE)+1,FALSE))),'détails investissements'!$U$6:$AB$7,2,FALSE),""),FALSE),"")</f>
        <v/>
      </c>
      <c r="CD18" s="45" t="str">
        <f>IF(IF(IF(CD$3-VLOOKUP($A18,'détails investissements'!$A$71:$B$88,2,FALSE)&lt;=0,"",IF(VLOOKUP($A18,'détails investissements'!$A$26:$DE$43,CD$3-VLOOKUP($A18,'détails investissements'!$A$71:$B$88,2,FALSE)+1,FALSE)="","",VLOOKUP($A18,'détails investissements'!$A$26:$DE$43,CD$3-VLOOKUP($A18,'détails investissements'!$A$71:$B$88,2,FALSE)+1,FALSE)))&lt;&gt;"",HLOOKUP(IF(CD$3-VLOOKUP($A18,'détails investissements'!$A$71:$B$88,2,FALSE)&lt;=0,"",IF(VLOOKUP($A18,'détails investissements'!$A$26:$DE$43,CD$3-VLOOKUP($A18,'détails investissements'!$A$71:$B$88,2,FALSE)+1,FALSE)="","",VLOOKUP($A18,'détails investissements'!$A$26:$DE$43,CD$3-VLOOKUP($A18,'détails investissements'!$A$71:$B$88,2,FALSE)+1,FALSE))),'détails investissements'!$U$6:$AB$7,2,FALSE),"")&lt;&gt;"",VLOOKUP($A18,'détails investissements'!$A$7:$H$21,1+IF(IF(CD$3-VLOOKUP($A18,'détails investissements'!$A$71:$B$88,2,FALSE)&lt;=0,"",IF(VLOOKUP($A18,'détails investissements'!$A$26:$DE$43,CD$3-VLOOKUP($A18,'détails investissements'!$A$71:$B$88,2,FALSE)+1,FALSE)="","",VLOOKUP($A18,'détails investissements'!$A$26:$DE$43,CD$3-VLOOKUP($A18,'détails investissements'!$A$71:$B$88,2,FALSE)+1,FALSE)))&lt;&gt;"",HLOOKUP(IF(CD$3-VLOOKUP($A18,'détails investissements'!$A$71:$B$88,2,FALSE)&lt;=0,"",IF(VLOOKUP($A18,'détails investissements'!$A$26:$DE$43,CD$3-VLOOKUP($A18,'détails investissements'!$A$71:$B$88,2,FALSE)+1,FALSE)="","",VLOOKUP($A18,'détails investissements'!$A$26:$DE$43,CD$3-VLOOKUP($A18,'détails investissements'!$A$71:$B$88,2,FALSE)+1,FALSE))),'détails investissements'!$U$6:$AB$7,2,FALSE),""),FALSE),"")</f>
        <v/>
      </c>
      <c r="CE18" s="45" t="str">
        <f>IF(IF(IF(CE$3-VLOOKUP($A18,'détails investissements'!$A$71:$B$88,2,FALSE)&lt;=0,"",IF(VLOOKUP($A18,'détails investissements'!$A$26:$DE$43,CE$3-VLOOKUP($A18,'détails investissements'!$A$71:$B$88,2,FALSE)+1,FALSE)="","",VLOOKUP($A18,'détails investissements'!$A$26:$DE$43,CE$3-VLOOKUP($A18,'détails investissements'!$A$71:$B$88,2,FALSE)+1,FALSE)))&lt;&gt;"",HLOOKUP(IF(CE$3-VLOOKUP($A18,'détails investissements'!$A$71:$B$88,2,FALSE)&lt;=0,"",IF(VLOOKUP($A18,'détails investissements'!$A$26:$DE$43,CE$3-VLOOKUP($A18,'détails investissements'!$A$71:$B$88,2,FALSE)+1,FALSE)="","",VLOOKUP($A18,'détails investissements'!$A$26:$DE$43,CE$3-VLOOKUP($A18,'détails investissements'!$A$71:$B$88,2,FALSE)+1,FALSE))),'détails investissements'!$U$6:$AB$7,2,FALSE),"")&lt;&gt;"",VLOOKUP($A18,'détails investissements'!$A$7:$H$21,1+IF(IF(CE$3-VLOOKUP($A18,'détails investissements'!$A$71:$B$88,2,FALSE)&lt;=0,"",IF(VLOOKUP($A18,'détails investissements'!$A$26:$DE$43,CE$3-VLOOKUP($A18,'détails investissements'!$A$71:$B$88,2,FALSE)+1,FALSE)="","",VLOOKUP($A18,'détails investissements'!$A$26:$DE$43,CE$3-VLOOKUP($A18,'détails investissements'!$A$71:$B$88,2,FALSE)+1,FALSE)))&lt;&gt;"",HLOOKUP(IF(CE$3-VLOOKUP($A18,'détails investissements'!$A$71:$B$88,2,FALSE)&lt;=0,"",IF(VLOOKUP($A18,'détails investissements'!$A$26:$DE$43,CE$3-VLOOKUP($A18,'détails investissements'!$A$71:$B$88,2,FALSE)+1,FALSE)="","",VLOOKUP($A18,'détails investissements'!$A$26:$DE$43,CE$3-VLOOKUP($A18,'détails investissements'!$A$71:$B$88,2,FALSE)+1,FALSE))),'détails investissements'!$U$6:$AB$7,2,FALSE),""),FALSE),"")</f>
        <v/>
      </c>
      <c r="CF18" s="45" t="str">
        <f>IF(IF(IF(CF$3-VLOOKUP($A18,'détails investissements'!$A$71:$B$88,2,FALSE)&lt;=0,"",IF(VLOOKUP($A18,'détails investissements'!$A$26:$DE$43,CF$3-VLOOKUP($A18,'détails investissements'!$A$71:$B$88,2,FALSE)+1,FALSE)="","",VLOOKUP($A18,'détails investissements'!$A$26:$DE$43,CF$3-VLOOKUP($A18,'détails investissements'!$A$71:$B$88,2,FALSE)+1,FALSE)))&lt;&gt;"",HLOOKUP(IF(CF$3-VLOOKUP($A18,'détails investissements'!$A$71:$B$88,2,FALSE)&lt;=0,"",IF(VLOOKUP($A18,'détails investissements'!$A$26:$DE$43,CF$3-VLOOKUP($A18,'détails investissements'!$A$71:$B$88,2,FALSE)+1,FALSE)="","",VLOOKUP($A18,'détails investissements'!$A$26:$DE$43,CF$3-VLOOKUP($A18,'détails investissements'!$A$71:$B$88,2,FALSE)+1,FALSE))),'détails investissements'!$U$6:$AB$7,2,FALSE),"")&lt;&gt;"",VLOOKUP($A18,'détails investissements'!$A$7:$H$21,1+IF(IF(CF$3-VLOOKUP($A18,'détails investissements'!$A$71:$B$88,2,FALSE)&lt;=0,"",IF(VLOOKUP($A18,'détails investissements'!$A$26:$DE$43,CF$3-VLOOKUP($A18,'détails investissements'!$A$71:$B$88,2,FALSE)+1,FALSE)="","",VLOOKUP($A18,'détails investissements'!$A$26:$DE$43,CF$3-VLOOKUP($A18,'détails investissements'!$A$71:$B$88,2,FALSE)+1,FALSE)))&lt;&gt;"",HLOOKUP(IF(CF$3-VLOOKUP($A18,'détails investissements'!$A$71:$B$88,2,FALSE)&lt;=0,"",IF(VLOOKUP($A18,'détails investissements'!$A$26:$DE$43,CF$3-VLOOKUP($A18,'détails investissements'!$A$71:$B$88,2,FALSE)+1,FALSE)="","",VLOOKUP($A18,'détails investissements'!$A$26:$DE$43,CF$3-VLOOKUP($A18,'détails investissements'!$A$71:$B$88,2,FALSE)+1,FALSE))),'détails investissements'!$U$6:$AB$7,2,FALSE),""),FALSE),"")</f>
        <v/>
      </c>
      <c r="CG18" s="45" t="str">
        <f>IF(IF(IF(CG$3-VLOOKUP($A18,'détails investissements'!$A$71:$B$88,2,FALSE)&lt;=0,"",IF(VLOOKUP($A18,'détails investissements'!$A$26:$DE$43,CG$3-VLOOKUP($A18,'détails investissements'!$A$71:$B$88,2,FALSE)+1,FALSE)="","",VLOOKUP($A18,'détails investissements'!$A$26:$DE$43,CG$3-VLOOKUP($A18,'détails investissements'!$A$71:$B$88,2,FALSE)+1,FALSE)))&lt;&gt;"",HLOOKUP(IF(CG$3-VLOOKUP($A18,'détails investissements'!$A$71:$B$88,2,FALSE)&lt;=0,"",IF(VLOOKUP($A18,'détails investissements'!$A$26:$DE$43,CG$3-VLOOKUP($A18,'détails investissements'!$A$71:$B$88,2,FALSE)+1,FALSE)="","",VLOOKUP($A18,'détails investissements'!$A$26:$DE$43,CG$3-VLOOKUP($A18,'détails investissements'!$A$71:$B$88,2,FALSE)+1,FALSE))),'détails investissements'!$U$6:$AB$7,2,FALSE),"")&lt;&gt;"",VLOOKUP($A18,'détails investissements'!$A$7:$H$21,1+IF(IF(CG$3-VLOOKUP($A18,'détails investissements'!$A$71:$B$88,2,FALSE)&lt;=0,"",IF(VLOOKUP($A18,'détails investissements'!$A$26:$DE$43,CG$3-VLOOKUP($A18,'détails investissements'!$A$71:$B$88,2,FALSE)+1,FALSE)="","",VLOOKUP($A18,'détails investissements'!$A$26:$DE$43,CG$3-VLOOKUP($A18,'détails investissements'!$A$71:$B$88,2,FALSE)+1,FALSE)))&lt;&gt;"",HLOOKUP(IF(CG$3-VLOOKUP($A18,'détails investissements'!$A$71:$B$88,2,FALSE)&lt;=0,"",IF(VLOOKUP($A18,'détails investissements'!$A$26:$DE$43,CG$3-VLOOKUP($A18,'détails investissements'!$A$71:$B$88,2,FALSE)+1,FALSE)="","",VLOOKUP($A18,'détails investissements'!$A$26:$DE$43,CG$3-VLOOKUP($A18,'détails investissements'!$A$71:$B$88,2,FALSE)+1,FALSE))),'détails investissements'!$U$6:$AB$7,2,FALSE),""),FALSE),"")</f>
        <v/>
      </c>
      <c r="CH18" s="45" t="str">
        <f>IF(IF(IF(CH$3-VLOOKUP($A18,'détails investissements'!$A$71:$B$88,2,FALSE)&lt;=0,"",IF(VLOOKUP($A18,'détails investissements'!$A$26:$DE$43,CH$3-VLOOKUP($A18,'détails investissements'!$A$71:$B$88,2,FALSE)+1,FALSE)="","",VLOOKUP($A18,'détails investissements'!$A$26:$DE$43,CH$3-VLOOKUP($A18,'détails investissements'!$A$71:$B$88,2,FALSE)+1,FALSE)))&lt;&gt;"",HLOOKUP(IF(CH$3-VLOOKUP($A18,'détails investissements'!$A$71:$B$88,2,FALSE)&lt;=0,"",IF(VLOOKUP($A18,'détails investissements'!$A$26:$DE$43,CH$3-VLOOKUP($A18,'détails investissements'!$A$71:$B$88,2,FALSE)+1,FALSE)="","",VLOOKUP($A18,'détails investissements'!$A$26:$DE$43,CH$3-VLOOKUP($A18,'détails investissements'!$A$71:$B$88,2,FALSE)+1,FALSE))),'détails investissements'!$U$6:$AB$7,2,FALSE),"")&lt;&gt;"",VLOOKUP($A18,'détails investissements'!$A$7:$H$21,1+IF(IF(CH$3-VLOOKUP($A18,'détails investissements'!$A$71:$B$88,2,FALSE)&lt;=0,"",IF(VLOOKUP($A18,'détails investissements'!$A$26:$DE$43,CH$3-VLOOKUP($A18,'détails investissements'!$A$71:$B$88,2,FALSE)+1,FALSE)="","",VLOOKUP($A18,'détails investissements'!$A$26:$DE$43,CH$3-VLOOKUP($A18,'détails investissements'!$A$71:$B$88,2,FALSE)+1,FALSE)))&lt;&gt;"",HLOOKUP(IF(CH$3-VLOOKUP($A18,'détails investissements'!$A$71:$B$88,2,FALSE)&lt;=0,"",IF(VLOOKUP($A18,'détails investissements'!$A$26:$DE$43,CH$3-VLOOKUP($A18,'détails investissements'!$A$71:$B$88,2,FALSE)+1,FALSE)="","",VLOOKUP($A18,'détails investissements'!$A$26:$DE$43,CH$3-VLOOKUP($A18,'détails investissements'!$A$71:$B$88,2,FALSE)+1,FALSE))),'détails investissements'!$U$6:$AB$7,2,FALSE),""),FALSE),"")</f>
        <v/>
      </c>
      <c r="CI18" s="45" t="str">
        <f>IF(IF(IF(CI$3-VLOOKUP($A18,'détails investissements'!$A$71:$B$88,2,FALSE)&lt;=0,"",IF(VLOOKUP($A18,'détails investissements'!$A$26:$DE$43,CI$3-VLOOKUP($A18,'détails investissements'!$A$71:$B$88,2,FALSE)+1,FALSE)="","",VLOOKUP($A18,'détails investissements'!$A$26:$DE$43,CI$3-VLOOKUP($A18,'détails investissements'!$A$71:$B$88,2,FALSE)+1,FALSE)))&lt;&gt;"",HLOOKUP(IF(CI$3-VLOOKUP($A18,'détails investissements'!$A$71:$B$88,2,FALSE)&lt;=0,"",IF(VLOOKUP($A18,'détails investissements'!$A$26:$DE$43,CI$3-VLOOKUP($A18,'détails investissements'!$A$71:$B$88,2,FALSE)+1,FALSE)="","",VLOOKUP($A18,'détails investissements'!$A$26:$DE$43,CI$3-VLOOKUP($A18,'détails investissements'!$A$71:$B$88,2,FALSE)+1,FALSE))),'détails investissements'!$U$6:$AB$7,2,FALSE),"")&lt;&gt;"",VLOOKUP($A18,'détails investissements'!$A$7:$H$21,1+IF(IF(CI$3-VLOOKUP($A18,'détails investissements'!$A$71:$B$88,2,FALSE)&lt;=0,"",IF(VLOOKUP($A18,'détails investissements'!$A$26:$DE$43,CI$3-VLOOKUP($A18,'détails investissements'!$A$71:$B$88,2,FALSE)+1,FALSE)="","",VLOOKUP($A18,'détails investissements'!$A$26:$DE$43,CI$3-VLOOKUP($A18,'détails investissements'!$A$71:$B$88,2,FALSE)+1,FALSE)))&lt;&gt;"",HLOOKUP(IF(CI$3-VLOOKUP($A18,'détails investissements'!$A$71:$B$88,2,FALSE)&lt;=0,"",IF(VLOOKUP($A18,'détails investissements'!$A$26:$DE$43,CI$3-VLOOKUP($A18,'détails investissements'!$A$71:$B$88,2,FALSE)+1,FALSE)="","",VLOOKUP($A18,'détails investissements'!$A$26:$DE$43,CI$3-VLOOKUP($A18,'détails investissements'!$A$71:$B$88,2,FALSE)+1,FALSE))),'détails investissements'!$U$6:$AB$7,2,FALSE),""),FALSE),"")</f>
        <v/>
      </c>
      <c r="CJ18" s="45" t="str">
        <f>IF(IF(IF(CJ$3-VLOOKUP($A18,'détails investissements'!$A$71:$B$88,2,FALSE)&lt;=0,"",IF(VLOOKUP($A18,'détails investissements'!$A$26:$DE$43,CJ$3-VLOOKUP($A18,'détails investissements'!$A$71:$B$88,2,FALSE)+1,FALSE)="","",VLOOKUP($A18,'détails investissements'!$A$26:$DE$43,CJ$3-VLOOKUP($A18,'détails investissements'!$A$71:$B$88,2,FALSE)+1,FALSE)))&lt;&gt;"",HLOOKUP(IF(CJ$3-VLOOKUP($A18,'détails investissements'!$A$71:$B$88,2,FALSE)&lt;=0,"",IF(VLOOKUP($A18,'détails investissements'!$A$26:$DE$43,CJ$3-VLOOKUP($A18,'détails investissements'!$A$71:$B$88,2,FALSE)+1,FALSE)="","",VLOOKUP($A18,'détails investissements'!$A$26:$DE$43,CJ$3-VLOOKUP($A18,'détails investissements'!$A$71:$B$88,2,FALSE)+1,FALSE))),'détails investissements'!$U$6:$AB$7,2,FALSE),"")&lt;&gt;"",VLOOKUP($A18,'détails investissements'!$A$7:$H$21,1+IF(IF(CJ$3-VLOOKUP($A18,'détails investissements'!$A$71:$B$88,2,FALSE)&lt;=0,"",IF(VLOOKUP($A18,'détails investissements'!$A$26:$DE$43,CJ$3-VLOOKUP($A18,'détails investissements'!$A$71:$B$88,2,FALSE)+1,FALSE)="","",VLOOKUP($A18,'détails investissements'!$A$26:$DE$43,CJ$3-VLOOKUP($A18,'détails investissements'!$A$71:$B$88,2,FALSE)+1,FALSE)))&lt;&gt;"",HLOOKUP(IF(CJ$3-VLOOKUP($A18,'détails investissements'!$A$71:$B$88,2,FALSE)&lt;=0,"",IF(VLOOKUP($A18,'détails investissements'!$A$26:$DE$43,CJ$3-VLOOKUP($A18,'détails investissements'!$A$71:$B$88,2,FALSE)+1,FALSE)="","",VLOOKUP($A18,'détails investissements'!$A$26:$DE$43,CJ$3-VLOOKUP($A18,'détails investissements'!$A$71:$B$88,2,FALSE)+1,FALSE))),'détails investissements'!$U$6:$AB$7,2,FALSE),""),FALSE),"")</f>
        <v/>
      </c>
      <c r="CK18" s="45" t="str">
        <f>IF(IF(IF(CK$3-VLOOKUP($A18,'détails investissements'!$A$71:$B$88,2,FALSE)&lt;=0,"",IF(VLOOKUP($A18,'détails investissements'!$A$26:$DE$43,CK$3-VLOOKUP($A18,'détails investissements'!$A$71:$B$88,2,FALSE)+1,FALSE)="","",VLOOKUP($A18,'détails investissements'!$A$26:$DE$43,CK$3-VLOOKUP($A18,'détails investissements'!$A$71:$B$88,2,FALSE)+1,FALSE)))&lt;&gt;"",HLOOKUP(IF(CK$3-VLOOKUP($A18,'détails investissements'!$A$71:$B$88,2,FALSE)&lt;=0,"",IF(VLOOKUP($A18,'détails investissements'!$A$26:$DE$43,CK$3-VLOOKUP($A18,'détails investissements'!$A$71:$B$88,2,FALSE)+1,FALSE)="","",VLOOKUP($A18,'détails investissements'!$A$26:$DE$43,CK$3-VLOOKUP($A18,'détails investissements'!$A$71:$B$88,2,FALSE)+1,FALSE))),'détails investissements'!$U$6:$AB$7,2,FALSE),"")&lt;&gt;"",VLOOKUP($A18,'détails investissements'!$A$7:$H$21,1+IF(IF(CK$3-VLOOKUP($A18,'détails investissements'!$A$71:$B$88,2,FALSE)&lt;=0,"",IF(VLOOKUP($A18,'détails investissements'!$A$26:$DE$43,CK$3-VLOOKUP($A18,'détails investissements'!$A$71:$B$88,2,FALSE)+1,FALSE)="","",VLOOKUP($A18,'détails investissements'!$A$26:$DE$43,CK$3-VLOOKUP($A18,'détails investissements'!$A$71:$B$88,2,FALSE)+1,FALSE)))&lt;&gt;"",HLOOKUP(IF(CK$3-VLOOKUP($A18,'détails investissements'!$A$71:$B$88,2,FALSE)&lt;=0,"",IF(VLOOKUP($A18,'détails investissements'!$A$26:$DE$43,CK$3-VLOOKUP($A18,'détails investissements'!$A$71:$B$88,2,FALSE)+1,FALSE)="","",VLOOKUP($A18,'détails investissements'!$A$26:$DE$43,CK$3-VLOOKUP($A18,'détails investissements'!$A$71:$B$88,2,FALSE)+1,FALSE))),'détails investissements'!$U$6:$AB$7,2,FALSE),""),FALSE),"")</f>
        <v/>
      </c>
      <c r="CL18" s="45" t="str">
        <f>IF(IF(IF(CL$3-VLOOKUP($A18,'détails investissements'!$A$71:$B$88,2,FALSE)&lt;=0,"",IF(VLOOKUP($A18,'détails investissements'!$A$26:$DE$43,CL$3-VLOOKUP($A18,'détails investissements'!$A$71:$B$88,2,FALSE)+1,FALSE)="","",VLOOKUP($A18,'détails investissements'!$A$26:$DE$43,CL$3-VLOOKUP($A18,'détails investissements'!$A$71:$B$88,2,FALSE)+1,FALSE)))&lt;&gt;"",HLOOKUP(IF(CL$3-VLOOKUP($A18,'détails investissements'!$A$71:$B$88,2,FALSE)&lt;=0,"",IF(VLOOKUP($A18,'détails investissements'!$A$26:$DE$43,CL$3-VLOOKUP($A18,'détails investissements'!$A$71:$B$88,2,FALSE)+1,FALSE)="","",VLOOKUP($A18,'détails investissements'!$A$26:$DE$43,CL$3-VLOOKUP($A18,'détails investissements'!$A$71:$B$88,2,FALSE)+1,FALSE))),'détails investissements'!$U$6:$AB$7,2,FALSE),"")&lt;&gt;"",VLOOKUP($A18,'détails investissements'!$A$7:$H$21,1+IF(IF(CL$3-VLOOKUP($A18,'détails investissements'!$A$71:$B$88,2,FALSE)&lt;=0,"",IF(VLOOKUP($A18,'détails investissements'!$A$26:$DE$43,CL$3-VLOOKUP($A18,'détails investissements'!$A$71:$B$88,2,FALSE)+1,FALSE)="","",VLOOKUP($A18,'détails investissements'!$A$26:$DE$43,CL$3-VLOOKUP($A18,'détails investissements'!$A$71:$B$88,2,FALSE)+1,FALSE)))&lt;&gt;"",HLOOKUP(IF(CL$3-VLOOKUP($A18,'détails investissements'!$A$71:$B$88,2,FALSE)&lt;=0,"",IF(VLOOKUP($A18,'détails investissements'!$A$26:$DE$43,CL$3-VLOOKUP($A18,'détails investissements'!$A$71:$B$88,2,FALSE)+1,FALSE)="","",VLOOKUP($A18,'détails investissements'!$A$26:$DE$43,CL$3-VLOOKUP($A18,'détails investissements'!$A$71:$B$88,2,FALSE)+1,FALSE))),'détails investissements'!$U$6:$AB$7,2,FALSE),""),FALSE),"")</f>
        <v/>
      </c>
      <c r="CM18" s="45" t="str">
        <f>IF(IF(IF(CM$3-VLOOKUP($A18,'détails investissements'!$A$71:$B$88,2,FALSE)&lt;=0,"",IF(VLOOKUP($A18,'détails investissements'!$A$26:$DE$43,CM$3-VLOOKUP($A18,'détails investissements'!$A$71:$B$88,2,FALSE)+1,FALSE)="","",VLOOKUP($A18,'détails investissements'!$A$26:$DE$43,CM$3-VLOOKUP($A18,'détails investissements'!$A$71:$B$88,2,FALSE)+1,FALSE)))&lt;&gt;"",HLOOKUP(IF(CM$3-VLOOKUP($A18,'détails investissements'!$A$71:$B$88,2,FALSE)&lt;=0,"",IF(VLOOKUP($A18,'détails investissements'!$A$26:$DE$43,CM$3-VLOOKUP($A18,'détails investissements'!$A$71:$B$88,2,FALSE)+1,FALSE)="","",VLOOKUP($A18,'détails investissements'!$A$26:$DE$43,CM$3-VLOOKUP($A18,'détails investissements'!$A$71:$B$88,2,FALSE)+1,FALSE))),'détails investissements'!$U$6:$AB$7,2,FALSE),"")&lt;&gt;"",VLOOKUP($A18,'détails investissements'!$A$7:$H$21,1+IF(IF(CM$3-VLOOKUP($A18,'détails investissements'!$A$71:$B$88,2,FALSE)&lt;=0,"",IF(VLOOKUP($A18,'détails investissements'!$A$26:$DE$43,CM$3-VLOOKUP($A18,'détails investissements'!$A$71:$B$88,2,FALSE)+1,FALSE)="","",VLOOKUP($A18,'détails investissements'!$A$26:$DE$43,CM$3-VLOOKUP($A18,'détails investissements'!$A$71:$B$88,2,FALSE)+1,FALSE)))&lt;&gt;"",HLOOKUP(IF(CM$3-VLOOKUP($A18,'détails investissements'!$A$71:$B$88,2,FALSE)&lt;=0,"",IF(VLOOKUP($A18,'détails investissements'!$A$26:$DE$43,CM$3-VLOOKUP($A18,'détails investissements'!$A$71:$B$88,2,FALSE)+1,FALSE)="","",VLOOKUP($A18,'détails investissements'!$A$26:$DE$43,CM$3-VLOOKUP($A18,'détails investissements'!$A$71:$B$88,2,FALSE)+1,FALSE))),'détails investissements'!$U$6:$AB$7,2,FALSE),""),FALSE),"")</f>
        <v/>
      </c>
      <c r="CN18" s="45" t="str">
        <f>IF(IF(IF(CN$3-VLOOKUP($A18,'détails investissements'!$A$71:$B$88,2,FALSE)&lt;=0,"",IF(VLOOKUP($A18,'détails investissements'!$A$26:$DE$43,CN$3-VLOOKUP($A18,'détails investissements'!$A$71:$B$88,2,FALSE)+1,FALSE)="","",VLOOKUP($A18,'détails investissements'!$A$26:$DE$43,CN$3-VLOOKUP($A18,'détails investissements'!$A$71:$B$88,2,FALSE)+1,FALSE)))&lt;&gt;"",HLOOKUP(IF(CN$3-VLOOKUP($A18,'détails investissements'!$A$71:$B$88,2,FALSE)&lt;=0,"",IF(VLOOKUP($A18,'détails investissements'!$A$26:$DE$43,CN$3-VLOOKUP($A18,'détails investissements'!$A$71:$B$88,2,FALSE)+1,FALSE)="","",VLOOKUP($A18,'détails investissements'!$A$26:$DE$43,CN$3-VLOOKUP($A18,'détails investissements'!$A$71:$B$88,2,FALSE)+1,FALSE))),'détails investissements'!$U$6:$AB$7,2,FALSE),"")&lt;&gt;"",VLOOKUP($A18,'détails investissements'!$A$7:$H$21,1+IF(IF(CN$3-VLOOKUP($A18,'détails investissements'!$A$71:$B$88,2,FALSE)&lt;=0,"",IF(VLOOKUP($A18,'détails investissements'!$A$26:$DE$43,CN$3-VLOOKUP($A18,'détails investissements'!$A$71:$B$88,2,FALSE)+1,FALSE)="","",VLOOKUP($A18,'détails investissements'!$A$26:$DE$43,CN$3-VLOOKUP($A18,'détails investissements'!$A$71:$B$88,2,FALSE)+1,FALSE)))&lt;&gt;"",HLOOKUP(IF(CN$3-VLOOKUP($A18,'détails investissements'!$A$71:$B$88,2,FALSE)&lt;=0,"",IF(VLOOKUP($A18,'détails investissements'!$A$26:$DE$43,CN$3-VLOOKUP($A18,'détails investissements'!$A$71:$B$88,2,FALSE)+1,FALSE)="","",VLOOKUP($A18,'détails investissements'!$A$26:$DE$43,CN$3-VLOOKUP($A18,'détails investissements'!$A$71:$B$88,2,FALSE)+1,FALSE))),'détails investissements'!$U$6:$AB$7,2,FALSE),""),FALSE),"")</f>
        <v/>
      </c>
      <c r="CO18" s="45" t="str">
        <f>IF(IF(IF(CO$3-VLOOKUP($A18,'détails investissements'!$A$71:$B$88,2,FALSE)&lt;=0,"",IF(VLOOKUP($A18,'détails investissements'!$A$26:$DE$43,CO$3-VLOOKUP($A18,'détails investissements'!$A$71:$B$88,2,FALSE)+1,FALSE)="","",VLOOKUP($A18,'détails investissements'!$A$26:$DE$43,CO$3-VLOOKUP($A18,'détails investissements'!$A$71:$B$88,2,FALSE)+1,FALSE)))&lt;&gt;"",HLOOKUP(IF(CO$3-VLOOKUP($A18,'détails investissements'!$A$71:$B$88,2,FALSE)&lt;=0,"",IF(VLOOKUP($A18,'détails investissements'!$A$26:$DE$43,CO$3-VLOOKUP($A18,'détails investissements'!$A$71:$B$88,2,FALSE)+1,FALSE)="","",VLOOKUP($A18,'détails investissements'!$A$26:$DE$43,CO$3-VLOOKUP($A18,'détails investissements'!$A$71:$B$88,2,FALSE)+1,FALSE))),'détails investissements'!$U$6:$AB$7,2,FALSE),"")&lt;&gt;"",VLOOKUP($A18,'détails investissements'!$A$7:$H$21,1+IF(IF(CO$3-VLOOKUP($A18,'détails investissements'!$A$71:$B$88,2,FALSE)&lt;=0,"",IF(VLOOKUP($A18,'détails investissements'!$A$26:$DE$43,CO$3-VLOOKUP($A18,'détails investissements'!$A$71:$B$88,2,FALSE)+1,FALSE)="","",VLOOKUP($A18,'détails investissements'!$A$26:$DE$43,CO$3-VLOOKUP($A18,'détails investissements'!$A$71:$B$88,2,FALSE)+1,FALSE)))&lt;&gt;"",HLOOKUP(IF(CO$3-VLOOKUP($A18,'détails investissements'!$A$71:$B$88,2,FALSE)&lt;=0,"",IF(VLOOKUP($A18,'détails investissements'!$A$26:$DE$43,CO$3-VLOOKUP($A18,'détails investissements'!$A$71:$B$88,2,FALSE)+1,FALSE)="","",VLOOKUP($A18,'détails investissements'!$A$26:$DE$43,CO$3-VLOOKUP($A18,'détails investissements'!$A$71:$B$88,2,FALSE)+1,FALSE))),'détails investissements'!$U$6:$AB$7,2,FALSE),""),FALSE),"")</f>
        <v/>
      </c>
      <c r="CP18" s="45" t="str">
        <f>IF(IF(IF(CP$3-VLOOKUP($A18,'détails investissements'!$A$71:$B$88,2,FALSE)&lt;=0,"",IF(VLOOKUP($A18,'détails investissements'!$A$26:$DE$43,CP$3-VLOOKUP($A18,'détails investissements'!$A$71:$B$88,2,FALSE)+1,FALSE)="","",VLOOKUP($A18,'détails investissements'!$A$26:$DE$43,CP$3-VLOOKUP($A18,'détails investissements'!$A$71:$B$88,2,FALSE)+1,FALSE)))&lt;&gt;"",HLOOKUP(IF(CP$3-VLOOKUP($A18,'détails investissements'!$A$71:$B$88,2,FALSE)&lt;=0,"",IF(VLOOKUP($A18,'détails investissements'!$A$26:$DE$43,CP$3-VLOOKUP($A18,'détails investissements'!$A$71:$B$88,2,FALSE)+1,FALSE)="","",VLOOKUP($A18,'détails investissements'!$A$26:$DE$43,CP$3-VLOOKUP($A18,'détails investissements'!$A$71:$B$88,2,FALSE)+1,FALSE))),'détails investissements'!$U$6:$AB$7,2,FALSE),"")&lt;&gt;"",VLOOKUP($A18,'détails investissements'!$A$7:$H$21,1+IF(IF(CP$3-VLOOKUP($A18,'détails investissements'!$A$71:$B$88,2,FALSE)&lt;=0,"",IF(VLOOKUP($A18,'détails investissements'!$A$26:$DE$43,CP$3-VLOOKUP($A18,'détails investissements'!$A$71:$B$88,2,FALSE)+1,FALSE)="","",VLOOKUP($A18,'détails investissements'!$A$26:$DE$43,CP$3-VLOOKUP($A18,'détails investissements'!$A$71:$B$88,2,FALSE)+1,FALSE)))&lt;&gt;"",HLOOKUP(IF(CP$3-VLOOKUP($A18,'détails investissements'!$A$71:$B$88,2,FALSE)&lt;=0,"",IF(VLOOKUP($A18,'détails investissements'!$A$26:$DE$43,CP$3-VLOOKUP($A18,'détails investissements'!$A$71:$B$88,2,FALSE)+1,FALSE)="","",VLOOKUP($A18,'détails investissements'!$A$26:$DE$43,CP$3-VLOOKUP($A18,'détails investissements'!$A$71:$B$88,2,FALSE)+1,FALSE))),'détails investissements'!$U$6:$AB$7,2,FALSE),""),FALSE),"")</f>
        <v/>
      </c>
      <c r="CQ18" s="45" t="str">
        <f>IF(IF(IF(CQ$3-VLOOKUP($A18,'détails investissements'!$A$71:$B$88,2,FALSE)&lt;=0,"",IF(VLOOKUP($A18,'détails investissements'!$A$26:$DE$43,CQ$3-VLOOKUP($A18,'détails investissements'!$A$71:$B$88,2,FALSE)+1,FALSE)="","",VLOOKUP($A18,'détails investissements'!$A$26:$DE$43,CQ$3-VLOOKUP($A18,'détails investissements'!$A$71:$B$88,2,FALSE)+1,FALSE)))&lt;&gt;"",HLOOKUP(IF(CQ$3-VLOOKUP($A18,'détails investissements'!$A$71:$B$88,2,FALSE)&lt;=0,"",IF(VLOOKUP($A18,'détails investissements'!$A$26:$DE$43,CQ$3-VLOOKUP($A18,'détails investissements'!$A$71:$B$88,2,FALSE)+1,FALSE)="","",VLOOKUP($A18,'détails investissements'!$A$26:$DE$43,CQ$3-VLOOKUP($A18,'détails investissements'!$A$71:$B$88,2,FALSE)+1,FALSE))),'détails investissements'!$U$6:$AB$7,2,FALSE),"")&lt;&gt;"",VLOOKUP($A18,'détails investissements'!$A$7:$H$21,1+IF(IF(CQ$3-VLOOKUP($A18,'détails investissements'!$A$71:$B$88,2,FALSE)&lt;=0,"",IF(VLOOKUP($A18,'détails investissements'!$A$26:$DE$43,CQ$3-VLOOKUP($A18,'détails investissements'!$A$71:$B$88,2,FALSE)+1,FALSE)="","",VLOOKUP($A18,'détails investissements'!$A$26:$DE$43,CQ$3-VLOOKUP($A18,'détails investissements'!$A$71:$B$88,2,FALSE)+1,FALSE)))&lt;&gt;"",HLOOKUP(IF(CQ$3-VLOOKUP($A18,'détails investissements'!$A$71:$B$88,2,FALSE)&lt;=0,"",IF(VLOOKUP($A18,'détails investissements'!$A$26:$DE$43,CQ$3-VLOOKUP($A18,'détails investissements'!$A$71:$B$88,2,FALSE)+1,FALSE)="","",VLOOKUP($A18,'détails investissements'!$A$26:$DE$43,CQ$3-VLOOKUP($A18,'détails investissements'!$A$71:$B$88,2,FALSE)+1,FALSE))),'détails investissements'!$U$6:$AB$7,2,FALSE),""),FALSE),"")</f>
        <v/>
      </c>
      <c r="CR18" s="45" t="str">
        <f>IF(IF(IF(CR$3-VLOOKUP($A18,'détails investissements'!$A$71:$B$88,2,FALSE)&lt;=0,"",IF(VLOOKUP($A18,'détails investissements'!$A$26:$DE$43,CR$3-VLOOKUP($A18,'détails investissements'!$A$71:$B$88,2,FALSE)+1,FALSE)="","",VLOOKUP($A18,'détails investissements'!$A$26:$DE$43,CR$3-VLOOKUP($A18,'détails investissements'!$A$71:$B$88,2,FALSE)+1,FALSE)))&lt;&gt;"",HLOOKUP(IF(CR$3-VLOOKUP($A18,'détails investissements'!$A$71:$B$88,2,FALSE)&lt;=0,"",IF(VLOOKUP($A18,'détails investissements'!$A$26:$DE$43,CR$3-VLOOKUP($A18,'détails investissements'!$A$71:$B$88,2,FALSE)+1,FALSE)="","",VLOOKUP($A18,'détails investissements'!$A$26:$DE$43,CR$3-VLOOKUP($A18,'détails investissements'!$A$71:$B$88,2,FALSE)+1,FALSE))),'détails investissements'!$U$6:$AB$7,2,FALSE),"")&lt;&gt;"",VLOOKUP($A18,'détails investissements'!$A$7:$H$21,1+IF(IF(CR$3-VLOOKUP($A18,'détails investissements'!$A$71:$B$88,2,FALSE)&lt;=0,"",IF(VLOOKUP($A18,'détails investissements'!$A$26:$DE$43,CR$3-VLOOKUP($A18,'détails investissements'!$A$71:$B$88,2,FALSE)+1,FALSE)="","",VLOOKUP($A18,'détails investissements'!$A$26:$DE$43,CR$3-VLOOKUP($A18,'détails investissements'!$A$71:$B$88,2,FALSE)+1,FALSE)))&lt;&gt;"",HLOOKUP(IF(CR$3-VLOOKUP($A18,'détails investissements'!$A$71:$B$88,2,FALSE)&lt;=0,"",IF(VLOOKUP($A18,'détails investissements'!$A$26:$DE$43,CR$3-VLOOKUP($A18,'détails investissements'!$A$71:$B$88,2,FALSE)+1,FALSE)="","",VLOOKUP($A18,'détails investissements'!$A$26:$DE$43,CR$3-VLOOKUP($A18,'détails investissements'!$A$71:$B$88,2,FALSE)+1,FALSE))),'détails investissements'!$U$6:$AB$7,2,FALSE),""),FALSE),"")</f>
        <v/>
      </c>
      <c r="CS18" s="45" t="str">
        <f>IF(IF(IF(CS$3-VLOOKUP($A18,'détails investissements'!$A$71:$B$88,2,FALSE)&lt;=0,"",IF(VLOOKUP($A18,'détails investissements'!$A$26:$DE$43,CS$3-VLOOKUP($A18,'détails investissements'!$A$71:$B$88,2,FALSE)+1,FALSE)="","",VLOOKUP($A18,'détails investissements'!$A$26:$DE$43,CS$3-VLOOKUP($A18,'détails investissements'!$A$71:$B$88,2,FALSE)+1,FALSE)))&lt;&gt;"",HLOOKUP(IF(CS$3-VLOOKUP($A18,'détails investissements'!$A$71:$B$88,2,FALSE)&lt;=0,"",IF(VLOOKUP($A18,'détails investissements'!$A$26:$DE$43,CS$3-VLOOKUP($A18,'détails investissements'!$A$71:$B$88,2,FALSE)+1,FALSE)="","",VLOOKUP($A18,'détails investissements'!$A$26:$DE$43,CS$3-VLOOKUP($A18,'détails investissements'!$A$71:$B$88,2,FALSE)+1,FALSE))),'détails investissements'!$U$6:$AB$7,2,FALSE),"")&lt;&gt;"",VLOOKUP($A18,'détails investissements'!$A$7:$H$21,1+IF(IF(CS$3-VLOOKUP($A18,'détails investissements'!$A$71:$B$88,2,FALSE)&lt;=0,"",IF(VLOOKUP($A18,'détails investissements'!$A$26:$DE$43,CS$3-VLOOKUP($A18,'détails investissements'!$A$71:$B$88,2,FALSE)+1,FALSE)="","",VLOOKUP($A18,'détails investissements'!$A$26:$DE$43,CS$3-VLOOKUP($A18,'détails investissements'!$A$71:$B$88,2,FALSE)+1,FALSE)))&lt;&gt;"",HLOOKUP(IF(CS$3-VLOOKUP($A18,'détails investissements'!$A$71:$B$88,2,FALSE)&lt;=0,"",IF(VLOOKUP($A18,'détails investissements'!$A$26:$DE$43,CS$3-VLOOKUP($A18,'détails investissements'!$A$71:$B$88,2,FALSE)+1,FALSE)="","",VLOOKUP($A18,'détails investissements'!$A$26:$DE$43,CS$3-VLOOKUP($A18,'détails investissements'!$A$71:$B$88,2,FALSE)+1,FALSE))),'détails investissements'!$U$6:$AB$7,2,FALSE),""),FALSE),"")</f>
        <v/>
      </c>
      <c r="CT18" s="45" t="str">
        <f>IF(IF(IF(CT$3-VLOOKUP($A18,'détails investissements'!$A$71:$B$88,2,FALSE)&lt;=0,"",IF(VLOOKUP($A18,'détails investissements'!$A$26:$DE$43,CT$3-VLOOKUP($A18,'détails investissements'!$A$71:$B$88,2,FALSE)+1,FALSE)="","",VLOOKUP($A18,'détails investissements'!$A$26:$DE$43,CT$3-VLOOKUP($A18,'détails investissements'!$A$71:$B$88,2,FALSE)+1,FALSE)))&lt;&gt;"",HLOOKUP(IF(CT$3-VLOOKUP($A18,'détails investissements'!$A$71:$B$88,2,FALSE)&lt;=0,"",IF(VLOOKUP($A18,'détails investissements'!$A$26:$DE$43,CT$3-VLOOKUP($A18,'détails investissements'!$A$71:$B$88,2,FALSE)+1,FALSE)="","",VLOOKUP($A18,'détails investissements'!$A$26:$DE$43,CT$3-VLOOKUP($A18,'détails investissements'!$A$71:$B$88,2,FALSE)+1,FALSE))),'détails investissements'!$U$6:$AB$7,2,FALSE),"")&lt;&gt;"",VLOOKUP($A18,'détails investissements'!$A$7:$H$21,1+IF(IF(CT$3-VLOOKUP($A18,'détails investissements'!$A$71:$B$88,2,FALSE)&lt;=0,"",IF(VLOOKUP($A18,'détails investissements'!$A$26:$DE$43,CT$3-VLOOKUP($A18,'détails investissements'!$A$71:$B$88,2,FALSE)+1,FALSE)="","",VLOOKUP($A18,'détails investissements'!$A$26:$DE$43,CT$3-VLOOKUP($A18,'détails investissements'!$A$71:$B$88,2,FALSE)+1,FALSE)))&lt;&gt;"",HLOOKUP(IF(CT$3-VLOOKUP($A18,'détails investissements'!$A$71:$B$88,2,FALSE)&lt;=0,"",IF(VLOOKUP($A18,'détails investissements'!$A$26:$DE$43,CT$3-VLOOKUP($A18,'détails investissements'!$A$71:$B$88,2,FALSE)+1,FALSE)="","",VLOOKUP($A18,'détails investissements'!$A$26:$DE$43,CT$3-VLOOKUP($A18,'détails investissements'!$A$71:$B$88,2,FALSE)+1,FALSE))),'détails investissements'!$U$6:$AB$7,2,FALSE),""),FALSE),"")</f>
        <v/>
      </c>
      <c r="CU18" s="45" t="str">
        <f>IF(IF(IF(CU$3-VLOOKUP($A18,'détails investissements'!$A$71:$B$88,2,FALSE)&lt;=0,"",IF(VLOOKUP($A18,'détails investissements'!$A$26:$DE$43,CU$3-VLOOKUP($A18,'détails investissements'!$A$71:$B$88,2,FALSE)+1,FALSE)="","",VLOOKUP($A18,'détails investissements'!$A$26:$DE$43,CU$3-VLOOKUP($A18,'détails investissements'!$A$71:$B$88,2,FALSE)+1,FALSE)))&lt;&gt;"",HLOOKUP(IF(CU$3-VLOOKUP($A18,'détails investissements'!$A$71:$B$88,2,FALSE)&lt;=0,"",IF(VLOOKUP($A18,'détails investissements'!$A$26:$DE$43,CU$3-VLOOKUP($A18,'détails investissements'!$A$71:$B$88,2,FALSE)+1,FALSE)="","",VLOOKUP($A18,'détails investissements'!$A$26:$DE$43,CU$3-VLOOKUP($A18,'détails investissements'!$A$71:$B$88,2,FALSE)+1,FALSE))),'détails investissements'!$U$6:$AB$7,2,FALSE),"")&lt;&gt;"",VLOOKUP($A18,'détails investissements'!$A$7:$H$21,1+IF(IF(CU$3-VLOOKUP($A18,'détails investissements'!$A$71:$B$88,2,FALSE)&lt;=0,"",IF(VLOOKUP($A18,'détails investissements'!$A$26:$DE$43,CU$3-VLOOKUP($A18,'détails investissements'!$A$71:$B$88,2,FALSE)+1,FALSE)="","",VLOOKUP($A18,'détails investissements'!$A$26:$DE$43,CU$3-VLOOKUP($A18,'détails investissements'!$A$71:$B$88,2,FALSE)+1,FALSE)))&lt;&gt;"",HLOOKUP(IF(CU$3-VLOOKUP($A18,'détails investissements'!$A$71:$B$88,2,FALSE)&lt;=0,"",IF(VLOOKUP($A18,'détails investissements'!$A$26:$DE$43,CU$3-VLOOKUP($A18,'détails investissements'!$A$71:$B$88,2,FALSE)+1,FALSE)="","",VLOOKUP($A18,'détails investissements'!$A$26:$DE$43,CU$3-VLOOKUP($A18,'détails investissements'!$A$71:$B$88,2,FALSE)+1,FALSE))),'détails investissements'!$U$6:$AB$7,2,FALSE),""),FALSE),"")</f>
        <v/>
      </c>
      <c r="CV18" s="45" t="str">
        <f>IF(IF(IF(CV$3-VLOOKUP($A18,'détails investissements'!$A$71:$B$88,2,FALSE)&lt;=0,"",IF(VLOOKUP($A18,'détails investissements'!$A$26:$DE$43,CV$3-VLOOKUP($A18,'détails investissements'!$A$71:$B$88,2,FALSE)+1,FALSE)="","",VLOOKUP($A18,'détails investissements'!$A$26:$DE$43,CV$3-VLOOKUP($A18,'détails investissements'!$A$71:$B$88,2,FALSE)+1,FALSE)))&lt;&gt;"",HLOOKUP(IF(CV$3-VLOOKUP($A18,'détails investissements'!$A$71:$B$88,2,FALSE)&lt;=0,"",IF(VLOOKUP($A18,'détails investissements'!$A$26:$DE$43,CV$3-VLOOKUP($A18,'détails investissements'!$A$71:$B$88,2,FALSE)+1,FALSE)="","",VLOOKUP($A18,'détails investissements'!$A$26:$DE$43,CV$3-VLOOKUP($A18,'détails investissements'!$A$71:$B$88,2,FALSE)+1,FALSE))),'détails investissements'!$U$6:$AB$7,2,FALSE),"")&lt;&gt;"",VLOOKUP($A18,'détails investissements'!$A$7:$H$21,1+IF(IF(CV$3-VLOOKUP($A18,'détails investissements'!$A$71:$B$88,2,FALSE)&lt;=0,"",IF(VLOOKUP($A18,'détails investissements'!$A$26:$DE$43,CV$3-VLOOKUP($A18,'détails investissements'!$A$71:$B$88,2,FALSE)+1,FALSE)="","",VLOOKUP($A18,'détails investissements'!$A$26:$DE$43,CV$3-VLOOKUP($A18,'détails investissements'!$A$71:$B$88,2,FALSE)+1,FALSE)))&lt;&gt;"",HLOOKUP(IF(CV$3-VLOOKUP($A18,'détails investissements'!$A$71:$B$88,2,FALSE)&lt;=0,"",IF(VLOOKUP($A18,'détails investissements'!$A$26:$DE$43,CV$3-VLOOKUP($A18,'détails investissements'!$A$71:$B$88,2,FALSE)+1,FALSE)="","",VLOOKUP($A18,'détails investissements'!$A$26:$DE$43,CV$3-VLOOKUP($A18,'détails investissements'!$A$71:$B$88,2,FALSE)+1,FALSE))),'détails investissements'!$U$6:$AB$7,2,FALSE),""),FALSE),"")</f>
        <v/>
      </c>
      <c r="CW18" s="45" t="str">
        <f>IF(IF(IF(CW$3-VLOOKUP($A18,'détails investissements'!$A$71:$B$88,2,FALSE)&lt;=0,"",IF(VLOOKUP($A18,'détails investissements'!$A$26:$DE$43,CW$3-VLOOKUP($A18,'détails investissements'!$A$71:$B$88,2,FALSE)+1,FALSE)="","",VLOOKUP($A18,'détails investissements'!$A$26:$DE$43,CW$3-VLOOKUP($A18,'détails investissements'!$A$71:$B$88,2,FALSE)+1,FALSE)))&lt;&gt;"",HLOOKUP(IF(CW$3-VLOOKUP($A18,'détails investissements'!$A$71:$B$88,2,FALSE)&lt;=0,"",IF(VLOOKUP($A18,'détails investissements'!$A$26:$DE$43,CW$3-VLOOKUP($A18,'détails investissements'!$A$71:$B$88,2,FALSE)+1,FALSE)="","",VLOOKUP($A18,'détails investissements'!$A$26:$DE$43,CW$3-VLOOKUP($A18,'détails investissements'!$A$71:$B$88,2,FALSE)+1,FALSE))),'détails investissements'!$U$6:$AB$7,2,FALSE),"")&lt;&gt;"",VLOOKUP($A18,'détails investissements'!$A$7:$H$21,1+IF(IF(CW$3-VLOOKUP($A18,'détails investissements'!$A$71:$B$88,2,FALSE)&lt;=0,"",IF(VLOOKUP($A18,'détails investissements'!$A$26:$DE$43,CW$3-VLOOKUP($A18,'détails investissements'!$A$71:$B$88,2,FALSE)+1,FALSE)="","",VLOOKUP($A18,'détails investissements'!$A$26:$DE$43,CW$3-VLOOKUP($A18,'détails investissements'!$A$71:$B$88,2,FALSE)+1,FALSE)))&lt;&gt;"",HLOOKUP(IF(CW$3-VLOOKUP($A18,'détails investissements'!$A$71:$B$88,2,FALSE)&lt;=0,"",IF(VLOOKUP($A18,'détails investissements'!$A$26:$DE$43,CW$3-VLOOKUP($A18,'détails investissements'!$A$71:$B$88,2,FALSE)+1,FALSE)="","",VLOOKUP($A18,'détails investissements'!$A$26:$DE$43,CW$3-VLOOKUP($A18,'détails investissements'!$A$71:$B$88,2,FALSE)+1,FALSE))),'détails investissements'!$U$6:$AB$7,2,FALSE),""),FALSE),"")</f>
        <v/>
      </c>
      <c r="CX18" s="45" t="str">
        <f>IF(IF(IF(CX$3-VLOOKUP($A18,'détails investissements'!$A$71:$B$88,2,FALSE)&lt;=0,"",IF(VLOOKUP($A18,'détails investissements'!$A$26:$DE$43,CX$3-VLOOKUP($A18,'détails investissements'!$A$71:$B$88,2,FALSE)+1,FALSE)="","",VLOOKUP($A18,'détails investissements'!$A$26:$DE$43,CX$3-VLOOKUP($A18,'détails investissements'!$A$71:$B$88,2,FALSE)+1,FALSE)))&lt;&gt;"",HLOOKUP(IF(CX$3-VLOOKUP($A18,'détails investissements'!$A$71:$B$88,2,FALSE)&lt;=0,"",IF(VLOOKUP($A18,'détails investissements'!$A$26:$DE$43,CX$3-VLOOKUP($A18,'détails investissements'!$A$71:$B$88,2,FALSE)+1,FALSE)="","",VLOOKUP($A18,'détails investissements'!$A$26:$DE$43,CX$3-VLOOKUP($A18,'détails investissements'!$A$71:$B$88,2,FALSE)+1,FALSE))),'détails investissements'!$U$6:$AB$7,2,FALSE),"")&lt;&gt;"",VLOOKUP($A18,'détails investissements'!$A$7:$H$21,1+IF(IF(CX$3-VLOOKUP($A18,'détails investissements'!$A$71:$B$88,2,FALSE)&lt;=0,"",IF(VLOOKUP($A18,'détails investissements'!$A$26:$DE$43,CX$3-VLOOKUP($A18,'détails investissements'!$A$71:$B$88,2,FALSE)+1,FALSE)="","",VLOOKUP($A18,'détails investissements'!$A$26:$DE$43,CX$3-VLOOKUP($A18,'détails investissements'!$A$71:$B$88,2,FALSE)+1,FALSE)))&lt;&gt;"",HLOOKUP(IF(CX$3-VLOOKUP($A18,'détails investissements'!$A$71:$B$88,2,FALSE)&lt;=0,"",IF(VLOOKUP($A18,'détails investissements'!$A$26:$DE$43,CX$3-VLOOKUP($A18,'détails investissements'!$A$71:$B$88,2,FALSE)+1,FALSE)="","",VLOOKUP($A18,'détails investissements'!$A$26:$DE$43,CX$3-VLOOKUP($A18,'détails investissements'!$A$71:$B$88,2,FALSE)+1,FALSE))),'détails investissements'!$U$6:$AB$7,2,FALSE),""),FALSE),"")</f>
        <v/>
      </c>
      <c r="CY18" s="45" t="str">
        <f>IF(IF(IF(CY$3-VLOOKUP($A18,'détails investissements'!$A$71:$B$88,2,FALSE)&lt;=0,"",IF(VLOOKUP($A18,'détails investissements'!$A$26:$DE$43,CY$3-VLOOKUP($A18,'détails investissements'!$A$71:$B$88,2,FALSE)+1,FALSE)="","",VLOOKUP($A18,'détails investissements'!$A$26:$DE$43,CY$3-VLOOKUP($A18,'détails investissements'!$A$71:$B$88,2,FALSE)+1,FALSE)))&lt;&gt;"",HLOOKUP(IF(CY$3-VLOOKUP($A18,'détails investissements'!$A$71:$B$88,2,FALSE)&lt;=0,"",IF(VLOOKUP($A18,'détails investissements'!$A$26:$DE$43,CY$3-VLOOKUP($A18,'détails investissements'!$A$71:$B$88,2,FALSE)+1,FALSE)="","",VLOOKUP($A18,'détails investissements'!$A$26:$DE$43,CY$3-VLOOKUP($A18,'détails investissements'!$A$71:$B$88,2,FALSE)+1,FALSE))),'détails investissements'!$U$6:$AB$7,2,FALSE),"")&lt;&gt;"",VLOOKUP($A18,'détails investissements'!$A$7:$H$21,1+IF(IF(CY$3-VLOOKUP($A18,'détails investissements'!$A$71:$B$88,2,FALSE)&lt;=0,"",IF(VLOOKUP($A18,'détails investissements'!$A$26:$DE$43,CY$3-VLOOKUP($A18,'détails investissements'!$A$71:$B$88,2,FALSE)+1,FALSE)="","",VLOOKUP($A18,'détails investissements'!$A$26:$DE$43,CY$3-VLOOKUP($A18,'détails investissements'!$A$71:$B$88,2,FALSE)+1,FALSE)))&lt;&gt;"",HLOOKUP(IF(CY$3-VLOOKUP($A18,'détails investissements'!$A$71:$B$88,2,FALSE)&lt;=0,"",IF(VLOOKUP($A18,'détails investissements'!$A$26:$DE$43,CY$3-VLOOKUP($A18,'détails investissements'!$A$71:$B$88,2,FALSE)+1,FALSE)="","",VLOOKUP($A18,'détails investissements'!$A$26:$DE$43,CY$3-VLOOKUP($A18,'détails investissements'!$A$71:$B$88,2,FALSE)+1,FALSE))),'détails investissements'!$U$6:$AB$7,2,FALSE),""),FALSE),"")</f>
        <v/>
      </c>
      <c r="CZ18" s="45" t="str">
        <f>IF(IF(IF(CZ$3-VLOOKUP($A18,'détails investissements'!$A$71:$B$88,2,FALSE)&lt;=0,"",IF(VLOOKUP($A18,'détails investissements'!$A$26:$DE$43,CZ$3-VLOOKUP($A18,'détails investissements'!$A$71:$B$88,2,FALSE)+1,FALSE)="","",VLOOKUP($A18,'détails investissements'!$A$26:$DE$43,CZ$3-VLOOKUP($A18,'détails investissements'!$A$71:$B$88,2,FALSE)+1,FALSE)))&lt;&gt;"",HLOOKUP(IF(CZ$3-VLOOKUP($A18,'détails investissements'!$A$71:$B$88,2,FALSE)&lt;=0,"",IF(VLOOKUP($A18,'détails investissements'!$A$26:$DE$43,CZ$3-VLOOKUP($A18,'détails investissements'!$A$71:$B$88,2,FALSE)+1,FALSE)="","",VLOOKUP($A18,'détails investissements'!$A$26:$DE$43,CZ$3-VLOOKUP($A18,'détails investissements'!$A$71:$B$88,2,FALSE)+1,FALSE))),'détails investissements'!$U$6:$AB$7,2,FALSE),"")&lt;&gt;"",VLOOKUP($A18,'détails investissements'!$A$7:$H$21,1+IF(IF(CZ$3-VLOOKUP($A18,'détails investissements'!$A$71:$B$88,2,FALSE)&lt;=0,"",IF(VLOOKUP($A18,'détails investissements'!$A$26:$DE$43,CZ$3-VLOOKUP($A18,'détails investissements'!$A$71:$B$88,2,FALSE)+1,FALSE)="","",VLOOKUP($A18,'détails investissements'!$A$26:$DE$43,CZ$3-VLOOKUP($A18,'détails investissements'!$A$71:$B$88,2,FALSE)+1,FALSE)))&lt;&gt;"",HLOOKUP(IF(CZ$3-VLOOKUP($A18,'détails investissements'!$A$71:$B$88,2,FALSE)&lt;=0,"",IF(VLOOKUP($A18,'détails investissements'!$A$26:$DE$43,CZ$3-VLOOKUP($A18,'détails investissements'!$A$71:$B$88,2,FALSE)+1,FALSE)="","",VLOOKUP($A18,'détails investissements'!$A$26:$DE$43,CZ$3-VLOOKUP($A18,'détails investissements'!$A$71:$B$88,2,FALSE)+1,FALSE))),'détails investissements'!$U$6:$AB$7,2,FALSE),""),FALSE),"")</f>
        <v/>
      </c>
      <c r="DA18" s="45" t="str">
        <f>IF(IF(IF(DA$3-VLOOKUP($A18,'détails investissements'!$A$71:$B$88,2,FALSE)&lt;=0,"",IF(VLOOKUP($A18,'détails investissements'!$A$26:$DE$43,DA$3-VLOOKUP($A18,'détails investissements'!$A$71:$B$88,2,FALSE)+1,FALSE)="","",VLOOKUP($A18,'détails investissements'!$A$26:$DE$43,DA$3-VLOOKUP($A18,'détails investissements'!$A$71:$B$88,2,FALSE)+1,FALSE)))&lt;&gt;"",HLOOKUP(IF(DA$3-VLOOKUP($A18,'détails investissements'!$A$71:$B$88,2,FALSE)&lt;=0,"",IF(VLOOKUP($A18,'détails investissements'!$A$26:$DE$43,DA$3-VLOOKUP($A18,'détails investissements'!$A$71:$B$88,2,FALSE)+1,FALSE)="","",VLOOKUP($A18,'détails investissements'!$A$26:$DE$43,DA$3-VLOOKUP($A18,'détails investissements'!$A$71:$B$88,2,FALSE)+1,FALSE))),'détails investissements'!$U$6:$AB$7,2,FALSE),"")&lt;&gt;"",VLOOKUP($A18,'détails investissements'!$A$7:$H$21,1+IF(IF(DA$3-VLOOKUP($A18,'détails investissements'!$A$71:$B$88,2,FALSE)&lt;=0,"",IF(VLOOKUP($A18,'détails investissements'!$A$26:$DE$43,DA$3-VLOOKUP($A18,'détails investissements'!$A$71:$B$88,2,FALSE)+1,FALSE)="","",VLOOKUP($A18,'détails investissements'!$A$26:$DE$43,DA$3-VLOOKUP($A18,'détails investissements'!$A$71:$B$88,2,FALSE)+1,FALSE)))&lt;&gt;"",HLOOKUP(IF(DA$3-VLOOKUP($A18,'détails investissements'!$A$71:$B$88,2,FALSE)&lt;=0,"",IF(VLOOKUP($A18,'détails investissements'!$A$26:$DE$43,DA$3-VLOOKUP($A18,'détails investissements'!$A$71:$B$88,2,FALSE)+1,FALSE)="","",VLOOKUP($A18,'détails investissements'!$A$26:$DE$43,DA$3-VLOOKUP($A18,'détails investissements'!$A$71:$B$88,2,FALSE)+1,FALSE))),'détails investissements'!$U$6:$AB$7,2,FALSE),""),FALSE),"")</f>
        <v/>
      </c>
      <c r="DB18" s="45" t="str">
        <f>IF(IF(IF(DB$3-VLOOKUP($A18,'détails investissements'!$A$71:$B$88,2,FALSE)&lt;=0,"",IF(VLOOKUP($A18,'détails investissements'!$A$26:$DE$43,DB$3-VLOOKUP($A18,'détails investissements'!$A$71:$B$88,2,FALSE)+1,FALSE)="","",VLOOKUP($A18,'détails investissements'!$A$26:$DE$43,DB$3-VLOOKUP($A18,'détails investissements'!$A$71:$B$88,2,FALSE)+1,FALSE)))&lt;&gt;"",HLOOKUP(IF(DB$3-VLOOKUP($A18,'détails investissements'!$A$71:$B$88,2,FALSE)&lt;=0,"",IF(VLOOKUP($A18,'détails investissements'!$A$26:$DE$43,DB$3-VLOOKUP($A18,'détails investissements'!$A$71:$B$88,2,FALSE)+1,FALSE)="","",VLOOKUP($A18,'détails investissements'!$A$26:$DE$43,DB$3-VLOOKUP($A18,'détails investissements'!$A$71:$B$88,2,FALSE)+1,FALSE))),'détails investissements'!$U$6:$AB$7,2,FALSE),"")&lt;&gt;"",VLOOKUP($A18,'détails investissements'!$A$7:$H$21,1+IF(IF(DB$3-VLOOKUP($A18,'détails investissements'!$A$71:$B$88,2,FALSE)&lt;=0,"",IF(VLOOKUP($A18,'détails investissements'!$A$26:$DE$43,DB$3-VLOOKUP($A18,'détails investissements'!$A$71:$B$88,2,FALSE)+1,FALSE)="","",VLOOKUP($A18,'détails investissements'!$A$26:$DE$43,DB$3-VLOOKUP($A18,'détails investissements'!$A$71:$B$88,2,FALSE)+1,FALSE)))&lt;&gt;"",HLOOKUP(IF(DB$3-VLOOKUP($A18,'détails investissements'!$A$71:$B$88,2,FALSE)&lt;=0,"",IF(VLOOKUP($A18,'détails investissements'!$A$26:$DE$43,DB$3-VLOOKUP($A18,'détails investissements'!$A$71:$B$88,2,FALSE)+1,FALSE)="","",VLOOKUP($A18,'détails investissements'!$A$26:$DE$43,DB$3-VLOOKUP($A18,'détails investissements'!$A$71:$B$88,2,FALSE)+1,FALSE))),'détails investissements'!$U$6:$AB$7,2,FALSE),""),FALSE),"")</f>
        <v/>
      </c>
      <c r="DC18" s="45" t="str">
        <f>IF(IF(IF(DC$3-VLOOKUP($A18,'détails investissements'!$A$71:$B$88,2,FALSE)&lt;=0,"",IF(VLOOKUP($A18,'détails investissements'!$A$26:$DE$43,DC$3-VLOOKUP($A18,'détails investissements'!$A$71:$B$88,2,FALSE)+1,FALSE)="","",VLOOKUP($A18,'détails investissements'!$A$26:$DE$43,DC$3-VLOOKUP($A18,'détails investissements'!$A$71:$B$88,2,FALSE)+1,FALSE)))&lt;&gt;"",HLOOKUP(IF(DC$3-VLOOKUP($A18,'détails investissements'!$A$71:$B$88,2,FALSE)&lt;=0,"",IF(VLOOKUP($A18,'détails investissements'!$A$26:$DE$43,DC$3-VLOOKUP($A18,'détails investissements'!$A$71:$B$88,2,FALSE)+1,FALSE)="","",VLOOKUP($A18,'détails investissements'!$A$26:$DE$43,DC$3-VLOOKUP($A18,'détails investissements'!$A$71:$B$88,2,FALSE)+1,FALSE))),'détails investissements'!$U$6:$AB$7,2,FALSE),"")&lt;&gt;"",VLOOKUP($A18,'détails investissements'!$A$7:$H$21,1+IF(IF(DC$3-VLOOKUP($A18,'détails investissements'!$A$71:$B$88,2,FALSE)&lt;=0,"",IF(VLOOKUP($A18,'détails investissements'!$A$26:$DE$43,DC$3-VLOOKUP($A18,'détails investissements'!$A$71:$B$88,2,FALSE)+1,FALSE)="","",VLOOKUP($A18,'détails investissements'!$A$26:$DE$43,DC$3-VLOOKUP($A18,'détails investissements'!$A$71:$B$88,2,FALSE)+1,FALSE)))&lt;&gt;"",HLOOKUP(IF(DC$3-VLOOKUP($A18,'détails investissements'!$A$71:$B$88,2,FALSE)&lt;=0,"",IF(VLOOKUP($A18,'détails investissements'!$A$26:$DE$43,DC$3-VLOOKUP($A18,'détails investissements'!$A$71:$B$88,2,FALSE)+1,FALSE)="","",VLOOKUP($A18,'détails investissements'!$A$26:$DE$43,DC$3-VLOOKUP($A18,'détails investissements'!$A$71:$B$88,2,FALSE)+1,FALSE))),'détails investissements'!$U$6:$AB$7,2,FALSE),""),FALSE),"")</f>
        <v/>
      </c>
      <c r="DD18" s="45" t="str">
        <f>IF(IF(IF(DD$3-VLOOKUP($A18,'détails investissements'!$A$71:$B$88,2,FALSE)&lt;=0,"",IF(VLOOKUP($A18,'détails investissements'!$A$26:$DE$43,DD$3-VLOOKUP($A18,'détails investissements'!$A$71:$B$88,2,FALSE)+1,FALSE)="","",VLOOKUP($A18,'détails investissements'!$A$26:$DE$43,DD$3-VLOOKUP($A18,'détails investissements'!$A$71:$B$88,2,FALSE)+1,FALSE)))&lt;&gt;"",HLOOKUP(IF(DD$3-VLOOKUP($A18,'détails investissements'!$A$71:$B$88,2,FALSE)&lt;=0,"",IF(VLOOKUP($A18,'détails investissements'!$A$26:$DE$43,DD$3-VLOOKUP($A18,'détails investissements'!$A$71:$B$88,2,FALSE)+1,FALSE)="","",VLOOKUP($A18,'détails investissements'!$A$26:$DE$43,DD$3-VLOOKUP($A18,'détails investissements'!$A$71:$B$88,2,FALSE)+1,FALSE))),'détails investissements'!$U$6:$AB$7,2,FALSE),"")&lt;&gt;"",VLOOKUP($A18,'détails investissements'!$A$7:$H$21,1+IF(IF(DD$3-VLOOKUP($A18,'détails investissements'!$A$71:$B$88,2,FALSE)&lt;=0,"",IF(VLOOKUP($A18,'détails investissements'!$A$26:$DE$43,DD$3-VLOOKUP($A18,'détails investissements'!$A$71:$B$88,2,FALSE)+1,FALSE)="","",VLOOKUP($A18,'détails investissements'!$A$26:$DE$43,DD$3-VLOOKUP($A18,'détails investissements'!$A$71:$B$88,2,FALSE)+1,FALSE)))&lt;&gt;"",HLOOKUP(IF(DD$3-VLOOKUP($A18,'détails investissements'!$A$71:$B$88,2,FALSE)&lt;=0,"",IF(VLOOKUP($A18,'détails investissements'!$A$26:$DE$43,DD$3-VLOOKUP($A18,'détails investissements'!$A$71:$B$88,2,FALSE)+1,FALSE)="","",VLOOKUP($A18,'détails investissements'!$A$26:$DE$43,DD$3-VLOOKUP($A18,'détails investissements'!$A$71:$B$88,2,FALSE)+1,FALSE))),'détails investissements'!$U$6:$AB$7,2,FALSE),""),FALSE),"")</f>
        <v/>
      </c>
      <c r="DE18" s="45" t="str">
        <f>IF(IF(IF(DE$3-VLOOKUP($A18,'détails investissements'!$A$71:$B$88,2,FALSE)&lt;=0,"",IF(VLOOKUP($A18,'détails investissements'!$A$26:$DE$43,DE$3-VLOOKUP($A18,'détails investissements'!$A$71:$B$88,2,FALSE)+1,FALSE)="","",VLOOKUP($A18,'détails investissements'!$A$26:$DE$43,DE$3-VLOOKUP($A18,'détails investissements'!$A$71:$B$88,2,FALSE)+1,FALSE)))&lt;&gt;"",HLOOKUP(IF(DE$3-VLOOKUP($A18,'détails investissements'!$A$71:$B$88,2,FALSE)&lt;=0,"",IF(VLOOKUP($A18,'détails investissements'!$A$26:$DE$43,DE$3-VLOOKUP($A18,'détails investissements'!$A$71:$B$88,2,FALSE)+1,FALSE)="","",VLOOKUP($A18,'détails investissements'!$A$26:$DE$43,DE$3-VLOOKUP($A18,'détails investissements'!$A$71:$B$88,2,FALSE)+1,FALSE))),'détails investissements'!$U$6:$AB$7,2,FALSE),"")&lt;&gt;"",VLOOKUP($A18,'détails investissements'!$A$7:$H$21,1+IF(IF(DE$3-VLOOKUP($A18,'détails investissements'!$A$71:$B$88,2,FALSE)&lt;=0,"",IF(VLOOKUP($A18,'détails investissements'!$A$26:$DE$43,DE$3-VLOOKUP($A18,'détails investissements'!$A$71:$B$88,2,FALSE)+1,FALSE)="","",VLOOKUP($A18,'détails investissements'!$A$26:$DE$43,DE$3-VLOOKUP($A18,'détails investissements'!$A$71:$B$88,2,FALSE)+1,FALSE)))&lt;&gt;"",HLOOKUP(IF(DE$3-VLOOKUP($A18,'détails investissements'!$A$71:$B$88,2,FALSE)&lt;=0,"",IF(VLOOKUP($A18,'détails investissements'!$A$26:$DE$43,DE$3-VLOOKUP($A18,'détails investissements'!$A$71:$B$88,2,FALSE)+1,FALSE)="","",VLOOKUP($A18,'détails investissements'!$A$26:$DE$43,DE$3-VLOOKUP($A18,'détails investissements'!$A$71:$B$88,2,FALSE)+1,FALSE))),'détails investissements'!$U$6:$AB$7,2,FALSE),""),FALSE),"")</f>
        <v/>
      </c>
      <c r="DF18" s="45" t="str">
        <f>IF(IF(IF(DF$3-VLOOKUP($A18,'détails investissements'!$A$71:$B$88,2,FALSE)&lt;=0,"",IF(VLOOKUP($A18,'détails investissements'!$A$26:$DE$43,DF$3-VLOOKUP($A18,'détails investissements'!$A$71:$B$88,2,FALSE)+1,FALSE)="","",VLOOKUP($A18,'détails investissements'!$A$26:$DE$43,DF$3-VLOOKUP($A18,'détails investissements'!$A$71:$B$88,2,FALSE)+1,FALSE)))&lt;&gt;"",HLOOKUP(IF(DF$3-VLOOKUP($A18,'détails investissements'!$A$71:$B$88,2,FALSE)&lt;=0,"",IF(VLOOKUP($A18,'détails investissements'!$A$26:$DE$43,DF$3-VLOOKUP($A18,'détails investissements'!$A$71:$B$88,2,FALSE)+1,FALSE)="","",VLOOKUP($A18,'détails investissements'!$A$26:$DE$43,DF$3-VLOOKUP($A18,'détails investissements'!$A$71:$B$88,2,FALSE)+1,FALSE))),'détails investissements'!$U$6:$AB$7,2,FALSE),"")&lt;&gt;"",VLOOKUP($A18,'détails investissements'!$A$7:$H$21,1+IF(IF(DF$3-VLOOKUP($A18,'détails investissements'!$A$71:$B$88,2,FALSE)&lt;=0,"",IF(VLOOKUP($A18,'détails investissements'!$A$26:$DE$43,DF$3-VLOOKUP($A18,'détails investissements'!$A$71:$B$88,2,FALSE)+1,FALSE)="","",VLOOKUP($A18,'détails investissements'!$A$26:$DE$43,DF$3-VLOOKUP($A18,'détails investissements'!$A$71:$B$88,2,FALSE)+1,FALSE)))&lt;&gt;"",HLOOKUP(IF(DF$3-VLOOKUP($A18,'détails investissements'!$A$71:$B$88,2,FALSE)&lt;=0,"",IF(VLOOKUP($A18,'détails investissements'!$A$26:$DE$43,DF$3-VLOOKUP($A18,'détails investissements'!$A$71:$B$88,2,FALSE)+1,FALSE)="","",VLOOKUP($A18,'détails investissements'!$A$26:$DE$43,DF$3-VLOOKUP($A18,'détails investissements'!$A$71:$B$88,2,FALSE)+1,FALSE))),'détails investissements'!$U$6:$AB$7,2,FALSE),""),FALSE),"")</f>
        <v/>
      </c>
      <c r="DG18">
        <f t="shared" si="0"/>
        <v>1</v>
      </c>
    </row>
    <row r="19" spans="1:111" x14ac:dyDescent="0.2">
      <c r="A19" s="15" t="str">
        <f>'[4]Données investissements'!A39</f>
        <v>Electricité (poste en aout 2015 et 1,2 M€)</v>
      </c>
      <c r="B19" s="23">
        <f>'détails investissements'!B107</f>
        <v>1.1399999999999999</v>
      </c>
      <c r="C19" s="45" t="str">
        <f>IF(IF(IF(C$3-VLOOKUP($A19,'détails investissements'!$A$71:$B$88,2,FALSE)&lt;=0,"",IF(VLOOKUP($A19,'détails investissements'!$A$26:$DE$43,C$3-VLOOKUP($A19,'détails investissements'!$A$71:$B$88,2,FALSE)+1,FALSE)="","",VLOOKUP($A19,'détails investissements'!$A$26:$DE$43,C$3-VLOOKUP($A19,'détails investissements'!$A$71:$B$88,2,FALSE)+1,FALSE)))&lt;&gt;"",HLOOKUP(IF(C$3-VLOOKUP($A19,'détails investissements'!$A$71:$B$88,2,FALSE)&lt;=0,"",IF(VLOOKUP($A19,'détails investissements'!$A$26:$DE$43,C$3-VLOOKUP($A19,'détails investissements'!$A$71:$B$88,2,FALSE)+1,FALSE)="","",VLOOKUP($A19,'détails investissements'!$A$26:$DE$43,C$3-VLOOKUP($A19,'détails investissements'!$A$71:$B$88,2,FALSE)+1,FALSE))),'détails investissements'!$U$6:$AB$7,2,FALSE),"")&lt;&gt;"",VLOOKUP($A19,'détails investissements'!$A$7:$H$21,1+IF(IF(C$3-VLOOKUP($A19,'détails investissements'!$A$71:$B$88,2,FALSE)&lt;=0,"",IF(VLOOKUP($A19,'détails investissements'!$A$26:$DE$43,C$3-VLOOKUP($A19,'détails investissements'!$A$71:$B$88,2,FALSE)+1,FALSE)="","",VLOOKUP($A19,'détails investissements'!$A$26:$DE$43,C$3-VLOOKUP($A19,'détails investissements'!$A$71:$B$88,2,FALSE)+1,FALSE)))&lt;&gt;"",HLOOKUP(IF(C$3-VLOOKUP($A19,'détails investissements'!$A$71:$B$88,2,FALSE)&lt;=0,"",IF(VLOOKUP($A19,'détails investissements'!$A$26:$DE$43,C$3-VLOOKUP($A19,'détails investissements'!$A$71:$B$88,2,FALSE)+1,FALSE)="","",VLOOKUP($A19,'détails investissements'!$A$26:$DE$43,C$3-VLOOKUP($A19,'détails investissements'!$A$71:$B$88,2,FALSE)+1,FALSE))),'détails investissements'!$U$6:$AB$7,2,FALSE),""),FALSE),"")</f>
        <v/>
      </c>
      <c r="D19" s="45" t="str">
        <f>IF(IF(IF(D$3-VLOOKUP($A19,'détails investissements'!$A$71:$B$88,2,FALSE)&lt;=0,"",IF(VLOOKUP($A19,'détails investissements'!$A$26:$DE$43,D$3-VLOOKUP($A19,'détails investissements'!$A$71:$B$88,2,FALSE)+1,FALSE)="","",VLOOKUP($A19,'détails investissements'!$A$26:$DE$43,D$3-VLOOKUP($A19,'détails investissements'!$A$71:$B$88,2,FALSE)+1,FALSE)))&lt;&gt;"",HLOOKUP(IF(D$3-VLOOKUP($A19,'détails investissements'!$A$71:$B$88,2,FALSE)&lt;=0,"",IF(VLOOKUP($A19,'détails investissements'!$A$26:$DE$43,D$3-VLOOKUP($A19,'détails investissements'!$A$71:$B$88,2,FALSE)+1,FALSE)="","",VLOOKUP($A19,'détails investissements'!$A$26:$DE$43,D$3-VLOOKUP($A19,'détails investissements'!$A$71:$B$88,2,FALSE)+1,FALSE))),'détails investissements'!$U$6:$AB$7,2,FALSE),"")&lt;&gt;"",VLOOKUP($A19,'détails investissements'!$A$7:$H$21,1+IF(IF(D$3-VLOOKUP($A19,'détails investissements'!$A$71:$B$88,2,FALSE)&lt;=0,"",IF(VLOOKUP($A19,'détails investissements'!$A$26:$DE$43,D$3-VLOOKUP($A19,'détails investissements'!$A$71:$B$88,2,FALSE)+1,FALSE)="","",VLOOKUP($A19,'détails investissements'!$A$26:$DE$43,D$3-VLOOKUP($A19,'détails investissements'!$A$71:$B$88,2,FALSE)+1,FALSE)))&lt;&gt;"",HLOOKUP(IF(D$3-VLOOKUP($A19,'détails investissements'!$A$71:$B$88,2,FALSE)&lt;=0,"",IF(VLOOKUP($A19,'détails investissements'!$A$26:$DE$43,D$3-VLOOKUP($A19,'détails investissements'!$A$71:$B$88,2,FALSE)+1,FALSE)="","",VLOOKUP($A19,'détails investissements'!$A$26:$DE$43,D$3-VLOOKUP($A19,'détails investissements'!$A$71:$B$88,2,FALSE)+1,FALSE))),'détails investissements'!$U$6:$AB$7,2,FALSE),""),FALSE),"")</f>
        <v/>
      </c>
      <c r="E19" s="45" t="str">
        <f>IF(IF(IF(E$3-VLOOKUP($A19,'détails investissements'!$A$71:$B$88,2,FALSE)&lt;=0,"",IF(VLOOKUP($A19,'détails investissements'!$A$26:$DE$43,E$3-VLOOKUP($A19,'détails investissements'!$A$71:$B$88,2,FALSE)+1,FALSE)="","",VLOOKUP($A19,'détails investissements'!$A$26:$DE$43,E$3-VLOOKUP($A19,'détails investissements'!$A$71:$B$88,2,FALSE)+1,FALSE)))&lt;&gt;"",HLOOKUP(IF(E$3-VLOOKUP($A19,'détails investissements'!$A$71:$B$88,2,FALSE)&lt;=0,"",IF(VLOOKUP($A19,'détails investissements'!$A$26:$DE$43,E$3-VLOOKUP($A19,'détails investissements'!$A$71:$B$88,2,FALSE)+1,FALSE)="","",VLOOKUP($A19,'détails investissements'!$A$26:$DE$43,E$3-VLOOKUP($A19,'détails investissements'!$A$71:$B$88,2,FALSE)+1,FALSE))),'détails investissements'!$U$6:$AB$7,2,FALSE),"")&lt;&gt;"",VLOOKUP($A19,'détails investissements'!$A$7:$H$21,1+IF(IF(E$3-VLOOKUP($A19,'détails investissements'!$A$71:$B$88,2,FALSE)&lt;=0,"",IF(VLOOKUP($A19,'détails investissements'!$A$26:$DE$43,E$3-VLOOKUP($A19,'détails investissements'!$A$71:$B$88,2,FALSE)+1,FALSE)="","",VLOOKUP($A19,'détails investissements'!$A$26:$DE$43,E$3-VLOOKUP($A19,'détails investissements'!$A$71:$B$88,2,FALSE)+1,FALSE)))&lt;&gt;"",HLOOKUP(IF(E$3-VLOOKUP($A19,'détails investissements'!$A$71:$B$88,2,FALSE)&lt;=0,"",IF(VLOOKUP($A19,'détails investissements'!$A$26:$DE$43,E$3-VLOOKUP($A19,'détails investissements'!$A$71:$B$88,2,FALSE)+1,FALSE)="","",VLOOKUP($A19,'détails investissements'!$A$26:$DE$43,E$3-VLOOKUP($A19,'détails investissements'!$A$71:$B$88,2,FALSE)+1,FALSE))),'détails investissements'!$U$6:$AB$7,2,FALSE),""),FALSE),"")</f>
        <v/>
      </c>
      <c r="F19" s="45" t="str">
        <f>IF(IF(IF(F$3-VLOOKUP($A19,'détails investissements'!$A$71:$B$88,2,FALSE)&lt;=0,"",IF(VLOOKUP($A19,'détails investissements'!$A$26:$DE$43,F$3-VLOOKUP($A19,'détails investissements'!$A$71:$B$88,2,FALSE)+1,FALSE)="","",VLOOKUP($A19,'détails investissements'!$A$26:$DE$43,F$3-VLOOKUP($A19,'détails investissements'!$A$71:$B$88,2,FALSE)+1,FALSE)))&lt;&gt;"",HLOOKUP(IF(F$3-VLOOKUP($A19,'détails investissements'!$A$71:$B$88,2,FALSE)&lt;=0,"",IF(VLOOKUP($A19,'détails investissements'!$A$26:$DE$43,F$3-VLOOKUP($A19,'détails investissements'!$A$71:$B$88,2,FALSE)+1,FALSE)="","",VLOOKUP($A19,'détails investissements'!$A$26:$DE$43,F$3-VLOOKUP($A19,'détails investissements'!$A$71:$B$88,2,FALSE)+1,FALSE))),'détails investissements'!$U$6:$AB$7,2,FALSE),"")&lt;&gt;"",VLOOKUP($A19,'détails investissements'!$A$7:$H$21,1+IF(IF(F$3-VLOOKUP($A19,'détails investissements'!$A$71:$B$88,2,FALSE)&lt;=0,"",IF(VLOOKUP($A19,'détails investissements'!$A$26:$DE$43,F$3-VLOOKUP($A19,'détails investissements'!$A$71:$B$88,2,FALSE)+1,FALSE)="","",VLOOKUP($A19,'détails investissements'!$A$26:$DE$43,F$3-VLOOKUP($A19,'détails investissements'!$A$71:$B$88,2,FALSE)+1,FALSE)))&lt;&gt;"",HLOOKUP(IF(F$3-VLOOKUP($A19,'détails investissements'!$A$71:$B$88,2,FALSE)&lt;=0,"",IF(VLOOKUP($A19,'détails investissements'!$A$26:$DE$43,F$3-VLOOKUP($A19,'détails investissements'!$A$71:$B$88,2,FALSE)+1,FALSE)="","",VLOOKUP($A19,'détails investissements'!$A$26:$DE$43,F$3-VLOOKUP($A19,'détails investissements'!$A$71:$B$88,2,FALSE)+1,FALSE))),'détails investissements'!$U$6:$AB$7,2,FALSE),""),FALSE),"")</f>
        <v/>
      </c>
      <c r="G19" s="45" t="str">
        <f>IF(IF(IF(G$3-VLOOKUP($A19,'détails investissements'!$A$71:$B$88,2,FALSE)&lt;=0,"",IF(VLOOKUP($A19,'détails investissements'!$A$26:$DE$43,G$3-VLOOKUP($A19,'détails investissements'!$A$71:$B$88,2,FALSE)+1,FALSE)="","",VLOOKUP($A19,'détails investissements'!$A$26:$DE$43,G$3-VLOOKUP($A19,'détails investissements'!$A$71:$B$88,2,FALSE)+1,FALSE)))&lt;&gt;"",HLOOKUP(IF(G$3-VLOOKUP($A19,'détails investissements'!$A$71:$B$88,2,FALSE)&lt;=0,"",IF(VLOOKUP($A19,'détails investissements'!$A$26:$DE$43,G$3-VLOOKUP($A19,'détails investissements'!$A$71:$B$88,2,FALSE)+1,FALSE)="","",VLOOKUP($A19,'détails investissements'!$A$26:$DE$43,G$3-VLOOKUP($A19,'détails investissements'!$A$71:$B$88,2,FALSE)+1,FALSE))),'détails investissements'!$U$6:$AB$7,2,FALSE),"")&lt;&gt;"",VLOOKUP($A19,'détails investissements'!$A$7:$H$21,1+IF(IF(G$3-VLOOKUP($A19,'détails investissements'!$A$71:$B$88,2,FALSE)&lt;=0,"",IF(VLOOKUP($A19,'détails investissements'!$A$26:$DE$43,G$3-VLOOKUP($A19,'détails investissements'!$A$71:$B$88,2,FALSE)+1,FALSE)="","",VLOOKUP($A19,'détails investissements'!$A$26:$DE$43,G$3-VLOOKUP($A19,'détails investissements'!$A$71:$B$88,2,FALSE)+1,FALSE)))&lt;&gt;"",HLOOKUP(IF(G$3-VLOOKUP($A19,'détails investissements'!$A$71:$B$88,2,FALSE)&lt;=0,"",IF(VLOOKUP($A19,'détails investissements'!$A$26:$DE$43,G$3-VLOOKUP($A19,'détails investissements'!$A$71:$B$88,2,FALSE)+1,FALSE)="","",VLOOKUP($A19,'détails investissements'!$A$26:$DE$43,G$3-VLOOKUP($A19,'détails investissements'!$A$71:$B$88,2,FALSE)+1,FALSE))),'détails investissements'!$U$6:$AB$7,2,FALSE),""),FALSE),"")</f>
        <v/>
      </c>
      <c r="H19" s="45" t="str">
        <f>IF(IF(IF(H$3-VLOOKUP($A19,'détails investissements'!$A$71:$B$88,2,FALSE)&lt;=0,"",IF(VLOOKUP($A19,'détails investissements'!$A$26:$DE$43,H$3-VLOOKUP($A19,'détails investissements'!$A$71:$B$88,2,FALSE)+1,FALSE)="","",VLOOKUP($A19,'détails investissements'!$A$26:$DE$43,H$3-VLOOKUP($A19,'détails investissements'!$A$71:$B$88,2,FALSE)+1,FALSE)))&lt;&gt;"",HLOOKUP(IF(H$3-VLOOKUP($A19,'détails investissements'!$A$71:$B$88,2,FALSE)&lt;=0,"",IF(VLOOKUP($A19,'détails investissements'!$A$26:$DE$43,H$3-VLOOKUP($A19,'détails investissements'!$A$71:$B$88,2,FALSE)+1,FALSE)="","",VLOOKUP($A19,'détails investissements'!$A$26:$DE$43,H$3-VLOOKUP($A19,'détails investissements'!$A$71:$B$88,2,FALSE)+1,FALSE))),'détails investissements'!$U$6:$AB$7,2,FALSE),"")&lt;&gt;"",VLOOKUP($A19,'détails investissements'!$A$7:$H$21,1+IF(IF(H$3-VLOOKUP($A19,'détails investissements'!$A$71:$B$88,2,FALSE)&lt;=0,"",IF(VLOOKUP($A19,'détails investissements'!$A$26:$DE$43,H$3-VLOOKUP($A19,'détails investissements'!$A$71:$B$88,2,FALSE)+1,FALSE)="","",VLOOKUP($A19,'détails investissements'!$A$26:$DE$43,H$3-VLOOKUP($A19,'détails investissements'!$A$71:$B$88,2,FALSE)+1,FALSE)))&lt;&gt;"",HLOOKUP(IF(H$3-VLOOKUP($A19,'détails investissements'!$A$71:$B$88,2,FALSE)&lt;=0,"",IF(VLOOKUP($A19,'détails investissements'!$A$26:$DE$43,H$3-VLOOKUP($A19,'détails investissements'!$A$71:$B$88,2,FALSE)+1,FALSE)="","",VLOOKUP($A19,'détails investissements'!$A$26:$DE$43,H$3-VLOOKUP($A19,'détails investissements'!$A$71:$B$88,2,FALSE)+1,FALSE))),'détails investissements'!$U$6:$AB$7,2,FALSE),""),FALSE),"")</f>
        <v/>
      </c>
      <c r="I19" s="45" t="str">
        <f>IF(IF(IF(I$3-VLOOKUP($A19,'détails investissements'!$A$71:$B$88,2,FALSE)&lt;=0,"",IF(VLOOKUP($A19,'détails investissements'!$A$26:$DE$43,I$3-VLOOKUP($A19,'détails investissements'!$A$71:$B$88,2,FALSE)+1,FALSE)="","",VLOOKUP($A19,'détails investissements'!$A$26:$DE$43,I$3-VLOOKUP($A19,'détails investissements'!$A$71:$B$88,2,FALSE)+1,FALSE)))&lt;&gt;"",HLOOKUP(IF(I$3-VLOOKUP($A19,'détails investissements'!$A$71:$B$88,2,FALSE)&lt;=0,"",IF(VLOOKUP($A19,'détails investissements'!$A$26:$DE$43,I$3-VLOOKUP($A19,'détails investissements'!$A$71:$B$88,2,FALSE)+1,FALSE)="","",VLOOKUP($A19,'détails investissements'!$A$26:$DE$43,I$3-VLOOKUP($A19,'détails investissements'!$A$71:$B$88,2,FALSE)+1,FALSE))),'détails investissements'!$U$6:$AB$7,2,FALSE),"")&lt;&gt;"",VLOOKUP($A19,'détails investissements'!$A$7:$H$21,1+IF(IF(I$3-VLOOKUP($A19,'détails investissements'!$A$71:$B$88,2,FALSE)&lt;=0,"",IF(VLOOKUP($A19,'détails investissements'!$A$26:$DE$43,I$3-VLOOKUP($A19,'détails investissements'!$A$71:$B$88,2,FALSE)+1,FALSE)="","",VLOOKUP($A19,'détails investissements'!$A$26:$DE$43,I$3-VLOOKUP($A19,'détails investissements'!$A$71:$B$88,2,FALSE)+1,FALSE)))&lt;&gt;"",HLOOKUP(IF(I$3-VLOOKUP($A19,'détails investissements'!$A$71:$B$88,2,FALSE)&lt;=0,"",IF(VLOOKUP($A19,'détails investissements'!$A$26:$DE$43,I$3-VLOOKUP($A19,'détails investissements'!$A$71:$B$88,2,FALSE)+1,FALSE)="","",VLOOKUP($A19,'détails investissements'!$A$26:$DE$43,I$3-VLOOKUP($A19,'détails investissements'!$A$71:$B$88,2,FALSE)+1,FALSE))),'détails investissements'!$U$6:$AB$7,2,FALSE),""),FALSE),"")</f>
        <v/>
      </c>
      <c r="J19" s="45" t="str">
        <f>IF(IF(IF(J$3-VLOOKUP($A19,'détails investissements'!$A$71:$B$88,2,FALSE)&lt;=0,"",IF(VLOOKUP($A19,'détails investissements'!$A$26:$DE$43,J$3-VLOOKUP($A19,'détails investissements'!$A$71:$B$88,2,FALSE)+1,FALSE)="","",VLOOKUP($A19,'détails investissements'!$A$26:$DE$43,J$3-VLOOKUP($A19,'détails investissements'!$A$71:$B$88,2,FALSE)+1,FALSE)))&lt;&gt;"",HLOOKUP(IF(J$3-VLOOKUP($A19,'détails investissements'!$A$71:$B$88,2,FALSE)&lt;=0,"",IF(VLOOKUP($A19,'détails investissements'!$A$26:$DE$43,J$3-VLOOKUP($A19,'détails investissements'!$A$71:$B$88,2,FALSE)+1,FALSE)="","",VLOOKUP($A19,'détails investissements'!$A$26:$DE$43,J$3-VLOOKUP($A19,'détails investissements'!$A$71:$B$88,2,FALSE)+1,FALSE))),'détails investissements'!$U$6:$AB$7,2,FALSE),"")&lt;&gt;"",VLOOKUP($A19,'détails investissements'!$A$7:$H$21,1+IF(IF(J$3-VLOOKUP($A19,'détails investissements'!$A$71:$B$88,2,FALSE)&lt;=0,"",IF(VLOOKUP($A19,'détails investissements'!$A$26:$DE$43,J$3-VLOOKUP($A19,'détails investissements'!$A$71:$B$88,2,FALSE)+1,FALSE)="","",VLOOKUP($A19,'détails investissements'!$A$26:$DE$43,J$3-VLOOKUP($A19,'détails investissements'!$A$71:$B$88,2,FALSE)+1,FALSE)))&lt;&gt;"",HLOOKUP(IF(J$3-VLOOKUP($A19,'détails investissements'!$A$71:$B$88,2,FALSE)&lt;=0,"",IF(VLOOKUP($A19,'détails investissements'!$A$26:$DE$43,J$3-VLOOKUP($A19,'détails investissements'!$A$71:$B$88,2,FALSE)+1,FALSE)="","",VLOOKUP($A19,'détails investissements'!$A$26:$DE$43,J$3-VLOOKUP($A19,'détails investissements'!$A$71:$B$88,2,FALSE)+1,FALSE))),'détails investissements'!$U$6:$AB$7,2,FALSE),""),FALSE),"")</f>
        <v/>
      </c>
      <c r="K19" s="45" t="str">
        <f>IF(IF(IF(K$3-VLOOKUP($A19,'détails investissements'!$A$71:$B$88,2,FALSE)&lt;=0,"",IF(VLOOKUP($A19,'détails investissements'!$A$26:$DE$43,K$3-VLOOKUP($A19,'détails investissements'!$A$71:$B$88,2,FALSE)+1,FALSE)="","",VLOOKUP($A19,'détails investissements'!$A$26:$DE$43,K$3-VLOOKUP($A19,'détails investissements'!$A$71:$B$88,2,FALSE)+1,FALSE)))&lt;&gt;"",HLOOKUP(IF(K$3-VLOOKUP($A19,'détails investissements'!$A$71:$B$88,2,FALSE)&lt;=0,"",IF(VLOOKUP($A19,'détails investissements'!$A$26:$DE$43,K$3-VLOOKUP($A19,'détails investissements'!$A$71:$B$88,2,FALSE)+1,FALSE)="","",VLOOKUP($A19,'détails investissements'!$A$26:$DE$43,K$3-VLOOKUP($A19,'détails investissements'!$A$71:$B$88,2,FALSE)+1,FALSE))),'détails investissements'!$U$6:$AB$7,2,FALSE),"")&lt;&gt;"",VLOOKUP($A19,'détails investissements'!$A$7:$H$21,1+IF(IF(K$3-VLOOKUP($A19,'détails investissements'!$A$71:$B$88,2,FALSE)&lt;=0,"",IF(VLOOKUP($A19,'détails investissements'!$A$26:$DE$43,K$3-VLOOKUP($A19,'détails investissements'!$A$71:$B$88,2,FALSE)+1,FALSE)="","",VLOOKUP($A19,'détails investissements'!$A$26:$DE$43,K$3-VLOOKUP($A19,'détails investissements'!$A$71:$B$88,2,FALSE)+1,FALSE)))&lt;&gt;"",HLOOKUP(IF(K$3-VLOOKUP($A19,'détails investissements'!$A$71:$B$88,2,FALSE)&lt;=0,"",IF(VLOOKUP($A19,'détails investissements'!$A$26:$DE$43,K$3-VLOOKUP($A19,'détails investissements'!$A$71:$B$88,2,FALSE)+1,FALSE)="","",VLOOKUP($A19,'détails investissements'!$A$26:$DE$43,K$3-VLOOKUP($A19,'détails investissements'!$A$71:$B$88,2,FALSE)+1,FALSE))),'détails investissements'!$U$6:$AB$7,2,FALSE),""),FALSE),"")</f>
        <v/>
      </c>
      <c r="L19" s="45">
        <f>IF(IF(IF(L$3-VLOOKUP($A19,'détails investissements'!$A$71:$B$88,2,FALSE)&lt;=0,"",IF(VLOOKUP($A19,'détails investissements'!$A$26:$DE$43,L$3-VLOOKUP($A19,'détails investissements'!$A$71:$B$88,2,FALSE)+1,FALSE)="","",VLOOKUP($A19,'détails investissements'!$A$26:$DE$43,L$3-VLOOKUP($A19,'détails investissements'!$A$71:$B$88,2,FALSE)+1,FALSE)))&lt;&gt;"",HLOOKUP(IF(L$3-VLOOKUP($A19,'détails investissements'!$A$71:$B$88,2,FALSE)&lt;=0,"",IF(VLOOKUP($A19,'détails investissements'!$A$26:$DE$43,L$3-VLOOKUP($A19,'détails investissements'!$A$71:$B$88,2,FALSE)+1,FALSE)="","",VLOOKUP($A19,'détails investissements'!$A$26:$DE$43,L$3-VLOOKUP($A19,'détails investissements'!$A$71:$B$88,2,FALSE)+1,FALSE))),'détails investissements'!$U$6:$AB$7,2,FALSE),"")&lt;&gt;"",VLOOKUP($A19,'détails investissements'!$A$7:$H$21,1+IF(IF(L$3-VLOOKUP($A19,'détails investissements'!$A$71:$B$88,2,FALSE)&lt;=0,"",IF(VLOOKUP($A19,'détails investissements'!$A$26:$DE$43,L$3-VLOOKUP($A19,'détails investissements'!$A$71:$B$88,2,FALSE)+1,FALSE)="","",VLOOKUP($A19,'détails investissements'!$A$26:$DE$43,L$3-VLOOKUP($A19,'détails investissements'!$A$71:$B$88,2,FALSE)+1,FALSE)))&lt;&gt;"",HLOOKUP(IF(L$3-VLOOKUP($A19,'détails investissements'!$A$71:$B$88,2,FALSE)&lt;=0,"",IF(VLOOKUP($A19,'détails investissements'!$A$26:$DE$43,L$3-VLOOKUP($A19,'détails investissements'!$A$71:$B$88,2,FALSE)+1,FALSE)="","",VLOOKUP($A19,'détails investissements'!$A$26:$DE$43,L$3-VLOOKUP($A19,'détails investissements'!$A$71:$B$88,2,FALSE)+1,FALSE))),'détails investissements'!$U$6:$AB$7,2,FALSE),""),FALSE),"")</f>
        <v>0.15</v>
      </c>
      <c r="M19" s="45">
        <f>IF(IF(IF(M$3-VLOOKUP($A19,'détails investissements'!$A$71:$B$88,2,FALSE)&lt;=0,"",IF(VLOOKUP($A19,'détails investissements'!$A$26:$DE$43,M$3-VLOOKUP($A19,'détails investissements'!$A$71:$B$88,2,FALSE)+1,FALSE)="","",VLOOKUP($A19,'détails investissements'!$A$26:$DE$43,M$3-VLOOKUP($A19,'détails investissements'!$A$71:$B$88,2,FALSE)+1,FALSE)))&lt;&gt;"",HLOOKUP(IF(M$3-VLOOKUP($A19,'détails investissements'!$A$71:$B$88,2,FALSE)&lt;=0,"",IF(VLOOKUP($A19,'détails investissements'!$A$26:$DE$43,M$3-VLOOKUP($A19,'détails investissements'!$A$71:$B$88,2,FALSE)+1,FALSE)="","",VLOOKUP($A19,'détails investissements'!$A$26:$DE$43,M$3-VLOOKUP($A19,'détails investissements'!$A$71:$B$88,2,FALSE)+1,FALSE))),'détails investissements'!$U$6:$AB$7,2,FALSE),"")&lt;&gt;"",VLOOKUP($A19,'détails investissements'!$A$7:$H$21,1+IF(IF(M$3-VLOOKUP($A19,'détails investissements'!$A$71:$B$88,2,FALSE)&lt;=0,"",IF(VLOOKUP($A19,'détails investissements'!$A$26:$DE$43,M$3-VLOOKUP($A19,'détails investissements'!$A$71:$B$88,2,FALSE)+1,FALSE)="","",VLOOKUP($A19,'détails investissements'!$A$26:$DE$43,M$3-VLOOKUP($A19,'détails investissements'!$A$71:$B$88,2,FALSE)+1,FALSE)))&lt;&gt;"",HLOOKUP(IF(M$3-VLOOKUP($A19,'détails investissements'!$A$71:$B$88,2,FALSE)&lt;=0,"",IF(VLOOKUP($A19,'détails investissements'!$A$26:$DE$43,M$3-VLOOKUP($A19,'détails investissements'!$A$71:$B$88,2,FALSE)+1,FALSE)="","",VLOOKUP($A19,'détails investissements'!$A$26:$DE$43,M$3-VLOOKUP($A19,'détails investissements'!$A$71:$B$88,2,FALSE)+1,FALSE))),'détails investissements'!$U$6:$AB$7,2,FALSE),""),FALSE),"")</f>
        <v>0.05</v>
      </c>
      <c r="N19" s="45" t="str">
        <f>IF(IF(IF(N$3-VLOOKUP($A19,'détails investissements'!$A$71:$B$88,2,FALSE)&lt;=0,"",IF(VLOOKUP($A19,'détails investissements'!$A$26:$DE$43,N$3-VLOOKUP($A19,'détails investissements'!$A$71:$B$88,2,FALSE)+1,FALSE)="","",VLOOKUP($A19,'détails investissements'!$A$26:$DE$43,N$3-VLOOKUP($A19,'détails investissements'!$A$71:$B$88,2,FALSE)+1,FALSE)))&lt;&gt;"",HLOOKUP(IF(N$3-VLOOKUP($A19,'détails investissements'!$A$71:$B$88,2,FALSE)&lt;=0,"",IF(VLOOKUP($A19,'détails investissements'!$A$26:$DE$43,N$3-VLOOKUP($A19,'détails investissements'!$A$71:$B$88,2,FALSE)+1,FALSE)="","",VLOOKUP($A19,'détails investissements'!$A$26:$DE$43,N$3-VLOOKUP($A19,'détails investissements'!$A$71:$B$88,2,FALSE)+1,FALSE))),'détails investissements'!$U$6:$AB$7,2,FALSE),"")&lt;&gt;"",VLOOKUP($A19,'détails investissements'!$A$7:$H$21,1+IF(IF(N$3-VLOOKUP($A19,'détails investissements'!$A$71:$B$88,2,FALSE)&lt;=0,"",IF(VLOOKUP($A19,'détails investissements'!$A$26:$DE$43,N$3-VLOOKUP($A19,'détails investissements'!$A$71:$B$88,2,FALSE)+1,FALSE)="","",VLOOKUP($A19,'détails investissements'!$A$26:$DE$43,N$3-VLOOKUP($A19,'détails investissements'!$A$71:$B$88,2,FALSE)+1,FALSE)))&lt;&gt;"",HLOOKUP(IF(N$3-VLOOKUP($A19,'détails investissements'!$A$71:$B$88,2,FALSE)&lt;=0,"",IF(VLOOKUP($A19,'détails investissements'!$A$26:$DE$43,N$3-VLOOKUP($A19,'détails investissements'!$A$71:$B$88,2,FALSE)+1,FALSE)="","",VLOOKUP($A19,'détails investissements'!$A$26:$DE$43,N$3-VLOOKUP($A19,'détails investissements'!$A$71:$B$88,2,FALSE)+1,FALSE))),'détails investissements'!$U$6:$AB$7,2,FALSE),""),FALSE),"")</f>
        <v/>
      </c>
      <c r="O19" s="45" t="str">
        <f>IF(IF(IF(O$3-VLOOKUP($A19,'détails investissements'!$A$71:$B$88,2,FALSE)&lt;=0,"",IF(VLOOKUP($A19,'détails investissements'!$A$26:$DE$43,O$3-VLOOKUP($A19,'détails investissements'!$A$71:$B$88,2,FALSE)+1,FALSE)="","",VLOOKUP($A19,'détails investissements'!$A$26:$DE$43,O$3-VLOOKUP($A19,'détails investissements'!$A$71:$B$88,2,FALSE)+1,FALSE)))&lt;&gt;"",HLOOKUP(IF(O$3-VLOOKUP($A19,'détails investissements'!$A$71:$B$88,2,FALSE)&lt;=0,"",IF(VLOOKUP($A19,'détails investissements'!$A$26:$DE$43,O$3-VLOOKUP($A19,'détails investissements'!$A$71:$B$88,2,FALSE)+1,FALSE)="","",VLOOKUP($A19,'détails investissements'!$A$26:$DE$43,O$3-VLOOKUP($A19,'détails investissements'!$A$71:$B$88,2,FALSE)+1,FALSE))),'détails investissements'!$U$6:$AB$7,2,FALSE),"")&lt;&gt;"",VLOOKUP($A19,'détails investissements'!$A$7:$H$21,1+IF(IF(O$3-VLOOKUP($A19,'détails investissements'!$A$71:$B$88,2,FALSE)&lt;=0,"",IF(VLOOKUP($A19,'détails investissements'!$A$26:$DE$43,O$3-VLOOKUP($A19,'détails investissements'!$A$71:$B$88,2,FALSE)+1,FALSE)="","",VLOOKUP($A19,'détails investissements'!$A$26:$DE$43,O$3-VLOOKUP($A19,'détails investissements'!$A$71:$B$88,2,FALSE)+1,FALSE)))&lt;&gt;"",HLOOKUP(IF(O$3-VLOOKUP($A19,'détails investissements'!$A$71:$B$88,2,FALSE)&lt;=0,"",IF(VLOOKUP($A19,'détails investissements'!$A$26:$DE$43,O$3-VLOOKUP($A19,'détails investissements'!$A$71:$B$88,2,FALSE)+1,FALSE)="","",VLOOKUP($A19,'détails investissements'!$A$26:$DE$43,O$3-VLOOKUP($A19,'détails investissements'!$A$71:$B$88,2,FALSE)+1,FALSE))),'détails investissements'!$U$6:$AB$7,2,FALSE),""),FALSE),"")</f>
        <v/>
      </c>
      <c r="P19" s="45" t="str">
        <f>IF(IF(IF(P$3-VLOOKUP($A19,'détails investissements'!$A$71:$B$88,2,FALSE)&lt;=0,"",IF(VLOOKUP($A19,'détails investissements'!$A$26:$DE$43,P$3-VLOOKUP($A19,'détails investissements'!$A$71:$B$88,2,FALSE)+1,FALSE)="","",VLOOKUP($A19,'détails investissements'!$A$26:$DE$43,P$3-VLOOKUP($A19,'détails investissements'!$A$71:$B$88,2,FALSE)+1,FALSE)))&lt;&gt;"",HLOOKUP(IF(P$3-VLOOKUP($A19,'détails investissements'!$A$71:$B$88,2,FALSE)&lt;=0,"",IF(VLOOKUP($A19,'détails investissements'!$A$26:$DE$43,P$3-VLOOKUP($A19,'détails investissements'!$A$71:$B$88,2,FALSE)+1,FALSE)="","",VLOOKUP($A19,'détails investissements'!$A$26:$DE$43,P$3-VLOOKUP($A19,'détails investissements'!$A$71:$B$88,2,FALSE)+1,FALSE))),'détails investissements'!$U$6:$AB$7,2,FALSE),"")&lt;&gt;"",VLOOKUP($A19,'détails investissements'!$A$7:$H$21,1+IF(IF(P$3-VLOOKUP($A19,'détails investissements'!$A$71:$B$88,2,FALSE)&lt;=0,"",IF(VLOOKUP($A19,'détails investissements'!$A$26:$DE$43,P$3-VLOOKUP($A19,'détails investissements'!$A$71:$B$88,2,FALSE)+1,FALSE)="","",VLOOKUP($A19,'détails investissements'!$A$26:$DE$43,P$3-VLOOKUP($A19,'détails investissements'!$A$71:$B$88,2,FALSE)+1,FALSE)))&lt;&gt;"",HLOOKUP(IF(P$3-VLOOKUP($A19,'détails investissements'!$A$71:$B$88,2,FALSE)&lt;=0,"",IF(VLOOKUP($A19,'détails investissements'!$A$26:$DE$43,P$3-VLOOKUP($A19,'détails investissements'!$A$71:$B$88,2,FALSE)+1,FALSE)="","",VLOOKUP($A19,'détails investissements'!$A$26:$DE$43,P$3-VLOOKUP($A19,'détails investissements'!$A$71:$B$88,2,FALSE)+1,FALSE))),'détails investissements'!$U$6:$AB$7,2,FALSE),""),FALSE),"")</f>
        <v/>
      </c>
      <c r="Q19" s="45" t="str">
        <f>IF(IF(IF(Q$3-VLOOKUP($A19,'détails investissements'!$A$71:$B$88,2,FALSE)&lt;=0,"",IF(VLOOKUP($A19,'détails investissements'!$A$26:$DE$43,Q$3-VLOOKUP($A19,'détails investissements'!$A$71:$B$88,2,FALSE)+1,FALSE)="","",VLOOKUP($A19,'détails investissements'!$A$26:$DE$43,Q$3-VLOOKUP($A19,'détails investissements'!$A$71:$B$88,2,FALSE)+1,FALSE)))&lt;&gt;"",HLOOKUP(IF(Q$3-VLOOKUP($A19,'détails investissements'!$A$71:$B$88,2,FALSE)&lt;=0,"",IF(VLOOKUP($A19,'détails investissements'!$A$26:$DE$43,Q$3-VLOOKUP($A19,'détails investissements'!$A$71:$B$88,2,FALSE)+1,FALSE)="","",VLOOKUP($A19,'détails investissements'!$A$26:$DE$43,Q$3-VLOOKUP($A19,'détails investissements'!$A$71:$B$88,2,FALSE)+1,FALSE))),'détails investissements'!$U$6:$AB$7,2,FALSE),"")&lt;&gt;"",VLOOKUP($A19,'détails investissements'!$A$7:$H$21,1+IF(IF(Q$3-VLOOKUP($A19,'détails investissements'!$A$71:$B$88,2,FALSE)&lt;=0,"",IF(VLOOKUP($A19,'détails investissements'!$A$26:$DE$43,Q$3-VLOOKUP($A19,'détails investissements'!$A$71:$B$88,2,FALSE)+1,FALSE)="","",VLOOKUP($A19,'détails investissements'!$A$26:$DE$43,Q$3-VLOOKUP($A19,'détails investissements'!$A$71:$B$88,2,FALSE)+1,FALSE)))&lt;&gt;"",HLOOKUP(IF(Q$3-VLOOKUP($A19,'détails investissements'!$A$71:$B$88,2,FALSE)&lt;=0,"",IF(VLOOKUP($A19,'détails investissements'!$A$26:$DE$43,Q$3-VLOOKUP($A19,'détails investissements'!$A$71:$B$88,2,FALSE)+1,FALSE)="","",VLOOKUP($A19,'détails investissements'!$A$26:$DE$43,Q$3-VLOOKUP($A19,'détails investissements'!$A$71:$B$88,2,FALSE)+1,FALSE))),'détails investissements'!$U$6:$AB$7,2,FALSE),""),FALSE),"")</f>
        <v/>
      </c>
      <c r="R19" s="45">
        <f>IF(IF(IF(R$3-VLOOKUP($A19,'détails investissements'!$A$71:$B$88,2,FALSE)&lt;=0,"",IF(VLOOKUP($A19,'détails investissements'!$A$26:$DE$43,R$3-VLOOKUP($A19,'détails investissements'!$A$71:$B$88,2,FALSE)+1,FALSE)="","",VLOOKUP($A19,'détails investissements'!$A$26:$DE$43,R$3-VLOOKUP($A19,'détails investissements'!$A$71:$B$88,2,FALSE)+1,FALSE)))&lt;&gt;"",HLOOKUP(IF(R$3-VLOOKUP($A19,'détails investissements'!$A$71:$B$88,2,FALSE)&lt;=0,"",IF(VLOOKUP($A19,'détails investissements'!$A$26:$DE$43,R$3-VLOOKUP($A19,'détails investissements'!$A$71:$B$88,2,FALSE)+1,FALSE)="","",VLOOKUP($A19,'détails investissements'!$A$26:$DE$43,R$3-VLOOKUP($A19,'détails investissements'!$A$71:$B$88,2,FALSE)+1,FALSE))),'détails investissements'!$U$6:$AB$7,2,FALSE),"")&lt;&gt;"",VLOOKUP($A19,'détails investissements'!$A$7:$H$21,1+IF(IF(R$3-VLOOKUP($A19,'détails investissements'!$A$71:$B$88,2,FALSE)&lt;=0,"",IF(VLOOKUP($A19,'détails investissements'!$A$26:$DE$43,R$3-VLOOKUP($A19,'détails investissements'!$A$71:$B$88,2,FALSE)+1,FALSE)="","",VLOOKUP($A19,'détails investissements'!$A$26:$DE$43,R$3-VLOOKUP($A19,'détails investissements'!$A$71:$B$88,2,FALSE)+1,FALSE)))&lt;&gt;"",HLOOKUP(IF(R$3-VLOOKUP($A19,'détails investissements'!$A$71:$B$88,2,FALSE)&lt;=0,"",IF(VLOOKUP($A19,'détails investissements'!$A$26:$DE$43,R$3-VLOOKUP($A19,'détails investissements'!$A$71:$B$88,2,FALSE)+1,FALSE)="","",VLOOKUP($A19,'détails investissements'!$A$26:$DE$43,R$3-VLOOKUP($A19,'détails investissements'!$A$71:$B$88,2,FALSE)+1,FALSE))),'détails investissements'!$U$6:$AB$7,2,FALSE),""),FALSE),"")</f>
        <v>0.15</v>
      </c>
      <c r="S19" s="45" t="str">
        <f>IF(IF(IF(S$3-VLOOKUP($A19,'détails investissements'!$A$71:$B$88,2,FALSE)&lt;=0,"",IF(VLOOKUP($A19,'détails investissements'!$A$26:$DE$43,S$3-VLOOKUP($A19,'détails investissements'!$A$71:$B$88,2,FALSE)+1,FALSE)="","",VLOOKUP($A19,'détails investissements'!$A$26:$DE$43,S$3-VLOOKUP($A19,'détails investissements'!$A$71:$B$88,2,FALSE)+1,FALSE)))&lt;&gt;"",HLOOKUP(IF(S$3-VLOOKUP($A19,'détails investissements'!$A$71:$B$88,2,FALSE)&lt;=0,"",IF(VLOOKUP($A19,'détails investissements'!$A$26:$DE$43,S$3-VLOOKUP($A19,'détails investissements'!$A$71:$B$88,2,FALSE)+1,FALSE)="","",VLOOKUP($A19,'détails investissements'!$A$26:$DE$43,S$3-VLOOKUP($A19,'détails investissements'!$A$71:$B$88,2,FALSE)+1,FALSE))),'détails investissements'!$U$6:$AB$7,2,FALSE),"")&lt;&gt;"",VLOOKUP($A19,'détails investissements'!$A$7:$H$21,1+IF(IF(S$3-VLOOKUP($A19,'détails investissements'!$A$71:$B$88,2,FALSE)&lt;=0,"",IF(VLOOKUP($A19,'détails investissements'!$A$26:$DE$43,S$3-VLOOKUP($A19,'détails investissements'!$A$71:$B$88,2,FALSE)+1,FALSE)="","",VLOOKUP($A19,'détails investissements'!$A$26:$DE$43,S$3-VLOOKUP($A19,'détails investissements'!$A$71:$B$88,2,FALSE)+1,FALSE)))&lt;&gt;"",HLOOKUP(IF(S$3-VLOOKUP($A19,'détails investissements'!$A$71:$B$88,2,FALSE)&lt;=0,"",IF(VLOOKUP($A19,'détails investissements'!$A$26:$DE$43,S$3-VLOOKUP($A19,'détails investissements'!$A$71:$B$88,2,FALSE)+1,FALSE)="","",VLOOKUP($A19,'détails investissements'!$A$26:$DE$43,S$3-VLOOKUP($A19,'détails investissements'!$A$71:$B$88,2,FALSE)+1,FALSE))),'détails investissements'!$U$6:$AB$7,2,FALSE),""),FALSE),"")</f>
        <v/>
      </c>
      <c r="T19" s="45" t="str">
        <f>IF(IF(IF(T$3-VLOOKUP($A19,'détails investissements'!$A$71:$B$88,2,FALSE)&lt;=0,"",IF(VLOOKUP($A19,'détails investissements'!$A$26:$DE$43,T$3-VLOOKUP($A19,'détails investissements'!$A$71:$B$88,2,FALSE)+1,FALSE)="","",VLOOKUP($A19,'détails investissements'!$A$26:$DE$43,T$3-VLOOKUP($A19,'détails investissements'!$A$71:$B$88,2,FALSE)+1,FALSE)))&lt;&gt;"",HLOOKUP(IF(T$3-VLOOKUP($A19,'détails investissements'!$A$71:$B$88,2,FALSE)&lt;=0,"",IF(VLOOKUP($A19,'détails investissements'!$A$26:$DE$43,T$3-VLOOKUP($A19,'détails investissements'!$A$71:$B$88,2,FALSE)+1,FALSE)="","",VLOOKUP($A19,'détails investissements'!$A$26:$DE$43,T$3-VLOOKUP($A19,'détails investissements'!$A$71:$B$88,2,FALSE)+1,FALSE))),'détails investissements'!$U$6:$AB$7,2,FALSE),"")&lt;&gt;"",VLOOKUP($A19,'détails investissements'!$A$7:$H$21,1+IF(IF(T$3-VLOOKUP($A19,'détails investissements'!$A$71:$B$88,2,FALSE)&lt;=0,"",IF(VLOOKUP($A19,'détails investissements'!$A$26:$DE$43,T$3-VLOOKUP($A19,'détails investissements'!$A$71:$B$88,2,FALSE)+1,FALSE)="","",VLOOKUP($A19,'détails investissements'!$A$26:$DE$43,T$3-VLOOKUP($A19,'détails investissements'!$A$71:$B$88,2,FALSE)+1,FALSE)))&lt;&gt;"",HLOOKUP(IF(T$3-VLOOKUP($A19,'détails investissements'!$A$71:$B$88,2,FALSE)&lt;=0,"",IF(VLOOKUP($A19,'détails investissements'!$A$26:$DE$43,T$3-VLOOKUP($A19,'détails investissements'!$A$71:$B$88,2,FALSE)+1,FALSE)="","",VLOOKUP($A19,'détails investissements'!$A$26:$DE$43,T$3-VLOOKUP($A19,'détails investissements'!$A$71:$B$88,2,FALSE)+1,FALSE))),'détails investissements'!$U$6:$AB$7,2,FALSE),""),FALSE),"")</f>
        <v/>
      </c>
      <c r="U19" s="45">
        <f>IF(IF(IF(U$3-VLOOKUP($A19,'détails investissements'!$A$71:$B$88,2,FALSE)&lt;=0,"",IF(VLOOKUP($A19,'détails investissements'!$A$26:$DE$43,U$3-VLOOKUP($A19,'détails investissements'!$A$71:$B$88,2,FALSE)+1,FALSE)="","",VLOOKUP($A19,'détails investissements'!$A$26:$DE$43,U$3-VLOOKUP($A19,'détails investissements'!$A$71:$B$88,2,FALSE)+1,FALSE)))&lt;&gt;"",HLOOKUP(IF(U$3-VLOOKUP($A19,'détails investissements'!$A$71:$B$88,2,FALSE)&lt;=0,"",IF(VLOOKUP($A19,'détails investissements'!$A$26:$DE$43,U$3-VLOOKUP($A19,'détails investissements'!$A$71:$B$88,2,FALSE)+1,FALSE)="","",VLOOKUP($A19,'détails investissements'!$A$26:$DE$43,U$3-VLOOKUP($A19,'détails investissements'!$A$71:$B$88,2,FALSE)+1,FALSE))),'détails investissements'!$U$6:$AB$7,2,FALSE),"")&lt;&gt;"",VLOOKUP($A19,'détails investissements'!$A$7:$H$21,1+IF(IF(U$3-VLOOKUP($A19,'détails investissements'!$A$71:$B$88,2,FALSE)&lt;=0,"",IF(VLOOKUP($A19,'détails investissements'!$A$26:$DE$43,U$3-VLOOKUP($A19,'détails investissements'!$A$71:$B$88,2,FALSE)+1,FALSE)="","",VLOOKUP($A19,'détails investissements'!$A$26:$DE$43,U$3-VLOOKUP($A19,'détails investissements'!$A$71:$B$88,2,FALSE)+1,FALSE)))&lt;&gt;"",HLOOKUP(IF(U$3-VLOOKUP($A19,'détails investissements'!$A$71:$B$88,2,FALSE)&lt;=0,"",IF(VLOOKUP($A19,'détails investissements'!$A$26:$DE$43,U$3-VLOOKUP($A19,'détails investissements'!$A$71:$B$88,2,FALSE)+1,FALSE)="","",VLOOKUP($A19,'détails investissements'!$A$26:$DE$43,U$3-VLOOKUP($A19,'détails investissements'!$A$71:$B$88,2,FALSE)+1,FALSE))),'détails investissements'!$U$6:$AB$7,2,FALSE),""),FALSE),"")</f>
        <v>0.2</v>
      </c>
      <c r="V19" s="45" t="str">
        <f>IF(IF(IF(V$3-VLOOKUP($A19,'détails investissements'!$A$71:$B$88,2,FALSE)&lt;=0,"",IF(VLOOKUP($A19,'détails investissements'!$A$26:$DE$43,V$3-VLOOKUP($A19,'détails investissements'!$A$71:$B$88,2,FALSE)+1,FALSE)="","",VLOOKUP($A19,'détails investissements'!$A$26:$DE$43,V$3-VLOOKUP($A19,'détails investissements'!$A$71:$B$88,2,FALSE)+1,FALSE)))&lt;&gt;"",HLOOKUP(IF(V$3-VLOOKUP($A19,'détails investissements'!$A$71:$B$88,2,FALSE)&lt;=0,"",IF(VLOOKUP($A19,'détails investissements'!$A$26:$DE$43,V$3-VLOOKUP($A19,'détails investissements'!$A$71:$B$88,2,FALSE)+1,FALSE)="","",VLOOKUP($A19,'détails investissements'!$A$26:$DE$43,V$3-VLOOKUP($A19,'détails investissements'!$A$71:$B$88,2,FALSE)+1,FALSE))),'détails investissements'!$U$6:$AB$7,2,FALSE),"")&lt;&gt;"",VLOOKUP($A19,'détails investissements'!$A$7:$H$21,1+IF(IF(V$3-VLOOKUP($A19,'détails investissements'!$A$71:$B$88,2,FALSE)&lt;=0,"",IF(VLOOKUP($A19,'détails investissements'!$A$26:$DE$43,V$3-VLOOKUP($A19,'détails investissements'!$A$71:$B$88,2,FALSE)+1,FALSE)="","",VLOOKUP($A19,'détails investissements'!$A$26:$DE$43,V$3-VLOOKUP($A19,'détails investissements'!$A$71:$B$88,2,FALSE)+1,FALSE)))&lt;&gt;"",HLOOKUP(IF(V$3-VLOOKUP($A19,'détails investissements'!$A$71:$B$88,2,FALSE)&lt;=0,"",IF(VLOOKUP($A19,'détails investissements'!$A$26:$DE$43,V$3-VLOOKUP($A19,'détails investissements'!$A$71:$B$88,2,FALSE)+1,FALSE)="","",VLOOKUP($A19,'détails investissements'!$A$26:$DE$43,V$3-VLOOKUP($A19,'détails investissements'!$A$71:$B$88,2,FALSE)+1,FALSE))),'détails investissements'!$U$6:$AB$7,2,FALSE),""),FALSE),"")</f>
        <v/>
      </c>
      <c r="W19" s="45">
        <f>IF(IF(IF(W$3-VLOOKUP($A19,'détails investissements'!$A$71:$B$88,2,FALSE)&lt;=0,"",IF(VLOOKUP($A19,'détails investissements'!$A$26:$DE$43,W$3-VLOOKUP($A19,'détails investissements'!$A$71:$B$88,2,FALSE)+1,FALSE)="","",VLOOKUP($A19,'détails investissements'!$A$26:$DE$43,W$3-VLOOKUP($A19,'détails investissements'!$A$71:$B$88,2,FALSE)+1,FALSE)))&lt;&gt;"",HLOOKUP(IF(W$3-VLOOKUP($A19,'détails investissements'!$A$71:$B$88,2,FALSE)&lt;=0,"",IF(VLOOKUP($A19,'détails investissements'!$A$26:$DE$43,W$3-VLOOKUP($A19,'détails investissements'!$A$71:$B$88,2,FALSE)+1,FALSE)="","",VLOOKUP($A19,'détails investissements'!$A$26:$DE$43,W$3-VLOOKUP($A19,'détails investissements'!$A$71:$B$88,2,FALSE)+1,FALSE))),'détails investissements'!$U$6:$AB$7,2,FALSE),"")&lt;&gt;"",VLOOKUP($A19,'détails investissements'!$A$7:$H$21,1+IF(IF(W$3-VLOOKUP($A19,'détails investissements'!$A$71:$B$88,2,FALSE)&lt;=0,"",IF(VLOOKUP($A19,'détails investissements'!$A$26:$DE$43,W$3-VLOOKUP($A19,'détails investissements'!$A$71:$B$88,2,FALSE)+1,FALSE)="","",VLOOKUP($A19,'détails investissements'!$A$26:$DE$43,W$3-VLOOKUP($A19,'détails investissements'!$A$71:$B$88,2,FALSE)+1,FALSE)))&lt;&gt;"",HLOOKUP(IF(W$3-VLOOKUP($A19,'détails investissements'!$A$71:$B$88,2,FALSE)&lt;=0,"",IF(VLOOKUP($A19,'détails investissements'!$A$26:$DE$43,W$3-VLOOKUP($A19,'détails investissements'!$A$71:$B$88,2,FALSE)+1,FALSE)="","",VLOOKUP($A19,'détails investissements'!$A$26:$DE$43,W$3-VLOOKUP($A19,'détails investissements'!$A$71:$B$88,2,FALSE)+1,FALSE))),'détails investissements'!$U$6:$AB$7,2,FALSE),""),FALSE),"")</f>
        <v>0.25</v>
      </c>
      <c r="X19" s="45" t="str">
        <f>IF(IF(IF(X$3-VLOOKUP($A19,'détails investissements'!$A$71:$B$88,2,FALSE)&lt;=0,"",IF(VLOOKUP($A19,'détails investissements'!$A$26:$DE$43,X$3-VLOOKUP($A19,'détails investissements'!$A$71:$B$88,2,FALSE)+1,FALSE)="","",VLOOKUP($A19,'détails investissements'!$A$26:$DE$43,X$3-VLOOKUP($A19,'détails investissements'!$A$71:$B$88,2,FALSE)+1,FALSE)))&lt;&gt;"",HLOOKUP(IF(X$3-VLOOKUP($A19,'détails investissements'!$A$71:$B$88,2,FALSE)&lt;=0,"",IF(VLOOKUP($A19,'détails investissements'!$A$26:$DE$43,X$3-VLOOKUP($A19,'détails investissements'!$A$71:$B$88,2,FALSE)+1,FALSE)="","",VLOOKUP($A19,'détails investissements'!$A$26:$DE$43,X$3-VLOOKUP($A19,'détails investissements'!$A$71:$B$88,2,FALSE)+1,FALSE))),'détails investissements'!$U$6:$AB$7,2,FALSE),"")&lt;&gt;"",VLOOKUP($A19,'détails investissements'!$A$7:$H$21,1+IF(IF(X$3-VLOOKUP($A19,'détails investissements'!$A$71:$B$88,2,FALSE)&lt;=0,"",IF(VLOOKUP($A19,'détails investissements'!$A$26:$DE$43,X$3-VLOOKUP($A19,'détails investissements'!$A$71:$B$88,2,FALSE)+1,FALSE)="","",VLOOKUP($A19,'détails investissements'!$A$26:$DE$43,X$3-VLOOKUP($A19,'détails investissements'!$A$71:$B$88,2,FALSE)+1,FALSE)))&lt;&gt;"",HLOOKUP(IF(X$3-VLOOKUP($A19,'détails investissements'!$A$71:$B$88,2,FALSE)&lt;=0,"",IF(VLOOKUP($A19,'détails investissements'!$A$26:$DE$43,X$3-VLOOKUP($A19,'détails investissements'!$A$71:$B$88,2,FALSE)+1,FALSE)="","",VLOOKUP($A19,'détails investissements'!$A$26:$DE$43,X$3-VLOOKUP($A19,'détails investissements'!$A$71:$B$88,2,FALSE)+1,FALSE))),'détails investissements'!$U$6:$AB$7,2,FALSE),""),FALSE),"")</f>
        <v/>
      </c>
      <c r="Y19" s="45">
        <f>IF(IF(IF(Y$3-VLOOKUP($A19,'détails investissements'!$A$71:$B$88,2,FALSE)&lt;=0,"",IF(VLOOKUP($A19,'détails investissements'!$A$26:$DE$43,Y$3-VLOOKUP($A19,'détails investissements'!$A$71:$B$88,2,FALSE)+1,FALSE)="","",VLOOKUP($A19,'détails investissements'!$A$26:$DE$43,Y$3-VLOOKUP($A19,'détails investissements'!$A$71:$B$88,2,FALSE)+1,FALSE)))&lt;&gt;"",HLOOKUP(IF(Y$3-VLOOKUP($A19,'détails investissements'!$A$71:$B$88,2,FALSE)&lt;=0,"",IF(VLOOKUP($A19,'détails investissements'!$A$26:$DE$43,Y$3-VLOOKUP($A19,'détails investissements'!$A$71:$B$88,2,FALSE)+1,FALSE)="","",VLOOKUP($A19,'détails investissements'!$A$26:$DE$43,Y$3-VLOOKUP($A19,'détails investissements'!$A$71:$B$88,2,FALSE)+1,FALSE))),'détails investissements'!$U$6:$AB$7,2,FALSE),"")&lt;&gt;"",VLOOKUP($A19,'détails investissements'!$A$7:$H$21,1+IF(IF(Y$3-VLOOKUP($A19,'détails investissements'!$A$71:$B$88,2,FALSE)&lt;=0,"",IF(VLOOKUP($A19,'détails investissements'!$A$26:$DE$43,Y$3-VLOOKUP($A19,'détails investissements'!$A$71:$B$88,2,FALSE)+1,FALSE)="","",VLOOKUP($A19,'détails investissements'!$A$26:$DE$43,Y$3-VLOOKUP($A19,'détails investissements'!$A$71:$B$88,2,FALSE)+1,FALSE)))&lt;&gt;"",HLOOKUP(IF(Y$3-VLOOKUP($A19,'détails investissements'!$A$71:$B$88,2,FALSE)&lt;=0,"",IF(VLOOKUP($A19,'détails investissements'!$A$26:$DE$43,Y$3-VLOOKUP($A19,'détails investissements'!$A$71:$B$88,2,FALSE)+1,FALSE)="","",VLOOKUP($A19,'détails investissements'!$A$26:$DE$43,Y$3-VLOOKUP($A19,'détails investissements'!$A$71:$B$88,2,FALSE)+1,FALSE))),'détails investissements'!$U$6:$AB$7,2,FALSE),""),FALSE),"")</f>
        <v>0.15</v>
      </c>
      <c r="Z19" s="45" t="str">
        <f>IF(IF(IF(Z$3-VLOOKUP($A19,'détails investissements'!$A$71:$B$88,2,FALSE)&lt;=0,"",IF(VLOOKUP($A19,'détails investissements'!$A$26:$DE$43,Z$3-VLOOKUP($A19,'détails investissements'!$A$71:$B$88,2,FALSE)+1,FALSE)="","",VLOOKUP($A19,'détails investissements'!$A$26:$DE$43,Z$3-VLOOKUP($A19,'détails investissements'!$A$71:$B$88,2,FALSE)+1,FALSE)))&lt;&gt;"",HLOOKUP(IF(Z$3-VLOOKUP($A19,'détails investissements'!$A$71:$B$88,2,FALSE)&lt;=0,"",IF(VLOOKUP($A19,'détails investissements'!$A$26:$DE$43,Z$3-VLOOKUP($A19,'détails investissements'!$A$71:$B$88,2,FALSE)+1,FALSE)="","",VLOOKUP($A19,'détails investissements'!$A$26:$DE$43,Z$3-VLOOKUP($A19,'détails investissements'!$A$71:$B$88,2,FALSE)+1,FALSE))),'détails investissements'!$U$6:$AB$7,2,FALSE),"")&lt;&gt;"",VLOOKUP($A19,'détails investissements'!$A$7:$H$21,1+IF(IF(Z$3-VLOOKUP($A19,'détails investissements'!$A$71:$B$88,2,FALSE)&lt;=0,"",IF(VLOOKUP($A19,'détails investissements'!$A$26:$DE$43,Z$3-VLOOKUP($A19,'détails investissements'!$A$71:$B$88,2,FALSE)+1,FALSE)="","",VLOOKUP($A19,'détails investissements'!$A$26:$DE$43,Z$3-VLOOKUP($A19,'détails investissements'!$A$71:$B$88,2,FALSE)+1,FALSE)))&lt;&gt;"",HLOOKUP(IF(Z$3-VLOOKUP($A19,'détails investissements'!$A$71:$B$88,2,FALSE)&lt;=0,"",IF(VLOOKUP($A19,'détails investissements'!$A$26:$DE$43,Z$3-VLOOKUP($A19,'détails investissements'!$A$71:$B$88,2,FALSE)+1,FALSE)="","",VLOOKUP($A19,'détails investissements'!$A$26:$DE$43,Z$3-VLOOKUP($A19,'détails investissements'!$A$71:$B$88,2,FALSE)+1,FALSE))),'détails investissements'!$U$6:$AB$7,2,FALSE),""),FALSE),"")</f>
        <v/>
      </c>
      <c r="AA19" s="45" t="str">
        <f>IF(IF(IF(AA$3-VLOOKUP($A19,'détails investissements'!$A$71:$B$88,2,FALSE)&lt;=0,"",IF(VLOOKUP($A19,'détails investissements'!$A$26:$DE$43,AA$3-VLOOKUP($A19,'détails investissements'!$A$71:$B$88,2,FALSE)+1,FALSE)="","",VLOOKUP($A19,'détails investissements'!$A$26:$DE$43,AA$3-VLOOKUP($A19,'détails investissements'!$A$71:$B$88,2,FALSE)+1,FALSE)))&lt;&gt;"",HLOOKUP(IF(AA$3-VLOOKUP($A19,'détails investissements'!$A$71:$B$88,2,FALSE)&lt;=0,"",IF(VLOOKUP($A19,'détails investissements'!$A$26:$DE$43,AA$3-VLOOKUP($A19,'détails investissements'!$A$71:$B$88,2,FALSE)+1,FALSE)="","",VLOOKUP($A19,'détails investissements'!$A$26:$DE$43,AA$3-VLOOKUP($A19,'détails investissements'!$A$71:$B$88,2,FALSE)+1,FALSE))),'détails investissements'!$U$6:$AB$7,2,FALSE),"")&lt;&gt;"",VLOOKUP($A19,'détails investissements'!$A$7:$H$21,1+IF(IF(AA$3-VLOOKUP($A19,'détails investissements'!$A$71:$B$88,2,FALSE)&lt;=0,"",IF(VLOOKUP($A19,'détails investissements'!$A$26:$DE$43,AA$3-VLOOKUP($A19,'détails investissements'!$A$71:$B$88,2,FALSE)+1,FALSE)="","",VLOOKUP($A19,'détails investissements'!$A$26:$DE$43,AA$3-VLOOKUP($A19,'détails investissements'!$A$71:$B$88,2,FALSE)+1,FALSE)))&lt;&gt;"",HLOOKUP(IF(AA$3-VLOOKUP($A19,'détails investissements'!$A$71:$B$88,2,FALSE)&lt;=0,"",IF(VLOOKUP($A19,'détails investissements'!$A$26:$DE$43,AA$3-VLOOKUP($A19,'détails investissements'!$A$71:$B$88,2,FALSE)+1,FALSE)="","",VLOOKUP($A19,'détails investissements'!$A$26:$DE$43,AA$3-VLOOKUP($A19,'détails investissements'!$A$71:$B$88,2,FALSE)+1,FALSE))),'détails investissements'!$U$6:$AB$7,2,FALSE),""),FALSE),"")</f>
        <v/>
      </c>
      <c r="AB19" s="45" t="str">
        <f>IF(IF(IF(AB$3-VLOOKUP($A19,'détails investissements'!$A$71:$B$88,2,FALSE)&lt;=0,"",IF(VLOOKUP($A19,'détails investissements'!$A$26:$DE$43,AB$3-VLOOKUP($A19,'détails investissements'!$A$71:$B$88,2,FALSE)+1,FALSE)="","",VLOOKUP($A19,'détails investissements'!$A$26:$DE$43,AB$3-VLOOKUP($A19,'détails investissements'!$A$71:$B$88,2,FALSE)+1,FALSE)))&lt;&gt;"",HLOOKUP(IF(AB$3-VLOOKUP($A19,'détails investissements'!$A$71:$B$88,2,FALSE)&lt;=0,"",IF(VLOOKUP($A19,'détails investissements'!$A$26:$DE$43,AB$3-VLOOKUP($A19,'détails investissements'!$A$71:$B$88,2,FALSE)+1,FALSE)="","",VLOOKUP($A19,'détails investissements'!$A$26:$DE$43,AB$3-VLOOKUP($A19,'détails investissements'!$A$71:$B$88,2,FALSE)+1,FALSE))),'détails investissements'!$U$6:$AB$7,2,FALSE),"")&lt;&gt;"",VLOOKUP($A19,'détails investissements'!$A$7:$H$21,1+IF(IF(AB$3-VLOOKUP($A19,'détails investissements'!$A$71:$B$88,2,FALSE)&lt;=0,"",IF(VLOOKUP($A19,'détails investissements'!$A$26:$DE$43,AB$3-VLOOKUP($A19,'détails investissements'!$A$71:$B$88,2,FALSE)+1,FALSE)="","",VLOOKUP($A19,'détails investissements'!$A$26:$DE$43,AB$3-VLOOKUP($A19,'détails investissements'!$A$71:$B$88,2,FALSE)+1,FALSE)))&lt;&gt;"",HLOOKUP(IF(AB$3-VLOOKUP($A19,'détails investissements'!$A$71:$B$88,2,FALSE)&lt;=0,"",IF(VLOOKUP($A19,'détails investissements'!$A$26:$DE$43,AB$3-VLOOKUP($A19,'détails investissements'!$A$71:$B$88,2,FALSE)+1,FALSE)="","",VLOOKUP($A19,'détails investissements'!$A$26:$DE$43,AB$3-VLOOKUP($A19,'détails investissements'!$A$71:$B$88,2,FALSE)+1,FALSE))),'détails investissements'!$U$6:$AB$7,2,FALSE),""),FALSE),"")</f>
        <v/>
      </c>
      <c r="AC19" s="45" t="str">
        <f>IF(IF(IF(AC$3-VLOOKUP($A19,'détails investissements'!$A$71:$B$88,2,FALSE)&lt;=0,"",IF(VLOOKUP($A19,'détails investissements'!$A$26:$DE$43,AC$3-VLOOKUP($A19,'détails investissements'!$A$71:$B$88,2,FALSE)+1,FALSE)="","",VLOOKUP($A19,'détails investissements'!$A$26:$DE$43,AC$3-VLOOKUP($A19,'détails investissements'!$A$71:$B$88,2,FALSE)+1,FALSE)))&lt;&gt;"",HLOOKUP(IF(AC$3-VLOOKUP($A19,'détails investissements'!$A$71:$B$88,2,FALSE)&lt;=0,"",IF(VLOOKUP($A19,'détails investissements'!$A$26:$DE$43,AC$3-VLOOKUP($A19,'détails investissements'!$A$71:$B$88,2,FALSE)+1,FALSE)="","",VLOOKUP($A19,'détails investissements'!$A$26:$DE$43,AC$3-VLOOKUP($A19,'détails investissements'!$A$71:$B$88,2,FALSE)+1,FALSE))),'détails investissements'!$U$6:$AB$7,2,FALSE),"")&lt;&gt;"",VLOOKUP($A19,'détails investissements'!$A$7:$H$21,1+IF(IF(AC$3-VLOOKUP($A19,'détails investissements'!$A$71:$B$88,2,FALSE)&lt;=0,"",IF(VLOOKUP($A19,'détails investissements'!$A$26:$DE$43,AC$3-VLOOKUP($A19,'détails investissements'!$A$71:$B$88,2,FALSE)+1,FALSE)="","",VLOOKUP($A19,'détails investissements'!$A$26:$DE$43,AC$3-VLOOKUP($A19,'détails investissements'!$A$71:$B$88,2,FALSE)+1,FALSE)))&lt;&gt;"",HLOOKUP(IF(AC$3-VLOOKUP($A19,'détails investissements'!$A$71:$B$88,2,FALSE)&lt;=0,"",IF(VLOOKUP($A19,'détails investissements'!$A$26:$DE$43,AC$3-VLOOKUP($A19,'détails investissements'!$A$71:$B$88,2,FALSE)+1,FALSE)="","",VLOOKUP($A19,'détails investissements'!$A$26:$DE$43,AC$3-VLOOKUP($A19,'détails investissements'!$A$71:$B$88,2,FALSE)+1,FALSE))),'détails investissements'!$U$6:$AB$7,2,FALSE),""),FALSE),"")</f>
        <v/>
      </c>
      <c r="AD19" s="45" t="str">
        <f>IF(IF(IF(AD$3-VLOOKUP($A19,'détails investissements'!$A$71:$B$88,2,FALSE)&lt;=0,"",IF(VLOOKUP($A19,'détails investissements'!$A$26:$DE$43,AD$3-VLOOKUP($A19,'détails investissements'!$A$71:$B$88,2,FALSE)+1,FALSE)="","",VLOOKUP($A19,'détails investissements'!$A$26:$DE$43,AD$3-VLOOKUP($A19,'détails investissements'!$A$71:$B$88,2,FALSE)+1,FALSE)))&lt;&gt;"",HLOOKUP(IF(AD$3-VLOOKUP($A19,'détails investissements'!$A$71:$B$88,2,FALSE)&lt;=0,"",IF(VLOOKUP($A19,'détails investissements'!$A$26:$DE$43,AD$3-VLOOKUP($A19,'détails investissements'!$A$71:$B$88,2,FALSE)+1,FALSE)="","",VLOOKUP($A19,'détails investissements'!$A$26:$DE$43,AD$3-VLOOKUP($A19,'détails investissements'!$A$71:$B$88,2,FALSE)+1,FALSE))),'détails investissements'!$U$6:$AB$7,2,FALSE),"")&lt;&gt;"",VLOOKUP($A19,'détails investissements'!$A$7:$H$21,1+IF(IF(AD$3-VLOOKUP($A19,'détails investissements'!$A$71:$B$88,2,FALSE)&lt;=0,"",IF(VLOOKUP($A19,'détails investissements'!$A$26:$DE$43,AD$3-VLOOKUP($A19,'détails investissements'!$A$71:$B$88,2,FALSE)+1,FALSE)="","",VLOOKUP($A19,'détails investissements'!$A$26:$DE$43,AD$3-VLOOKUP($A19,'détails investissements'!$A$71:$B$88,2,FALSE)+1,FALSE)))&lt;&gt;"",HLOOKUP(IF(AD$3-VLOOKUP($A19,'détails investissements'!$A$71:$B$88,2,FALSE)&lt;=0,"",IF(VLOOKUP($A19,'détails investissements'!$A$26:$DE$43,AD$3-VLOOKUP($A19,'détails investissements'!$A$71:$B$88,2,FALSE)+1,FALSE)="","",VLOOKUP($A19,'détails investissements'!$A$26:$DE$43,AD$3-VLOOKUP($A19,'détails investissements'!$A$71:$B$88,2,FALSE)+1,FALSE))),'détails investissements'!$U$6:$AB$7,2,FALSE),""),FALSE),"")</f>
        <v/>
      </c>
      <c r="AE19" s="45" t="str">
        <f>IF(IF(IF(AE$3-VLOOKUP($A19,'détails investissements'!$A$71:$B$88,2,FALSE)&lt;=0,"",IF(VLOOKUP($A19,'détails investissements'!$A$26:$DE$43,AE$3-VLOOKUP($A19,'détails investissements'!$A$71:$B$88,2,FALSE)+1,FALSE)="","",VLOOKUP($A19,'détails investissements'!$A$26:$DE$43,AE$3-VLOOKUP($A19,'détails investissements'!$A$71:$B$88,2,FALSE)+1,FALSE)))&lt;&gt;"",HLOOKUP(IF(AE$3-VLOOKUP($A19,'détails investissements'!$A$71:$B$88,2,FALSE)&lt;=0,"",IF(VLOOKUP($A19,'détails investissements'!$A$26:$DE$43,AE$3-VLOOKUP($A19,'détails investissements'!$A$71:$B$88,2,FALSE)+1,FALSE)="","",VLOOKUP($A19,'détails investissements'!$A$26:$DE$43,AE$3-VLOOKUP($A19,'détails investissements'!$A$71:$B$88,2,FALSE)+1,FALSE))),'détails investissements'!$U$6:$AB$7,2,FALSE),"")&lt;&gt;"",VLOOKUP($A19,'détails investissements'!$A$7:$H$21,1+IF(IF(AE$3-VLOOKUP($A19,'détails investissements'!$A$71:$B$88,2,FALSE)&lt;=0,"",IF(VLOOKUP($A19,'détails investissements'!$A$26:$DE$43,AE$3-VLOOKUP($A19,'détails investissements'!$A$71:$B$88,2,FALSE)+1,FALSE)="","",VLOOKUP($A19,'détails investissements'!$A$26:$DE$43,AE$3-VLOOKUP($A19,'détails investissements'!$A$71:$B$88,2,FALSE)+1,FALSE)))&lt;&gt;"",HLOOKUP(IF(AE$3-VLOOKUP($A19,'détails investissements'!$A$71:$B$88,2,FALSE)&lt;=0,"",IF(VLOOKUP($A19,'détails investissements'!$A$26:$DE$43,AE$3-VLOOKUP($A19,'détails investissements'!$A$71:$B$88,2,FALSE)+1,FALSE)="","",VLOOKUP($A19,'détails investissements'!$A$26:$DE$43,AE$3-VLOOKUP($A19,'détails investissements'!$A$71:$B$88,2,FALSE)+1,FALSE))),'détails investissements'!$U$6:$AB$7,2,FALSE),""),FALSE),"")</f>
        <v/>
      </c>
      <c r="AF19" s="45" t="str">
        <f>IF(IF(IF(AF$3-VLOOKUP($A19,'détails investissements'!$A$71:$B$88,2,FALSE)&lt;=0,"",IF(VLOOKUP($A19,'détails investissements'!$A$26:$DE$43,AF$3-VLOOKUP($A19,'détails investissements'!$A$71:$B$88,2,FALSE)+1,FALSE)="","",VLOOKUP($A19,'détails investissements'!$A$26:$DE$43,AF$3-VLOOKUP($A19,'détails investissements'!$A$71:$B$88,2,FALSE)+1,FALSE)))&lt;&gt;"",HLOOKUP(IF(AF$3-VLOOKUP($A19,'détails investissements'!$A$71:$B$88,2,FALSE)&lt;=0,"",IF(VLOOKUP($A19,'détails investissements'!$A$26:$DE$43,AF$3-VLOOKUP($A19,'détails investissements'!$A$71:$B$88,2,FALSE)+1,FALSE)="","",VLOOKUP($A19,'détails investissements'!$A$26:$DE$43,AF$3-VLOOKUP($A19,'détails investissements'!$A$71:$B$88,2,FALSE)+1,FALSE))),'détails investissements'!$U$6:$AB$7,2,FALSE),"")&lt;&gt;"",VLOOKUP($A19,'détails investissements'!$A$7:$H$21,1+IF(IF(AF$3-VLOOKUP($A19,'détails investissements'!$A$71:$B$88,2,FALSE)&lt;=0,"",IF(VLOOKUP($A19,'détails investissements'!$A$26:$DE$43,AF$3-VLOOKUP($A19,'détails investissements'!$A$71:$B$88,2,FALSE)+1,FALSE)="","",VLOOKUP($A19,'détails investissements'!$A$26:$DE$43,AF$3-VLOOKUP($A19,'détails investissements'!$A$71:$B$88,2,FALSE)+1,FALSE)))&lt;&gt;"",HLOOKUP(IF(AF$3-VLOOKUP($A19,'détails investissements'!$A$71:$B$88,2,FALSE)&lt;=0,"",IF(VLOOKUP($A19,'détails investissements'!$A$26:$DE$43,AF$3-VLOOKUP($A19,'détails investissements'!$A$71:$B$88,2,FALSE)+1,FALSE)="","",VLOOKUP($A19,'détails investissements'!$A$26:$DE$43,AF$3-VLOOKUP($A19,'détails investissements'!$A$71:$B$88,2,FALSE)+1,FALSE))),'détails investissements'!$U$6:$AB$7,2,FALSE),""),FALSE),"")</f>
        <v/>
      </c>
      <c r="AG19" s="45" t="str">
        <f>IF(IF(IF(AG$3-VLOOKUP($A19,'détails investissements'!$A$71:$B$88,2,FALSE)&lt;=0,"",IF(VLOOKUP($A19,'détails investissements'!$A$26:$DE$43,AG$3-VLOOKUP($A19,'détails investissements'!$A$71:$B$88,2,FALSE)+1,FALSE)="","",VLOOKUP($A19,'détails investissements'!$A$26:$DE$43,AG$3-VLOOKUP($A19,'détails investissements'!$A$71:$B$88,2,FALSE)+1,FALSE)))&lt;&gt;"",HLOOKUP(IF(AG$3-VLOOKUP($A19,'détails investissements'!$A$71:$B$88,2,FALSE)&lt;=0,"",IF(VLOOKUP($A19,'détails investissements'!$A$26:$DE$43,AG$3-VLOOKUP($A19,'détails investissements'!$A$71:$B$88,2,FALSE)+1,FALSE)="","",VLOOKUP($A19,'détails investissements'!$A$26:$DE$43,AG$3-VLOOKUP($A19,'détails investissements'!$A$71:$B$88,2,FALSE)+1,FALSE))),'détails investissements'!$U$6:$AB$7,2,FALSE),"")&lt;&gt;"",VLOOKUP($A19,'détails investissements'!$A$7:$H$21,1+IF(IF(AG$3-VLOOKUP($A19,'détails investissements'!$A$71:$B$88,2,FALSE)&lt;=0,"",IF(VLOOKUP($A19,'détails investissements'!$A$26:$DE$43,AG$3-VLOOKUP($A19,'détails investissements'!$A$71:$B$88,2,FALSE)+1,FALSE)="","",VLOOKUP($A19,'détails investissements'!$A$26:$DE$43,AG$3-VLOOKUP($A19,'détails investissements'!$A$71:$B$88,2,FALSE)+1,FALSE)))&lt;&gt;"",HLOOKUP(IF(AG$3-VLOOKUP($A19,'détails investissements'!$A$71:$B$88,2,FALSE)&lt;=0,"",IF(VLOOKUP($A19,'détails investissements'!$A$26:$DE$43,AG$3-VLOOKUP($A19,'détails investissements'!$A$71:$B$88,2,FALSE)+1,FALSE)="","",VLOOKUP($A19,'détails investissements'!$A$26:$DE$43,AG$3-VLOOKUP($A19,'détails investissements'!$A$71:$B$88,2,FALSE)+1,FALSE))),'détails investissements'!$U$6:$AB$7,2,FALSE),""),FALSE),"")</f>
        <v/>
      </c>
      <c r="AH19" s="45" t="str">
        <f>IF(IF(IF(AH$3-VLOOKUP($A19,'détails investissements'!$A$71:$B$88,2,FALSE)&lt;=0,"",IF(VLOOKUP($A19,'détails investissements'!$A$26:$DE$43,AH$3-VLOOKUP($A19,'détails investissements'!$A$71:$B$88,2,FALSE)+1,FALSE)="","",VLOOKUP($A19,'détails investissements'!$A$26:$DE$43,AH$3-VLOOKUP($A19,'détails investissements'!$A$71:$B$88,2,FALSE)+1,FALSE)))&lt;&gt;"",HLOOKUP(IF(AH$3-VLOOKUP($A19,'détails investissements'!$A$71:$B$88,2,FALSE)&lt;=0,"",IF(VLOOKUP($A19,'détails investissements'!$A$26:$DE$43,AH$3-VLOOKUP($A19,'détails investissements'!$A$71:$B$88,2,FALSE)+1,FALSE)="","",VLOOKUP($A19,'détails investissements'!$A$26:$DE$43,AH$3-VLOOKUP($A19,'détails investissements'!$A$71:$B$88,2,FALSE)+1,FALSE))),'détails investissements'!$U$6:$AB$7,2,FALSE),"")&lt;&gt;"",VLOOKUP($A19,'détails investissements'!$A$7:$H$21,1+IF(IF(AH$3-VLOOKUP($A19,'détails investissements'!$A$71:$B$88,2,FALSE)&lt;=0,"",IF(VLOOKUP($A19,'détails investissements'!$A$26:$DE$43,AH$3-VLOOKUP($A19,'détails investissements'!$A$71:$B$88,2,FALSE)+1,FALSE)="","",VLOOKUP($A19,'détails investissements'!$A$26:$DE$43,AH$3-VLOOKUP($A19,'détails investissements'!$A$71:$B$88,2,FALSE)+1,FALSE)))&lt;&gt;"",HLOOKUP(IF(AH$3-VLOOKUP($A19,'détails investissements'!$A$71:$B$88,2,FALSE)&lt;=0,"",IF(VLOOKUP($A19,'détails investissements'!$A$26:$DE$43,AH$3-VLOOKUP($A19,'détails investissements'!$A$71:$B$88,2,FALSE)+1,FALSE)="","",VLOOKUP($A19,'détails investissements'!$A$26:$DE$43,AH$3-VLOOKUP($A19,'détails investissements'!$A$71:$B$88,2,FALSE)+1,FALSE))),'détails investissements'!$U$6:$AB$7,2,FALSE),""),FALSE),"")</f>
        <v/>
      </c>
      <c r="AI19" s="45" t="str">
        <f>IF(IF(IF(AI$3-VLOOKUP($A19,'détails investissements'!$A$71:$B$88,2,FALSE)&lt;=0,"",IF(VLOOKUP($A19,'détails investissements'!$A$26:$DE$43,AI$3-VLOOKUP($A19,'détails investissements'!$A$71:$B$88,2,FALSE)+1,FALSE)="","",VLOOKUP($A19,'détails investissements'!$A$26:$DE$43,AI$3-VLOOKUP($A19,'détails investissements'!$A$71:$B$88,2,FALSE)+1,FALSE)))&lt;&gt;"",HLOOKUP(IF(AI$3-VLOOKUP($A19,'détails investissements'!$A$71:$B$88,2,FALSE)&lt;=0,"",IF(VLOOKUP($A19,'détails investissements'!$A$26:$DE$43,AI$3-VLOOKUP($A19,'détails investissements'!$A$71:$B$88,2,FALSE)+1,FALSE)="","",VLOOKUP($A19,'détails investissements'!$A$26:$DE$43,AI$3-VLOOKUP($A19,'détails investissements'!$A$71:$B$88,2,FALSE)+1,FALSE))),'détails investissements'!$U$6:$AB$7,2,FALSE),"")&lt;&gt;"",VLOOKUP($A19,'détails investissements'!$A$7:$H$21,1+IF(IF(AI$3-VLOOKUP($A19,'détails investissements'!$A$71:$B$88,2,FALSE)&lt;=0,"",IF(VLOOKUP($A19,'détails investissements'!$A$26:$DE$43,AI$3-VLOOKUP($A19,'détails investissements'!$A$71:$B$88,2,FALSE)+1,FALSE)="","",VLOOKUP($A19,'détails investissements'!$A$26:$DE$43,AI$3-VLOOKUP($A19,'détails investissements'!$A$71:$B$88,2,FALSE)+1,FALSE)))&lt;&gt;"",HLOOKUP(IF(AI$3-VLOOKUP($A19,'détails investissements'!$A$71:$B$88,2,FALSE)&lt;=0,"",IF(VLOOKUP($A19,'détails investissements'!$A$26:$DE$43,AI$3-VLOOKUP($A19,'détails investissements'!$A$71:$B$88,2,FALSE)+1,FALSE)="","",VLOOKUP($A19,'détails investissements'!$A$26:$DE$43,AI$3-VLOOKUP($A19,'détails investissements'!$A$71:$B$88,2,FALSE)+1,FALSE))),'détails investissements'!$U$6:$AB$7,2,FALSE),""),FALSE),"")</f>
        <v/>
      </c>
      <c r="AJ19" s="45" t="str">
        <f>IF(IF(IF(AJ$3-VLOOKUP($A19,'détails investissements'!$A$71:$B$88,2,FALSE)&lt;=0,"",IF(VLOOKUP($A19,'détails investissements'!$A$26:$DE$43,AJ$3-VLOOKUP($A19,'détails investissements'!$A$71:$B$88,2,FALSE)+1,FALSE)="","",VLOOKUP($A19,'détails investissements'!$A$26:$DE$43,AJ$3-VLOOKUP($A19,'détails investissements'!$A$71:$B$88,2,FALSE)+1,FALSE)))&lt;&gt;"",HLOOKUP(IF(AJ$3-VLOOKUP($A19,'détails investissements'!$A$71:$B$88,2,FALSE)&lt;=0,"",IF(VLOOKUP($A19,'détails investissements'!$A$26:$DE$43,AJ$3-VLOOKUP($A19,'détails investissements'!$A$71:$B$88,2,FALSE)+1,FALSE)="","",VLOOKUP($A19,'détails investissements'!$A$26:$DE$43,AJ$3-VLOOKUP($A19,'détails investissements'!$A$71:$B$88,2,FALSE)+1,FALSE))),'détails investissements'!$U$6:$AB$7,2,FALSE),"")&lt;&gt;"",VLOOKUP($A19,'détails investissements'!$A$7:$H$21,1+IF(IF(AJ$3-VLOOKUP($A19,'détails investissements'!$A$71:$B$88,2,FALSE)&lt;=0,"",IF(VLOOKUP($A19,'détails investissements'!$A$26:$DE$43,AJ$3-VLOOKUP($A19,'détails investissements'!$A$71:$B$88,2,FALSE)+1,FALSE)="","",VLOOKUP($A19,'détails investissements'!$A$26:$DE$43,AJ$3-VLOOKUP($A19,'détails investissements'!$A$71:$B$88,2,FALSE)+1,FALSE)))&lt;&gt;"",HLOOKUP(IF(AJ$3-VLOOKUP($A19,'détails investissements'!$A$71:$B$88,2,FALSE)&lt;=0,"",IF(VLOOKUP($A19,'détails investissements'!$A$26:$DE$43,AJ$3-VLOOKUP($A19,'détails investissements'!$A$71:$B$88,2,FALSE)+1,FALSE)="","",VLOOKUP($A19,'détails investissements'!$A$26:$DE$43,AJ$3-VLOOKUP($A19,'détails investissements'!$A$71:$B$88,2,FALSE)+1,FALSE))),'détails investissements'!$U$6:$AB$7,2,FALSE),""),FALSE),"")</f>
        <v/>
      </c>
      <c r="AK19" s="45">
        <f>IF(IF(IF(AK$3-VLOOKUP($A19,'détails investissements'!$A$71:$B$88,2,FALSE)&lt;=0,"",IF(VLOOKUP($A19,'détails investissements'!$A$26:$DE$43,AK$3-VLOOKUP($A19,'détails investissements'!$A$71:$B$88,2,FALSE)+1,FALSE)="","",VLOOKUP($A19,'détails investissements'!$A$26:$DE$43,AK$3-VLOOKUP($A19,'détails investissements'!$A$71:$B$88,2,FALSE)+1,FALSE)))&lt;&gt;"",HLOOKUP(IF(AK$3-VLOOKUP($A19,'détails investissements'!$A$71:$B$88,2,FALSE)&lt;=0,"",IF(VLOOKUP($A19,'détails investissements'!$A$26:$DE$43,AK$3-VLOOKUP($A19,'détails investissements'!$A$71:$B$88,2,FALSE)+1,FALSE)="","",VLOOKUP($A19,'détails investissements'!$A$26:$DE$43,AK$3-VLOOKUP($A19,'détails investissements'!$A$71:$B$88,2,FALSE)+1,FALSE))),'détails investissements'!$U$6:$AB$7,2,FALSE),"")&lt;&gt;"",VLOOKUP($A19,'détails investissements'!$A$7:$H$21,1+IF(IF(AK$3-VLOOKUP($A19,'détails investissements'!$A$71:$B$88,2,FALSE)&lt;=0,"",IF(VLOOKUP($A19,'détails investissements'!$A$26:$DE$43,AK$3-VLOOKUP($A19,'détails investissements'!$A$71:$B$88,2,FALSE)+1,FALSE)="","",VLOOKUP($A19,'détails investissements'!$A$26:$DE$43,AK$3-VLOOKUP($A19,'détails investissements'!$A$71:$B$88,2,FALSE)+1,FALSE)))&lt;&gt;"",HLOOKUP(IF(AK$3-VLOOKUP($A19,'détails investissements'!$A$71:$B$88,2,FALSE)&lt;=0,"",IF(VLOOKUP($A19,'détails investissements'!$A$26:$DE$43,AK$3-VLOOKUP($A19,'détails investissements'!$A$71:$B$88,2,FALSE)+1,FALSE)="","",VLOOKUP($A19,'détails investissements'!$A$26:$DE$43,AK$3-VLOOKUP($A19,'détails investissements'!$A$71:$B$88,2,FALSE)+1,FALSE))),'détails investissements'!$U$6:$AB$7,2,FALSE),""),FALSE),"")</f>
        <v>0.05</v>
      </c>
      <c r="AL19" s="45" t="str">
        <f>IF(IF(IF(AL$3-VLOOKUP($A19,'détails investissements'!$A$71:$B$88,2,FALSE)&lt;=0,"",IF(VLOOKUP($A19,'détails investissements'!$A$26:$DE$43,AL$3-VLOOKUP($A19,'détails investissements'!$A$71:$B$88,2,FALSE)+1,FALSE)="","",VLOOKUP($A19,'détails investissements'!$A$26:$DE$43,AL$3-VLOOKUP($A19,'détails investissements'!$A$71:$B$88,2,FALSE)+1,FALSE)))&lt;&gt;"",HLOOKUP(IF(AL$3-VLOOKUP($A19,'détails investissements'!$A$71:$B$88,2,FALSE)&lt;=0,"",IF(VLOOKUP($A19,'détails investissements'!$A$26:$DE$43,AL$3-VLOOKUP($A19,'détails investissements'!$A$71:$B$88,2,FALSE)+1,FALSE)="","",VLOOKUP($A19,'détails investissements'!$A$26:$DE$43,AL$3-VLOOKUP($A19,'détails investissements'!$A$71:$B$88,2,FALSE)+1,FALSE))),'détails investissements'!$U$6:$AB$7,2,FALSE),"")&lt;&gt;"",VLOOKUP($A19,'détails investissements'!$A$7:$H$21,1+IF(IF(AL$3-VLOOKUP($A19,'détails investissements'!$A$71:$B$88,2,FALSE)&lt;=0,"",IF(VLOOKUP($A19,'détails investissements'!$A$26:$DE$43,AL$3-VLOOKUP($A19,'détails investissements'!$A$71:$B$88,2,FALSE)+1,FALSE)="","",VLOOKUP($A19,'détails investissements'!$A$26:$DE$43,AL$3-VLOOKUP($A19,'détails investissements'!$A$71:$B$88,2,FALSE)+1,FALSE)))&lt;&gt;"",HLOOKUP(IF(AL$3-VLOOKUP($A19,'détails investissements'!$A$71:$B$88,2,FALSE)&lt;=0,"",IF(VLOOKUP($A19,'détails investissements'!$A$26:$DE$43,AL$3-VLOOKUP($A19,'détails investissements'!$A$71:$B$88,2,FALSE)+1,FALSE)="","",VLOOKUP($A19,'détails investissements'!$A$26:$DE$43,AL$3-VLOOKUP($A19,'détails investissements'!$A$71:$B$88,2,FALSE)+1,FALSE))),'détails investissements'!$U$6:$AB$7,2,FALSE),""),FALSE),"")</f>
        <v/>
      </c>
      <c r="AM19" s="45" t="str">
        <f>IF(IF(IF(AM$3-VLOOKUP($A19,'détails investissements'!$A$71:$B$88,2,FALSE)&lt;=0,"",IF(VLOOKUP($A19,'détails investissements'!$A$26:$DE$43,AM$3-VLOOKUP($A19,'détails investissements'!$A$71:$B$88,2,FALSE)+1,FALSE)="","",VLOOKUP($A19,'détails investissements'!$A$26:$DE$43,AM$3-VLOOKUP($A19,'détails investissements'!$A$71:$B$88,2,FALSE)+1,FALSE)))&lt;&gt;"",HLOOKUP(IF(AM$3-VLOOKUP($A19,'détails investissements'!$A$71:$B$88,2,FALSE)&lt;=0,"",IF(VLOOKUP($A19,'détails investissements'!$A$26:$DE$43,AM$3-VLOOKUP($A19,'détails investissements'!$A$71:$B$88,2,FALSE)+1,FALSE)="","",VLOOKUP($A19,'détails investissements'!$A$26:$DE$43,AM$3-VLOOKUP($A19,'détails investissements'!$A$71:$B$88,2,FALSE)+1,FALSE))),'détails investissements'!$U$6:$AB$7,2,FALSE),"")&lt;&gt;"",VLOOKUP($A19,'détails investissements'!$A$7:$H$21,1+IF(IF(AM$3-VLOOKUP($A19,'détails investissements'!$A$71:$B$88,2,FALSE)&lt;=0,"",IF(VLOOKUP($A19,'détails investissements'!$A$26:$DE$43,AM$3-VLOOKUP($A19,'détails investissements'!$A$71:$B$88,2,FALSE)+1,FALSE)="","",VLOOKUP($A19,'détails investissements'!$A$26:$DE$43,AM$3-VLOOKUP($A19,'détails investissements'!$A$71:$B$88,2,FALSE)+1,FALSE)))&lt;&gt;"",HLOOKUP(IF(AM$3-VLOOKUP($A19,'détails investissements'!$A$71:$B$88,2,FALSE)&lt;=0,"",IF(VLOOKUP($A19,'détails investissements'!$A$26:$DE$43,AM$3-VLOOKUP($A19,'détails investissements'!$A$71:$B$88,2,FALSE)+1,FALSE)="","",VLOOKUP($A19,'détails investissements'!$A$26:$DE$43,AM$3-VLOOKUP($A19,'détails investissements'!$A$71:$B$88,2,FALSE)+1,FALSE))),'détails investissements'!$U$6:$AB$7,2,FALSE),""),FALSE),"")</f>
        <v/>
      </c>
      <c r="AN19" s="45" t="str">
        <f>IF(IF(IF(AN$3-VLOOKUP($A19,'détails investissements'!$A$71:$B$88,2,FALSE)&lt;=0,"",IF(VLOOKUP($A19,'détails investissements'!$A$26:$DE$43,AN$3-VLOOKUP($A19,'détails investissements'!$A$71:$B$88,2,FALSE)+1,FALSE)="","",VLOOKUP($A19,'détails investissements'!$A$26:$DE$43,AN$3-VLOOKUP($A19,'détails investissements'!$A$71:$B$88,2,FALSE)+1,FALSE)))&lt;&gt;"",HLOOKUP(IF(AN$3-VLOOKUP($A19,'détails investissements'!$A$71:$B$88,2,FALSE)&lt;=0,"",IF(VLOOKUP($A19,'détails investissements'!$A$26:$DE$43,AN$3-VLOOKUP($A19,'détails investissements'!$A$71:$B$88,2,FALSE)+1,FALSE)="","",VLOOKUP($A19,'détails investissements'!$A$26:$DE$43,AN$3-VLOOKUP($A19,'détails investissements'!$A$71:$B$88,2,FALSE)+1,FALSE))),'détails investissements'!$U$6:$AB$7,2,FALSE),"")&lt;&gt;"",VLOOKUP($A19,'détails investissements'!$A$7:$H$21,1+IF(IF(AN$3-VLOOKUP($A19,'détails investissements'!$A$71:$B$88,2,FALSE)&lt;=0,"",IF(VLOOKUP($A19,'détails investissements'!$A$26:$DE$43,AN$3-VLOOKUP($A19,'détails investissements'!$A$71:$B$88,2,FALSE)+1,FALSE)="","",VLOOKUP($A19,'détails investissements'!$A$26:$DE$43,AN$3-VLOOKUP($A19,'détails investissements'!$A$71:$B$88,2,FALSE)+1,FALSE)))&lt;&gt;"",HLOOKUP(IF(AN$3-VLOOKUP($A19,'détails investissements'!$A$71:$B$88,2,FALSE)&lt;=0,"",IF(VLOOKUP($A19,'détails investissements'!$A$26:$DE$43,AN$3-VLOOKUP($A19,'détails investissements'!$A$71:$B$88,2,FALSE)+1,FALSE)="","",VLOOKUP($A19,'détails investissements'!$A$26:$DE$43,AN$3-VLOOKUP($A19,'détails investissements'!$A$71:$B$88,2,FALSE)+1,FALSE))),'détails investissements'!$U$6:$AB$7,2,FALSE),""),FALSE),"")</f>
        <v/>
      </c>
      <c r="AO19" s="45" t="str">
        <f>IF(IF(IF(AO$3-VLOOKUP($A19,'détails investissements'!$A$71:$B$88,2,FALSE)&lt;=0,"",IF(VLOOKUP($A19,'détails investissements'!$A$26:$DE$43,AO$3-VLOOKUP($A19,'détails investissements'!$A$71:$B$88,2,FALSE)+1,FALSE)="","",VLOOKUP($A19,'détails investissements'!$A$26:$DE$43,AO$3-VLOOKUP($A19,'détails investissements'!$A$71:$B$88,2,FALSE)+1,FALSE)))&lt;&gt;"",HLOOKUP(IF(AO$3-VLOOKUP($A19,'détails investissements'!$A$71:$B$88,2,FALSE)&lt;=0,"",IF(VLOOKUP($A19,'détails investissements'!$A$26:$DE$43,AO$3-VLOOKUP($A19,'détails investissements'!$A$71:$B$88,2,FALSE)+1,FALSE)="","",VLOOKUP($A19,'détails investissements'!$A$26:$DE$43,AO$3-VLOOKUP($A19,'détails investissements'!$A$71:$B$88,2,FALSE)+1,FALSE))),'détails investissements'!$U$6:$AB$7,2,FALSE),"")&lt;&gt;"",VLOOKUP($A19,'détails investissements'!$A$7:$H$21,1+IF(IF(AO$3-VLOOKUP($A19,'détails investissements'!$A$71:$B$88,2,FALSE)&lt;=0,"",IF(VLOOKUP($A19,'détails investissements'!$A$26:$DE$43,AO$3-VLOOKUP($A19,'détails investissements'!$A$71:$B$88,2,FALSE)+1,FALSE)="","",VLOOKUP($A19,'détails investissements'!$A$26:$DE$43,AO$3-VLOOKUP($A19,'détails investissements'!$A$71:$B$88,2,FALSE)+1,FALSE)))&lt;&gt;"",HLOOKUP(IF(AO$3-VLOOKUP($A19,'détails investissements'!$A$71:$B$88,2,FALSE)&lt;=0,"",IF(VLOOKUP($A19,'détails investissements'!$A$26:$DE$43,AO$3-VLOOKUP($A19,'détails investissements'!$A$71:$B$88,2,FALSE)+1,FALSE)="","",VLOOKUP($A19,'détails investissements'!$A$26:$DE$43,AO$3-VLOOKUP($A19,'détails investissements'!$A$71:$B$88,2,FALSE)+1,FALSE))),'détails investissements'!$U$6:$AB$7,2,FALSE),""),FALSE),"")</f>
        <v/>
      </c>
      <c r="AP19" s="45" t="str">
        <f>IF(IF(IF(AP$3-VLOOKUP($A19,'détails investissements'!$A$71:$B$88,2,FALSE)&lt;=0,"",IF(VLOOKUP($A19,'détails investissements'!$A$26:$DE$43,AP$3-VLOOKUP($A19,'détails investissements'!$A$71:$B$88,2,FALSE)+1,FALSE)="","",VLOOKUP($A19,'détails investissements'!$A$26:$DE$43,AP$3-VLOOKUP($A19,'détails investissements'!$A$71:$B$88,2,FALSE)+1,FALSE)))&lt;&gt;"",HLOOKUP(IF(AP$3-VLOOKUP($A19,'détails investissements'!$A$71:$B$88,2,FALSE)&lt;=0,"",IF(VLOOKUP($A19,'détails investissements'!$A$26:$DE$43,AP$3-VLOOKUP($A19,'détails investissements'!$A$71:$B$88,2,FALSE)+1,FALSE)="","",VLOOKUP($A19,'détails investissements'!$A$26:$DE$43,AP$3-VLOOKUP($A19,'détails investissements'!$A$71:$B$88,2,FALSE)+1,FALSE))),'détails investissements'!$U$6:$AB$7,2,FALSE),"")&lt;&gt;"",VLOOKUP($A19,'détails investissements'!$A$7:$H$21,1+IF(IF(AP$3-VLOOKUP($A19,'détails investissements'!$A$71:$B$88,2,FALSE)&lt;=0,"",IF(VLOOKUP($A19,'détails investissements'!$A$26:$DE$43,AP$3-VLOOKUP($A19,'détails investissements'!$A$71:$B$88,2,FALSE)+1,FALSE)="","",VLOOKUP($A19,'détails investissements'!$A$26:$DE$43,AP$3-VLOOKUP($A19,'détails investissements'!$A$71:$B$88,2,FALSE)+1,FALSE)))&lt;&gt;"",HLOOKUP(IF(AP$3-VLOOKUP($A19,'détails investissements'!$A$71:$B$88,2,FALSE)&lt;=0,"",IF(VLOOKUP($A19,'détails investissements'!$A$26:$DE$43,AP$3-VLOOKUP($A19,'détails investissements'!$A$71:$B$88,2,FALSE)+1,FALSE)="","",VLOOKUP($A19,'détails investissements'!$A$26:$DE$43,AP$3-VLOOKUP($A19,'détails investissements'!$A$71:$B$88,2,FALSE)+1,FALSE))),'détails investissements'!$U$6:$AB$7,2,FALSE),""),FALSE),"")</f>
        <v/>
      </c>
      <c r="AQ19" s="45" t="str">
        <f>IF(IF(IF(AQ$3-VLOOKUP($A19,'détails investissements'!$A$71:$B$88,2,FALSE)&lt;=0,"",IF(VLOOKUP($A19,'détails investissements'!$A$26:$DE$43,AQ$3-VLOOKUP($A19,'détails investissements'!$A$71:$B$88,2,FALSE)+1,FALSE)="","",VLOOKUP($A19,'détails investissements'!$A$26:$DE$43,AQ$3-VLOOKUP($A19,'détails investissements'!$A$71:$B$88,2,FALSE)+1,FALSE)))&lt;&gt;"",HLOOKUP(IF(AQ$3-VLOOKUP($A19,'détails investissements'!$A$71:$B$88,2,FALSE)&lt;=0,"",IF(VLOOKUP($A19,'détails investissements'!$A$26:$DE$43,AQ$3-VLOOKUP($A19,'détails investissements'!$A$71:$B$88,2,FALSE)+1,FALSE)="","",VLOOKUP($A19,'détails investissements'!$A$26:$DE$43,AQ$3-VLOOKUP($A19,'détails investissements'!$A$71:$B$88,2,FALSE)+1,FALSE))),'détails investissements'!$U$6:$AB$7,2,FALSE),"")&lt;&gt;"",VLOOKUP($A19,'détails investissements'!$A$7:$H$21,1+IF(IF(AQ$3-VLOOKUP($A19,'détails investissements'!$A$71:$B$88,2,FALSE)&lt;=0,"",IF(VLOOKUP($A19,'détails investissements'!$A$26:$DE$43,AQ$3-VLOOKUP($A19,'détails investissements'!$A$71:$B$88,2,FALSE)+1,FALSE)="","",VLOOKUP($A19,'détails investissements'!$A$26:$DE$43,AQ$3-VLOOKUP($A19,'détails investissements'!$A$71:$B$88,2,FALSE)+1,FALSE)))&lt;&gt;"",HLOOKUP(IF(AQ$3-VLOOKUP($A19,'détails investissements'!$A$71:$B$88,2,FALSE)&lt;=0,"",IF(VLOOKUP($A19,'détails investissements'!$A$26:$DE$43,AQ$3-VLOOKUP($A19,'détails investissements'!$A$71:$B$88,2,FALSE)+1,FALSE)="","",VLOOKUP($A19,'détails investissements'!$A$26:$DE$43,AQ$3-VLOOKUP($A19,'détails investissements'!$A$71:$B$88,2,FALSE)+1,FALSE))),'détails investissements'!$U$6:$AB$7,2,FALSE),""),FALSE),"")</f>
        <v/>
      </c>
      <c r="AR19" s="45" t="str">
        <f>IF(IF(IF(AR$3-VLOOKUP($A19,'détails investissements'!$A$71:$B$88,2,FALSE)&lt;=0,"",IF(VLOOKUP($A19,'détails investissements'!$A$26:$DE$43,AR$3-VLOOKUP($A19,'détails investissements'!$A$71:$B$88,2,FALSE)+1,FALSE)="","",VLOOKUP($A19,'détails investissements'!$A$26:$DE$43,AR$3-VLOOKUP($A19,'détails investissements'!$A$71:$B$88,2,FALSE)+1,FALSE)))&lt;&gt;"",HLOOKUP(IF(AR$3-VLOOKUP($A19,'détails investissements'!$A$71:$B$88,2,FALSE)&lt;=0,"",IF(VLOOKUP($A19,'détails investissements'!$A$26:$DE$43,AR$3-VLOOKUP($A19,'détails investissements'!$A$71:$B$88,2,FALSE)+1,FALSE)="","",VLOOKUP($A19,'détails investissements'!$A$26:$DE$43,AR$3-VLOOKUP($A19,'détails investissements'!$A$71:$B$88,2,FALSE)+1,FALSE))),'détails investissements'!$U$6:$AB$7,2,FALSE),"")&lt;&gt;"",VLOOKUP($A19,'détails investissements'!$A$7:$H$21,1+IF(IF(AR$3-VLOOKUP($A19,'détails investissements'!$A$71:$B$88,2,FALSE)&lt;=0,"",IF(VLOOKUP($A19,'détails investissements'!$A$26:$DE$43,AR$3-VLOOKUP($A19,'détails investissements'!$A$71:$B$88,2,FALSE)+1,FALSE)="","",VLOOKUP($A19,'détails investissements'!$A$26:$DE$43,AR$3-VLOOKUP($A19,'détails investissements'!$A$71:$B$88,2,FALSE)+1,FALSE)))&lt;&gt;"",HLOOKUP(IF(AR$3-VLOOKUP($A19,'détails investissements'!$A$71:$B$88,2,FALSE)&lt;=0,"",IF(VLOOKUP($A19,'détails investissements'!$A$26:$DE$43,AR$3-VLOOKUP($A19,'détails investissements'!$A$71:$B$88,2,FALSE)+1,FALSE)="","",VLOOKUP($A19,'détails investissements'!$A$26:$DE$43,AR$3-VLOOKUP($A19,'détails investissements'!$A$71:$B$88,2,FALSE)+1,FALSE))),'détails investissements'!$U$6:$AB$7,2,FALSE),""),FALSE),"")</f>
        <v/>
      </c>
      <c r="AS19" s="45" t="str">
        <f>IF(IF(IF(AS$3-VLOOKUP($A19,'détails investissements'!$A$71:$B$88,2,FALSE)&lt;=0,"",IF(VLOOKUP($A19,'détails investissements'!$A$26:$DE$43,AS$3-VLOOKUP($A19,'détails investissements'!$A$71:$B$88,2,FALSE)+1,FALSE)="","",VLOOKUP($A19,'détails investissements'!$A$26:$DE$43,AS$3-VLOOKUP($A19,'détails investissements'!$A$71:$B$88,2,FALSE)+1,FALSE)))&lt;&gt;"",HLOOKUP(IF(AS$3-VLOOKUP($A19,'détails investissements'!$A$71:$B$88,2,FALSE)&lt;=0,"",IF(VLOOKUP($A19,'détails investissements'!$A$26:$DE$43,AS$3-VLOOKUP($A19,'détails investissements'!$A$71:$B$88,2,FALSE)+1,FALSE)="","",VLOOKUP($A19,'détails investissements'!$A$26:$DE$43,AS$3-VLOOKUP($A19,'détails investissements'!$A$71:$B$88,2,FALSE)+1,FALSE))),'détails investissements'!$U$6:$AB$7,2,FALSE),"")&lt;&gt;"",VLOOKUP($A19,'détails investissements'!$A$7:$H$21,1+IF(IF(AS$3-VLOOKUP($A19,'détails investissements'!$A$71:$B$88,2,FALSE)&lt;=0,"",IF(VLOOKUP($A19,'détails investissements'!$A$26:$DE$43,AS$3-VLOOKUP($A19,'détails investissements'!$A$71:$B$88,2,FALSE)+1,FALSE)="","",VLOOKUP($A19,'détails investissements'!$A$26:$DE$43,AS$3-VLOOKUP($A19,'détails investissements'!$A$71:$B$88,2,FALSE)+1,FALSE)))&lt;&gt;"",HLOOKUP(IF(AS$3-VLOOKUP($A19,'détails investissements'!$A$71:$B$88,2,FALSE)&lt;=0,"",IF(VLOOKUP($A19,'détails investissements'!$A$26:$DE$43,AS$3-VLOOKUP($A19,'détails investissements'!$A$71:$B$88,2,FALSE)+1,FALSE)="","",VLOOKUP($A19,'détails investissements'!$A$26:$DE$43,AS$3-VLOOKUP($A19,'détails investissements'!$A$71:$B$88,2,FALSE)+1,FALSE))),'détails investissements'!$U$6:$AB$7,2,FALSE),""),FALSE),"")</f>
        <v/>
      </c>
      <c r="AT19" s="45" t="str">
        <f>IF(IF(IF(AT$3-VLOOKUP($A19,'détails investissements'!$A$71:$B$88,2,FALSE)&lt;=0,"",IF(VLOOKUP($A19,'détails investissements'!$A$26:$DE$43,AT$3-VLOOKUP($A19,'détails investissements'!$A$71:$B$88,2,FALSE)+1,FALSE)="","",VLOOKUP($A19,'détails investissements'!$A$26:$DE$43,AT$3-VLOOKUP($A19,'détails investissements'!$A$71:$B$88,2,FALSE)+1,FALSE)))&lt;&gt;"",HLOOKUP(IF(AT$3-VLOOKUP($A19,'détails investissements'!$A$71:$B$88,2,FALSE)&lt;=0,"",IF(VLOOKUP($A19,'détails investissements'!$A$26:$DE$43,AT$3-VLOOKUP($A19,'détails investissements'!$A$71:$B$88,2,FALSE)+1,FALSE)="","",VLOOKUP($A19,'détails investissements'!$A$26:$DE$43,AT$3-VLOOKUP($A19,'détails investissements'!$A$71:$B$88,2,FALSE)+1,FALSE))),'détails investissements'!$U$6:$AB$7,2,FALSE),"")&lt;&gt;"",VLOOKUP($A19,'détails investissements'!$A$7:$H$21,1+IF(IF(AT$3-VLOOKUP($A19,'détails investissements'!$A$71:$B$88,2,FALSE)&lt;=0,"",IF(VLOOKUP($A19,'détails investissements'!$A$26:$DE$43,AT$3-VLOOKUP($A19,'détails investissements'!$A$71:$B$88,2,FALSE)+1,FALSE)="","",VLOOKUP($A19,'détails investissements'!$A$26:$DE$43,AT$3-VLOOKUP($A19,'détails investissements'!$A$71:$B$88,2,FALSE)+1,FALSE)))&lt;&gt;"",HLOOKUP(IF(AT$3-VLOOKUP($A19,'détails investissements'!$A$71:$B$88,2,FALSE)&lt;=0,"",IF(VLOOKUP($A19,'détails investissements'!$A$26:$DE$43,AT$3-VLOOKUP($A19,'détails investissements'!$A$71:$B$88,2,FALSE)+1,FALSE)="","",VLOOKUP($A19,'détails investissements'!$A$26:$DE$43,AT$3-VLOOKUP($A19,'détails investissements'!$A$71:$B$88,2,FALSE)+1,FALSE))),'détails investissements'!$U$6:$AB$7,2,FALSE),""),FALSE),"")</f>
        <v/>
      </c>
      <c r="AU19" s="45" t="str">
        <f>IF(IF(IF(AU$3-VLOOKUP($A19,'détails investissements'!$A$71:$B$88,2,FALSE)&lt;=0,"",IF(VLOOKUP($A19,'détails investissements'!$A$26:$DE$43,AU$3-VLOOKUP($A19,'détails investissements'!$A$71:$B$88,2,FALSE)+1,FALSE)="","",VLOOKUP($A19,'détails investissements'!$A$26:$DE$43,AU$3-VLOOKUP($A19,'détails investissements'!$A$71:$B$88,2,FALSE)+1,FALSE)))&lt;&gt;"",HLOOKUP(IF(AU$3-VLOOKUP($A19,'détails investissements'!$A$71:$B$88,2,FALSE)&lt;=0,"",IF(VLOOKUP($A19,'détails investissements'!$A$26:$DE$43,AU$3-VLOOKUP($A19,'détails investissements'!$A$71:$B$88,2,FALSE)+1,FALSE)="","",VLOOKUP($A19,'détails investissements'!$A$26:$DE$43,AU$3-VLOOKUP($A19,'détails investissements'!$A$71:$B$88,2,FALSE)+1,FALSE))),'détails investissements'!$U$6:$AB$7,2,FALSE),"")&lt;&gt;"",VLOOKUP($A19,'détails investissements'!$A$7:$H$21,1+IF(IF(AU$3-VLOOKUP($A19,'détails investissements'!$A$71:$B$88,2,FALSE)&lt;=0,"",IF(VLOOKUP($A19,'détails investissements'!$A$26:$DE$43,AU$3-VLOOKUP($A19,'détails investissements'!$A$71:$B$88,2,FALSE)+1,FALSE)="","",VLOOKUP($A19,'détails investissements'!$A$26:$DE$43,AU$3-VLOOKUP($A19,'détails investissements'!$A$71:$B$88,2,FALSE)+1,FALSE)))&lt;&gt;"",HLOOKUP(IF(AU$3-VLOOKUP($A19,'détails investissements'!$A$71:$B$88,2,FALSE)&lt;=0,"",IF(VLOOKUP($A19,'détails investissements'!$A$26:$DE$43,AU$3-VLOOKUP($A19,'détails investissements'!$A$71:$B$88,2,FALSE)+1,FALSE)="","",VLOOKUP($A19,'détails investissements'!$A$26:$DE$43,AU$3-VLOOKUP($A19,'détails investissements'!$A$71:$B$88,2,FALSE)+1,FALSE))),'détails investissements'!$U$6:$AB$7,2,FALSE),""),FALSE),"")</f>
        <v/>
      </c>
      <c r="AV19" s="45" t="str">
        <f>IF(IF(IF(AV$3-VLOOKUP($A19,'détails investissements'!$A$71:$B$88,2,FALSE)&lt;=0,"",IF(VLOOKUP($A19,'détails investissements'!$A$26:$DE$43,AV$3-VLOOKUP($A19,'détails investissements'!$A$71:$B$88,2,FALSE)+1,FALSE)="","",VLOOKUP($A19,'détails investissements'!$A$26:$DE$43,AV$3-VLOOKUP($A19,'détails investissements'!$A$71:$B$88,2,FALSE)+1,FALSE)))&lt;&gt;"",HLOOKUP(IF(AV$3-VLOOKUP($A19,'détails investissements'!$A$71:$B$88,2,FALSE)&lt;=0,"",IF(VLOOKUP($A19,'détails investissements'!$A$26:$DE$43,AV$3-VLOOKUP($A19,'détails investissements'!$A$71:$B$88,2,FALSE)+1,FALSE)="","",VLOOKUP($A19,'détails investissements'!$A$26:$DE$43,AV$3-VLOOKUP($A19,'détails investissements'!$A$71:$B$88,2,FALSE)+1,FALSE))),'détails investissements'!$U$6:$AB$7,2,FALSE),"")&lt;&gt;"",VLOOKUP($A19,'détails investissements'!$A$7:$H$21,1+IF(IF(AV$3-VLOOKUP($A19,'détails investissements'!$A$71:$B$88,2,FALSE)&lt;=0,"",IF(VLOOKUP($A19,'détails investissements'!$A$26:$DE$43,AV$3-VLOOKUP($A19,'détails investissements'!$A$71:$B$88,2,FALSE)+1,FALSE)="","",VLOOKUP($A19,'détails investissements'!$A$26:$DE$43,AV$3-VLOOKUP($A19,'détails investissements'!$A$71:$B$88,2,FALSE)+1,FALSE)))&lt;&gt;"",HLOOKUP(IF(AV$3-VLOOKUP($A19,'détails investissements'!$A$71:$B$88,2,FALSE)&lt;=0,"",IF(VLOOKUP($A19,'détails investissements'!$A$26:$DE$43,AV$3-VLOOKUP($A19,'détails investissements'!$A$71:$B$88,2,FALSE)+1,FALSE)="","",VLOOKUP($A19,'détails investissements'!$A$26:$DE$43,AV$3-VLOOKUP($A19,'détails investissements'!$A$71:$B$88,2,FALSE)+1,FALSE))),'détails investissements'!$U$6:$AB$7,2,FALSE),""),FALSE),"")</f>
        <v/>
      </c>
      <c r="AW19" s="45" t="str">
        <f>IF(IF(IF(AW$3-VLOOKUP($A19,'détails investissements'!$A$71:$B$88,2,FALSE)&lt;=0,"",IF(VLOOKUP($A19,'détails investissements'!$A$26:$DE$43,AW$3-VLOOKUP($A19,'détails investissements'!$A$71:$B$88,2,FALSE)+1,FALSE)="","",VLOOKUP($A19,'détails investissements'!$A$26:$DE$43,AW$3-VLOOKUP($A19,'détails investissements'!$A$71:$B$88,2,FALSE)+1,FALSE)))&lt;&gt;"",HLOOKUP(IF(AW$3-VLOOKUP($A19,'détails investissements'!$A$71:$B$88,2,FALSE)&lt;=0,"",IF(VLOOKUP($A19,'détails investissements'!$A$26:$DE$43,AW$3-VLOOKUP($A19,'détails investissements'!$A$71:$B$88,2,FALSE)+1,FALSE)="","",VLOOKUP($A19,'détails investissements'!$A$26:$DE$43,AW$3-VLOOKUP($A19,'détails investissements'!$A$71:$B$88,2,FALSE)+1,FALSE))),'détails investissements'!$U$6:$AB$7,2,FALSE),"")&lt;&gt;"",VLOOKUP($A19,'détails investissements'!$A$7:$H$21,1+IF(IF(AW$3-VLOOKUP($A19,'détails investissements'!$A$71:$B$88,2,FALSE)&lt;=0,"",IF(VLOOKUP($A19,'détails investissements'!$A$26:$DE$43,AW$3-VLOOKUP($A19,'détails investissements'!$A$71:$B$88,2,FALSE)+1,FALSE)="","",VLOOKUP($A19,'détails investissements'!$A$26:$DE$43,AW$3-VLOOKUP($A19,'détails investissements'!$A$71:$B$88,2,FALSE)+1,FALSE)))&lt;&gt;"",HLOOKUP(IF(AW$3-VLOOKUP($A19,'détails investissements'!$A$71:$B$88,2,FALSE)&lt;=0,"",IF(VLOOKUP($A19,'détails investissements'!$A$26:$DE$43,AW$3-VLOOKUP($A19,'détails investissements'!$A$71:$B$88,2,FALSE)+1,FALSE)="","",VLOOKUP($A19,'détails investissements'!$A$26:$DE$43,AW$3-VLOOKUP($A19,'détails investissements'!$A$71:$B$88,2,FALSE)+1,FALSE))),'détails investissements'!$U$6:$AB$7,2,FALSE),""),FALSE),"")</f>
        <v/>
      </c>
      <c r="AX19" s="45" t="str">
        <f>IF(IF(IF(AX$3-VLOOKUP($A19,'détails investissements'!$A$71:$B$88,2,FALSE)&lt;=0,"",IF(VLOOKUP($A19,'détails investissements'!$A$26:$DE$43,AX$3-VLOOKUP($A19,'détails investissements'!$A$71:$B$88,2,FALSE)+1,FALSE)="","",VLOOKUP($A19,'détails investissements'!$A$26:$DE$43,AX$3-VLOOKUP($A19,'détails investissements'!$A$71:$B$88,2,FALSE)+1,FALSE)))&lt;&gt;"",HLOOKUP(IF(AX$3-VLOOKUP($A19,'détails investissements'!$A$71:$B$88,2,FALSE)&lt;=0,"",IF(VLOOKUP($A19,'détails investissements'!$A$26:$DE$43,AX$3-VLOOKUP($A19,'détails investissements'!$A$71:$B$88,2,FALSE)+1,FALSE)="","",VLOOKUP($A19,'détails investissements'!$A$26:$DE$43,AX$3-VLOOKUP($A19,'détails investissements'!$A$71:$B$88,2,FALSE)+1,FALSE))),'détails investissements'!$U$6:$AB$7,2,FALSE),"")&lt;&gt;"",VLOOKUP($A19,'détails investissements'!$A$7:$H$21,1+IF(IF(AX$3-VLOOKUP($A19,'détails investissements'!$A$71:$B$88,2,FALSE)&lt;=0,"",IF(VLOOKUP($A19,'détails investissements'!$A$26:$DE$43,AX$3-VLOOKUP($A19,'détails investissements'!$A$71:$B$88,2,FALSE)+1,FALSE)="","",VLOOKUP($A19,'détails investissements'!$A$26:$DE$43,AX$3-VLOOKUP($A19,'détails investissements'!$A$71:$B$88,2,FALSE)+1,FALSE)))&lt;&gt;"",HLOOKUP(IF(AX$3-VLOOKUP($A19,'détails investissements'!$A$71:$B$88,2,FALSE)&lt;=0,"",IF(VLOOKUP($A19,'détails investissements'!$A$26:$DE$43,AX$3-VLOOKUP($A19,'détails investissements'!$A$71:$B$88,2,FALSE)+1,FALSE)="","",VLOOKUP($A19,'détails investissements'!$A$26:$DE$43,AX$3-VLOOKUP($A19,'détails investissements'!$A$71:$B$88,2,FALSE)+1,FALSE))),'détails investissements'!$U$6:$AB$7,2,FALSE),""),FALSE),"")</f>
        <v/>
      </c>
      <c r="AY19" s="45" t="str">
        <f>IF(IF(IF(AY$3-VLOOKUP($A19,'détails investissements'!$A$71:$B$88,2,FALSE)&lt;=0,"",IF(VLOOKUP($A19,'détails investissements'!$A$26:$DE$43,AY$3-VLOOKUP($A19,'détails investissements'!$A$71:$B$88,2,FALSE)+1,FALSE)="","",VLOOKUP($A19,'détails investissements'!$A$26:$DE$43,AY$3-VLOOKUP($A19,'détails investissements'!$A$71:$B$88,2,FALSE)+1,FALSE)))&lt;&gt;"",HLOOKUP(IF(AY$3-VLOOKUP($A19,'détails investissements'!$A$71:$B$88,2,FALSE)&lt;=0,"",IF(VLOOKUP($A19,'détails investissements'!$A$26:$DE$43,AY$3-VLOOKUP($A19,'détails investissements'!$A$71:$B$88,2,FALSE)+1,FALSE)="","",VLOOKUP($A19,'détails investissements'!$A$26:$DE$43,AY$3-VLOOKUP($A19,'détails investissements'!$A$71:$B$88,2,FALSE)+1,FALSE))),'détails investissements'!$U$6:$AB$7,2,FALSE),"")&lt;&gt;"",VLOOKUP($A19,'détails investissements'!$A$7:$H$21,1+IF(IF(AY$3-VLOOKUP($A19,'détails investissements'!$A$71:$B$88,2,FALSE)&lt;=0,"",IF(VLOOKUP($A19,'détails investissements'!$A$26:$DE$43,AY$3-VLOOKUP($A19,'détails investissements'!$A$71:$B$88,2,FALSE)+1,FALSE)="","",VLOOKUP($A19,'détails investissements'!$A$26:$DE$43,AY$3-VLOOKUP($A19,'détails investissements'!$A$71:$B$88,2,FALSE)+1,FALSE)))&lt;&gt;"",HLOOKUP(IF(AY$3-VLOOKUP($A19,'détails investissements'!$A$71:$B$88,2,FALSE)&lt;=0,"",IF(VLOOKUP($A19,'détails investissements'!$A$26:$DE$43,AY$3-VLOOKUP($A19,'détails investissements'!$A$71:$B$88,2,FALSE)+1,FALSE)="","",VLOOKUP($A19,'détails investissements'!$A$26:$DE$43,AY$3-VLOOKUP($A19,'détails investissements'!$A$71:$B$88,2,FALSE)+1,FALSE))),'détails investissements'!$U$6:$AB$7,2,FALSE),""),FALSE),"")</f>
        <v/>
      </c>
      <c r="AZ19" s="45" t="str">
        <f>IF(IF(IF(AZ$3-VLOOKUP($A19,'détails investissements'!$A$71:$B$88,2,FALSE)&lt;=0,"",IF(VLOOKUP($A19,'détails investissements'!$A$26:$DE$43,AZ$3-VLOOKUP($A19,'détails investissements'!$A$71:$B$88,2,FALSE)+1,FALSE)="","",VLOOKUP($A19,'détails investissements'!$A$26:$DE$43,AZ$3-VLOOKUP($A19,'détails investissements'!$A$71:$B$88,2,FALSE)+1,FALSE)))&lt;&gt;"",HLOOKUP(IF(AZ$3-VLOOKUP($A19,'détails investissements'!$A$71:$B$88,2,FALSE)&lt;=0,"",IF(VLOOKUP($A19,'détails investissements'!$A$26:$DE$43,AZ$3-VLOOKUP($A19,'détails investissements'!$A$71:$B$88,2,FALSE)+1,FALSE)="","",VLOOKUP($A19,'détails investissements'!$A$26:$DE$43,AZ$3-VLOOKUP($A19,'détails investissements'!$A$71:$B$88,2,FALSE)+1,FALSE))),'détails investissements'!$U$6:$AB$7,2,FALSE),"")&lt;&gt;"",VLOOKUP($A19,'détails investissements'!$A$7:$H$21,1+IF(IF(AZ$3-VLOOKUP($A19,'détails investissements'!$A$71:$B$88,2,FALSE)&lt;=0,"",IF(VLOOKUP($A19,'détails investissements'!$A$26:$DE$43,AZ$3-VLOOKUP($A19,'détails investissements'!$A$71:$B$88,2,FALSE)+1,FALSE)="","",VLOOKUP($A19,'détails investissements'!$A$26:$DE$43,AZ$3-VLOOKUP($A19,'détails investissements'!$A$71:$B$88,2,FALSE)+1,FALSE)))&lt;&gt;"",HLOOKUP(IF(AZ$3-VLOOKUP($A19,'détails investissements'!$A$71:$B$88,2,FALSE)&lt;=0,"",IF(VLOOKUP($A19,'détails investissements'!$A$26:$DE$43,AZ$3-VLOOKUP($A19,'détails investissements'!$A$71:$B$88,2,FALSE)+1,FALSE)="","",VLOOKUP($A19,'détails investissements'!$A$26:$DE$43,AZ$3-VLOOKUP($A19,'détails investissements'!$A$71:$B$88,2,FALSE)+1,FALSE))),'détails investissements'!$U$6:$AB$7,2,FALSE),""),FALSE),"")</f>
        <v/>
      </c>
      <c r="BA19" s="45" t="str">
        <f>IF(IF(IF(BA$3-VLOOKUP($A19,'détails investissements'!$A$71:$B$88,2,FALSE)&lt;=0,"",IF(VLOOKUP($A19,'détails investissements'!$A$26:$DE$43,BA$3-VLOOKUP($A19,'détails investissements'!$A$71:$B$88,2,FALSE)+1,FALSE)="","",VLOOKUP($A19,'détails investissements'!$A$26:$DE$43,BA$3-VLOOKUP($A19,'détails investissements'!$A$71:$B$88,2,FALSE)+1,FALSE)))&lt;&gt;"",HLOOKUP(IF(BA$3-VLOOKUP($A19,'détails investissements'!$A$71:$B$88,2,FALSE)&lt;=0,"",IF(VLOOKUP($A19,'détails investissements'!$A$26:$DE$43,BA$3-VLOOKUP($A19,'détails investissements'!$A$71:$B$88,2,FALSE)+1,FALSE)="","",VLOOKUP($A19,'détails investissements'!$A$26:$DE$43,BA$3-VLOOKUP($A19,'détails investissements'!$A$71:$B$88,2,FALSE)+1,FALSE))),'détails investissements'!$U$6:$AB$7,2,FALSE),"")&lt;&gt;"",VLOOKUP($A19,'détails investissements'!$A$7:$H$21,1+IF(IF(BA$3-VLOOKUP($A19,'détails investissements'!$A$71:$B$88,2,FALSE)&lt;=0,"",IF(VLOOKUP($A19,'détails investissements'!$A$26:$DE$43,BA$3-VLOOKUP($A19,'détails investissements'!$A$71:$B$88,2,FALSE)+1,FALSE)="","",VLOOKUP($A19,'détails investissements'!$A$26:$DE$43,BA$3-VLOOKUP($A19,'détails investissements'!$A$71:$B$88,2,FALSE)+1,FALSE)))&lt;&gt;"",HLOOKUP(IF(BA$3-VLOOKUP($A19,'détails investissements'!$A$71:$B$88,2,FALSE)&lt;=0,"",IF(VLOOKUP($A19,'détails investissements'!$A$26:$DE$43,BA$3-VLOOKUP($A19,'détails investissements'!$A$71:$B$88,2,FALSE)+1,FALSE)="","",VLOOKUP($A19,'détails investissements'!$A$26:$DE$43,BA$3-VLOOKUP($A19,'détails investissements'!$A$71:$B$88,2,FALSE)+1,FALSE))),'détails investissements'!$U$6:$AB$7,2,FALSE),""),FALSE),"")</f>
        <v/>
      </c>
      <c r="BB19" s="45" t="str">
        <f>IF(IF(IF(BB$3-VLOOKUP($A19,'détails investissements'!$A$71:$B$88,2,FALSE)&lt;=0,"",IF(VLOOKUP($A19,'détails investissements'!$A$26:$DE$43,BB$3-VLOOKUP($A19,'détails investissements'!$A$71:$B$88,2,FALSE)+1,FALSE)="","",VLOOKUP($A19,'détails investissements'!$A$26:$DE$43,BB$3-VLOOKUP($A19,'détails investissements'!$A$71:$B$88,2,FALSE)+1,FALSE)))&lt;&gt;"",HLOOKUP(IF(BB$3-VLOOKUP($A19,'détails investissements'!$A$71:$B$88,2,FALSE)&lt;=0,"",IF(VLOOKUP($A19,'détails investissements'!$A$26:$DE$43,BB$3-VLOOKUP($A19,'détails investissements'!$A$71:$B$88,2,FALSE)+1,FALSE)="","",VLOOKUP($A19,'détails investissements'!$A$26:$DE$43,BB$3-VLOOKUP($A19,'détails investissements'!$A$71:$B$88,2,FALSE)+1,FALSE))),'détails investissements'!$U$6:$AB$7,2,FALSE),"")&lt;&gt;"",VLOOKUP($A19,'détails investissements'!$A$7:$H$21,1+IF(IF(BB$3-VLOOKUP($A19,'détails investissements'!$A$71:$B$88,2,FALSE)&lt;=0,"",IF(VLOOKUP($A19,'détails investissements'!$A$26:$DE$43,BB$3-VLOOKUP($A19,'détails investissements'!$A$71:$B$88,2,FALSE)+1,FALSE)="","",VLOOKUP($A19,'détails investissements'!$A$26:$DE$43,BB$3-VLOOKUP($A19,'détails investissements'!$A$71:$B$88,2,FALSE)+1,FALSE)))&lt;&gt;"",HLOOKUP(IF(BB$3-VLOOKUP($A19,'détails investissements'!$A$71:$B$88,2,FALSE)&lt;=0,"",IF(VLOOKUP($A19,'détails investissements'!$A$26:$DE$43,BB$3-VLOOKUP($A19,'détails investissements'!$A$71:$B$88,2,FALSE)+1,FALSE)="","",VLOOKUP($A19,'détails investissements'!$A$26:$DE$43,BB$3-VLOOKUP($A19,'détails investissements'!$A$71:$B$88,2,FALSE)+1,FALSE))),'détails investissements'!$U$6:$AB$7,2,FALSE),""),FALSE),"")</f>
        <v/>
      </c>
      <c r="BC19" s="45" t="str">
        <f>IF(IF(IF(BC$3-VLOOKUP($A19,'détails investissements'!$A$71:$B$88,2,FALSE)&lt;=0,"",IF(VLOOKUP($A19,'détails investissements'!$A$26:$DE$43,BC$3-VLOOKUP($A19,'détails investissements'!$A$71:$B$88,2,FALSE)+1,FALSE)="","",VLOOKUP($A19,'détails investissements'!$A$26:$DE$43,BC$3-VLOOKUP($A19,'détails investissements'!$A$71:$B$88,2,FALSE)+1,FALSE)))&lt;&gt;"",HLOOKUP(IF(BC$3-VLOOKUP($A19,'détails investissements'!$A$71:$B$88,2,FALSE)&lt;=0,"",IF(VLOOKUP($A19,'détails investissements'!$A$26:$DE$43,BC$3-VLOOKUP($A19,'détails investissements'!$A$71:$B$88,2,FALSE)+1,FALSE)="","",VLOOKUP($A19,'détails investissements'!$A$26:$DE$43,BC$3-VLOOKUP($A19,'détails investissements'!$A$71:$B$88,2,FALSE)+1,FALSE))),'détails investissements'!$U$6:$AB$7,2,FALSE),"")&lt;&gt;"",VLOOKUP($A19,'détails investissements'!$A$7:$H$21,1+IF(IF(BC$3-VLOOKUP($A19,'détails investissements'!$A$71:$B$88,2,FALSE)&lt;=0,"",IF(VLOOKUP($A19,'détails investissements'!$A$26:$DE$43,BC$3-VLOOKUP($A19,'détails investissements'!$A$71:$B$88,2,FALSE)+1,FALSE)="","",VLOOKUP($A19,'détails investissements'!$A$26:$DE$43,BC$3-VLOOKUP($A19,'détails investissements'!$A$71:$B$88,2,FALSE)+1,FALSE)))&lt;&gt;"",HLOOKUP(IF(BC$3-VLOOKUP($A19,'détails investissements'!$A$71:$B$88,2,FALSE)&lt;=0,"",IF(VLOOKUP($A19,'détails investissements'!$A$26:$DE$43,BC$3-VLOOKUP($A19,'détails investissements'!$A$71:$B$88,2,FALSE)+1,FALSE)="","",VLOOKUP($A19,'détails investissements'!$A$26:$DE$43,BC$3-VLOOKUP($A19,'détails investissements'!$A$71:$B$88,2,FALSE)+1,FALSE))),'détails investissements'!$U$6:$AB$7,2,FALSE),""),FALSE),"")</f>
        <v/>
      </c>
      <c r="BD19" s="45" t="str">
        <f>IF(IF(IF(BD$3-VLOOKUP($A19,'détails investissements'!$A$71:$B$88,2,FALSE)&lt;=0,"",IF(VLOOKUP($A19,'détails investissements'!$A$26:$DE$43,BD$3-VLOOKUP($A19,'détails investissements'!$A$71:$B$88,2,FALSE)+1,FALSE)="","",VLOOKUP($A19,'détails investissements'!$A$26:$DE$43,BD$3-VLOOKUP($A19,'détails investissements'!$A$71:$B$88,2,FALSE)+1,FALSE)))&lt;&gt;"",HLOOKUP(IF(BD$3-VLOOKUP($A19,'détails investissements'!$A$71:$B$88,2,FALSE)&lt;=0,"",IF(VLOOKUP($A19,'détails investissements'!$A$26:$DE$43,BD$3-VLOOKUP($A19,'détails investissements'!$A$71:$B$88,2,FALSE)+1,FALSE)="","",VLOOKUP($A19,'détails investissements'!$A$26:$DE$43,BD$3-VLOOKUP($A19,'détails investissements'!$A$71:$B$88,2,FALSE)+1,FALSE))),'détails investissements'!$U$6:$AB$7,2,FALSE),"")&lt;&gt;"",VLOOKUP($A19,'détails investissements'!$A$7:$H$21,1+IF(IF(BD$3-VLOOKUP($A19,'détails investissements'!$A$71:$B$88,2,FALSE)&lt;=0,"",IF(VLOOKUP($A19,'détails investissements'!$A$26:$DE$43,BD$3-VLOOKUP($A19,'détails investissements'!$A$71:$B$88,2,FALSE)+1,FALSE)="","",VLOOKUP($A19,'détails investissements'!$A$26:$DE$43,BD$3-VLOOKUP($A19,'détails investissements'!$A$71:$B$88,2,FALSE)+1,FALSE)))&lt;&gt;"",HLOOKUP(IF(BD$3-VLOOKUP($A19,'détails investissements'!$A$71:$B$88,2,FALSE)&lt;=0,"",IF(VLOOKUP($A19,'détails investissements'!$A$26:$DE$43,BD$3-VLOOKUP($A19,'détails investissements'!$A$71:$B$88,2,FALSE)+1,FALSE)="","",VLOOKUP($A19,'détails investissements'!$A$26:$DE$43,BD$3-VLOOKUP($A19,'détails investissements'!$A$71:$B$88,2,FALSE)+1,FALSE))),'détails investissements'!$U$6:$AB$7,2,FALSE),""),FALSE),"")</f>
        <v/>
      </c>
      <c r="BE19" s="45" t="str">
        <f>IF(IF(IF(BE$3-VLOOKUP($A19,'détails investissements'!$A$71:$B$88,2,FALSE)&lt;=0,"",IF(VLOOKUP($A19,'détails investissements'!$A$26:$DE$43,BE$3-VLOOKUP($A19,'détails investissements'!$A$71:$B$88,2,FALSE)+1,FALSE)="","",VLOOKUP($A19,'détails investissements'!$A$26:$DE$43,BE$3-VLOOKUP($A19,'détails investissements'!$A$71:$B$88,2,FALSE)+1,FALSE)))&lt;&gt;"",HLOOKUP(IF(BE$3-VLOOKUP($A19,'détails investissements'!$A$71:$B$88,2,FALSE)&lt;=0,"",IF(VLOOKUP($A19,'détails investissements'!$A$26:$DE$43,BE$3-VLOOKUP($A19,'détails investissements'!$A$71:$B$88,2,FALSE)+1,FALSE)="","",VLOOKUP($A19,'détails investissements'!$A$26:$DE$43,BE$3-VLOOKUP($A19,'détails investissements'!$A$71:$B$88,2,FALSE)+1,FALSE))),'détails investissements'!$U$6:$AB$7,2,FALSE),"")&lt;&gt;"",VLOOKUP($A19,'détails investissements'!$A$7:$H$21,1+IF(IF(BE$3-VLOOKUP($A19,'détails investissements'!$A$71:$B$88,2,FALSE)&lt;=0,"",IF(VLOOKUP($A19,'détails investissements'!$A$26:$DE$43,BE$3-VLOOKUP($A19,'détails investissements'!$A$71:$B$88,2,FALSE)+1,FALSE)="","",VLOOKUP($A19,'détails investissements'!$A$26:$DE$43,BE$3-VLOOKUP($A19,'détails investissements'!$A$71:$B$88,2,FALSE)+1,FALSE)))&lt;&gt;"",HLOOKUP(IF(BE$3-VLOOKUP($A19,'détails investissements'!$A$71:$B$88,2,FALSE)&lt;=0,"",IF(VLOOKUP($A19,'détails investissements'!$A$26:$DE$43,BE$3-VLOOKUP($A19,'détails investissements'!$A$71:$B$88,2,FALSE)+1,FALSE)="","",VLOOKUP($A19,'détails investissements'!$A$26:$DE$43,BE$3-VLOOKUP($A19,'détails investissements'!$A$71:$B$88,2,FALSE)+1,FALSE))),'détails investissements'!$U$6:$AB$7,2,FALSE),""),FALSE),"")</f>
        <v/>
      </c>
      <c r="BF19" s="45" t="str">
        <f>IF(IF(IF(BF$3-VLOOKUP($A19,'détails investissements'!$A$71:$B$88,2,FALSE)&lt;=0,"",IF(VLOOKUP($A19,'détails investissements'!$A$26:$DE$43,BF$3-VLOOKUP($A19,'détails investissements'!$A$71:$B$88,2,FALSE)+1,FALSE)="","",VLOOKUP($A19,'détails investissements'!$A$26:$DE$43,BF$3-VLOOKUP($A19,'détails investissements'!$A$71:$B$88,2,FALSE)+1,FALSE)))&lt;&gt;"",HLOOKUP(IF(BF$3-VLOOKUP($A19,'détails investissements'!$A$71:$B$88,2,FALSE)&lt;=0,"",IF(VLOOKUP($A19,'détails investissements'!$A$26:$DE$43,BF$3-VLOOKUP($A19,'détails investissements'!$A$71:$B$88,2,FALSE)+1,FALSE)="","",VLOOKUP($A19,'détails investissements'!$A$26:$DE$43,BF$3-VLOOKUP($A19,'détails investissements'!$A$71:$B$88,2,FALSE)+1,FALSE))),'détails investissements'!$U$6:$AB$7,2,FALSE),"")&lt;&gt;"",VLOOKUP($A19,'détails investissements'!$A$7:$H$21,1+IF(IF(BF$3-VLOOKUP($A19,'détails investissements'!$A$71:$B$88,2,FALSE)&lt;=0,"",IF(VLOOKUP($A19,'détails investissements'!$A$26:$DE$43,BF$3-VLOOKUP($A19,'détails investissements'!$A$71:$B$88,2,FALSE)+1,FALSE)="","",VLOOKUP($A19,'détails investissements'!$A$26:$DE$43,BF$3-VLOOKUP($A19,'détails investissements'!$A$71:$B$88,2,FALSE)+1,FALSE)))&lt;&gt;"",HLOOKUP(IF(BF$3-VLOOKUP($A19,'détails investissements'!$A$71:$B$88,2,FALSE)&lt;=0,"",IF(VLOOKUP($A19,'détails investissements'!$A$26:$DE$43,BF$3-VLOOKUP($A19,'détails investissements'!$A$71:$B$88,2,FALSE)+1,FALSE)="","",VLOOKUP($A19,'détails investissements'!$A$26:$DE$43,BF$3-VLOOKUP($A19,'détails investissements'!$A$71:$B$88,2,FALSE)+1,FALSE))),'détails investissements'!$U$6:$AB$7,2,FALSE),""),FALSE),"")</f>
        <v/>
      </c>
      <c r="BG19" s="45" t="str">
        <f>IF(IF(IF(BG$3-VLOOKUP($A19,'détails investissements'!$A$71:$B$88,2,FALSE)&lt;=0,"",IF(VLOOKUP($A19,'détails investissements'!$A$26:$DE$43,BG$3-VLOOKUP($A19,'détails investissements'!$A$71:$B$88,2,FALSE)+1,FALSE)="","",VLOOKUP($A19,'détails investissements'!$A$26:$DE$43,BG$3-VLOOKUP($A19,'détails investissements'!$A$71:$B$88,2,FALSE)+1,FALSE)))&lt;&gt;"",HLOOKUP(IF(BG$3-VLOOKUP($A19,'détails investissements'!$A$71:$B$88,2,FALSE)&lt;=0,"",IF(VLOOKUP($A19,'détails investissements'!$A$26:$DE$43,BG$3-VLOOKUP($A19,'détails investissements'!$A$71:$B$88,2,FALSE)+1,FALSE)="","",VLOOKUP($A19,'détails investissements'!$A$26:$DE$43,BG$3-VLOOKUP($A19,'détails investissements'!$A$71:$B$88,2,FALSE)+1,FALSE))),'détails investissements'!$U$6:$AB$7,2,FALSE),"")&lt;&gt;"",VLOOKUP($A19,'détails investissements'!$A$7:$H$21,1+IF(IF(BG$3-VLOOKUP($A19,'détails investissements'!$A$71:$B$88,2,FALSE)&lt;=0,"",IF(VLOOKUP($A19,'détails investissements'!$A$26:$DE$43,BG$3-VLOOKUP($A19,'détails investissements'!$A$71:$B$88,2,FALSE)+1,FALSE)="","",VLOOKUP($A19,'détails investissements'!$A$26:$DE$43,BG$3-VLOOKUP($A19,'détails investissements'!$A$71:$B$88,2,FALSE)+1,FALSE)))&lt;&gt;"",HLOOKUP(IF(BG$3-VLOOKUP($A19,'détails investissements'!$A$71:$B$88,2,FALSE)&lt;=0,"",IF(VLOOKUP($A19,'détails investissements'!$A$26:$DE$43,BG$3-VLOOKUP($A19,'détails investissements'!$A$71:$B$88,2,FALSE)+1,FALSE)="","",VLOOKUP($A19,'détails investissements'!$A$26:$DE$43,BG$3-VLOOKUP($A19,'détails investissements'!$A$71:$B$88,2,FALSE)+1,FALSE))),'détails investissements'!$U$6:$AB$7,2,FALSE),""),FALSE),"")</f>
        <v/>
      </c>
      <c r="BH19" s="45" t="str">
        <f>IF(IF(IF(BH$3-VLOOKUP($A19,'détails investissements'!$A$71:$B$88,2,FALSE)&lt;=0,"",IF(VLOOKUP($A19,'détails investissements'!$A$26:$DE$43,BH$3-VLOOKUP($A19,'détails investissements'!$A$71:$B$88,2,FALSE)+1,FALSE)="","",VLOOKUP($A19,'détails investissements'!$A$26:$DE$43,BH$3-VLOOKUP($A19,'détails investissements'!$A$71:$B$88,2,FALSE)+1,FALSE)))&lt;&gt;"",HLOOKUP(IF(BH$3-VLOOKUP($A19,'détails investissements'!$A$71:$B$88,2,FALSE)&lt;=0,"",IF(VLOOKUP($A19,'détails investissements'!$A$26:$DE$43,BH$3-VLOOKUP($A19,'détails investissements'!$A$71:$B$88,2,FALSE)+1,FALSE)="","",VLOOKUP($A19,'détails investissements'!$A$26:$DE$43,BH$3-VLOOKUP($A19,'détails investissements'!$A$71:$B$88,2,FALSE)+1,FALSE))),'détails investissements'!$U$6:$AB$7,2,FALSE),"")&lt;&gt;"",VLOOKUP($A19,'détails investissements'!$A$7:$H$21,1+IF(IF(BH$3-VLOOKUP($A19,'détails investissements'!$A$71:$B$88,2,FALSE)&lt;=0,"",IF(VLOOKUP($A19,'détails investissements'!$A$26:$DE$43,BH$3-VLOOKUP($A19,'détails investissements'!$A$71:$B$88,2,FALSE)+1,FALSE)="","",VLOOKUP($A19,'détails investissements'!$A$26:$DE$43,BH$3-VLOOKUP($A19,'détails investissements'!$A$71:$B$88,2,FALSE)+1,FALSE)))&lt;&gt;"",HLOOKUP(IF(BH$3-VLOOKUP($A19,'détails investissements'!$A$71:$B$88,2,FALSE)&lt;=0,"",IF(VLOOKUP($A19,'détails investissements'!$A$26:$DE$43,BH$3-VLOOKUP($A19,'détails investissements'!$A$71:$B$88,2,FALSE)+1,FALSE)="","",VLOOKUP($A19,'détails investissements'!$A$26:$DE$43,BH$3-VLOOKUP($A19,'détails investissements'!$A$71:$B$88,2,FALSE)+1,FALSE))),'détails investissements'!$U$6:$AB$7,2,FALSE),""),FALSE),"")</f>
        <v/>
      </c>
      <c r="BI19" s="45" t="str">
        <f>IF(IF(IF(BI$3-VLOOKUP($A19,'détails investissements'!$A$71:$B$88,2,FALSE)&lt;=0,"",IF(VLOOKUP($A19,'détails investissements'!$A$26:$DE$43,BI$3-VLOOKUP($A19,'détails investissements'!$A$71:$B$88,2,FALSE)+1,FALSE)="","",VLOOKUP($A19,'détails investissements'!$A$26:$DE$43,BI$3-VLOOKUP($A19,'détails investissements'!$A$71:$B$88,2,FALSE)+1,FALSE)))&lt;&gt;"",HLOOKUP(IF(BI$3-VLOOKUP($A19,'détails investissements'!$A$71:$B$88,2,FALSE)&lt;=0,"",IF(VLOOKUP($A19,'détails investissements'!$A$26:$DE$43,BI$3-VLOOKUP($A19,'détails investissements'!$A$71:$B$88,2,FALSE)+1,FALSE)="","",VLOOKUP($A19,'détails investissements'!$A$26:$DE$43,BI$3-VLOOKUP($A19,'détails investissements'!$A$71:$B$88,2,FALSE)+1,FALSE))),'détails investissements'!$U$6:$AB$7,2,FALSE),"")&lt;&gt;"",VLOOKUP($A19,'détails investissements'!$A$7:$H$21,1+IF(IF(BI$3-VLOOKUP($A19,'détails investissements'!$A$71:$B$88,2,FALSE)&lt;=0,"",IF(VLOOKUP($A19,'détails investissements'!$A$26:$DE$43,BI$3-VLOOKUP($A19,'détails investissements'!$A$71:$B$88,2,FALSE)+1,FALSE)="","",VLOOKUP($A19,'détails investissements'!$A$26:$DE$43,BI$3-VLOOKUP($A19,'détails investissements'!$A$71:$B$88,2,FALSE)+1,FALSE)))&lt;&gt;"",HLOOKUP(IF(BI$3-VLOOKUP($A19,'détails investissements'!$A$71:$B$88,2,FALSE)&lt;=0,"",IF(VLOOKUP($A19,'détails investissements'!$A$26:$DE$43,BI$3-VLOOKUP($A19,'détails investissements'!$A$71:$B$88,2,FALSE)+1,FALSE)="","",VLOOKUP($A19,'détails investissements'!$A$26:$DE$43,BI$3-VLOOKUP($A19,'détails investissements'!$A$71:$B$88,2,FALSE)+1,FALSE))),'détails investissements'!$U$6:$AB$7,2,FALSE),""),FALSE),"")</f>
        <v/>
      </c>
      <c r="BJ19" s="45" t="str">
        <f>IF(IF(IF(BJ$3-VLOOKUP($A19,'détails investissements'!$A$71:$B$88,2,FALSE)&lt;=0,"",IF(VLOOKUP($A19,'détails investissements'!$A$26:$DE$43,BJ$3-VLOOKUP($A19,'détails investissements'!$A$71:$B$88,2,FALSE)+1,FALSE)="","",VLOOKUP($A19,'détails investissements'!$A$26:$DE$43,BJ$3-VLOOKUP($A19,'détails investissements'!$A$71:$B$88,2,FALSE)+1,FALSE)))&lt;&gt;"",HLOOKUP(IF(BJ$3-VLOOKUP($A19,'détails investissements'!$A$71:$B$88,2,FALSE)&lt;=0,"",IF(VLOOKUP($A19,'détails investissements'!$A$26:$DE$43,BJ$3-VLOOKUP($A19,'détails investissements'!$A$71:$B$88,2,FALSE)+1,FALSE)="","",VLOOKUP($A19,'détails investissements'!$A$26:$DE$43,BJ$3-VLOOKUP($A19,'détails investissements'!$A$71:$B$88,2,FALSE)+1,FALSE))),'détails investissements'!$U$6:$AB$7,2,FALSE),"")&lt;&gt;"",VLOOKUP($A19,'détails investissements'!$A$7:$H$21,1+IF(IF(BJ$3-VLOOKUP($A19,'détails investissements'!$A$71:$B$88,2,FALSE)&lt;=0,"",IF(VLOOKUP($A19,'détails investissements'!$A$26:$DE$43,BJ$3-VLOOKUP($A19,'détails investissements'!$A$71:$B$88,2,FALSE)+1,FALSE)="","",VLOOKUP($A19,'détails investissements'!$A$26:$DE$43,BJ$3-VLOOKUP($A19,'détails investissements'!$A$71:$B$88,2,FALSE)+1,FALSE)))&lt;&gt;"",HLOOKUP(IF(BJ$3-VLOOKUP($A19,'détails investissements'!$A$71:$B$88,2,FALSE)&lt;=0,"",IF(VLOOKUP($A19,'détails investissements'!$A$26:$DE$43,BJ$3-VLOOKUP($A19,'détails investissements'!$A$71:$B$88,2,FALSE)+1,FALSE)="","",VLOOKUP($A19,'détails investissements'!$A$26:$DE$43,BJ$3-VLOOKUP($A19,'détails investissements'!$A$71:$B$88,2,FALSE)+1,FALSE))),'détails investissements'!$U$6:$AB$7,2,FALSE),""),FALSE),"")</f>
        <v/>
      </c>
      <c r="BK19" s="45" t="str">
        <f>IF(IF(IF(BK$3-VLOOKUP($A19,'détails investissements'!$A$71:$B$88,2,FALSE)&lt;=0,"",IF(VLOOKUP($A19,'détails investissements'!$A$26:$DE$43,BK$3-VLOOKUP($A19,'détails investissements'!$A$71:$B$88,2,FALSE)+1,FALSE)="","",VLOOKUP($A19,'détails investissements'!$A$26:$DE$43,BK$3-VLOOKUP($A19,'détails investissements'!$A$71:$B$88,2,FALSE)+1,FALSE)))&lt;&gt;"",HLOOKUP(IF(BK$3-VLOOKUP($A19,'détails investissements'!$A$71:$B$88,2,FALSE)&lt;=0,"",IF(VLOOKUP($A19,'détails investissements'!$A$26:$DE$43,BK$3-VLOOKUP($A19,'détails investissements'!$A$71:$B$88,2,FALSE)+1,FALSE)="","",VLOOKUP($A19,'détails investissements'!$A$26:$DE$43,BK$3-VLOOKUP($A19,'détails investissements'!$A$71:$B$88,2,FALSE)+1,FALSE))),'détails investissements'!$U$6:$AB$7,2,FALSE),"")&lt;&gt;"",VLOOKUP($A19,'détails investissements'!$A$7:$H$21,1+IF(IF(BK$3-VLOOKUP($A19,'détails investissements'!$A$71:$B$88,2,FALSE)&lt;=0,"",IF(VLOOKUP($A19,'détails investissements'!$A$26:$DE$43,BK$3-VLOOKUP($A19,'détails investissements'!$A$71:$B$88,2,FALSE)+1,FALSE)="","",VLOOKUP($A19,'détails investissements'!$A$26:$DE$43,BK$3-VLOOKUP($A19,'détails investissements'!$A$71:$B$88,2,FALSE)+1,FALSE)))&lt;&gt;"",HLOOKUP(IF(BK$3-VLOOKUP($A19,'détails investissements'!$A$71:$B$88,2,FALSE)&lt;=0,"",IF(VLOOKUP($A19,'détails investissements'!$A$26:$DE$43,BK$3-VLOOKUP($A19,'détails investissements'!$A$71:$B$88,2,FALSE)+1,FALSE)="","",VLOOKUP($A19,'détails investissements'!$A$26:$DE$43,BK$3-VLOOKUP($A19,'détails investissements'!$A$71:$B$88,2,FALSE)+1,FALSE))),'détails investissements'!$U$6:$AB$7,2,FALSE),""),FALSE),"")</f>
        <v/>
      </c>
      <c r="BL19" s="45" t="str">
        <f>IF(IF(IF(BL$3-VLOOKUP($A19,'détails investissements'!$A$71:$B$88,2,FALSE)&lt;=0,"",IF(VLOOKUP($A19,'détails investissements'!$A$26:$DE$43,BL$3-VLOOKUP($A19,'détails investissements'!$A$71:$B$88,2,FALSE)+1,FALSE)="","",VLOOKUP($A19,'détails investissements'!$A$26:$DE$43,BL$3-VLOOKUP($A19,'détails investissements'!$A$71:$B$88,2,FALSE)+1,FALSE)))&lt;&gt;"",HLOOKUP(IF(BL$3-VLOOKUP($A19,'détails investissements'!$A$71:$B$88,2,FALSE)&lt;=0,"",IF(VLOOKUP($A19,'détails investissements'!$A$26:$DE$43,BL$3-VLOOKUP($A19,'détails investissements'!$A$71:$B$88,2,FALSE)+1,FALSE)="","",VLOOKUP($A19,'détails investissements'!$A$26:$DE$43,BL$3-VLOOKUP($A19,'détails investissements'!$A$71:$B$88,2,FALSE)+1,FALSE))),'détails investissements'!$U$6:$AB$7,2,FALSE),"")&lt;&gt;"",VLOOKUP($A19,'détails investissements'!$A$7:$H$21,1+IF(IF(BL$3-VLOOKUP($A19,'détails investissements'!$A$71:$B$88,2,FALSE)&lt;=0,"",IF(VLOOKUP($A19,'détails investissements'!$A$26:$DE$43,BL$3-VLOOKUP($A19,'détails investissements'!$A$71:$B$88,2,FALSE)+1,FALSE)="","",VLOOKUP($A19,'détails investissements'!$A$26:$DE$43,BL$3-VLOOKUP($A19,'détails investissements'!$A$71:$B$88,2,FALSE)+1,FALSE)))&lt;&gt;"",HLOOKUP(IF(BL$3-VLOOKUP($A19,'détails investissements'!$A$71:$B$88,2,FALSE)&lt;=0,"",IF(VLOOKUP($A19,'détails investissements'!$A$26:$DE$43,BL$3-VLOOKUP($A19,'détails investissements'!$A$71:$B$88,2,FALSE)+1,FALSE)="","",VLOOKUP($A19,'détails investissements'!$A$26:$DE$43,BL$3-VLOOKUP($A19,'détails investissements'!$A$71:$B$88,2,FALSE)+1,FALSE))),'détails investissements'!$U$6:$AB$7,2,FALSE),""),FALSE),"")</f>
        <v/>
      </c>
      <c r="BM19" s="45" t="str">
        <f>IF(IF(IF(BM$3-VLOOKUP($A19,'détails investissements'!$A$71:$B$88,2,FALSE)&lt;=0,"",IF(VLOOKUP($A19,'détails investissements'!$A$26:$DE$43,BM$3-VLOOKUP($A19,'détails investissements'!$A$71:$B$88,2,FALSE)+1,FALSE)="","",VLOOKUP($A19,'détails investissements'!$A$26:$DE$43,BM$3-VLOOKUP($A19,'détails investissements'!$A$71:$B$88,2,FALSE)+1,FALSE)))&lt;&gt;"",HLOOKUP(IF(BM$3-VLOOKUP($A19,'détails investissements'!$A$71:$B$88,2,FALSE)&lt;=0,"",IF(VLOOKUP($A19,'détails investissements'!$A$26:$DE$43,BM$3-VLOOKUP($A19,'détails investissements'!$A$71:$B$88,2,FALSE)+1,FALSE)="","",VLOOKUP($A19,'détails investissements'!$A$26:$DE$43,BM$3-VLOOKUP($A19,'détails investissements'!$A$71:$B$88,2,FALSE)+1,FALSE))),'détails investissements'!$U$6:$AB$7,2,FALSE),"")&lt;&gt;"",VLOOKUP($A19,'détails investissements'!$A$7:$H$21,1+IF(IF(BM$3-VLOOKUP($A19,'détails investissements'!$A$71:$B$88,2,FALSE)&lt;=0,"",IF(VLOOKUP($A19,'détails investissements'!$A$26:$DE$43,BM$3-VLOOKUP($A19,'détails investissements'!$A$71:$B$88,2,FALSE)+1,FALSE)="","",VLOOKUP($A19,'détails investissements'!$A$26:$DE$43,BM$3-VLOOKUP($A19,'détails investissements'!$A$71:$B$88,2,FALSE)+1,FALSE)))&lt;&gt;"",HLOOKUP(IF(BM$3-VLOOKUP($A19,'détails investissements'!$A$71:$B$88,2,FALSE)&lt;=0,"",IF(VLOOKUP($A19,'détails investissements'!$A$26:$DE$43,BM$3-VLOOKUP($A19,'détails investissements'!$A$71:$B$88,2,FALSE)+1,FALSE)="","",VLOOKUP($A19,'détails investissements'!$A$26:$DE$43,BM$3-VLOOKUP($A19,'détails investissements'!$A$71:$B$88,2,FALSE)+1,FALSE))),'détails investissements'!$U$6:$AB$7,2,FALSE),""),FALSE),"")</f>
        <v/>
      </c>
      <c r="BN19" s="45" t="str">
        <f>IF(IF(IF(BN$3-VLOOKUP($A19,'détails investissements'!$A$71:$B$88,2,FALSE)&lt;=0,"",IF(VLOOKUP($A19,'détails investissements'!$A$26:$DE$43,BN$3-VLOOKUP($A19,'détails investissements'!$A$71:$B$88,2,FALSE)+1,FALSE)="","",VLOOKUP($A19,'détails investissements'!$A$26:$DE$43,BN$3-VLOOKUP($A19,'détails investissements'!$A$71:$B$88,2,FALSE)+1,FALSE)))&lt;&gt;"",HLOOKUP(IF(BN$3-VLOOKUP($A19,'détails investissements'!$A$71:$B$88,2,FALSE)&lt;=0,"",IF(VLOOKUP($A19,'détails investissements'!$A$26:$DE$43,BN$3-VLOOKUP($A19,'détails investissements'!$A$71:$B$88,2,FALSE)+1,FALSE)="","",VLOOKUP($A19,'détails investissements'!$A$26:$DE$43,BN$3-VLOOKUP($A19,'détails investissements'!$A$71:$B$88,2,FALSE)+1,FALSE))),'détails investissements'!$U$6:$AB$7,2,FALSE),"")&lt;&gt;"",VLOOKUP($A19,'détails investissements'!$A$7:$H$21,1+IF(IF(BN$3-VLOOKUP($A19,'détails investissements'!$A$71:$B$88,2,FALSE)&lt;=0,"",IF(VLOOKUP($A19,'détails investissements'!$A$26:$DE$43,BN$3-VLOOKUP($A19,'détails investissements'!$A$71:$B$88,2,FALSE)+1,FALSE)="","",VLOOKUP($A19,'détails investissements'!$A$26:$DE$43,BN$3-VLOOKUP($A19,'détails investissements'!$A$71:$B$88,2,FALSE)+1,FALSE)))&lt;&gt;"",HLOOKUP(IF(BN$3-VLOOKUP($A19,'détails investissements'!$A$71:$B$88,2,FALSE)&lt;=0,"",IF(VLOOKUP($A19,'détails investissements'!$A$26:$DE$43,BN$3-VLOOKUP($A19,'détails investissements'!$A$71:$B$88,2,FALSE)+1,FALSE)="","",VLOOKUP($A19,'détails investissements'!$A$26:$DE$43,BN$3-VLOOKUP($A19,'détails investissements'!$A$71:$B$88,2,FALSE)+1,FALSE))),'détails investissements'!$U$6:$AB$7,2,FALSE),""),FALSE),"")</f>
        <v/>
      </c>
      <c r="BO19" s="45" t="str">
        <f>IF(IF(IF(BO$3-VLOOKUP($A19,'détails investissements'!$A$71:$B$88,2,FALSE)&lt;=0,"",IF(VLOOKUP($A19,'détails investissements'!$A$26:$DE$43,BO$3-VLOOKUP($A19,'détails investissements'!$A$71:$B$88,2,FALSE)+1,FALSE)="","",VLOOKUP($A19,'détails investissements'!$A$26:$DE$43,BO$3-VLOOKUP($A19,'détails investissements'!$A$71:$B$88,2,FALSE)+1,FALSE)))&lt;&gt;"",HLOOKUP(IF(BO$3-VLOOKUP($A19,'détails investissements'!$A$71:$B$88,2,FALSE)&lt;=0,"",IF(VLOOKUP($A19,'détails investissements'!$A$26:$DE$43,BO$3-VLOOKUP($A19,'détails investissements'!$A$71:$B$88,2,FALSE)+1,FALSE)="","",VLOOKUP($A19,'détails investissements'!$A$26:$DE$43,BO$3-VLOOKUP($A19,'détails investissements'!$A$71:$B$88,2,FALSE)+1,FALSE))),'détails investissements'!$U$6:$AB$7,2,FALSE),"")&lt;&gt;"",VLOOKUP($A19,'détails investissements'!$A$7:$H$21,1+IF(IF(BO$3-VLOOKUP($A19,'détails investissements'!$A$71:$B$88,2,FALSE)&lt;=0,"",IF(VLOOKUP($A19,'détails investissements'!$A$26:$DE$43,BO$3-VLOOKUP($A19,'détails investissements'!$A$71:$B$88,2,FALSE)+1,FALSE)="","",VLOOKUP($A19,'détails investissements'!$A$26:$DE$43,BO$3-VLOOKUP($A19,'détails investissements'!$A$71:$B$88,2,FALSE)+1,FALSE)))&lt;&gt;"",HLOOKUP(IF(BO$3-VLOOKUP($A19,'détails investissements'!$A$71:$B$88,2,FALSE)&lt;=0,"",IF(VLOOKUP($A19,'détails investissements'!$A$26:$DE$43,BO$3-VLOOKUP($A19,'détails investissements'!$A$71:$B$88,2,FALSE)+1,FALSE)="","",VLOOKUP($A19,'détails investissements'!$A$26:$DE$43,BO$3-VLOOKUP($A19,'détails investissements'!$A$71:$B$88,2,FALSE)+1,FALSE))),'détails investissements'!$U$6:$AB$7,2,FALSE),""),FALSE),"")</f>
        <v/>
      </c>
      <c r="BP19" s="45" t="str">
        <f>IF(IF(IF(BP$3-VLOOKUP($A19,'détails investissements'!$A$71:$B$88,2,FALSE)&lt;=0,"",IF(VLOOKUP($A19,'détails investissements'!$A$26:$DE$43,BP$3-VLOOKUP($A19,'détails investissements'!$A$71:$B$88,2,FALSE)+1,FALSE)="","",VLOOKUP($A19,'détails investissements'!$A$26:$DE$43,BP$3-VLOOKUP($A19,'détails investissements'!$A$71:$B$88,2,FALSE)+1,FALSE)))&lt;&gt;"",HLOOKUP(IF(BP$3-VLOOKUP($A19,'détails investissements'!$A$71:$B$88,2,FALSE)&lt;=0,"",IF(VLOOKUP($A19,'détails investissements'!$A$26:$DE$43,BP$3-VLOOKUP($A19,'détails investissements'!$A$71:$B$88,2,FALSE)+1,FALSE)="","",VLOOKUP($A19,'détails investissements'!$A$26:$DE$43,BP$3-VLOOKUP($A19,'détails investissements'!$A$71:$B$88,2,FALSE)+1,FALSE))),'détails investissements'!$U$6:$AB$7,2,FALSE),"")&lt;&gt;"",VLOOKUP($A19,'détails investissements'!$A$7:$H$21,1+IF(IF(BP$3-VLOOKUP($A19,'détails investissements'!$A$71:$B$88,2,FALSE)&lt;=0,"",IF(VLOOKUP($A19,'détails investissements'!$A$26:$DE$43,BP$3-VLOOKUP($A19,'détails investissements'!$A$71:$B$88,2,FALSE)+1,FALSE)="","",VLOOKUP($A19,'détails investissements'!$A$26:$DE$43,BP$3-VLOOKUP($A19,'détails investissements'!$A$71:$B$88,2,FALSE)+1,FALSE)))&lt;&gt;"",HLOOKUP(IF(BP$3-VLOOKUP($A19,'détails investissements'!$A$71:$B$88,2,FALSE)&lt;=0,"",IF(VLOOKUP($A19,'détails investissements'!$A$26:$DE$43,BP$3-VLOOKUP($A19,'détails investissements'!$A$71:$B$88,2,FALSE)+1,FALSE)="","",VLOOKUP($A19,'détails investissements'!$A$26:$DE$43,BP$3-VLOOKUP($A19,'détails investissements'!$A$71:$B$88,2,FALSE)+1,FALSE))),'détails investissements'!$U$6:$AB$7,2,FALSE),""),FALSE),"")</f>
        <v/>
      </c>
      <c r="BQ19" s="45" t="str">
        <f>IF(IF(IF(BQ$3-VLOOKUP($A19,'détails investissements'!$A$71:$B$88,2,FALSE)&lt;=0,"",IF(VLOOKUP($A19,'détails investissements'!$A$26:$DE$43,BQ$3-VLOOKUP($A19,'détails investissements'!$A$71:$B$88,2,FALSE)+1,FALSE)="","",VLOOKUP($A19,'détails investissements'!$A$26:$DE$43,BQ$3-VLOOKUP($A19,'détails investissements'!$A$71:$B$88,2,FALSE)+1,FALSE)))&lt;&gt;"",HLOOKUP(IF(BQ$3-VLOOKUP($A19,'détails investissements'!$A$71:$B$88,2,FALSE)&lt;=0,"",IF(VLOOKUP($A19,'détails investissements'!$A$26:$DE$43,BQ$3-VLOOKUP($A19,'détails investissements'!$A$71:$B$88,2,FALSE)+1,FALSE)="","",VLOOKUP($A19,'détails investissements'!$A$26:$DE$43,BQ$3-VLOOKUP($A19,'détails investissements'!$A$71:$B$88,2,FALSE)+1,FALSE))),'détails investissements'!$U$6:$AB$7,2,FALSE),"")&lt;&gt;"",VLOOKUP($A19,'détails investissements'!$A$7:$H$21,1+IF(IF(BQ$3-VLOOKUP($A19,'détails investissements'!$A$71:$B$88,2,FALSE)&lt;=0,"",IF(VLOOKUP($A19,'détails investissements'!$A$26:$DE$43,BQ$3-VLOOKUP($A19,'détails investissements'!$A$71:$B$88,2,FALSE)+1,FALSE)="","",VLOOKUP($A19,'détails investissements'!$A$26:$DE$43,BQ$3-VLOOKUP($A19,'détails investissements'!$A$71:$B$88,2,FALSE)+1,FALSE)))&lt;&gt;"",HLOOKUP(IF(BQ$3-VLOOKUP($A19,'détails investissements'!$A$71:$B$88,2,FALSE)&lt;=0,"",IF(VLOOKUP($A19,'détails investissements'!$A$26:$DE$43,BQ$3-VLOOKUP($A19,'détails investissements'!$A$71:$B$88,2,FALSE)+1,FALSE)="","",VLOOKUP($A19,'détails investissements'!$A$26:$DE$43,BQ$3-VLOOKUP($A19,'détails investissements'!$A$71:$B$88,2,FALSE)+1,FALSE))),'détails investissements'!$U$6:$AB$7,2,FALSE),""),FALSE),"")</f>
        <v/>
      </c>
      <c r="BR19" s="45" t="str">
        <f>IF(IF(IF(BR$3-VLOOKUP($A19,'détails investissements'!$A$71:$B$88,2,FALSE)&lt;=0,"",IF(VLOOKUP($A19,'détails investissements'!$A$26:$DE$43,BR$3-VLOOKUP($A19,'détails investissements'!$A$71:$B$88,2,FALSE)+1,FALSE)="","",VLOOKUP($A19,'détails investissements'!$A$26:$DE$43,BR$3-VLOOKUP($A19,'détails investissements'!$A$71:$B$88,2,FALSE)+1,FALSE)))&lt;&gt;"",HLOOKUP(IF(BR$3-VLOOKUP($A19,'détails investissements'!$A$71:$B$88,2,FALSE)&lt;=0,"",IF(VLOOKUP($A19,'détails investissements'!$A$26:$DE$43,BR$3-VLOOKUP($A19,'détails investissements'!$A$71:$B$88,2,FALSE)+1,FALSE)="","",VLOOKUP($A19,'détails investissements'!$A$26:$DE$43,BR$3-VLOOKUP($A19,'détails investissements'!$A$71:$B$88,2,FALSE)+1,FALSE))),'détails investissements'!$U$6:$AB$7,2,FALSE),"")&lt;&gt;"",VLOOKUP($A19,'détails investissements'!$A$7:$H$21,1+IF(IF(BR$3-VLOOKUP($A19,'détails investissements'!$A$71:$B$88,2,FALSE)&lt;=0,"",IF(VLOOKUP($A19,'détails investissements'!$A$26:$DE$43,BR$3-VLOOKUP($A19,'détails investissements'!$A$71:$B$88,2,FALSE)+1,FALSE)="","",VLOOKUP($A19,'détails investissements'!$A$26:$DE$43,BR$3-VLOOKUP($A19,'détails investissements'!$A$71:$B$88,2,FALSE)+1,FALSE)))&lt;&gt;"",HLOOKUP(IF(BR$3-VLOOKUP($A19,'détails investissements'!$A$71:$B$88,2,FALSE)&lt;=0,"",IF(VLOOKUP($A19,'détails investissements'!$A$26:$DE$43,BR$3-VLOOKUP($A19,'détails investissements'!$A$71:$B$88,2,FALSE)+1,FALSE)="","",VLOOKUP($A19,'détails investissements'!$A$26:$DE$43,BR$3-VLOOKUP($A19,'détails investissements'!$A$71:$B$88,2,FALSE)+1,FALSE))),'détails investissements'!$U$6:$AB$7,2,FALSE),""),FALSE),"")</f>
        <v/>
      </c>
      <c r="BS19" s="45" t="str">
        <f>IF(IF(IF(BS$3-VLOOKUP($A19,'détails investissements'!$A$71:$B$88,2,FALSE)&lt;=0,"",IF(VLOOKUP($A19,'détails investissements'!$A$26:$DE$43,BS$3-VLOOKUP($A19,'détails investissements'!$A$71:$B$88,2,FALSE)+1,FALSE)="","",VLOOKUP($A19,'détails investissements'!$A$26:$DE$43,BS$3-VLOOKUP($A19,'détails investissements'!$A$71:$B$88,2,FALSE)+1,FALSE)))&lt;&gt;"",HLOOKUP(IF(BS$3-VLOOKUP($A19,'détails investissements'!$A$71:$B$88,2,FALSE)&lt;=0,"",IF(VLOOKUP($A19,'détails investissements'!$A$26:$DE$43,BS$3-VLOOKUP($A19,'détails investissements'!$A$71:$B$88,2,FALSE)+1,FALSE)="","",VLOOKUP($A19,'détails investissements'!$A$26:$DE$43,BS$3-VLOOKUP($A19,'détails investissements'!$A$71:$B$88,2,FALSE)+1,FALSE))),'détails investissements'!$U$6:$AB$7,2,FALSE),"")&lt;&gt;"",VLOOKUP($A19,'détails investissements'!$A$7:$H$21,1+IF(IF(BS$3-VLOOKUP($A19,'détails investissements'!$A$71:$B$88,2,FALSE)&lt;=0,"",IF(VLOOKUP($A19,'détails investissements'!$A$26:$DE$43,BS$3-VLOOKUP($A19,'détails investissements'!$A$71:$B$88,2,FALSE)+1,FALSE)="","",VLOOKUP($A19,'détails investissements'!$A$26:$DE$43,BS$3-VLOOKUP($A19,'détails investissements'!$A$71:$B$88,2,FALSE)+1,FALSE)))&lt;&gt;"",HLOOKUP(IF(BS$3-VLOOKUP($A19,'détails investissements'!$A$71:$B$88,2,FALSE)&lt;=0,"",IF(VLOOKUP($A19,'détails investissements'!$A$26:$DE$43,BS$3-VLOOKUP($A19,'détails investissements'!$A$71:$B$88,2,FALSE)+1,FALSE)="","",VLOOKUP($A19,'détails investissements'!$A$26:$DE$43,BS$3-VLOOKUP($A19,'détails investissements'!$A$71:$B$88,2,FALSE)+1,FALSE))),'détails investissements'!$U$6:$AB$7,2,FALSE),""),FALSE),"")</f>
        <v/>
      </c>
      <c r="BT19" s="45" t="str">
        <f>IF(IF(IF(BT$3-VLOOKUP($A19,'détails investissements'!$A$71:$B$88,2,FALSE)&lt;=0,"",IF(VLOOKUP($A19,'détails investissements'!$A$26:$DE$43,BT$3-VLOOKUP($A19,'détails investissements'!$A$71:$B$88,2,FALSE)+1,FALSE)="","",VLOOKUP($A19,'détails investissements'!$A$26:$DE$43,BT$3-VLOOKUP($A19,'détails investissements'!$A$71:$B$88,2,FALSE)+1,FALSE)))&lt;&gt;"",HLOOKUP(IF(BT$3-VLOOKUP($A19,'détails investissements'!$A$71:$B$88,2,FALSE)&lt;=0,"",IF(VLOOKUP($A19,'détails investissements'!$A$26:$DE$43,BT$3-VLOOKUP($A19,'détails investissements'!$A$71:$B$88,2,FALSE)+1,FALSE)="","",VLOOKUP($A19,'détails investissements'!$A$26:$DE$43,BT$3-VLOOKUP($A19,'détails investissements'!$A$71:$B$88,2,FALSE)+1,FALSE))),'détails investissements'!$U$6:$AB$7,2,FALSE),"")&lt;&gt;"",VLOOKUP($A19,'détails investissements'!$A$7:$H$21,1+IF(IF(BT$3-VLOOKUP($A19,'détails investissements'!$A$71:$B$88,2,FALSE)&lt;=0,"",IF(VLOOKUP($A19,'détails investissements'!$A$26:$DE$43,BT$3-VLOOKUP($A19,'détails investissements'!$A$71:$B$88,2,FALSE)+1,FALSE)="","",VLOOKUP($A19,'détails investissements'!$A$26:$DE$43,BT$3-VLOOKUP($A19,'détails investissements'!$A$71:$B$88,2,FALSE)+1,FALSE)))&lt;&gt;"",HLOOKUP(IF(BT$3-VLOOKUP($A19,'détails investissements'!$A$71:$B$88,2,FALSE)&lt;=0,"",IF(VLOOKUP($A19,'détails investissements'!$A$26:$DE$43,BT$3-VLOOKUP($A19,'détails investissements'!$A$71:$B$88,2,FALSE)+1,FALSE)="","",VLOOKUP($A19,'détails investissements'!$A$26:$DE$43,BT$3-VLOOKUP($A19,'détails investissements'!$A$71:$B$88,2,FALSE)+1,FALSE))),'détails investissements'!$U$6:$AB$7,2,FALSE),""),FALSE),"")</f>
        <v/>
      </c>
      <c r="BU19" s="45" t="str">
        <f>IF(IF(IF(BU$3-VLOOKUP($A19,'détails investissements'!$A$71:$B$88,2,FALSE)&lt;=0,"",IF(VLOOKUP($A19,'détails investissements'!$A$26:$DE$43,BU$3-VLOOKUP($A19,'détails investissements'!$A$71:$B$88,2,FALSE)+1,FALSE)="","",VLOOKUP($A19,'détails investissements'!$A$26:$DE$43,BU$3-VLOOKUP($A19,'détails investissements'!$A$71:$B$88,2,FALSE)+1,FALSE)))&lt;&gt;"",HLOOKUP(IF(BU$3-VLOOKUP($A19,'détails investissements'!$A$71:$B$88,2,FALSE)&lt;=0,"",IF(VLOOKUP($A19,'détails investissements'!$A$26:$DE$43,BU$3-VLOOKUP($A19,'détails investissements'!$A$71:$B$88,2,FALSE)+1,FALSE)="","",VLOOKUP($A19,'détails investissements'!$A$26:$DE$43,BU$3-VLOOKUP($A19,'détails investissements'!$A$71:$B$88,2,FALSE)+1,FALSE))),'détails investissements'!$U$6:$AB$7,2,FALSE),"")&lt;&gt;"",VLOOKUP($A19,'détails investissements'!$A$7:$H$21,1+IF(IF(BU$3-VLOOKUP($A19,'détails investissements'!$A$71:$B$88,2,FALSE)&lt;=0,"",IF(VLOOKUP($A19,'détails investissements'!$A$26:$DE$43,BU$3-VLOOKUP($A19,'détails investissements'!$A$71:$B$88,2,FALSE)+1,FALSE)="","",VLOOKUP($A19,'détails investissements'!$A$26:$DE$43,BU$3-VLOOKUP($A19,'détails investissements'!$A$71:$B$88,2,FALSE)+1,FALSE)))&lt;&gt;"",HLOOKUP(IF(BU$3-VLOOKUP($A19,'détails investissements'!$A$71:$B$88,2,FALSE)&lt;=0,"",IF(VLOOKUP($A19,'détails investissements'!$A$26:$DE$43,BU$3-VLOOKUP($A19,'détails investissements'!$A$71:$B$88,2,FALSE)+1,FALSE)="","",VLOOKUP($A19,'détails investissements'!$A$26:$DE$43,BU$3-VLOOKUP($A19,'détails investissements'!$A$71:$B$88,2,FALSE)+1,FALSE))),'détails investissements'!$U$6:$AB$7,2,FALSE),""),FALSE),"")</f>
        <v/>
      </c>
      <c r="BV19" s="45" t="str">
        <f>IF(IF(IF(BV$3-VLOOKUP($A19,'détails investissements'!$A$71:$B$88,2,FALSE)&lt;=0,"",IF(VLOOKUP($A19,'détails investissements'!$A$26:$DE$43,BV$3-VLOOKUP($A19,'détails investissements'!$A$71:$B$88,2,FALSE)+1,FALSE)="","",VLOOKUP($A19,'détails investissements'!$A$26:$DE$43,BV$3-VLOOKUP($A19,'détails investissements'!$A$71:$B$88,2,FALSE)+1,FALSE)))&lt;&gt;"",HLOOKUP(IF(BV$3-VLOOKUP($A19,'détails investissements'!$A$71:$B$88,2,FALSE)&lt;=0,"",IF(VLOOKUP($A19,'détails investissements'!$A$26:$DE$43,BV$3-VLOOKUP($A19,'détails investissements'!$A$71:$B$88,2,FALSE)+1,FALSE)="","",VLOOKUP($A19,'détails investissements'!$A$26:$DE$43,BV$3-VLOOKUP($A19,'détails investissements'!$A$71:$B$88,2,FALSE)+1,FALSE))),'détails investissements'!$U$6:$AB$7,2,FALSE),"")&lt;&gt;"",VLOOKUP($A19,'détails investissements'!$A$7:$H$21,1+IF(IF(BV$3-VLOOKUP($A19,'détails investissements'!$A$71:$B$88,2,FALSE)&lt;=0,"",IF(VLOOKUP($A19,'détails investissements'!$A$26:$DE$43,BV$3-VLOOKUP($A19,'détails investissements'!$A$71:$B$88,2,FALSE)+1,FALSE)="","",VLOOKUP($A19,'détails investissements'!$A$26:$DE$43,BV$3-VLOOKUP($A19,'détails investissements'!$A$71:$B$88,2,FALSE)+1,FALSE)))&lt;&gt;"",HLOOKUP(IF(BV$3-VLOOKUP($A19,'détails investissements'!$A$71:$B$88,2,FALSE)&lt;=0,"",IF(VLOOKUP($A19,'détails investissements'!$A$26:$DE$43,BV$3-VLOOKUP($A19,'détails investissements'!$A$71:$B$88,2,FALSE)+1,FALSE)="","",VLOOKUP($A19,'détails investissements'!$A$26:$DE$43,BV$3-VLOOKUP($A19,'détails investissements'!$A$71:$B$88,2,FALSE)+1,FALSE))),'détails investissements'!$U$6:$AB$7,2,FALSE),""),FALSE),"")</f>
        <v/>
      </c>
      <c r="BW19" s="45" t="str">
        <f>IF(IF(IF(BW$3-VLOOKUP($A19,'détails investissements'!$A$71:$B$88,2,FALSE)&lt;=0,"",IF(VLOOKUP($A19,'détails investissements'!$A$26:$DE$43,BW$3-VLOOKUP($A19,'détails investissements'!$A$71:$B$88,2,FALSE)+1,FALSE)="","",VLOOKUP($A19,'détails investissements'!$A$26:$DE$43,BW$3-VLOOKUP($A19,'détails investissements'!$A$71:$B$88,2,FALSE)+1,FALSE)))&lt;&gt;"",HLOOKUP(IF(BW$3-VLOOKUP($A19,'détails investissements'!$A$71:$B$88,2,FALSE)&lt;=0,"",IF(VLOOKUP($A19,'détails investissements'!$A$26:$DE$43,BW$3-VLOOKUP($A19,'détails investissements'!$A$71:$B$88,2,FALSE)+1,FALSE)="","",VLOOKUP($A19,'détails investissements'!$A$26:$DE$43,BW$3-VLOOKUP($A19,'détails investissements'!$A$71:$B$88,2,FALSE)+1,FALSE))),'détails investissements'!$U$6:$AB$7,2,FALSE),"")&lt;&gt;"",VLOOKUP($A19,'détails investissements'!$A$7:$H$21,1+IF(IF(BW$3-VLOOKUP($A19,'détails investissements'!$A$71:$B$88,2,FALSE)&lt;=0,"",IF(VLOOKUP($A19,'détails investissements'!$A$26:$DE$43,BW$3-VLOOKUP($A19,'détails investissements'!$A$71:$B$88,2,FALSE)+1,FALSE)="","",VLOOKUP($A19,'détails investissements'!$A$26:$DE$43,BW$3-VLOOKUP($A19,'détails investissements'!$A$71:$B$88,2,FALSE)+1,FALSE)))&lt;&gt;"",HLOOKUP(IF(BW$3-VLOOKUP($A19,'détails investissements'!$A$71:$B$88,2,FALSE)&lt;=0,"",IF(VLOOKUP($A19,'détails investissements'!$A$26:$DE$43,BW$3-VLOOKUP($A19,'détails investissements'!$A$71:$B$88,2,FALSE)+1,FALSE)="","",VLOOKUP($A19,'détails investissements'!$A$26:$DE$43,BW$3-VLOOKUP($A19,'détails investissements'!$A$71:$B$88,2,FALSE)+1,FALSE))),'détails investissements'!$U$6:$AB$7,2,FALSE),""),FALSE),"")</f>
        <v/>
      </c>
      <c r="BX19" s="45" t="str">
        <f>IF(IF(IF(BX$3-VLOOKUP($A19,'détails investissements'!$A$71:$B$88,2,FALSE)&lt;=0,"",IF(VLOOKUP($A19,'détails investissements'!$A$26:$DE$43,BX$3-VLOOKUP($A19,'détails investissements'!$A$71:$B$88,2,FALSE)+1,FALSE)="","",VLOOKUP($A19,'détails investissements'!$A$26:$DE$43,BX$3-VLOOKUP($A19,'détails investissements'!$A$71:$B$88,2,FALSE)+1,FALSE)))&lt;&gt;"",HLOOKUP(IF(BX$3-VLOOKUP($A19,'détails investissements'!$A$71:$B$88,2,FALSE)&lt;=0,"",IF(VLOOKUP($A19,'détails investissements'!$A$26:$DE$43,BX$3-VLOOKUP($A19,'détails investissements'!$A$71:$B$88,2,FALSE)+1,FALSE)="","",VLOOKUP($A19,'détails investissements'!$A$26:$DE$43,BX$3-VLOOKUP($A19,'détails investissements'!$A$71:$B$88,2,FALSE)+1,FALSE))),'détails investissements'!$U$6:$AB$7,2,FALSE),"")&lt;&gt;"",VLOOKUP($A19,'détails investissements'!$A$7:$H$21,1+IF(IF(BX$3-VLOOKUP($A19,'détails investissements'!$A$71:$B$88,2,FALSE)&lt;=0,"",IF(VLOOKUP($A19,'détails investissements'!$A$26:$DE$43,BX$3-VLOOKUP($A19,'détails investissements'!$A$71:$B$88,2,FALSE)+1,FALSE)="","",VLOOKUP($A19,'détails investissements'!$A$26:$DE$43,BX$3-VLOOKUP($A19,'détails investissements'!$A$71:$B$88,2,FALSE)+1,FALSE)))&lt;&gt;"",HLOOKUP(IF(BX$3-VLOOKUP($A19,'détails investissements'!$A$71:$B$88,2,FALSE)&lt;=0,"",IF(VLOOKUP($A19,'détails investissements'!$A$26:$DE$43,BX$3-VLOOKUP($A19,'détails investissements'!$A$71:$B$88,2,FALSE)+1,FALSE)="","",VLOOKUP($A19,'détails investissements'!$A$26:$DE$43,BX$3-VLOOKUP($A19,'détails investissements'!$A$71:$B$88,2,FALSE)+1,FALSE))),'détails investissements'!$U$6:$AB$7,2,FALSE),""),FALSE),"")</f>
        <v/>
      </c>
      <c r="BY19" s="45" t="str">
        <f>IF(IF(IF(BY$3-VLOOKUP($A19,'détails investissements'!$A$71:$B$88,2,FALSE)&lt;=0,"",IF(VLOOKUP($A19,'détails investissements'!$A$26:$DE$43,BY$3-VLOOKUP($A19,'détails investissements'!$A$71:$B$88,2,FALSE)+1,FALSE)="","",VLOOKUP($A19,'détails investissements'!$A$26:$DE$43,BY$3-VLOOKUP($A19,'détails investissements'!$A$71:$B$88,2,FALSE)+1,FALSE)))&lt;&gt;"",HLOOKUP(IF(BY$3-VLOOKUP($A19,'détails investissements'!$A$71:$B$88,2,FALSE)&lt;=0,"",IF(VLOOKUP($A19,'détails investissements'!$A$26:$DE$43,BY$3-VLOOKUP($A19,'détails investissements'!$A$71:$B$88,2,FALSE)+1,FALSE)="","",VLOOKUP($A19,'détails investissements'!$A$26:$DE$43,BY$3-VLOOKUP($A19,'détails investissements'!$A$71:$B$88,2,FALSE)+1,FALSE))),'détails investissements'!$U$6:$AB$7,2,FALSE),"")&lt;&gt;"",VLOOKUP($A19,'détails investissements'!$A$7:$H$21,1+IF(IF(BY$3-VLOOKUP($A19,'détails investissements'!$A$71:$B$88,2,FALSE)&lt;=0,"",IF(VLOOKUP($A19,'détails investissements'!$A$26:$DE$43,BY$3-VLOOKUP($A19,'détails investissements'!$A$71:$B$88,2,FALSE)+1,FALSE)="","",VLOOKUP($A19,'détails investissements'!$A$26:$DE$43,BY$3-VLOOKUP($A19,'détails investissements'!$A$71:$B$88,2,FALSE)+1,FALSE)))&lt;&gt;"",HLOOKUP(IF(BY$3-VLOOKUP($A19,'détails investissements'!$A$71:$B$88,2,FALSE)&lt;=0,"",IF(VLOOKUP($A19,'détails investissements'!$A$26:$DE$43,BY$3-VLOOKUP($A19,'détails investissements'!$A$71:$B$88,2,FALSE)+1,FALSE)="","",VLOOKUP($A19,'détails investissements'!$A$26:$DE$43,BY$3-VLOOKUP($A19,'détails investissements'!$A$71:$B$88,2,FALSE)+1,FALSE))),'détails investissements'!$U$6:$AB$7,2,FALSE),""),FALSE),"")</f>
        <v/>
      </c>
      <c r="BZ19" s="45" t="str">
        <f>IF(IF(IF(BZ$3-VLOOKUP($A19,'détails investissements'!$A$71:$B$88,2,FALSE)&lt;=0,"",IF(VLOOKUP($A19,'détails investissements'!$A$26:$DE$43,BZ$3-VLOOKUP($A19,'détails investissements'!$A$71:$B$88,2,FALSE)+1,FALSE)="","",VLOOKUP($A19,'détails investissements'!$A$26:$DE$43,BZ$3-VLOOKUP($A19,'détails investissements'!$A$71:$B$88,2,FALSE)+1,FALSE)))&lt;&gt;"",HLOOKUP(IF(BZ$3-VLOOKUP($A19,'détails investissements'!$A$71:$B$88,2,FALSE)&lt;=0,"",IF(VLOOKUP($A19,'détails investissements'!$A$26:$DE$43,BZ$3-VLOOKUP($A19,'détails investissements'!$A$71:$B$88,2,FALSE)+1,FALSE)="","",VLOOKUP($A19,'détails investissements'!$A$26:$DE$43,BZ$3-VLOOKUP($A19,'détails investissements'!$A$71:$B$88,2,FALSE)+1,FALSE))),'détails investissements'!$U$6:$AB$7,2,FALSE),"")&lt;&gt;"",VLOOKUP($A19,'détails investissements'!$A$7:$H$21,1+IF(IF(BZ$3-VLOOKUP($A19,'détails investissements'!$A$71:$B$88,2,FALSE)&lt;=0,"",IF(VLOOKUP($A19,'détails investissements'!$A$26:$DE$43,BZ$3-VLOOKUP($A19,'détails investissements'!$A$71:$B$88,2,FALSE)+1,FALSE)="","",VLOOKUP($A19,'détails investissements'!$A$26:$DE$43,BZ$3-VLOOKUP($A19,'détails investissements'!$A$71:$B$88,2,FALSE)+1,FALSE)))&lt;&gt;"",HLOOKUP(IF(BZ$3-VLOOKUP($A19,'détails investissements'!$A$71:$B$88,2,FALSE)&lt;=0,"",IF(VLOOKUP($A19,'détails investissements'!$A$26:$DE$43,BZ$3-VLOOKUP($A19,'détails investissements'!$A$71:$B$88,2,FALSE)+1,FALSE)="","",VLOOKUP($A19,'détails investissements'!$A$26:$DE$43,BZ$3-VLOOKUP($A19,'détails investissements'!$A$71:$B$88,2,FALSE)+1,FALSE))),'détails investissements'!$U$6:$AB$7,2,FALSE),""),FALSE),"")</f>
        <v/>
      </c>
      <c r="CA19" s="45" t="str">
        <f>IF(IF(IF(CA$3-VLOOKUP($A19,'détails investissements'!$A$71:$B$88,2,FALSE)&lt;=0,"",IF(VLOOKUP($A19,'détails investissements'!$A$26:$DE$43,CA$3-VLOOKUP($A19,'détails investissements'!$A$71:$B$88,2,FALSE)+1,FALSE)="","",VLOOKUP($A19,'détails investissements'!$A$26:$DE$43,CA$3-VLOOKUP($A19,'détails investissements'!$A$71:$B$88,2,FALSE)+1,FALSE)))&lt;&gt;"",HLOOKUP(IF(CA$3-VLOOKUP($A19,'détails investissements'!$A$71:$B$88,2,FALSE)&lt;=0,"",IF(VLOOKUP($A19,'détails investissements'!$A$26:$DE$43,CA$3-VLOOKUP($A19,'détails investissements'!$A$71:$B$88,2,FALSE)+1,FALSE)="","",VLOOKUP($A19,'détails investissements'!$A$26:$DE$43,CA$3-VLOOKUP($A19,'détails investissements'!$A$71:$B$88,2,FALSE)+1,FALSE))),'détails investissements'!$U$6:$AB$7,2,FALSE),"")&lt;&gt;"",VLOOKUP($A19,'détails investissements'!$A$7:$H$21,1+IF(IF(CA$3-VLOOKUP($A19,'détails investissements'!$A$71:$B$88,2,FALSE)&lt;=0,"",IF(VLOOKUP($A19,'détails investissements'!$A$26:$DE$43,CA$3-VLOOKUP($A19,'détails investissements'!$A$71:$B$88,2,FALSE)+1,FALSE)="","",VLOOKUP($A19,'détails investissements'!$A$26:$DE$43,CA$3-VLOOKUP($A19,'détails investissements'!$A$71:$B$88,2,FALSE)+1,FALSE)))&lt;&gt;"",HLOOKUP(IF(CA$3-VLOOKUP($A19,'détails investissements'!$A$71:$B$88,2,FALSE)&lt;=0,"",IF(VLOOKUP($A19,'détails investissements'!$A$26:$DE$43,CA$3-VLOOKUP($A19,'détails investissements'!$A$71:$B$88,2,FALSE)+1,FALSE)="","",VLOOKUP($A19,'détails investissements'!$A$26:$DE$43,CA$3-VLOOKUP($A19,'détails investissements'!$A$71:$B$88,2,FALSE)+1,FALSE))),'détails investissements'!$U$6:$AB$7,2,FALSE),""),FALSE),"")</f>
        <v/>
      </c>
      <c r="CB19" s="45" t="str">
        <f>IF(IF(IF(CB$3-VLOOKUP($A19,'détails investissements'!$A$71:$B$88,2,FALSE)&lt;=0,"",IF(VLOOKUP($A19,'détails investissements'!$A$26:$DE$43,CB$3-VLOOKUP($A19,'détails investissements'!$A$71:$B$88,2,FALSE)+1,FALSE)="","",VLOOKUP($A19,'détails investissements'!$A$26:$DE$43,CB$3-VLOOKUP($A19,'détails investissements'!$A$71:$B$88,2,FALSE)+1,FALSE)))&lt;&gt;"",HLOOKUP(IF(CB$3-VLOOKUP($A19,'détails investissements'!$A$71:$B$88,2,FALSE)&lt;=0,"",IF(VLOOKUP($A19,'détails investissements'!$A$26:$DE$43,CB$3-VLOOKUP($A19,'détails investissements'!$A$71:$B$88,2,FALSE)+1,FALSE)="","",VLOOKUP($A19,'détails investissements'!$A$26:$DE$43,CB$3-VLOOKUP($A19,'détails investissements'!$A$71:$B$88,2,FALSE)+1,FALSE))),'détails investissements'!$U$6:$AB$7,2,FALSE),"")&lt;&gt;"",VLOOKUP($A19,'détails investissements'!$A$7:$H$21,1+IF(IF(CB$3-VLOOKUP($A19,'détails investissements'!$A$71:$B$88,2,FALSE)&lt;=0,"",IF(VLOOKUP($A19,'détails investissements'!$A$26:$DE$43,CB$3-VLOOKUP($A19,'détails investissements'!$A$71:$B$88,2,FALSE)+1,FALSE)="","",VLOOKUP($A19,'détails investissements'!$A$26:$DE$43,CB$3-VLOOKUP($A19,'détails investissements'!$A$71:$B$88,2,FALSE)+1,FALSE)))&lt;&gt;"",HLOOKUP(IF(CB$3-VLOOKUP($A19,'détails investissements'!$A$71:$B$88,2,FALSE)&lt;=0,"",IF(VLOOKUP($A19,'détails investissements'!$A$26:$DE$43,CB$3-VLOOKUP($A19,'détails investissements'!$A$71:$B$88,2,FALSE)+1,FALSE)="","",VLOOKUP($A19,'détails investissements'!$A$26:$DE$43,CB$3-VLOOKUP($A19,'détails investissements'!$A$71:$B$88,2,FALSE)+1,FALSE))),'détails investissements'!$U$6:$AB$7,2,FALSE),""),FALSE),"")</f>
        <v/>
      </c>
      <c r="CC19" s="45" t="str">
        <f>IF(IF(IF(CC$3-VLOOKUP($A19,'détails investissements'!$A$71:$B$88,2,FALSE)&lt;=0,"",IF(VLOOKUP($A19,'détails investissements'!$A$26:$DE$43,CC$3-VLOOKUP($A19,'détails investissements'!$A$71:$B$88,2,FALSE)+1,FALSE)="","",VLOOKUP($A19,'détails investissements'!$A$26:$DE$43,CC$3-VLOOKUP($A19,'détails investissements'!$A$71:$B$88,2,FALSE)+1,FALSE)))&lt;&gt;"",HLOOKUP(IF(CC$3-VLOOKUP($A19,'détails investissements'!$A$71:$B$88,2,FALSE)&lt;=0,"",IF(VLOOKUP($A19,'détails investissements'!$A$26:$DE$43,CC$3-VLOOKUP($A19,'détails investissements'!$A$71:$B$88,2,FALSE)+1,FALSE)="","",VLOOKUP($A19,'détails investissements'!$A$26:$DE$43,CC$3-VLOOKUP($A19,'détails investissements'!$A$71:$B$88,2,FALSE)+1,FALSE))),'détails investissements'!$U$6:$AB$7,2,FALSE),"")&lt;&gt;"",VLOOKUP($A19,'détails investissements'!$A$7:$H$21,1+IF(IF(CC$3-VLOOKUP($A19,'détails investissements'!$A$71:$B$88,2,FALSE)&lt;=0,"",IF(VLOOKUP($A19,'détails investissements'!$A$26:$DE$43,CC$3-VLOOKUP($A19,'détails investissements'!$A$71:$B$88,2,FALSE)+1,FALSE)="","",VLOOKUP($A19,'détails investissements'!$A$26:$DE$43,CC$3-VLOOKUP($A19,'détails investissements'!$A$71:$B$88,2,FALSE)+1,FALSE)))&lt;&gt;"",HLOOKUP(IF(CC$3-VLOOKUP($A19,'détails investissements'!$A$71:$B$88,2,FALSE)&lt;=0,"",IF(VLOOKUP($A19,'détails investissements'!$A$26:$DE$43,CC$3-VLOOKUP($A19,'détails investissements'!$A$71:$B$88,2,FALSE)+1,FALSE)="","",VLOOKUP($A19,'détails investissements'!$A$26:$DE$43,CC$3-VLOOKUP($A19,'détails investissements'!$A$71:$B$88,2,FALSE)+1,FALSE))),'détails investissements'!$U$6:$AB$7,2,FALSE),""),FALSE),"")</f>
        <v/>
      </c>
      <c r="CD19" s="45" t="str">
        <f>IF(IF(IF(CD$3-VLOOKUP($A19,'détails investissements'!$A$71:$B$88,2,FALSE)&lt;=0,"",IF(VLOOKUP($A19,'détails investissements'!$A$26:$DE$43,CD$3-VLOOKUP($A19,'détails investissements'!$A$71:$B$88,2,FALSE)+1,FALSE)="","",VLOOKUP($A19,'détails investissements'!$A$26:$DE$43,CD$3-VLOOKUP($A19,'détails investissements'!$A$71:$B$88,2,FALSE)+1,FALSE)))&lt;&gt;"",HLOOKUP(IF(CD$3-VLOOKUP($A19,'détails investissements'!$A$71:$B$88,2,FALSE)&lt;=0,"",IF(VLOOKUP($A19,'détails investissements'!$A$26:$DE$43,CD$3-VLOOKUP($A19,'détails investissements'!$A$71:$B$88,2,FALSE)+1,FALSE)="","",VLOOKUP($A19,'détails investissements'!$A$26:$DE$43,CD$3-VLOOKUP($A19,'détails investissements'!$A$71:$B$88,2,FALSE)+1,FALSE))),'détails investissements'!$U$6:$AB$7,2,FALSE),"")&lt;&gt;"",VLOOKUP($A19,'détails investissements'!$A$7:$H$21,1+IF(IF(CD$3-VLOOKUP($A19,'détails investissements'!$A$71:$B$88,2,FALSE)&lt;=0,"",IF(VLOOKUP($A19,'détails investissements'!$A$26:$DE$43,CD$3-VLOOKUP($A19,'détails investissements'!$A$71:$B$88,2,FALSE)+1,FALSE)="","",VLOOKUP($A19,'détails investissements'!$A$26:$DE$43,CD$3-VLOOKUP($A19,'détails investissements'!$A$71:$B$88,2,FALSE)+1,FALSE)))&lt;&gt;"",HLOOKUP(IF(CD$3-VLOOKUP($A19,'détails investissements'!$A$71:$B$88,2,FALSE)&lt;=0,"",IF(VLOOKUP($A19,'détails investissements'!$A$26:$DE$43,CD$3-VLOOKUP($A19,'détails investissements'!$A$71:$B$88,2,FALSE)+1,FALSE)="","",VLOOKUP($A19,'détails investissements'!$A$26:$DE$43,CD$3-VLOOKUP($A19,'détails investissements'!$A$71:$B$88,2,FALSE)+1,FALSE))),'détails investissements'!$U$6:$AB$7,2,FALSE),""),FALSE),"")</f>
        <v/>
      </c>
      <c r="CE19" s="45" t="str">
        <f>IF(IF(IF(CE$3-VLOOKUP($A19,'détails investissements'!$A$71:$B$88,2,FALSE)&lt;=0,"",IF(VLOOKUP($A19,'détails investissements'!$A$26:$DE$43,CE$3-VLOOKUP($A19,'détails investissements'!$A$71:$B$88,2,FALSE)+1,FALSE)="","",VLOOKUP($A19,'détails investissements'!$A$26:$DE$43,CE$3-VLOOKUP($A19,'détails investissements'!$A$71:$B$88,2,FALSE)+1,FALSE)))&lt;&gt;"",HLOOKUP(IF(CE$3-VLOOKUP($A19,'détails investissements'!$A$71:$B$88,2,FALSE)&lt;=0,"",IF(VLOOKUP($A19,'détails investissements'!$A$26:$DE$43,CE$3-VLOOKUP($A19,'détails investissements'!$A$71:$B$88,2,FALSE)+1,FALSE)="","",VLOOKUP($A19,'détails investissements'!$A$26:$DE$43,CE$3-VLOOKUP($A19,'détails investissements'!$A$71:$B$88,2,FALSE)+1,FALSE))),'détails investissements'!$U$6:$AB$7,2,FALSE),"")&lt;&gt;"",VLOOKUP($A19,'détails investissements'!$A$7:$H$21,1+IF(IF(CE$3-VLOOKUP($A19,'détails investissements'!$A$71:$B$88,2,FALSE)&lt;=0,"",IF(VLOOKUP($A19,'détails investissements'!$A$26:$DE$43,CE$3-VLOOKUP($A19,'détails investissements'!$A$71:$B$88,2,FALSE)+1,FALSE)="","",VLOOKUP($A19,'détails investissements'!$A$26:$DE$43,CE$3-VLOOKUP($A19,'détails investissements'!$A$71:$B$88,2,FALSE)+1,FALSE)))&lt;&gt;"",HLOOKUP(IF(CE$3-VLOOKUP($A19,'détails investissements'!$A$71:$B$88,2,FALSE)&lt;=0,"",IF(VLOOKUP($A19,'détails investissements'!$A$26:$DE$43,CE$3-VLOOKUP($A19,'détails investissements'!$A$71:$B$88,2,FALSE)+1,FALSE)="","",VLOOKUP($A19,'détails investissements'!$A$26:$DE$43,CE$3-VLOOKUP($A19,'détails investissements'!$A$71:$B$88,2,FALSE)+1,FALSE))),'détails investissements'!$U$6:$AB$7,2,FALSE),""),FALSE),"")</f>
        <v/>
      </c>
      <c r="CF19" s="45" t="str">
        <f>IF(IF(IF(CF$3-VLOOKUP($A19,'détails investissements'!$A$71:$B$88,2,FALSE)&lt;=0,"",IF(VLOOKUP($A19,'détails investissements'!$A$26:$DE$43,CF$3-VLOOKUP($A19,'détails investissements'!$A$71:$B$88,2,FALSE)+1,FALSE)="","",VLOOKUP($A19,'détails investissements'!$A$26:$DE$43,CF$3-VLOOKUP($A19,'détails investissements'!$A$71:$B$88,2,FALSE)+1,FALSE)))&lt;&gt;"",HLOOKUP(IF(CF$3-VLOOKUP($A19,'détails investissements'!$A$71:$B$88,2,FALSE)&lt;=0,"",IF(VLOOKUP($A19,'détails investissements'!$A$26:$DE$43,CF$3-VLOOKUP($A19,'détails investissements'!$A$71:$B$88,2,FALSE)+1,FALSE)="","",VLOOKUP($A19,'détails investissements'!$A$26:$DE$43,CF$3-VLOOKUP($A19,'détails investissements'!$A$71:$B$88,2,FALSE)+1,FALSE))),'détails investissements'!$U$6:$AB$7,2,FALSE),"")&lt;&gt;"",VLOOKUP($A19,'détails investissements'!$A$7:$H$21,1+IF(IF(CF$3-VLOOKUP($A19,'détails investissements'!$A$71:$B$88,2,FALSE)&lt;=0,"",IF(VLOOKUP($A19,'détails investissements'!$A$26:$DE$43,CF$3-VLOOKUP($A19,'détails investissements'!$A$71:$B$88,2,FALSE)+1,FALSE)="","",VLOOKUP($A19,'détails investissements'!$A$26:$DE$43,CF$3-VLOOKUP($A19,'détails investissements'!$A$71:$B$88,2,FALSE)+1,FALSE)))&lt;&gt;"",HLOOKUP(IF(CF$3-VLOOKUP($A19,'détails investissements'!$A$71:$B$88,2,FALSE)&lt;=0,"",IF(VLOOKUP($A19,'détails investissements'!$A$26:$DE$43,CF$3-VLOOKUP($A19,'détails investissements'!$A$71:$B$88,2,FALSE)+1,FALSE)="","",VLOOKUP($A19,'détails investissements'!$A$26:$DE$43,CF$3-VLOOKUP($A19,'détails investissements'!$A$71:$B$88,2,FALSE)+1,FALSE))),'détails investissements'!$U$6:$AB$7,2,FALSE),""),FALSE),"")</f>
        <v/>
      </c>
      <c r="CG19" s="45" t="str">
        <f>IF(IF(IF(CG$3-VLOOKUP($A19,'détails investissements'!$A$71:$B$88,2,FALSE)&lt;=0,"",IF(VLOOKUP($A19,'détails investissements'!$A$26:$DE$43,CG$3-VLOOKUP($A19,'détails investissements'!$A$71:$B$88,2,FALSE)+1,FALSE)="","",VLOOKUP($A19,'détails investissements'!$A$26:$DE$43,CG$3-VLOOKUP($A19,'détails investissements'!$A$71:$B$88,2,FALSE)+1,FALSE)))&lt;&gt;"",HLOOKUP(IF(CG$3-VLOOKUP($A19,'détails investissements'!$A$71:$B$88,2,FALSE)&lt;=0,"",IF(VLOOKUP($A19,'détails investissements'!$A$26:$DE$43,CG$3-VLOOKUP($A19,'détails investissements'!$A$71:$B$88,2,FALSE)+1,FALSE)="","",VLOOKUP($A19,'détails investissements'!$A$26:$DE$43,CG$3-VLOOKUP($A19,'détails investissements'!$A$71:$B$88,2,FALSE)+1,FALSE))),'détails investissements'!$U$6:$AB$7,2,FALSE),"")&lt;&gt;"",VLOOKUP($A19,'détails investissements'!$A$7:$H$21,1+IF(IF(CG$3-VLOOKUP($A19,'détails investissements'!$A$71:$B$88,2,FALSE)&lt;=0,"",IF(VLOOKUP($A19,'détails investissements'!$A$26:$DE$43,CG$3-VLOOKUP($A19,'détails investissements'!$A$71:$B$88,2,FALSE)+1,FALSE)="","",VLOOKUP($A19,'détails investissements'!$A$26:$DE$43,CG$3-VLOOKUP($A19,'détails investissements'!$A$71:$B$88,2,FALSE)+1,FALSE)))&lt;&gt;"",HLOOKUP(IF(CG$3-VLOOKUP($A19,'détails investissements'!$A$71:$B$88,2,FALSE)&lt;=0,"",IF(VLOOKUP($A19,'détails investissements'!$A$26:$DE$43,CG$3-VLOOKUP($A19,'détails investissements'!$A$71:$B$88,2,FALSE)+1,FALSE)="","",VLOOKUP($A19,'détails investissements'!$A$26:$DE$43,CG$3-VLOOKUP($A19,'détails investissements'!$A$71:$B$88,2,FALSE)+1,FALSE))),'détails investissements'!$U$6:$AB$7,2,FALSE),""),FALSE),"")</f>
        <v/>
      </c>
      <c r="CH19" s="45" t="str">
        <f>IF(IF(IF(CH$3-VLOOKUP($A19,'détails investissements'!$A$71:$B$88,2,FALSE)&lt;=0,"",IF(VLOOKUP($A19,'détails investissements'!$A$26:$DE$43,CH$3-VLOOKUP($A19,'détails investissements'!$A$71:$B$88,2,FALSE)+1,FALSE)="","",VLOOKUP($A19,'détails investissements'!$A$26:$DE$43,CH$3-VLOOKUP($A19,'détails investissements'!$A$71:$B$88,2,FALSE)+1,FALSE)))&lt;&gt;"",HLOOKUP(IF(CH$3-VLOOKUP($A19,'détails investissements'!$A$71:$B$88,2,FALSE)&lt;=0,"",IF(VLOOKUP($A19,'détails investissements'!$A$26:$DE$43,CH$3-VLOOKUP($A19,'détails investissements'!$A$71:$B$88,2,FALSE)+1,FALSE)="","",VLOOKUP($A19,'détails investissements'!$A$26:$DE$43,CH$3-VLOOKUP($A19,'détails investissements'!$A$71:$B$88,2,FALSE)+1,FALSE))),'détails investissements'!$U$6:$AB$7,2,FALSE),"")&lt;&gt;"",VLOOKUP($A19,'détails investissements'!$A$7:$H$21,1+IF(IF(CH$3-VLOOKUP($A19,'détails investissements'!$A$71:$B$88,2,FALSE)&lt;=0,"",IF(VLOOKUP($A19,'détails investissements'!$A$26:$DE$43,CH$3-VLOOKUP($A19,'détails investissements'!$A$71:$B$88,2,FALSE)+1,FALSE)="","",VLOOKUP($A19,'détails investissements'!$A$26:$DE$43,CH$3-VLOOKUP($A19,'détails investissements'!$A$71:$B$88,2,FALSE)+1,FALSE)))&lt;&gt;"",HLOOKUP(IF(CH$3-VLOOKUP($A19,'détails investissements'!$A$71:$B$88,2,FALSE)&lt;=0,"",IF(VLOOKUP($A19,'détails investissements'!$A$26:$DE$43,CH$3-VLOOKUP($A19,'détails investissements'!$A$71:$B$88,2,FALSE)+1,FALSE)="","",VLOOKUP($A19,'détails investissements'!$A$26:$DE$43,CH$3-VLOOKUP($A19,'détails investissements'!$A$71:$B$88,2,FALSE)+1,FALSE))),'détails investissements'!$U$6:$AB$7,2,FALSE),""),FALSE),"")</f>
        <v/>
      </c>
      <c r="CI19" s="45" t="str">
        <f>IF(IF(IF(CI$3-VLOOKUP($A19,'détails investissements'!$A$71:$B$88,2,FALSE)&lt;=0,"",IF(VLOOKUP($A19,'détails investissements'!$A$26:$DE$43,CI$3-VLOOKUP($A19,'détails investissements'!$A$71:$B$88,2,FALSE)+1,FALSE)="","",VLOOKUP($A19,'détails investissements'!$A$26:$DE$43,CI$3-VLOOKUP($A19,'détails investissements'!$A$71:$B$88,2,FALSE)+1,FALSE)))&lt;&gt;"",HLOOKUP(IF(CI$3-VLOOKUP($A19,'détails investissements'!$A$71:$B$88,2,FALSE)&lt;=0,"",IF(VLOOKUP($A19,'détails investissements'!$A$26:$DE$43,CI$3-VLOOKUP($A19,'détails investissements'!$A$71:$B$88,2,FALSE)+1,FALSE)="","",VLOOKUP($A19,'détails investissements'!$A$26:$DE$43,CI$3-VLOOKUP($A19,'détails investissements'!$A$71:$B$88,2,FALSE)+1,FALSE))),'détails investissements'!$U$6:$AB$7,2,FALSE),"")&lt;&gt;"",VLOOKUP($A19,'détails investissements'!$A$7:$H$21,1+IF(IF(CI$3-VLOOKUP($A19,'détails investissements'!$A$71:$B$88,2,FALSE)&lt;=0,"",IF(VLOOKUP($A19,'détails investissements'!$A$26:$DE$43,CI$3-VLOOKUP($A19,'détails investissements'!$A$71:$B$88,2,FALSE)+1,FALSE)="","",VLOOKUP($A19,'détails investissements'!$A$26:$DE$43,CI$3-VLOOKUP($A19,'détails investissements'!$A$71:$B$88,2,FALSE)+1,FALSE)))&lt;&gt;"",HLOOKUP(IF(CI$3-VLOOKUP($A19,'détails investissements'!$A$71:$B$88,2,FALSE)&lt;=0,"",IF(VLOOKUP($A19,'détails investissements'!$A$26:$DE$43,CI$3-VLOOKUP($A19,'détails investissements'!$A$71:$B$88,2,FALSE)+1,FALSE)="","",VLOOKUP($A19,'détails investissements'!$A$26:$DE$43,CI$3-VLOOKUP($A19,'détails investissements'!$A$71:$B$88,2,FALSE)+1,FALSE))),'détails investissements'!$U$6:$AB$7,2,FALSE),""),FALSE),"")</f>
        <v/>
      </c>
      <c r="CJ19" s="45" t="str">
        <f>IF(IF(IF(CJ$3-VLOOKUP($A19,'détails investissements'!$A$71:$B$88,2,FALSE)&lt;=0,"",IF(VLOOKUP($A19,'détails investissements'!$A$26:$DE$43,CJ$3-VLOOKUP($A19,'détails investissements'!$A$71:$B$88,2,FALSE)+1,FALSE)="","",VLOOKUP($A19,'détails investissements'!$A$26:$DE$43,CJ$3-VLOOKUP($A19,'détails investissements'!$A$71:$B$88,2,FALSE)+1,FALSE)))&lt;&gt;"",HLOOKUP(IF(CJ$3-VLOOKUP($A19,'détails investissements'!$A$71:$B$88,2,FALSE)&lt;=0,"",IF(VLOOKUP($A19,'détails investissements'!$A$26:$DE$43,CJ$3-VLOOKUP($A19,'détails investissements'!$A$71:$B$88,2,FALSE)+1,FALSE)="","",VLOOKUP($A19,'détails investissements'!$A$26:$DE$43,CJ$3-VLOOKUP($A19,'détails investissements'!$A$71:$B$88,2,FALSE)+1,FALSE))),'détails investissements'!$U$6:$AB$7,2,FALSE),"")&lt;&gt;"",VLOOKUP($A19,'détails investissements'!$A$7:$H$21,1+IF(IF(CJ$3-VLOOKUP($A19,'détails investissements'!$A$71:$B$88,2,FALSE)&lt;=0,"",IF(VLOOKUP($A19,'détails investissements'!$A$26:$DE$43,CJ$3-VLOOKUP($A19,'détails investissements'!$A$71:$B$88,2,FALSE)+1,FALSE)="","",VLOOKUP($A19,'détails investissements'!$A$26:$DE$43,CJ$3-VLOOKUP($A19,'détails investissements'!$A$71:$B$88,2,FALSE)+1,FALSE)))&lt;&gt;"",HLOOKUP(IF(CJ$3-VLOOKUP($A19,'détails investissements'!$A$71:$B$88,2,FALSE)&lt;=0,"",IF(VLOOKUP($A19,'détails investissements'!$A$26:$DE$43,CJ$3-VLOOKUP($A19,'détails investissements'!$A$71:$B$88,2,FALSE)+1,FALSE)="","",VLOOKUP($A19,'détails investissements'!$A$26:$DE$43,CJ$3-VLOOKUP($A19,'détails investissements'!$A$71:$B$88,2,FALSE)+1,FALSE))),'détails investissements'!$U$6:$AB$7,2,FALSE),""),FALSE),"")</f>
        <v/>
      </c>
      <c r="CK19" s="45" t="str">
        <f>IF(IF(IF(CK$3-VLOOKUP($A19,'détails investissements'!$A$71:$B$88,2,FALSE)&lt;=0,"",IF(VLOOKUP($A19,'détails investissements'!$A$26:$DE$43,CK$3-VLOOKUP($A19,'détails investissements'!$A$71:$B$88,2,FALSE)+1,FALSE)="","",VLOOKUP($A19,'détails investissements'!$A$26:$DE$43,CK$3-VLOOKUP($A19,'détails investissements'!$A$71:$B$88,2,FALSE)+1,FALSE)))&lt;&gt;"",HLOOKUP(IF(CK$3-VLOOKUP($A19,'détails investissements'!$A$71:$B$88,2,FALSE)&lt;=0,"",IF(VLOOKUP($A19,'détails investissements'!$A$26:$DE$43,CK$3-VLOOKUP($A19,'détails investissements'!$A$71:$B$88,2,FALSE)+1,FALSE)="","",VLOOKUP($A19,'détails investissements'!$A$26:$DE$43,CK$3-VLOOKUP($A19,'détails investissements'!$A$71:$B$88,2,FALSE)+1,FALSE))),'détails investissements'!$U$6:$AB$7,2,FALSE),"")&lt;&gt;"",VLOOKUP($A19,'détails investissements'!$A$7:$H$21,1+IF(IF(CK$3-VLOOKUP($A19,'détails investissements'!$A$71:$B$88,2,FALSE)&lt;=0,"",IF(VLOOKUP($A19,'détails investissements'!$A$26:$DE$43,CK$3-VLOOKUP($A19,'détails investissements'!$A$71:$B$88,2,FALSE)+1,FALSE)="","",VLOOKUP($A19,'détails investissements'!$A$26:$DE$43,CK$3-VLOOKUP($A19,'détails investissements'!$A$71:$B$88,2,FALSE)+1,FALSE)))&lt;&gt;"",HLOOKUP(IF(CK$3-VLOOKUP($A19,'détails investissements'!$A$71:$B$88,2,FALSE)&lt;=0,"",IF(VLOOKUP($A19,'détails investissements'!$A$26:$DE$43,CK$3-VLOOKUP($A19,'détails investissements'!$A$71:$B$88,2,FALSE)+1,FALSE)="","",VLOOKUP($A19,'détails investissements'!$A$26:$DE$43,CK$3-VLOOKUP($A19,'détails investissements'!$A$71:$B$88,2,FALSE)+1,FALSE))),'détails investissements'!$U$6:$AB$7,2,FALSE),""),FALSE),"")</f>
        <v/>
      </c>
      <c r="CL19" s="45" t="str">
        <f>IF(IF(IF(CL$3-VLOOKUP($A19,'détails investissements'!$A$71:$B$88,2,FALSE)&lt;=0,"",IF(VLOOKUP($A19,'détails investissements'!$A$26:$DE$43,CL$3-VLOOKUP($A19,'détails investissements'!$A$71:$B$88,2,FALSE)+1,FALSE)="","",VLOOKUP($A19,'détails investissements'!$A$26:$DE$43,CL$3-VLOOKUP($A19,'détails investissements'!$A$71:$B$88,2,FALSE)+1,FALSE)))&lt;&gt;"",HLOOKUP(IF(CL$3-VLOOKUP($A19,'détails investissements'!$A$71:$B$88,2,FALSE)&lt;=0,"",IF(VLOOKUP($A19,'détails investissements'!$A$26:$DE$43,CL$3-VLOOKUP($A19,'détails investissements'!$A$71:$B$88,2,FALSE)+1,FALSE)="","",VLOOKUP($A19,'détails investissements'!$A$26:$DE$43,CL$3-VLOOKUP($A19,'détails investissements'!$A$71:$B$88,2,FALSE)+1,FALSE))),'détails investissements'!$U$6:$AB$7,2,FALSE),"")&lt;&gt;"",VLOOKUP($A19,'détails investissements'!$A$7:$H$21,1+IF(IF(CL$3-VLOOKUP($A19,'détails investissements'!$A$71:$B$88,2,FALSE)&lt;=0,"",IF(VLOOKUP($A19,'détails investissements'!$A$26:$DE$43,CL$3-VLOOKUP($A19,'détails investissements'!$A$71:$B$88,2,FALSE)+1,FALSE)="","",VLOOKUP($A19,'détails investissements'!$A$26:$DE$43,CL$3-VLOOKUP($A19,'détails investissements'!$A$71:$B$88,2,FALSE)+1,FALSE)))&lt;&gt;"",HLOOKUP(IF(CL$3-VLOOKUP($A19,'détails investissements'!$A$71:$B$88,2,FALSE)&lt;=0,"",IF(VLOOKUP($A19,'détails investissements'!$A$26:$DE$43,CL$3-VLOOKUP($A19,'détails investissements'!$A$71:$B$88,2,FALSE)+1,FALSE)="","",VLOOKUP($A19,'détails investissements'!$A$26:$DE$43,CL$3-VLOOKUP($A19,'détails investissements'!$A$71:$B$88,2,FALSE)+1,FALSE))),'détails investissements'!$U$6:$AB$7,2,FALSE),""),FALSE),"")</f>
        <v/>
      </c>
      <c r="CM19" s="45" t="str">
        <f>IF(IF(IF(CM$3-VLOOKUP($A19,'détails investissements'!$A$71:$B$88,2,FALSE)&lt;=0,"",IF(VLOOKUP($A19,'détails investissements'!$A$26:$DE$43,CM$3-VLOOKUP($A19,'détails investissements'!$A$71:$B$88,2,FALSE)+1,FALSE)="","",VLOOKUP($A19,'détails investissements'!$A$26:$DE$43,CM$3-VLOOKUP($A19,'détails investissements'!$A$71:$B$88,2,FALSE)+1,FALSE)))&lt;&gt;"",HLOOKUP(IF(CM$3-VLOOKUP($A19,'détails investissements'!$A$71:$B$88,2,FALSE)&lt;=0,"",IF(VLOOKUP($A19,'détails investissements'!$A$26:$DE$43,CM$3-VLOOKUP($A19,'détails investissements'!$A$71:$B$88,2,FALSE)+1,FALSE)="","",VLOOKUP($A19,'détails investissements'!$A$26:$DE$43,CM$3-VLOOKUP($A19,'détails investissements'!$A$71:$B$88,2,FALSE)+1,FALSE))),'détails investissements'!$U$6:$AB$7,2,FALSE),"")&lt;&gt;"",VLOOKUP($A19,'détails investissements'!$A$7:$H$21,1+IF(IF(CM$3-VLOOKUP($A19,'détails investissements'!$A$71:$B$88,2,FALSE)&lt;=0,"",IF(VLOOKUP($A19,'détails investissements'!$A$26:$DE$43,CM$3-VLOOKUP($A19,'détails investissements'!$A$71:$B$88,2,FALSE)+1,FALSE)="","",VLOOKUP($A19,'détails investissements'!$A$26:$DE$43,CM$3-VLOOKUP($A19,'détails investissements'!$A$71:$B$88,2,FALSE)+1,FALSE)))&lt;&gt;"",HLOOKUP(IF(CM$3-VLOOKUP($A19,'détails investissements'!$A$71:$B$88,2,FALSE)&lt;=0,"",IF(VLOOKUP($A19,'détails investissements'!$A$26:$DE$43,CM$3-VLOOKUP($A19,'détails investissements'!$A$71:$B$88,2,FALSE)+1,FALSE)="","",VLOOKUP($A19,'détails investissements'!$A$26:$DE$43,CM$3-VLOOKUP($A19,'détails investissements'!$A$71:$B$88,2,FALSE)+1,FALSE))),'détails investissements'!$U$6:$AB$7,2,FALSE),""),FALSE),"")</f>
        <v/>
      </c>
      <c r="CN19" s="45" t="str">
        <f>IF(IF(IF(CN$3-VLOOKUP($A19,'détails investissements'!$A$71:$B$88,2,FALSE)&lt;=0,"",IF(VLOOKUP($A19,'détails investissements'!$A$26:$DE$43,CN$3-VLOOKUP($A19,'détails investissements'!$A$71:$B$88,2,FALSE)+1,FALSE)="","",VLOOKUP($A19,'détails investissements'!$A$26:$DE$43,CN$3-VLOOKUP($A19,'détails investissements'!$A$71:$B$88,2,FALSE)+1,FALSE)))&lt;&gt;"",HLOOKUP(IF(CN$3-VLOOKUP($A19,'détails investissements'!$A$71:$B$88,2,FALSE)&lt;=0,"",IF(VLOOKUP($A19,'détails investissements'!$A$26:$DE$43,CN$3-VLOOKUP($A19,'détails investissements'!$A$71:$B$88,2,FALSE)+1,FALSE)="","",VLOOKUP($A19,'détails investissements'!$A$26:$DE$43,CN$3-VLOOKUP($A19,'détails investissements'!$A$71:$B$88,2,FALSE)+1,FALSE))),'détails investissements'!$U$6:$AB$7,2,FALSE),"")&lt;&gt;"",VLOOKUP($A19,'détails investissements'!$A$7:$H$21,1+IF(IF(CN$3-VLOOKUP($A19,'détails investissements'!$A$71:$B$88,2,FALSE)&lt;=0,"",IF(VLOOKUP($A19,'détails investissements'!$A$26:$DE$43,CN$3-VLOOKUP($A19,'détails investissements'!$A$71:$B$88,2,FALSE)+1,FALSE)="","",VLOOKUP($A19,'détails investissements'!$A$26:$DE$43,CN$3-VLOOKUP($A19,'détails investissements'!$A$71:$B$88,2,FALSE)+1,FALSE)))&lt;&gt;"",HLOOKUP(IF(CN$3-VLOOKUP($A19,'détails investissements'!$A$71:$B$88,2,FALSE)&lt;=0,"",IF(VLOOKUP($A19,'détails investissements'!$A$26:$DE$43,CN$3-VLOOKUP($A19,'détails investissements'!$A$71:$B$88,2,FALSE)+1,FALSE)="","",VLOOKUP($A19,'détails investissements'!$A$26:$DE$43,CN$3-VLOOKUP($A19,'détails investissements'!$A$71:$B$88,2,FALSE)+1,FALSE))),'détails investissements'!$U$6:$AB$7,2,FALSE),""),FALSE),"")</f>
        <v/>
      </c>
      <c r="CO19" s="45" t="str">
        <f>IF(IF(IF(CO$3-VLOOKUP($A19,'détails investissements'!$A$71:$B$88,2,FALSE)&lt;=0,"",IF(VLOOKUP($A19,'détails investissements'!$A$26:$DE$43,CO$3-VLOOKUP($A19,'détails investissements'!$A$71:$B$88,2,FALSE)+1,FALSE)="","",VLOOKUP($A19,'détails investissements'!$A$26:$DE$43,CO$3-VLOOKUP($A19,'détails investissements'!$A$71:$B$88,2,FALSE)+1,FALSE)))&lt;&gt;"",HLOOKUP(IF(CO$3-VLOOKUP($A19,'détails investissements'!$A$71:$B$88,2,FALSE)&lt;=0,"",IF(VLOOKUP($A19,'détails investissements'!$A$26:$DE$43,CO$3-VLOOKUP($A19,'détails investissements'!$A$71:$B$88,2,FALSE)+1,FALSE)="","",VLOOKUP($A19,'détails investissements'!$A$26:$DE$43,CO$3-VLOOKUP($A19,'détails investissements'!$A$71:$B$88,2,FALSE)+1,FALSE))),'détails investissements'!$U$6:$AB$7,2,FALSE),"")&lt;&gt;"",VLOOKUP($A19,'détails investissements'!$A$7:$H$21,1+IF(IF(CO$3-VLOOKUP($A19,'détails investissements'!$A$71:$B$88,2,FALSE)&lt;=0,"",IF(VLOOKUP($A19,'détails investissements'!$A$26:$DE$43,CO$3-VLOOKUP($A19,'détails investissements'!$A$71:$B$88,2,FALSE)+1,FALSE)="","",VLOOKUP($A19,'détails investissements'!$A$26:$DE$43,CO$3-VLOOKUP($A19,'détails investissements'!$A$71:$B$88,2,FALSE)+1,FALSE)))&lt;&gt;"",HLOOKUP(IF(CO$3-VLOOKUP($A19,'détails investissements'!$A$71:$B$88,2,FALSE)&lt;=0,"",IF(VLOOKUP($A19,'détails investissements'!$A$26:$DE$43,CO$3-VLOOKUP($A19,'détails investissements'!$A$71:$B$88,2,FALSE)+1,FALSE)="","",VLOOKUP($A19,'détails investissements'!$A$26:$DE$43,CO$3-VLOOKUP($A19,'détails investissements'!$A$71:$B$88,2,FALSE)+1,FALSE))),'détails investissements'!$U$6:$AB$7,2,FALSE),""),FALSE),"")</f>
        <v/>
      </c>
      <c r="CP19" s="45" t="str">
        <f>IF(IF(IF(CP$3-VLOOKUP($A19,'détails investissements'!$A$71:$B$88,2,FALSE)&lt;=0,"",IF(VLOOKUP($A19,'détails investissements'!$A$26:$DE$43,CP$3-VLOOKUP($A19,'détails investissements'!$A$71:$B$88,2,FALSE)+1,FALSE)="","",VLOOKUP($A19,'détails investissements'!$A$26:$DE$43,CP$3-VLOOKUP($A19,'détails investissements'!$A$71:$B$88,2,FALSE)+1,FALSE)))&lt;&gt;"",HLOOKUP(IF(CP$3-VLOOKUP($A19,'détails investissements'!$A$71:$B$88,2,FALSE)&lt;=0,"",IF(VLOOKUP($A19,'détails investissements'!$A$26:$DE$43,CP$3-VLOOKUP($A19,'détails investissements'!$A$71:$B$88,2,FALSE)+1,FALSE)="","",VLOOKUP($A19,'détails investissements'!$A$26:$DE$43,CP$3-VLOOKUP($A19,'détails investissements'!$A$71:$B$88,2,FALSE)+1,FALSE))),'détails investissements'!$U$6:$AB$7,2,FALSE),"")&lt;&gt;"",VLOOKUP($A19,'détails investissements'!$A$7:$H$21,1+IF(IF(CP$3-VLOOKUP($A19,'détails investissements'!$A$71:$B$88,2,FALSE)&lt;=0,"",IF(VLOOKUP($A19,'détails investissements'!$A$26:$DE$43,CP$3-VLOOKUP($A19,'détails investissements'!$A$71:$B$88,2,FALSE)+1,FALSE)="","",VLOOKUP($A19,'détails investissements'!$A$26:$DE$43,CP$3-VLOOKUP($A19,'détails investissements'!$A$71:$B$88,2,FALSE)+1,FALSE)))&lt;&gt;"",HLOOKUP(IF(CP$3-VLOOKUP($A19,'détails investissements'!$A$71:$B$88,2,FALSE)&lt;=0,"",IF(VLOOKUP($A19,'détails investissements'!$A$26:$DE$43,CP$3-VLOOKUP($A19,'détails investissements'!$A$71:$B$88,2,FALSE)+1,FALSE)="","",VLOOKUP($A19,'détails investissements'!$A$26:$DE$43,CP$3-VLOOKUP($A19,'détails investissements'!$A$71:$B$88,2,FALSE)+1,FALSE))),'détails investissements'!$U$6:$AB$7,2,FALSE),""),FALSE),"")</f>
        <v/>
      </c>
      <c r="CQ19" s="45" t="str">
        <f>IF(IF(IF(CQ$3-VLOOKUP($A19,'détails investissements'!$A$71:$B$88,2,FALSE)&lt;=0,"",IF(VLOOKUP($A19,'détails investissements'!$A$26:$DE$43,CQ$3-VLOOKUP($A19,'détails investissements'!$A$71:$B$88,2,FALSE)+1,FALSE)="","",VLOOKUP($A19,'détails investissements'!$A$26:$DE$43,CQ$3-VLOOKUP($A19,'détails investissements'!$A$71:$B$88,2,FALSE)+1,FALSE)))&lt;&gt;"",HLOOKUP(IF(CQ$3-VLOOKUP($A19,'détails investissements'!$A$71:$B$88,2,FALSE)&lt;=0,"",IF(VLOOKUP($A19,'détails investissements'!$A$26:$DE$43,CQ$3-VLOOKUP($A19,'détails investissements'!$A$71:$B$88,2,FALSE)+1,FALSE)="","",VLOOKUP($A19,'détails investissements'!$A$26:$DE$43,CQ$3-VLOOKUP($A19,'détails investissements'!$A$71:$B$88,2,FALSE)+1,FALSE))),'détails investissements'!$U$6:$AB$7,2,FALSE),"")&lt;&gt;"",VLOOKUP($A19,'détails investissements'!$A$7:$H$21,1+IF(IF(CQ$3-VLOOKUP($A19,'détails investissements'!$A$71:$B$88,2,FALSE)&lt;=0,"",IF(VLOOKUP($A19,'détails investissements'!$A$26:$DE$43,CQ$3-VLOOKUP($A19,'détails investissements'!$A$71:$B$88,2,FALSE)+1,FALSE)="","",VLOOKUP($A19,'détails investissements'!$A$26:$DE$43,CQ$3-VLOOKUP($A19,'détails investissements'!$A$71:$B$88,2,FALSE)+1,FALSE)))&lt;&gt;"",HLOOKUP(IF(CQ$3-VLOOKUP($A19,'détails investissements'!$A$71:$B$88,2,FALSE)&lt;=0,"",IF(VLOOKUP($A19,'détails investissements'!$A$26:$DE$43,CQ$3-VLOOKUP($A19,'détails investissements'!$A$71:$B$88,2,FALSE)+1,FALSE)="","",VLOOKUP($A19,'détails investissements'!$A$26:$DE$43,CQ$3-VLOOKUP($A19,'détails investissements'!$A$71:$B$88,2,FALSE)+1,FALSE))),'détails investissements'!$U$6:$AB$7,2,FALSE),""),FALSE),"")</f>
        <v/>
      </c>
      <c r="CR19" s="45" t="str">
        <f>IF(IF(IF(CR$3-VLOOKUP($A19,'détails investissements'!$A$71:$B$88,2,FALSE)&lt;=0,"",IF(VLOOKUP($A19,'détails investissements'!$A$26:$DE$43,CR$3-VLOOKUP($A19,'détails investissements'!$A$71:$B$88,2,FALSE)+1,FALSE)="","",VLOOKUP($A19,'détails investissements'!$A$26:$DE$43,CR$3-VLOOKUP($A19,'détails investissements'!$A$71:$B$88,2,FALSE)+1,FALSE)))&lt;&gt;"",HLOOKUP(IF(CR$3-VLOOKUP($A19,'détails investissements'!$A$71:$B$88,2,FALSE)&lt;=0,"",IF(VLOOKUP($A19,'détails investissements'!$A$26:$DE$43,CR$3-VLOOKUP($A19,'détails investissements'!$A$71:$B$88,2,FALSE)+1,FALSE)="","",VLOOKUP($A19,'détails investissements'!$A$26:$DE$43,CR$3-VLOOKUP($A19,'détails investissements'!$A$71:$B$88,2,FALSE)+1,FALSE))),'détails investissements'!$U$6:$AB$7,2,FALSE),"")&lt;&gt;"",VLOOKUP($A19,'détails investissements'!$A$7:$H$21,1+IF(IF(CR$3-VLOOKUP($A19,'détails investissements'!$A$71:$B$88,2,FALSE)&lt;=0,"",IF(VLOOKUP($A19,'détails investissements'!$A$26:$DE$43,CR$3-VLOOKUP($A19,'détails investissements'!$A$71:$B$88,2,FALSE)+1,FALSE)="","",VLOOKUP($A19,'détails investissements'!$A$26:$DE$43,CR$3-VLOOKUP($A19,'détails investissements'!$A$71:$B$88,2,FALSE)+1,FALSE)))&lt;&gt;"",HLOOKUP(IF(CR$3-VLOOKUP($A19,'détails investissements'!$A$71:$B$88,2,FALSE)&lt;=0,"",IF(VLOOKUP($A19,'détails investissements'!$A$26:$DE$43,CR$3-VLOOKUP($A19,'détails investissements'!$A$71:$B$88,2,FALSE)+1,FALSE)="","",VLOOKUP($A19,'détails investissements'!$A$26:$DE$43,CR$3-VLOOKUP($A19,'détails investissements'!$A$71:$B$88,2,FALSE)+1,FALSE))),'détails investissements'!$U$6:$AB$7,2,FALSE),""),FALSE),"")</f>
        <v/>
      </c>
      <c r="CS19" s="45" t="str">
        <f>IF(IF(IF(CS$3-VLOOKUP($A19,'détails investissements'!$A$71:$B$88,2,FALSE)&lt;=0,"",IF(VLOOKUP($A19,'détails investissements'!$A$26:$DE$43,CS$3-VLOOKUP($A19,'détails investissements'!$A$71:$B$88,2,FALSE)+1,FALSE)="","",VLOOKUP($A19,'détails investissements'!$A$26:$DE$43,CS$3-VLOOKUP($A19,'détails investissements'!$A$71:$B$88,2,FALSE)+1,FALSE)))&lt;&gt;"",HLOOKUP(IF(CS$3-VLOOKUP($A19,'détails investissements'!$A$71:$B$88,2,FALSE)&lt;=0,"",IF(VLOOKUP($A19,'détails investissements'!$A$26:$DE$43,CS$3-VLOOKUP($A19,'détails investissements'!$A$71:$B$88,2,FALSE)+1,FALSE)="","",VLOOKUP($A19,'détails investissements'!$A$26:$DE$43,CS$3-VLOOKUP($A19,'détails investissements'!$A$71:$B$88,2,FALSE)+1,FALSE))),'détails investissements'!$U$6:$AB$7,2,FALSE),"")&lt;&gt;"",VLOOKUP($A19,'détails investissements'!$A$7:$H$21,1+IF(IF(CS$3-VLOOKUP($A19,'détails investissements'!$A$71:$B$88,2,FALSE)&lt;=0,"",IF(VLOOKUP($A19,'détails investissements'!$A$26:$DE$43,CS$3-VLOOKUP($A19,'détails investissements'!$A$71:$B$88,2,FALSE)+1,FALSE)="","",VLOOKUP($A19,'détails investissements'!$A$26:$DE$43,CS$3-VLOOKUP($A19,'détails investissements'!$A$71:$B$88,2,FALSE)+1,FALSE)))&lt;&gt;"",HLOOKUP(IF(CS$3-VLOOKUP($A19,'détails investissements'!$A$71:$B$88,2,FALSE)&lt;=0,"",IF(VLOOKUP($A19,'détails investissements'!$A$26:$DE$43,CS$3-VLOOKUP($A19,'détails investissements'!$A$71:$B$88,2,FALSE)+1,FALSE)="","",VLOOKUP($A19,'détails investissements'!$A$26:$DE$43,CS$3-VLOOKUP($A19,'détails investissements'!$A$71:$B$88,2,FALSE)+1,FALSE))),'détails investissements'!$U$6:$AB$7,2,FALSE),""),FALSE),"")</f>
        <v/>
      </c>
      <c r="CT19" s="45" t="str">
        <f>IF(IF(IF(CT$3-VLOOKUP($A19,'détails investissements'!$A$71:$B$88,2,FALSE)&lt;=0,"",IF(VLOOKUP($A19,'détails investissements'!$A$26:$DE$43,CT$3-VLOOKUP($A19,'détails investissements'!$A$71:$B$88,2,FALSE)+1,FALSE)="","",VLOOKUP($A19,'détails investissements'!$A$26:$DE$43,CT$3-VLOOKUP($A19,'détails investissements'!$A$71:$B$88,2,FALSE)+1,FALSE)))&lt;&gt;"",HLOOKUP(IF(CT$3-VLOOKUP($A19,'détails investissements'!$A$71:$B$88,2,FALSE)&lt;=0,"",IF(VLOOKUP($A19,'détails investissements'!$A$26:$DE$43,CT$3-VLOOKUP($A19,'détails investissements'!$A$71:$B$88,2,FALSE)+1,FALSE)="","",VLOOKUP($A19,'détails investissements'!$A$26:$DE$43,CT$3-VLOOKUP($A19,'détails investissements'!$A$71:$B$88,2,FALSE)+1,FALSE))),'détails investissements'!$U$6:$AB$7,2,FALSE),"")&lt;&gt;"",VLOOKUP($A19,'détails investissements'!$A$7:$H$21,1+IF(IF(CT$3-VLOOKUP($A19,'détails investissements'!$A$71:$B$88,2,FALSE)&lt;=0,"",IF(VLOOKUP($A19,'détails investissements'!$A$26:$DE$43,CT$3-VLOOKUP($A19,'détails investissements'!$A$71:$B$88,2,FALSE)+1,FALSE)="","",VLOOKUP($A19,'détails investissements'!$A$26:$DE$43,CT$3-VLOOKUP($A19,'détails investissements'!$A$71:$B$88,2,FALSE)+1,FALSE)))&lt;&gt;"",HLOOKUP(IF(CT$3-VLOOKUP($A19,'détails investissements'!$A$71:$B$88,2,FALSE)&lt;=0,"",IF(VLOOKUP($A19,'détails investissements'!$A$26:$DE$43,CT$3-VLOOKUP($A19,'détails investissements'!$A$71:$B$88,2,FALSE)+1,FALSE)="","",VLOOKUP($A19,'détails investissements'!$A$26:$DE$43,CT$3-VLOOKUP($A19,'détails investissements'!$A$71:$B$88,2,FALSE)+1,FALSE))),'détails investissements'!$U$6:$AB$7,2,FALSE),""),FALSE),"")</f>
        <v/>
      </c>
      <c r="CU19" s="45" t="str">
        <f>IF(IF(IF(CU$3-VLOOKUP($A19,'détails investissements'!$A$71:$B$88,2,FALSE)&lt;=0,"",IF(VLOOKUP($A19,'détails investissements'!$A$26:$DE$43,CU$3-VLOOKUP($A19,'détails investissements'!$A$71:$B$88,2,FALSE)+1,FALSE)="","",VLOOKUP($A19,'détails investissements'!$A$26:$DE$43,CU$3-VLOOKUP($A19,'détails investissements'!$A$71:$B$88,2,FALSE)+1,FALSE)))&lt;&gt;"",HLOOKUP(IF(CU$3-VLOOKUP($A19,'détails investissements'!$A$71:$B$88,2,FALSE)&lt;=0,"",IF(VLOOKUP($A19,'détails investissements'!$A$26:$DE$43,CU$3-VLOOKUP($A19,'détails investissements'!$A$71:$B$88,2,FALSE)+1,FALSE)="","",VLOOKUP($A19,'détails investissements'!$A$26:$DE$43,CU$3-VLOOKUP($A19,'détails investissements'!$A$71:$B$88,2,FALSE)+1,FALSE))),'détails investissements'!$U$6:$AB$7,2,FALSE),"")&lt;&gt;"",VLOOKUP($A19,'détails investissements'!$A$7:$H$21,1+IF(IF(CU$3-VLOOKUP($A19,'détails investissements'!$A$71:$B$88,2,FALSE)&lt;=0,"",IF(VLOOKUP($A19,'détails investissements'!$A$26:$DE$43,CU$3-VLOOKUP($A19,'détails investissements'!$A$71:$B$88,2,FALSE)+1,FALSE)="","",VLOOKUP($A19,'détails investissements'!$A$26:$DE$43,CU$3-VLOOKUP($A19,'détails investissements'!$A$71:$B$88,2,FALSE)+1,FALSE)))&lt;&gt;"",HLOOKUP(IF(CU$3-VLOOKUP($A19,'détails investissements'!$A$71:$B$88,2,FALSE)&lt;=0,"",IF(VLOOKUP($A19,'détails investissements'!$A$26:$DE$43,CU$3-VLOOKUP($A19,'détails investissements'!$A$71:$B$88,2,FALSE)+1,FALSE)="","",VLOOKUP($A19,'détails investissements'!$A$26:$DE$43,CU$3-VLOOKUP($A19,'détails investissements'!$A$71:$B$88,2,FALSE)+1,FALSE))),'détails investissements'!$U$6:$AB$7,2,FALSE),""),FALSE),"")</f>
        <v/>
      </c>
      <c r="CV19" s="45" t="str">
        <f>IF(IF(IF(CV$3-VLOOKUP($A19,'détails investissements'!$A$71:$B$88,2,FALSE)&lt;=0,"",IF(VLOOKUP($A19,'détails investissements'!$A$26:$DE$43,CV$3-VLOOKUP($A19,'détails investissements'!$A$71:$B$88,2,FALSE)+1,FALSE)="","",VLOOKUP($A19,'détails investissements'!$A$26:$DE$43,CV$3-VLOOKUP($A19,'détails investissements'!$A$71:$B$88,2,FALSE)+1,FALSE)))&lt;&gt;"",HLOOKUP(IF(CV$3-VLOOKUP($A19,'détails investissements'!$A$71:$B$88,2,FALSE)&lt;=0,"",IF(VLOOKUP($A19,'détails investissements'!$A$26:$DE$43,CV$3-VLOOKUP($A19,'détails investissements'!$A$71:$B$88,2,FALSE)+1,FALSE)="","",VLOOKUP($A19,'détails investissements'!$A$26:$DE$43,CV$3-VLOOKUP($A19,'détails investissements'!$A$71:$B$88,2,FALSE)+1,FALSE))),'détails investissements'!$U$6:$AB$7,2,FALSE),"")&lt;&gt;"",VLOOKUP($A19,'détails investissements'!$A$7:$H$21,1+IF(IF(CV$3-VLOOKUP($A19,'détails investissements'!$A$71:$B$88,2,FALSE)&lt;=0,"",IF(VLOOKUP($A19,'détails investissements'!$A$26:$DE$43,CV$3-VLOOKUP($A19,'détails investissements'!$A$71:$B$88,2,FALSE)+1,FALSE)="","",VLOOKUP($A19,'détails investissements'!$A$26:$DE$43,CV$3-VLOOKUP($A19,'détails investissements'!$A$71:$B$88,2,FALSE)+1,FALSE)))&lt;&gt;"",HLOOKUP(IF(CV$3-VLOOKUP($A19,'détails investissements'!$A$71:$B$88,2,FALSE)&lt;=0,"",IF(VLOOKUP($A19,'détails investissements'!$A$26:$DE$43,CV$3-VLOOKUP($A19,'détails investissements'!$A$71:$B$88,2,FALSE)+1,FALSE)="","",VLOOKUP($A19,'détails investissements'!$A$26:$DE$43,CV$3-VLOOKUP($A19,'détails investissements'!$A$71:$B$88,2,FALSE)+1,FALSE))),'détails investissements'!$U$6:$AB$7,2,FALSE),""),FALSE),"")</f>
        <v/>
      </c>
      <c r="CW19" s="45" t="str">
        <f>IF(IF(IF(CW$3-VLOOKUP($A19,'détails investissements'!$A$71:$B$88,2,FALSE)&lt;=0,"",IF(VLOOKUP($A19,'détails investissements'!$A$26:$DE$43,CW$3-VLOOKUP($A19,'détails investissements'!$A$71:$B$88,2,FALSE)+1,FALSE)="","",VLOOKUP($A19,'détails investissements'!$A$26:$DE$43,CW$3-VLOOKUP($A19,'détails investissements'!$A$71:$B$88,2,FALSE)+1,FALSE)))&lt;&gt;"",HLOOKUP(IF(CW$3-VLOOKUP($A19,'détails investissements'!$A$71:$B$88,2,FALSE)&lt;=0,"",IF(VLOOKUP($A19,'détails investissements'!$A$26:$DE$43,CW$3-VLOOKUP($A19,'détails investissements'!$A$71:$B$88,2,FALSE)+1,FALSE)="","",VLOOKUP($A19,'détails investissements'!$A$26:$DE$43,CW$3-VLOOKUP($A19,'détails investissements'!$A$71:$B$88,2,FALSE)+1,FALSE))),'détails investissements'!$U$6:$AB$7,2,FALSE),"")&lt;&gt;"",VLOOKUP($A19,'détails investissements'!$A$7:$H$21,1+IF(IF(CW$3-VLOOKUP($A19,'détails investissements'!$A$71:$B$88,2,FALSE)&lt;=0,"",IF(VLOOKUP($A19,'détails investissements'!$A$26:$DE$43,CW$3-VLOOKUP($A19,'détails investissements'!$A$71:$B$88,2,FALSE)+1,FALSE)="","",VLOOKUP($A19,'détails investissements'!$A$26:$DE$43,CW$3-VLOOKUP($A19,'détails investissements'!$A$71:$B$88,2,FALSE)+1,FALSE)))&lt;&gt;"",HLOOKUP(IF(CW$3-VLOOKUP($A19,'détails investissements'!$A$71:$B$88,2,FALSE)&lt;=0,"",IF(VLOOKUP($A19,'détails investissements'!$A$26:$DE$43,CW$3-VLOOKUP($A19,'détails investissements'!$A$71:$B$88,2,FALSE)+1,FALSE)="","",VLOOKUP($A19,'détails investissements'!$A$26:$DE$43,CW$3-VLOOKUP($A19,'détails investissements'!$A$71:$B$88,2,FALSE)+1,FALSE))),'détails investissements'!$U$6:$AB$7,2,FALSE),""),FALSE),"")</f>
        <v/>
      </c>
      <c r="CX19" s="45" t="str">
        <f>IF(IF(IF(CX$3-VLOOKUP($A19,'détails investissements'!$A$71:$B$88,2,FALSE)&lt;=0,"",IF(VLOOKUP($A19,'détails investissements'!$A$26:$DE$43,CX$3-VLOOKUP($A19,'détails investissements'!$A$71:$B$88,2,FALSE)+1,FALSE)="","",VLOOKUP($A19,'détails investissements'!$A$26:$DE$43,CX$3-VLOOKUP($A19,'détails investissements'!$A$71:$B$88,2,FALSE)+1,FALSE)))&lt;&gt;"",HLOOKUP(IF(CX$3-VLOOKUP($A19,'détails investissements'!$A$71:$B$88,2,FALSE)&lt;=0,"",IF(VLOOKUP($A19,'détails investissements'!$A$26:$DE$43,CX$3-VLOOKUP($A19,'détails investissements'!$A$71:$B$88,2,FALSE)+1,FALSE)="","",VLOOKUP($A19,'détails investissements'!$A$26:$DE$43,CX$3-VLOOKUP($A19,'détails investissements'!$A$71:$B$88,2,FALSE)+1,FALSE))),'détails investissements'!$U$6:$AB$7,2,FALSE),"")&lt;&gt;"",VLOOKUP($A19,'détails investissements'!$A$7:$H$21,1+IF(IF(CX$3-VLOOKUP($A19,'détails investissements'!$A$71:$B$88,2,FALSE)&lt;=0,"",IF(VLOOKUP($A19,'détails investissements'!$A$26:$DE$43,CX$3-VLOOKUP($A19,'détails investissements'!$A$71:$B$88,2,FALSE)+1,FALSE)="","",VLOOKUP($A19,'détails investissements'!$A$26:$DE$43,CX$3-VLOOKUP($A19,'détails investissements'!$A$71:$B$88,2,FALSE)+1,FALSE)))&lt;&gt;"",HLOOKUP(IF(CX$3-VLOOKUP($A19,'détails investissements'!$A$71:$B$88,2,FALSE)&lt;=0,"",IF(VLOOKUP($A19,'détails investissements'!$A$26:$DE$43,CX$3-VLOOKUP($A19,'détails investissements'!$A$71:$B$88,2,FALSE)+1,FALSE)="","",VLOOKUP($A19,'détails investissements'!$A$26:$DE$43,CX$3-VLOOKUP($A19,'détails investissements'!$A$71:$B$88,2,FALSE)+1,FALSE))),'détails investissements'!$U$6:$AB$7,2,FALSE),""),FALSE),"")</f>
        <v/>
      </c>
      <c r="CY19" s="45" t="str">
        <f>IF(IF(IF(CY$3-VLOOKUP($A19,'détails investissements'!$A$71:$B$88,2,FALSE)&lt;=0,"",IF(VLOOKUP($A19,'détails investissements'!$A$26:$DE$43,CY$3-VLOOKUP($A19,'détails investissements'!$A$71:$B$88,2,FALSE)+1,FALSE)="","",VLOOKUP($A19,'détails investissements'!$A$26:$DE$43,CY$3-VLOOKUP($A19,'détails investissements'!$A$71:$B$88,2,FALSE)+1,FALSE)))&lt;&gt;"",HLOOKUP(IF(CY$3-VLOOKUP($A19,'détails investissements'!$A$71:$B$88,2,FALSE)&lt;=0,"",IF(VLOOKUP($A19,'détails investissements'!$A$26:$DE$43,CY$3-VLOOKUP($A19,'détails investissements'!$A$71:$B$88,2,FALSE)+1,FALSE)="","",VLOOKUP($A19,'détails investissements'!$A$26:$DE$43,CY$3-VLOOKUP($A19,'détails investissements'!$A$71:$B$88,2,FALSE)+1,FALSE))),'détails investissements'!$U$6:$AB$7,2,FALSE),"")&lt;&gt;"",VLOOKUP($A19,'détails investissements'!$A$7:$H$21,1+IF(IF(CY$3-VLOOKUP($A19,'détails investissements'!$A$71:$B$88,2,FALSE)&lt;=0,"",IF(VLOOKUP($A19,'détails investissements'!$A$26:$DE$43,CY$3-VLOOKUP($A19,'détails investissements'!$A$71:$B$88,2,FALSE)+1,FALSE)="","",VLOOKUP($A19,'détails investissements'!$A$26:$DE$43,CY$3-VLOOKUP($A19,'détails investissements'!$A$71:$B$88,2,FALSE)+1,FALSE)))&lt;&gt;"",HLOOKUP(IF(CY$3-VLOOKUP($A19,'détails investissements'!$A$71:$B$88,2,FALSE)&lt;=0,"",IF(VLOOKUP($A19,'détails investissements'!$A$26:$DE$43,CY$3-VLOOKUP($A19,'détails investissements'!$A$71:$B$88,2,FALSE)+1,FALSE)="","",VLOOKUP($A19,'détails investissements'!$A$26:$DE$43,CY$3-VLOOKUP($A19,'détails investissements'!$A$71:$B$88,2,FALSE)+1,FALSE))),'détails investissements'!$U$6:$AB$7,2,FALSE),""),FALSE),"")</f>
        <v/>
      </c>
      <c r="CZ19" s="45" t="str">
        <f>IF(IF(IF(CZ$3-VLOOKUP($A19,'détails investissements'!$A$71:$B$88,2,FALSE)&lt;=0,"",IF(VLOOKUP($A19,'détails investissements'!$A$26:$DE$43,CZ$3-VLOOKUP($A19,'détails investissements'!$A$71:$B$88,2,FALSE)+1,FALSE)="","",VLOOKUP($A19,'détails investissements'!$A$26:$DE$43,CZ$3-VLOOKUP($A19,'détails investissements'!$A$71:$B$88,2,FALSE)+1,FALSE)))&lt;&gt;"",HLOOKUP(IF(CZ$3-VLOOKUP($A19,'détails investissements'!$A$71:$B$88,2,FALSE)&lt;=0,"",IF(VLOOKUP($A19,'détails investissements'!$A$26:$DE$43,CZ$3-VLOOKUP($A19,'détails investissements'!$A$71:$B$88,2,FALSE)+1,FALSE)="","",VLOOKUP($A19,'détails investissements'!$A$26:$DE$43,CZ$3-VLOOKUP($A19,'détails investissements'!$A$71:$B$88,2,FALSE)+1,FALSE))),'détails investissements'!$U$6:$AB$7,2,FALSE),"")&lt;&gt;"",VLOOKUP($A19,'détails investissements'!$A$7:$H$21,1+IF(IF(CZ$3-VLOOKUP($A19,'détails investissements'!$A$71:$B$88,2,FALSE)&lt;=0,"",IF(VLOOKUP($A19,'détails investissements'!$A$26:$DE$43,CZ$3-VLOOKUP($A19,'détails investissements'!$A$71:$B$88,2,FALSE)+1,FALSE)="","",VLOOKUP($A19,'détails investissements'!$A$26:$DE$43,CZ$3-VLOOKUP($A19,'détails investissements'!$A$71:$B$88,2,FALSE)+1,FALSE)))&lt;&gt;"",HLOOKUP(IF(CZ$3-VLOOKUP($A19,'détails investissements'!$A$71:$B$88,2,FALSE)&lt;=0,"",IF(VLOOKUP($A19,'détails investissements'!$A$26:$DE$43,CZ$3-VLOOKUP($A19,'détails investissements'!$A$71:$B$88,2,FALSE)+1,FALSE)="","",VLOOKUP($A19,'détails investissements'!$A$26:$DE$43,CZ$3-VLOOKUP($A19,'détails investissements'!$A$71:$B$88,2,FALSE)+1,FALSE))),'détails investissements'!$U$6:$AB$7,2,FALSE),""),FALSE),"")</f>
        <v/>
      </c>
      <c r="DA19" s="45" t="str">
        <f>IF(IF(IF(DA$3-VLOOKUP($A19,'détails investissements'!$A$71:$B$88,2,FALSE)&lt;=0,"",IF(VLOOKUP($A19,'détails investissements'!$A$26:$DE$43,DA$3-VLOOKUP($A19,'détails investissements'!$A$71:$B$88,2,FALSE)+1,FALSE)="","",VLOOKUP($A19,'détails investissements'!$A$26:$DE$43,DA$3-VLOOKUP($A19,'détails investissements'!$A$71:$B$88,2,FALSE)+1,FALSE)))&lt;&gt;"",HLOOKUP(IF(DA$3-VLOOKUP($A19,'détails investissements'!$A$71:$B$88,2,FALSE)&lt;=0,"",IF(VLOOKUP($A19,'détails investissements'!$A$26:$DE$43,DA$3-VLOOKUP($A19,'détails investissements'!$A$71:$B$88,2,FALSE)+1,FALSE)="","",VLOOKUP($A19,'détails investissements'!$A$26:$DE$43,DA$3-VLOOKUP($A19,'détails investissements'!$A$71:$B$88,2,FALSE)+1,FALSE))),'détails investissements'!$U$6:$AB$7,2,FALSE),"")&lt;&gt;"",VLOOKUP($A19,'détails investissements'!$A$7:$H$21,1+IF(IF(DA$3-VLOOKUP($A19,'détails investissements'!$A$71:$B$88,2,FALSE)&lt;=0,"",IF(VLOOKUP($A19,'détails investissements'!$A$26:$DE$43,DA$3-VLOOKUP($A19,'détails investissements'!$A$71:$B$88,2,FALSE)+1,FALSE)="","",VLOOKUP($A19,'détails investissements'!$A$26:$DE$43,DA$3-VLOOKUP($A19,'détails investissements'!$A$71:$B$88,2,FALSE)+1,FALSE)))&lt;&gt;"",HLOOKUP(IF(DA$3-VLOOKUP($A19,'détails investissements'!$A$71:$B$88,2,FALSE)&lt;=0,"",IF(VLOOKUP($A19,'détails investissements'!$A$26:$DE$43,DA$3-VLOOKUP($A19,'détails investissements'!$A$71:$B$88,2,FALSE)+1,FALSE)="","",VLOOKUP($A19,'détails investissements'!$A$26:$DE$43,DA$3-VLOOKUP($A19,'détails investissements'!$A$71:$B$88,2,FALSE)+1,FALSE))),'détails investissements'!$U$6:$AB$7,2,FALSE),""),FALSE),"")</f>
        <v/>
      </c>
      <c r="DB19" s="45" t="str">
        <f>IF(IF(IF(DB$3-VLOOKUP($A19,'détails investissements'!$A$71:$B$88,2,FALSE)&lt;=0,"",IF(VLOOKUP($A19,'détails investissements'!$A$26:$DE$43,DB$3-VLOOKUP($A19,'détails investissements'!$A$71:$B$88,2,FALSE)+1,FALSE)="","",VLOOKUP($A19,'détails investissements'!$A$26:$DE$43,DB$3-VLOOKUP($A19,'détails investissements'!$A$71:$B$88,2,FALSE)+1,FALSE)))&lt;&gt;"",HLOOKUP(IF(DB$3-VLOOKUP($A19,'détails investissements'!$A$71:$B$88,2,FALSE)&lt;=0,"",IF(VLOOKUP($A19,'détails investissements'!$A$26:$DE$43,DB$3-VLOOKUP($A19,'détails investissements'!$A$71:$B$88,2,FALSE)+1,FALSE)="","",VLOOKUP($A19,'détails investissements'!$A$26:$DE$43,DB$3-VLOOKUP($A19,'détails investissements'!$A$71:$B$88,2,FALSE)+1,FALSE))),'détails investissements'!$U$6:$AB$7,2,FALSE),"")&lt;&gt;"",VLOOKUP($A19,'détails investissements'!$A$7:$H$21,1+IF(IF(DB$3-VLOOKUP($A19,'détails investissements'!$A$71:$B$88,2,FALSE)&lt;=0,"",IF(VLOOKUP($A19,'détails investissements'!$A$26:$DE$43,DB$3-VLOOKUP($A19,'détails investissements'!$A$71:$B$88,2,FALSE)+1,FALSE)="","",VLOOKUP($A19,'détails investissements'!$A$26:$DE$43,DB$3-VLOOKUP($A19,'détails investissements'!$A$71:$B$88,2,FALSE)+1,FALSE)))&lt;&gt;"",HLOOKUP(IF(DB$3-VLOOKUP($A19,'détails investissements'!$A$71:$B$88,2,FALSE)&lt;=0,"",IF(VLOOKUP($A19,'détails investissements'!$A$26:$DE$43,DB$3-VLOOKUP($A19,'détails investissements'!$A$71:$B$88,2,FALSE)+1,FALSE)="","",VLOOKUP($A19,'détails investissements'!$A$26:$DE$43,DB$3-VLOOKUP($A19,'détails investissements'!$A$71:$B$88,2,FALSE)+1,FALSE))),'détails investissements'!$U$6:$AB$7,2,FALSE),""),FALSE),"")</f>
        <v/>
      </c>
      <c r="DC19" s="45" t="str">
        <f>IF(IF(IF(DC$3-VLOOKUP($A19,'détails investissements'!$A$71:$B$88,2,FALSE)&lt;=0,"",IF(VLOOKUP($A19,'détails investissements'!$A$26:$DE$43,DC$3-VLOOKUP($A19,'détails investissements'!$A$71:$B$88,2,FALSE)+1,FALSE)="","",VLOOKUP($A19,'détails investissements'!$A$26:$DE$43,DC$3-VLOOKUP($A19,'détails investissements'!$A$71:$B$88,2,FALSE)+1,FALSE)))&lt;&gt;"",HLOOKUP(IF(DC$3-VLOOKUP($A19,'détails investissements'!$A$71:$B$88,2,FALSE)&lt;=0,"",IF(VLOOKUP($A19,'détails investissements'!$A$26:$DE$43,DC$3-VLOOKUP($A19,'détails investissements'!$A$71:$B$88,2,FALSE)+1,FALSE)="","",VLOOKUP($A19,'détails investissements'!$A$26:$DE$43,DC$3-VLOOKUP($A19,'détails investissements'!$A$71:$B$88,2,FALSE)+1,FALSE))),'détails investissements'!$U$6:$AB$7,2,FALSE),"")&lt;&gt;"",VLOOKUP($A19,'détails investissements'!$A$7:$H$21,1+IF(IF(DC$3-VLOOKUP($A19,'détails investissements'!$A$71:$B$88,2,FALSE)&lt;=0,"",IF(VLOOKUP($A19,'détails investissements'!$A$26:$DE$43,DC$3-VLOOKUP($A19,'détails investissements'!$A$71:$B$88,2,FALSE)+1,FALSE)="","",VLOOKUP($A19,'détails investissements'!$A$26:$DE$43,DC$3-VLOOKUP($A19,'détails investissements'!$A$71:$B$88,2,FALSE)+1,FALSE)))&lt;&gt;"",HLOOKUP(IF(DC$3-VLOOKUP($A19,'détails investissements'!$A$71:$B$88,2,FALSE)&lt;=0,"",IF(VLOOKUP($A19,'détails investissements'!$A$26:$DE$43,DC$3-VLOOKUP($A19,'détails investissements'!$A$71:$B$88,2,FALSE)+1,FALSE)="","",VLOOKUP($A19,'détails investissements'!$A$26:$DE$43,DC$3-VLOOKUP($A19,'détails investissements'!$A$71:$B$88,2,FALSE)+1,FALSE))),'détails investissements'!$U$6:$AB$7,2,FALSE),""),FALSE),"")</f>
        <v/>
      </c>
      <c r="DD19" s="45" t="str">
        <f>IF(IF(IF(DD$3-VLOOKUP($A19,'détails investissements'!$A$71:$B$88,2,FALSE)&lt;=0,"",IF(VLOOKUP($A19,'détails investissements'!$A$26:$DE$43,DD$3-VLOOKUP($A19,'détails investissements'!$A$71:$B$88,2,FALSE)+1,FALSE)="","",VLOOKUP($A19,'détails investissements'!$A$26:$DE$43,DD$3-VLOOKUP($A19,'détails investissements'!$A$71:$B$88,2,FALSE)+1,FALSE)))&lt;&gt;"",HLOOKUP(IF(DD$3-VLOOKUP($A19,'détails investissements'!$A$71:$B$88,2,FALSE)&lt;=0,"",IF(VLOOKUP($A19,'détails investissements'!$A$26:$DE$43,DD$3-VLOOKUP($A19,'détails investissements'!$A$71:$B$88,2,FALSE)+1,FALSE)="","",VLOOKUP($A19,'détails investissements'!$A$26:$DE$43,DD$3-VLOOKUP($A19,'détails investissements'!$A$71:$B$88,2,FALSE)+1,FALSE))),'détails investissements'!$U$6:$AB$7,2,FALSE),"")&lt;&gt;"",VLOOKUP($A19,'détails investissements'!$A$7:$H$21,1+IF(IF(DD$3-VLOOKUP($A19,'détails investissements'!$A$71:$B$88,2,FALSE)&lt;=0,"",IF(VLOOKUP($A19,'détails investissements'!$A$26:$DE$43,DD$3-VLOOKUP($A19,'détails investissements'!$A$71:$B$88,2,FALSE)+1,FALSE)="","",VLOOKUP($A19,'détails investissements'!$A$26:$DE$43,DD$3-VLOOKUP($A19,'détails investissements'!$A$71:$B$88,2,FALSE)+1,FALSE)))&lt;&gt;"",HLOOKUP(IF(DD$3-VLOOKUP($A19,'détails investissements'!$A$71:$B$88,2,FALSE)&lt;=0,"",IF(VLOOKUP($A19,'détails investissements'!$A$26:$DE$43,DD$3-VLOOKUP($A19,'détails investissements'!$A$71:$B$88,2,FALSE)+1,FALSE)="","",VLOOKUP($A19,'détails investissements'!$A$26:$DE$43,DD$3-VLOOKUP($A19,'détails investissements'!$A$71:$B$88,2,FALSE)+1,FALSE))),'détails investissements'!$U$6:$AB$7,2,FALSE),""),FALSE),"")</f>
        <v/>
      </c>
      <c r="DE19" s="45" t="str">
        <f>IF(IF(IF(DE$3-VLOOKUP($A19,'détails investissements'!$A$71:$B$88,2,FALSE)&lt;=0,"",IF(VLOOKUP($A19,'détails investissements'!$A$26:$DE$43,DE$3-VLOOKUP($A19,'détails investissements'!$A$71:$B$88,2,FALSE)+1,FALSE)="","",VLOOKUP($A19,'détails investissements'!$A$26:$DE$43,DE$3-VLOOKUP($A19,'détails investissements'!$A$71:$B$88,2,FALSE)+1,FALSE)))&lt;&gt;"",HLOOKUP(IF(DE$3-VLOOKUP($A19,'détails investissements'!$A$71:$B$88,2,FALSE)&lt;=0,"",IF(VLOOKUP($A19,'détails investissements'!$A$26:$DE$43,DE$3-VLOOKUP($A19,'détails investissements'!$A$71:$B$88,2,FALSE)+1,FALSE)="","",VLOOKUP($A19,'détails investissements'!$A$26:$DE$43,DE$3-VLOOKUP($A19,'détails investissements'!$A$71:$B$88,2,FALSE)+1,FALSE))),'détails investissements'!$U$6:$AB$7,2,FALSE),"")&lt;&gt;"",VLOOKUP($A19,'détails investissements'!$A$7:$H$21,1+IF(IF(DE$3-VLOOKUP($A19,'détails investissements'!$A$71:$B$88,2,FALSE)&lt;=0,"",IF(VLOOKUP($A19,'détails investissements'!$A$26:$DE$43,DE$3-VLOOKUP($A19,'détails investissements'!$A$71:$B$88,2,FALSE)+1,FALSE)="","",VLOOKUP($A19,'détails investissements'!$A$26:$DE$43,DE$3-VLOOKUP($A19,'détails investissements'!$A$71:$B$88,2,FALSE)+1,FALSE)))&lt;&gt;"",HLOOKUP(IF(DE$3-VLOOKUP($A19,'détails investissements'!$A$71:$B$88,2,FALSE)&lt;=0,"",IF(VLOOKUP($A19,'détails investissements'!$A$26:$DE$43,DE$3-VLOOKUP($A19,'détails investissements'!$A$71:$B$88,2,FALSE)+1,FALSE)="","",VLOOKUP($A19,'détails investissements'!$A$26:$DE$43,DE$3-VLOOKUP($A19,'détails investissements'!$A$71:$B$88,2,FALSE)+1,FALSE))),'détails investissements'!$U$6:$AB$7,2,FALSE),""),FALSE),"")</f>
        <v/>
      </c>
      <c r="DF19" s="45" t="str">
        <f>IF(IF(IF(DF$3-VLOOKUP($A19,'détails investissements'!$A$71:$B$88,2,FALSE)&lt;=0,"",IF(VLOOKUP($A19,'détails investissements'!$A$26:$DE$43,DF$3-VLOOKUP($A19,'détails investissements'!$A$71:$B$88,2,FALSE)+1,FALSE)="","",VLOOKUP($A19,'détails investissements'!$A$26:$DE$43,DF$3-VLOOKUP($A19,'détails investissements'!$A$71:$B$88,2,FALSE)+1,FALSE)))&lt;&gt;"",HLOOKUP(IF(DF$3-VLOOKUP($A19,'détails investissements'!$A$71:$B$88,2,FALSE)&lt;=0,"",IF(VLOOKUP($A19,'détails investissements'!$A$26:$DE$43,DF$3-VLOOKUP($A19,'détails investissements'!$A$71:$B$88,2,FALSE)+1,FALSE)="","",VLOOKUP($A19,'détails investissements'!$A$26:$DE$43,DF$3-VLOOKUP($A19,'détails investissements'!$A$71:$B$88,2,FALSE)+1,FALSE))),'détails investissements'!$U$6:$AB$7,2,FALSE),"")&lt;&gt;"",VLOOKUP($A19,'détails investissements'!$A$7:$H$21,1+IF(IF(DF$3-VLOOKUP($A19,'détails investissements'!$A$71:$B$88,2,FALSE)&lt;=0,"",IF(VLOOKUP($A19,'détails investissements'!$A$26:$DE$43,DF$3-VLOOKUP($A19,'détails investissements'!$A$71:$B$88,2,FALSE)+1,FALSE)="","",VLOOKUP($A19,'détails investissements'!$A$26:$DE$43,DF$3-VLOOKUP($A19,'détails investissements'!$A$71:$B$88,2,FALSE)+1,FALSE)))&lt;&gt;"",HLOOKUP(IF(DF$3-VLOOKUP($A19,'détails investissements'!$A$71:$B$88,2,FALSE)&lt;=0,"",IF(VLOOKUP($A19,'détails investissements'!$A$26:$DE$43,DF$3-VLOOKUP($A19,'détails investissements'!$A$71:$B$88,2,FALSE)+1,FALSE)="","",VLOOKUP($A19,'détails investissements'!$A$26:$DE$43,DF$3-VLOOKUP($A19,'détails investissements'!$A$71:$B$88,2,FALSE)+1,FALSE))),'détails investissements'!$U$6:$AB$7,2,FALSE),""),FALSE),"")</f>
        <v/>
      </c>
      <c r="DG19">
        <f t="shared" si="0"/>
        <v>1</v>
      </c>
    </row>
    <row r="20" spans="1:111" x14ac:dyDescent="0.2">
      <c r="A20" s="15" t="str">
        <f>'[4]Données investissements'!A40</f>
        <v>Autre Electricité et utilités</v>
      </c>
      <c r="B20" s="23">
        <f>'détails investissements'!B108</f>
        <v>4.16</v>
      </c>
      <c r="C20" s="45" t="str">
        <f>IF(IF(IF(C$3-VLOOKUP($A20,'détails investissements'!$A$71:$B$88,2,FALSE)&lt;=0,"",IF(VLOOKUP($A20,'détails investissements'!$A$26:$DE$43,C$3-VLOOKUP($A20,'détails investissements'!$A$71:$B$88,2,FALSE)+1,FALSE)="","",VLOOKUP($A20,'détails investissements'!$A$26:$DE$43,C$3-VLOOKUP($A20,'détails investissements'!$A$71:$B$88,2,FALSE)+1,FALSE)))&lt;&gt;"",HLOOKUP(IF(C$3-VLOOKUP($A20,'détails investissements'!$A$71:$B$88,2,FALSE)&lt;=0,"",IF(VLOOKUP($A20,'détails investissements'!$A$26:$DE$43,C$3-VLOOKUP($A20,'détails investissements'!$A$71:$B$88,2,FALSE)+1,FALSE)="","",VLOOKUP($A20,'détails investissements'!$A$26:$DE$43,C$3-VLOOKUP($A20,'détails investissements'!$A$71:$B$88,2,FALSE)+1,FALSE))),'détails investissements'!$U$6:$AB$7,2,FALSE),"")&lt;&gt;"",VLOOKUP($A20,'détails investissements'!$A$7:$H$21,1+IF(IF(C$3-VLOOKUP($A20,'détails investissements'!$A$71:$B$88,2,FALSE)&lt;=0,"",IF(VLOOKUP($A20,'détails investissements'!$A$26:$DE$43,C$3-VLOOKUP($A20,'détails investissements'!$A$71:$B$88,2,FALSE)+1,FALSE)="","",VLOOKUP($A20,'détails investissements'!$A$26:$DE$43,C$3-VLOOKUP($A20,'détails investissements'!$A$71:$B$88,2,FALSE)+1,FALSE)))&lt;&gt;"",HLOOKUP(IF(C$3-VLOOKUP($A20,'détails investissements'!$A$71:$B$88,2,FALSE)&lt;=0,"",IF(VLOOKUP($A20,'détails investissements'!$A$26:$DE$43,C$3-VLOOKUP($A20,'détails investissements'!$A$71:$B$88,2,FALSE)+1,FALSE)="","",VLOOKUP($A20,'détails investissements'!$A$26:$DE$43,C$3-VLOOKUP($A20,'détails investissements'!$A$71:$B$88,2,FALSE)+1,FALSE))),'détails investissements'!$U$6:$AB$7,2,FALSE),""),FALSE),"")</f>
        <v/>
      </c>
      <c r="D20" s="45" t="str">
        <f>IF(IF(IF(D$3-VLOOKUP($A20,'détails investissements'!$A$71:$B$88,2,FALSE)&lt;=0,"",IF(VLOOKUP($A20,'détails investissements'!$A$26:$DE$43,D$3-VLOOKUP($A20,'détails investissements'!$A$71:$B$88,2,FALSE)+1,FALSE)="","",VLOOKUP($A20,'détails investissements'!$A$26:$DE$43,D$3-VLOOKUP($A20,'détails investissements'!$A$71:$B$88,2,FALSE)+1,FALSE)))&lt;&gt;"",HLOOKUP(IF(D$3-VLOOKUP($A20,'détails investissements'!$A$71:$B$88,2,FALSE)&lt;=0,"",IF(VLOOKUP($A20,'détails investissements'!$A$26:$DE$43,D$3-VLOOKUP($A20,'détails investissements'!$A$71:$B$88,2,FALSE)+1,FALSE)="","",VLOOKUP($A20,'détails investissements'!$A$26:$DE$43,D$3-VLOOKUP($A20,'détails investissements'!$A$71:$B$88,2,FALSE)+1,FALSE))),'détails investissements'!$U$6:$AB$7,2,FALSE),"")&lt;&gt;"",VLOOKUP($A20,'détails investissements'!$A$7:$H$21,1+IF(IF(D$3-VLOOKUP($A20,'détails investissements'!$A$71:$B$88,2,FALSE)&lt;=0,"",IF(VLOOKUP($A20,'détails investissements'!$A$26:$DE$43,D$3-VLOOKUP($A20,'détails investissements'!$A$71:$B$88,2,FALSE)+1,FALSE)="","",VLOOKUP($A20,'détails investissements'!$A$26:$DE$43,D$3-VLOOKUP($A20,'détails investissements'!$A$71:$B$88,2,FALSE)+1,FALSE)))&lt;&gt;"",HLOOKUP(IF(D$3-VLOOKUP($A20,'détails investissements'!$A$71:$B$88,2,FALSE)&lt;=0,"",IF(VLOOKUP($A20,'détails investissements'!$A$26:$DE$43,D$3-VLOOKUP($A20,'détails investissements'!$A$71:$B$88,2,FALSE)+1,FALSE)="","",VLOOKUP($A20,'détails investissements'!$A$26:$DE$43,D$3-VLOOKUP($A20,'détails investissements'!$A$71:$B$88,2,FALSE)+1,FALSE))),'détails investissements'!$U$6:$AB$7,2,FALSE),""),FALSE),"")</f>
        <v/>
      </c>
      <c r="E20" s="45" t="str">
        <f>IF(IF(IF(E$3-VLOOKUP($A20,'détails investissements'!$A$71:$B$88,2,FALSE)&lt;=0,"",IF(VLOOKUP($A20,'détails investissements'!$A$26:$DE$43,E$3-VLOOKUP($A20,'détails investissements'!$A$71:$B$88,2,FALSE)+1,FALSE)="","",VLOOKUP($A20,'détails investissements'!$A$26:$DE$43,E$3-VLOOKUP($A20,'détails investissements'!$A$71:$B$88,2,FALSE)+1,FALSE)))&lt;&gt;"",HLOOKUP(IF(E$3-VLOOKUP($A20,'détails investissements'!$A$71:$B$88,2,FALSE)&lt;=0,"",IF(VLOOKUP($A20,'détails investissements'!$A$26:$DE$43,E$3-VLOOKUP($A20,'détails investissements'!$A$71:$B$88,2,FALSE)+1,FALSE)="","",VLOOKUP($A20,'détails investissements'!$A$26:$DE$43,E$3-VLOOKUP($A20,'détails investissements'!$A$71:$B$88,2,FALSE)+1,FALSE))),'détails investissements'!$U$6:$AB$7,2,FALSE),"")&lt;&gt;"",VLOOKUP($A20,'détails investissements'!$A$7:$H$21,1+IF(IF(E$3-VLOOKUP($A20,'détails investissements'!$A$71:$B$88,2,FALSE)&lt;=0,"",IF(VLOOKUP($A20,'détails investissements'!$A$26:$DE$43,E$3-VLOOKUP($A20,'détails investissements'!$A$71:$B$88,2,FALSE)+1,FALSE)="","",VLOOKUP($A20,'détails investissements'!$A$26:$DE$43,E$3-VLOOKUP($A20,'détails investissements'!$A$71:$B$88,2,FALSE)+1,FALSE)))&lt;&gt;"",HLOOKUP(IF(E$3-VLOOKUP($A20,'détails investissements'!$A$71:$B$88,2,FALSE)&lt;=0,"",IF(VLOOKUP($A20,'détails investissements'!$A$26:$DE$43,E$3-VLOOKUP($A20,'détails investissements'!$A$71:$B$88,2,FALSE)+1,FALSE)="","",VLOOKUP($A20,'détails investissements'!$A$26:$DE$43,E$3-VLOOKUP($A20,'détails investissements'!$A$71:$B$88,2,FALSE)+1,FALSE))),'détails investissements'!$U$6:$AB$7,2,FALSE),""),FALSE),"")</f>
        <v/>
      </c>
      <c r="F20" s="45" t="str">
        <f>IF(IF(IF(F$3-VLOOKUP($A20,'détails investissements'!$A$71:$B$88,2,FALSE)&lt;=0,"",IF(VLOOKUP($A20,'détails investissements'!$A$26:$DE$43,F$3-VLOOKUP($A20,'détails investissements'!$A$71:$B$88,2,FALSE)+1,FALSE)="","",VLOOKUP($A20,'détails investissements'!$A$26:$DE$43,F$3-VLOOKUP($A20,'détails investissements'!$A$71:$B$88,2,FALSE)+1,FALSE)))&lt;&gt;"",HLOOKUP(IF(F$3-VLOOKUP($A20,'détails investissements'!$A$71:$B$88,2,FALSE)&lt;=0,"",IF(VLOOKUP($A20,'détails investissements'!$A$26:$DE$43,F$3-VLOOKUP($A20,'détails investissements'!$A$71:$B$88,2,FALSE)+1,FALSE)="","",VLOOKUP($A20,'détails investissements'!$A$26:$DE$43,F$3-VLOOKUP($A20,'détails investissements'!$A$71:$B$88,2,FALSE)+1,FALSE))),'détails investissements'!$U$6:$AB$7,2,FALSE),"")&lt;&gt;"",VLOOKUP($A20,'détails investissements'!$A$7:$H$21,1+IF(IF(F$3-VLOOKUP($A20,'détails investissements'!$A$71:$B$88,2,FALSE)&lt;=0,"",IF(VLOOKUP($A20,'détails investissements'!$A$26:$DE$43,F$3-VLOOKUP($A20,'détails investissements'!$A$71:$B$88,2,FALSE)+1,FALSE)="","",VLOOKUP($A20,'détails investissements'!$A$26:$DE$43,F$3-VLOOKUP($A20,'détails investissements'!$A$71:$B$88,2,FALSE)+1,FALSE)))&lt;&gt;"",HLOOKUP(IF(F$3-VLOOKUP($A20,'détails investissements'!$A$71:$B$88,2,FALSE)&lt;=0,"",IF(VLOOKUP($A20,'détails investissements'!$A$26:$DE$43,F$3-VLOOKUP($A20,'détails investissements'!$A$71:$B$88,2,FALSE)+1,FALSE)="","",VLOOKUP($A20,'détails investissements'!$A$26:$DE$43,F$3-VLOOKUP($A20,'détails investissements'!$A$71:$B$88,2,FALSE)+1,FALSE))),'détails investissements'!$U$6:$AB$7,2,FALSE),""),FALSE),"")</f>
        <v/>
      </c>
      <c r="G20" s="45" t="str">
        <f>IF(IF(IF(G$3-VLOOKUP($A20,'détails investissements'!$A$71:$B$88,2,FALSE)&lt;=0,"",IF(VLOOKUP($A20,'détails investissements'!$A$26:$DE$43,G$3-VLOOKUP($A20,'détails investissements'!$A$71:$B$88,2,FALSE)+1,FALSE)="","",VLOOKUP($A20,'détails investissements'!$A$26:$DE$43,G$3-VLOOKUP($A20,'détails investissements'!$A$71:$B$88,2,FALSE)+1,FALSE)))&lt;&gt;"",HLOOKUP(IF(G$3-VLOOKUP($A20,'détails investissements'!$A$71:$B$88,2,FALSE)&lt;=0,"",IF(VLOOKUP($A20,'détails investissements'!$A$26:$DE$43,G$3-VLOOKUP($A20,'détails investissements'!$A$71:$B$88,2,FALSE)+1,FALSE)="","",VLOOKUP($A20,'détails investissements'!$A$26:$DE$43,G$3-VLOOKUP($A20,'détails investissements'!$A$71:$B$88,2,FALSE)+1,FALSE))),'détails investissements'!$U$6:$AB$7,2,FALSE),"")&lt;&gt;"",VLOOKUP($A20,'détails investissements'!$A$7:$H$21,1+IF(IF(G$3-VLOOKUP($A20,'détails investissements'!$A$71:$B$88,2,FALSE)&lt;=0,"",IF(VLOOKUP($A20,'détails investissements'!$A$26:$DE$43,G$3-VLOOKUP($A20,'détails investissements'!$A$71:$B$88,2,FALSE)+1,FALSE)="","",VLOOKUP($A20,'détails investissements'!$A$26:$DE$43,G$3-VLOOKUP($A20,'détails investissements'!$A$71:$B$88,2,FALSE)+1,FALSE)))&lt;&gt;"",HLOOKUP(IF(G$3-VLOOKUP($A20,'détails investissements'!$A$71:$B$88,2,FALSE)&lt;=0,"",IF(VLOOKUP($A20,'détails investissements'!$A$26:$DE$43,G$3-VLOOKUP($A20,'détails investissements'!$A$71:$B$88,2,FALSE)+1,FALSE)="","",VLOOKUP($A20,'détails investissements'!$A$26:$DE$43,G$3-VLOOKUP($A20,'détails investissements'!$A$71:$B$88,2,FALSE)+1,FALSE))),'détails investissements'!$U$6:$AB$7,2,FALSE),""),FALSE),"")</f>
        <v/>
      </c>
      <c r="H20" s="45" t="str">
        <f>IF(IF(IF(H$3-VLOOKUP($A20,'détails investissements'!$A$71:$B$88,2,FALSE)&lt;=0,"",IF(VLOOKUP($A20,'détails investissements'!$A$26:$DE$43,H$3-VLOOKUP($A20,'détails investissements'!$A$71:$B$88,2,FALSE)+1,FALSE)="","",VLOOKUP($A20,'détails investissements'!$A$26:$DE$43,H$3-VLOOKUP($A20,'détails investissements'!$A$71:$B$88,2,FALSE)+1,FALSE)))&lt;&gt;"",HLOOKUP(IF(H$3-VLOOKUP($A20,'détails investissements'!$A$71:$B$88,2,FALSE)&lt;=0,"",IF(VLOOKUP($A20,'détails investissements'!$A$26:$DE$43,H$3-VLOOKUP($A20,'détails investissements'!$A$71:$B$88,2,FALSE)+1,FALSE)="","",VLOOKUP($A20,'détails investissements'!$A$26:$DE$43,H$3-VLOOKUP($A20,'détails investissements'!$A$71:$B$88,2,FALSE)+1,FALSE))),'détails investissements'!$U$6:$AB$7,2,FALSE),"")&lt;&gt;"",VLOOKUP($A20,'détails investissements'!$A$7:$H$21,1+IF(IF(H$3-VLOOKUP($A20,'détails investissements'!$A$71:$B$88,2,FALSE)&lt;=0,"",IF(VLOOKUP($A20,'détails investissements'!$A$26:$DE$43,H$3-VLOOKUP($A20,'détails investissements'!$A$71:$B$88,2,FALSE)+1,FALSE)="","",VLOOKUP($A20,'détails investissements'!$A$26:$DE$43,H$3-VLOOKUP($A20,'détails investissements'!$A$71:$B$88,2,FALSE)+1,FALSE)))&lt;&gt;"",HLOOKUP(IF(H$3-VLOOKUP($A20,'détails investissements'!$A$71:$B$88,2,FALSE)&lt;=0,"",IF(VLOOKUP($A20,'détails investissements'!$A$26:$DE$43,H$3-VLOOKUP($A20,'détails investissements'!$A$71:$B$88,2,FALSE)+1,FALSE)="","",VLOOKUP($A20,'détails investissements'!$A$26:$DE$43,H$3-VLOOKUP($A20,'détails investissements'!$A$71:$B$88,2,FALSE)+1,FALSE))),'détails investissements'!$U$6:$AB$7,2,FALSE),""),FALSE),"")</f>
        <v/>
      </c>
      <c r="I20" s="45" t="str">
        <f>IF(IF(IF(I$3-VLOOKUP($A20,'détails investissements'!$A$71:$B$88,2,FALSE)&lt;=0,"",IF(VLOOKUP($A20,'détails investissements'!$A$26:$DE$43,I$3-VLOOKUP($A20,'détails investissements'!$A$71:$B$88,2,FALSE)+1,FALSE)="","",VLOOKUP($A20,'détails investissements'!$A$26:$DE$43,I$3-VLOOKUP($A20,'détails investissements'!$A$71:$B$88,2,FALSE)+1,FALSE)))&lt;&gt;"",HLOOKUP(IF(I$3-VLOOKUP($A20,'détails investissements'!$A$71:$B$88,2,FALSE)&lt;=0,"",IF(VLOOKUP($A20,'détails investissements'!$A$26:$DE$43,I$3-VLOOKUP($A20,'détails investissements'!$A$71:$B$88,2,FALSE)+1,FALSE)="","",VLOOKUP($A20,'détails investissements'!$A$26:$DE$43,I$3-VLOOKUP($A20,'détails investissements'!$A$71:$B$88,2,FALSE)+1,FALSE))),'détails investissements'!$U$6:$AB$7,2,FALSE),"")&lt;&gt;"",VLOOKUP($A20,'détails investissements'!$A$7:$H$21,1+IF(IF(I$3-VLOOKUP($A20,'détails investissements'!$A$71:$B$88,2,FALSE)&lt;=0,"",IF(VLOOKUP($A20,'détails investissements'!$A$26:$DE$43,I$3-VLOOKUP($A20,'détails investissements'!$A$71:$B$88,2,FALSE)+1,FALSE)="","",VLOOKUP($A20,'détails investissements'!$A$26:$DE$43,I$3-VLOOKUP($A20,'détails investissements'!$A$71:$B$88,2,FALSE)+1,FALSE)))&lt;&gt;"",HLOOKUP(IF(I$3-VLOOKUP($A20,'détails investissements'!$A$71:$B$88,2,FALSE)&lt;=0,"",IF(VLOOKUP($A20,'détails investissements'!$A$26:$DE$43,I$3-VLOOKUP($A20,'détails investissements'!$A$71:$B$88,2,FALSE)+1,FALSE)="","",VLOOKUP($A20,'détails investissements'!$A$26:$DE$43,I$3-VLOOKUP($A20,'détails investissements'!$A$71:$B$88,2,FALSE)+1,FALSE))),'détails investissements'!$U$6:$AB$7,2,FALSE),""),FALSE),"")</f>
        <v/>
      </c>
      <c r="J20" s="45" t="str">
        <f>IF(IF(IF(J$3-VLOOKUP($A20,'détails investissements'!$A$71:$B$88,2,FALSE)&lt;=0,"",IF(VLOOKUP($A20,'détails investissements'!$A$26:$DE$43,J$3-VLOOKUP($A20,'détails investissements'!$A$71:$B$88,2,FALSE)+1,FALSE)="","",VLOOKUP($A20,'détails investissements'!$A$26:$DE$43,J$3-VLOOKUP($A20,'détails investissements'!$A$71:$B$88,2,FALSE)+1,FALSE)))&lt;&gt;"",HLOOKUP(IF(J$3-VLOOKUP($A20,'détails investissements'!$A$71:$B$88,2,FALSE)&lt;=0,"",IF(VLOOKUP($A20,'détails investissements'!$A$26:$DE$43,J$3-VLOOKUP($A20,'détails investissements'!$A$71:$B$88,2,FALSE)+1,FALSE)="","",VLOOKUP($A20,'détails investissements'!$A$26:$DE$43,J$3-VLOOKUP($A20,'détails investissements'!$A$71:$B$88,2,FALSE)+1,FALSE))),'détails investissements'!$U$6:$AB$7,2,FALSE),"")&lt;&gt;"",VLOOKUP($A20,'détails investissements'!$A$7:$H$21,1+IF(IF(J$3-VLOOKUP($A20,'détails investissements'!$A$71:$B$88,2,FALSE)&lt;=0,"",IF(VLOOKUP($A20,'détails investissements'!$A$26:$DE$43,J$3-VLOOKUP($A20,'détails investissements'!$A$71:$B$88,2,FALSE)+1,FALSE)="","",VLOOKUP($A20,'détails investissements'!$A$26:$DE$43,J$3-VLOOKUP($A20,'détails investissements'!$A$71:$B$88,2,FALSE)+1,FALSE)))&lt;&gt;"",HLOOKUP(IF(J$3-VLOOKUP($A20,'détails investissements'!$A$71:$B$88,2,FALSE)&lt;=0,"",IF(VLOOKUP($A20,'détails investissements'!$A$26:$DE$43,J$3-VLOOKUP($A20,'détails investissements'!$A$71:$B$88,2,FALSE)+1,FALSE)="","",VLOOKUP($A20,'détails investissements'!$A$26:$DE$43,J$3-VLOOKUP($A20,'détails investissements'!$A$71:$B$88,2,FALSE)+1,FALSE))),'détails investissements'!$U$6:$AB$7,2,FALSE),""),FALSE),"")</f>
        <v/>
      </c>
      <c r="K20" s="45" t="str">
        <f>IF(IF(IF(K$3-VLOOKUP($A20,'détails investissements'!$A$71:$B$88,2,FALSE)&lt;=0,"",IF(VLOOKUP($A20,'détails investissements'!$A$26:$DE$43,K$3-VLOOKUP($A20,'détails investissements'!$A$71:$B$88,2,FALSE)+1,FALSE)="","",VLOOKUP($A20,'détails investissements'!$A$26:$DE$43,K$3-VLOOKUP($A20,'détails investissements'!$A$71:$B$88,2,FALSE)+1,FALSE)))&lt;&gt;"",HLOOKUP(IF(K$3-VLOOKUP($A20,'détails investissements'!$A$71:$B$88,2,FALSE)&lt;=0,"",IF(VLOOKUP($A20,'détails investissements'!$A$26:$DE$43,K$3-VLOOKUP($A20,'détails investissements'!$A$71:$B$88,2,FALSE)+1,FALSE)="","",VLOOKUP($A20,'détails investissements'!$A$26:$DE$43,K$3-VLOOKUP($A20,'détails investissements'!$A$71:$B$88,2,FALSE)+1,FALSE))),'détails investissements'!$U$6:$AB$7,2,FALSE),"")&lt;&gt;"",VLOOKUP($A20,'détails investissements'!$A$7:$H$21,1+IF(IF(K$3-VLOOKUP($A20,'détails investissements'!$A$71:$B$88,2,FALSE)&lt;=0,"",IF(VLOOKUP($A20,'détails investissements'!$A$26:$DE$43,K$3-VLOOKUP($A20,'détails investissements'!$A$71:$B$88,2,FALSE)+1,FALSE)="","",VLOOKUP($A20,'détails investissements'!$A$26:$DE$43,K$3-VLOOKUP($A20,'détails investissements'!$A$71:$B$88,2,FALSE)+1,FALSE)))&lt;&gt;"",HLOOKUP(IF(K$3-VLOOKUP($A20,'détails investissements'!$A$71:$B$88,2,FALSE)&lt;=0,"",IF(VLOOKUP($A20,'détails investissements'!$A$26:$DE$43,K$3-VLOOKUP($A20,'détails investissements'!$A$71:$B$88,2,FALSE)+1,FALSE)="","",VLOOKUP($A20,'détails investissements'!$A$26:$DE$43,K$3-VLOOKUP($A20,'détails investissements'!$A$71:$B$88,2,FALSE)+1,FALSE))),'détails investissements'!$U$6:$AB$7,2,FALSE),""),FALSE),"")</f>
        <v/>
      </c>
      <c r="L20" s="45">
        <f>IF(IF(IF(L$3-VLOOKUP($A20,'détails investissements'!$A$71:$B$88,2,FALSE)&lt;=0,"",IF(VLOOKUP($A20,'détails investissements'!$A$26:$DE$43,L$3-VLOOKUP($A20,'détails investissements'!$A$71:$B$88,2,FALSE)+1,FALSE)="","",VLOOKUP($A20,'détails investissements'!$A$26:$DE$43,L$3-VLOOKUP($A20,'détails investissements'!$A$71:$B$88,2,FALSE)+1,FALSE)))&lt;&gt;"",HLOOKUP(IF(L$3-VLOOKUP($A20,'détails investissements'!$A$71:$B$88,2,FALSE)&lt;=0,"",IF(VLOOKUP($A20,'détails investissements'!$A$26:$DE$43,L$3-VLOOKUP($A20,'détails investissements'!$A$71:$B$88,2,FALSE)+1,FALSE)="","",VLOOKUP($A20,'détails investissements'!$A$26:$DE$43,L$3-VLOOKUP($A20,'détails investissements'!$A$71:$B$88,2,FALSE)+1,FALSE))),'détails investissements'!$U$6:$AB$7,2,FALSE),"")&lt;&gt;"",VLOOKUP($A20,'détails investissements'!$A$7:$H$21,1+IF(IF(L$3-VLOOKUP($A20,'détails investissements'!$A$71:$B$88,2,FALSE)&lt;=0,"",IF(VLOOKUP($A20,'détails investissements'!$A$26:$DE$43,L$3-VLOOKUP($A20,'détails investissements'!$A$71:$B$88,2,FALSE)+1,FALSE)="","",VLOOKUP($A20,'détails investissements'!$A$26:$DE$43,L$3-VLOOKUP($A20,'détails investissements'!$A$71:$B$88,2,FALSE)+1,FALSE)))&lt;&gt;"",HLOOKUP(IF(L$3-VLOOKUP($A20,'détails investissements'!$A$71:$B$88,2,FALSE)&lt;=0,"",IF(VLOOKUP($A20,'détails investissements'!$A$26:$DE$43,L$3-VLOOKUP($A20,'détails investissements'!$A$71:$B$88,2,FALSE)+1,FALSE)="","",VLOOKUP($A20,'détails investissements'!$A$26:$DE$43,L$3-VLOOKUP($A20,'détails investissements'!$A$71:$B$88,2,FALSE)+1,FALSE))),'détails investissements'!$U$6:$AB$7,2,FALSE),""),FALSE),"")</f>
        <v>0.15</v>
      </c>
      <c r="M20" s="45">
        <f>IF(IF(IF(M$3-VLOOKUP($A20,'détails investissements'!$A$71:$B$88,2,FALSE)&lt;=0,"",IF(VLOOKUP($A20,'détails investissements'!$A$26:$DE$43,M$3-VLOOKUP($A20,'détails investissements'!$A$71:$B$88,2,FALSE)+1,FALSE)="","",VLOOKUP($A20,'détails investissements'!$A$26:$DE$43,M$3-VLOOKUP($A20,'détails investissements'!$A$71:$B$88,2,FALSE)+1,FALSE)))&lt;&gt;"",HLOOKUP(IF(M$3-VLOOKUP($A20,'détails investissements'!$A$71:$B$88,2,FALSE)&lt;=0,"",IF(VLOOKUP($A20,'détails investissements'!$A$26:$DE$43,M$3-VLOOKUP($A20,'détails investissements'!$A$71:$B$88,2,FALSE)+1,FALSE)="","",VLOOKUP($A20,'détails investissements'!$A$26:$DE$43,M$3-VLOOKUP($A20,'détails investissements'!$A$71:$B$88,2,FALSE)+1,FALSE))),'détails investissements'!$U$6:$AB$7,2,FALSE),"")&lt;&gt;"",VLOOKUP($A20,'détails investissements'!$A$7:$H$21,1+IF(IF(M$3-VLOOKUP($A20,'détails investissements'!$A$71:$B$88,2,FALSE)&lt;=0,"",IF(VLOOKUP($A20,'détails investissements'!$A$26:$DE$43,M$3-VLOOKUP($A20,'détails investissements'!$A$71:$B$88,2,FALSE)+1,FALSE)="","",VLOOKUP($A20,'détails investissements'!$A$26:$DE$43,M$3-VLOOKUP($A20,'détails investissements'!$A$71:$B$88,2,FALSE)+1,FALSE)))&lt;&gt;"",HLOOKUP(IF(M$3-VLOOKUP($A20,'détails investissements'!$A$71:$B$88,2,FALSE)&lt;=0,"",IF(VLOOKUP($A20,'détails investissements'!$A$26:$DE$43,M$3-VLOOKUP($A20,'détails investissements'!$A$71:$B$88,2,FALSE)+1,FALSE)="","",VLOOKUP($A20,'détails investissements'!$A$26:$DE$43,M$3-VLOOKUP($A20,'détails investissements'!$A$71:$B$88,2,FALSE)+1,FALSE))),'détails investissements'!$U$6:$AB$7,2,FALSE),""),FALSE),"")</f>
        <v>0.1</v>
      </c>
      <c r="N20" s="45" t="str">
        <f>IF(IF(IF(N$3-VLOOKUP($A20,'détails investissements'!$A$71:$B$88,2,FALSE)&lt;=0,"",IF(VLOOKUP($A20,'détails investissements'!$A$26:$DE$43,N$3-VLOOKUP($A20,'détails investissements'!$A$71:$B$88,2,FALSE)+1,FALSE)="","",VLOOKUP($A20,'détails investissements'!$A$26:$DE$43,N$3-VLOOKUP($A20,'détails investissements'!$A$71:$B$88,2,FALSE)+1,FALSE)))&lt;&gt;"",HLOOKUP(IF(N$3-VLOOKUP($A20,'détails investissements'!$A$71:$B$88,2,FALSE)&lt;=0,"",IF(VLOOKUP($A20,'détails investissements'!$A$26:$DE$43,N$3-VLOOKUP($A20,'détails investissements'!$A$71:$B$88,2,FALSE)+1,FALSE)="","",VLOOKUP($A20,'détails investissements'!$A$26:$DE$43,N$3-VLOOKUP($A20,'détails investissements'!$A$71:$B$88,2,FALSE)+1,FALSE))),'détails investissements'!$U$6:$AB$7,2,FALSE),"")&lt;&gt;"",VLOOKUP($A20,'détails investissements'!$A$7:$H$21,1+IF(IF(N$3-VLOOKUP($A20,'détails investissements'!$A$71:$B$88,2,FALSE)&lt;=0,"",IF(VLOOKUP($A20,'détails investissements'!$A$26:$DE$43,N$3-VLOOKUP($A20,'détails investissements'!$A$71:$B$88,2,FALSE)+1,FALSE)="","",VLOOKUP($A20,'détails investissements'!$A$26:$DE$43,N$3-VLOOKUP($A20,'détails investissements'!$A$71:$B$88,2,FALSE)+1,FALSE)))&lt;&gt;"",HLOOKUP(IF(N$3-VLOOKUP($A20,'détails investissements'!$A$71:$B$88,2,FALSE)&lt;=0,"",IF(VLOOKUP($A20,'détails investissements'!$A$26:$DE$43,N$3-VLOOKUP($A20,'détails investissements'!$A$71:$B$88,2,FALSE)+1,FALSE)="","",VLOOKUP($A20,'détails investissements'!$A$26:$DE$43,N$3-VLOOKUP($A20,'détails investissements'!$A$71:$B$88,2,FALSE)+1,FALSE))),'détails investissements'!$U$6:$AB$7,2,FALSE),""),FALSE),"")</f>
        <v/>
      </c>
      <c r="O20" s="45" t="str">
        <f>IF(IF(IF(O$3-VLOOKUP($A20,'détails investissements'!$A$71:$B$88,2,FALSE)&lt;=0,"",IF(VLOOKUP($A20,'détails investissements'!$A$26:$DE$43,O$3-VLOOKUP($A20,'détails investissements'!$A$71:$B$88,2,FALSE)+1,FALSE)="","",VLOOKUP($A20,'détails investissements'!$A$26:$DE$43,O$3-VLOOKUP($A20,'détails investissements'!$A$71:$B$88,2,FALSE)+1,FALSE)))&lt;&gt;"",HLOOKUP(IF(O$3-VLOOKUP($A20,'détails investissements'!$A$71:$B$88,2,FALSE)&lt;=0,"",IF(VLOOKUP($A20,'détails investissements'!$A$26:$DE$43,O$3-VLOOKUP($A20,'détails investissements'!$A$71:$B$88,2,FALSE)+1,FALSE)="","",VLOOKUP($A20,'détails investissements'!$A$26:$DE$43,O$3-VLOOKUP($A20,'détails investissements'!$A$71:$B$88,2,FALSE)+1,FALSE))),'détails investissements'!$U$6:$AB$7,2,FALSE),"")&lt;&gt;"",VLOOKUP($A20,'détails investissements'!$A$7:$H$21,1+IF(IF(O$3-VLOOKUP($A20,'détails investissements'!$A$71:$B$88,2,FALSE)&lt;=0,"",IF(VLOOKUP($A20,'détails investissements'!$A$26:$DE$43,O$3-VLOOKUP($A20,'détails investissements'!$A$71:$B$88,2,FALSE)+1,FALSE)="","",VLOOKUP($A20,'détails investissements'!$A$26:$DE$43,O$3-VLOOKUP($A20,'détails investissements'!$A$71:$B$88,2,FALSE)+1,FALSE)))&lt;&gt;"",HLOOKUP(IF(O$3-VLOOKUP($A20,'détails investissements'!$A$71:$B$88,2,FALSE)&lt;=0,"",IF(VLOOKUP($A20,'détails investissements'!$A$26:$DE$43,O$3-VLOOKUP($A20,'détails investissements'!$A$71:$B$88,2,FALSE)+1,FALSE)="","",VLOOKUP($A20,'détails investissements'!$A$26:$DE$43,O$3-VLOOKUP($A20,'détails investissements'!$A$71:$B$88,2,FALSE)+1,FALSE))),'détails investissements'!$U$6:$AB$7,2,FALSE),""),FALSE),"")</f>
        <v/>
      </c>
      <c r="P20" s="45">
        <f>IF(IF(IF(P$3-VLOOKUP($A20,'détails investissements'!$A$71:$B$88,2,FALSE)&lt;=0,"",IF(VLOOKUP($A20,'détails investissements'!$A$26:$DE$43,P$3-VLOOKUP($A20,'détails investissements'!$A$71:$B$88,2,FALSE)+1,FALSE)="","",VLOOKUP($A20,'détails investissements'!$A$26:$DE$43,P$3-VLOOKUP($A20,'détails investissements'!$A$71:$B$88,2,FALSE)+1,FALSE)))&lt;&gt;"",HLOOKUP(IF(P$3-VLOOKUP($A20,'détails investissements'!$A$71:$B$88,2,FALSE)&lt;=0,"",IF(VLOOKUP($A20,'détails investissements'!$A$26:$DE$43,P$3-VLOOKUP($A20,'détails investissements'!$A$71:$B$88,2,FALSE)+1,FALSE)="","",VLOOKUP($A20,'détails investissements'!$A$26:$DE$43,P$3-VLOOKUP($A20,'détails investissements'!$A$71:$B$88,2,FALSE)+1,FALSE))),'détails investissements'!$U$6:$AB$7,2,FALSE),"")&lt;&gt;"",VLOOKUP($A20,'détails investissements'!$A$7:$H$21,1+IF(IF(P$3-VLOOKUP($A20,'détails investissements'!$A$71:$B$88,2,FALSE)&lt;=0,"",IF(VLOOKUP($A20,'détails investissements'!$A$26:$DE$43,P$3-VLOOKUP($A20,'détails investissements'!$A$71:$B$88,2,FALSE)+1,FALSE)="","",VLOOKUP($A20,'détails investissements'!$A$26:$DE$43,P$3-VLOOKUP($A20,'détails investissements'!$A$71:$B$88,2,FALSE)+1,FALSE)))&lt;&gt;"",HLOOKUP(IF(P$3-VLOOKUP($A20,'détails investissements'!$A$71:$B$88,2,FALSE)&lt;=0,"",IF(VLOOKUP($A20,'détails investissements'!$A$26:$DE$43,P$3-VLOOKUP($A20,'détails investissements'!$A$71:$B$88,2,FALSE)+1,FALSE)="","",VLOOKUP($A20,'détails investissements'!$A$26:$DE$43,P$3-VLOOKUP($A20,'détails investissements'!$A$71:$B$88,2,FALSE)+1,FALSE))),'détails investissements'!$U$6:$AB$7,2,FALSE),""),FALSE),"")</f>
        <v>0.2</v>
      </c>
      <c r="Q20" s="45">
        <f>IF(IF(IF(Q$3-VLOOKUP($A20,'détails investissements'!$A$71:$B$88,2,FALSE)&lt;=0,"",IF(VLOOKUP($A20,'détails investissements'!$A$26:$DE$43,Q$3-VLOOKUP($A20,'détails investissements'!$A$71:$B$88,2,FALSE)+1,FALSE)="","",VLOOKUP($A20,'détails investissements'!$A$26:$DE$43,Q$3-VLOOKUP($A20,'détails investissements'!$A$71:$B$88,2,FALSE)+1,FALSE)))&lt;&gt;"",HLOOKUP(IF(Q$3-VLOOKUP($A20,'détails investissements'!$A$71:$B$88,2,FALSE)&lt;=0,"",IF(VLOOKUP($A20,'détails investissements'!$A$26:$DE$43,Q$3-VLOOKUP($A20,'détails investissements'!$A$71:$B$88,2,FALSE)+1,FALSE)="","",VLOOKUP($A20,'détails investissements'!$A$26:$DE$43,Q$3-VLOOKUP($A20,'détails investissements'!$A$71:$B$88,2,FALSE)+1,FALSE))),'détails investissements'!$U$6:$AB$7,2,FALSE),"")&lt;&gt;"",VLOOKUP($A20,'détails investissements'!$A$7:$H$21,1+IF(IF(Q$3-VLOOKUP($A20,'détails investissements'!$A$71:$B$88,2,FALSE)&lt;=0,"",IF(VLOOKUP($A20,'détails investissements'!$A$26:$DE$43,Q$3-VLOOKUP($A20,'détails investissements'!$A$71:$B$88,2,FALSE)+1,FALSE)="","",VLOOKUP($A20,'détails investissements'!$A$26:$DE$43,Q$3-VLOOKUP($A20,'détails investissements'!$A$71:$B$88,2,FALSE)+1,FALSE)))&lt;&gt;"",HLOOKUP(IF(Q$3-VLOOKUP($A20,'détails investissements'!$A$71:$B$88,2,FALSE)&lt;=0,"",IF(VLOOKUP($A20,'détails investissements'!$A$26:$DE$43,Q$3-VLOOKUP($A20,'détails investissements'!$A$71:$B$88,2,FALSE)+1,FALSE)="","",VLOOKUP($A20,'détails investissements'!$A$26:$DE$43,Q$3-VLOOKUP($A20,'détails investissements'!$A$71:$B$88,2,FALSE)+1,FALSE))),'détails investissements'!$U$6:$AB$7,2,FALSE),""),FALSE),"")</f>
        <v>0.2</v>
      </c>
      <c r="R20" s="45" t="str">
        <f>IF(IF(IF(R$3-VLOOKUP($A20,'détails investissements'!$A$71:$B$88,2,FALSE)&lt;=0,"",IF(VLOOKUP($A20,'détails investissements'!$A$26:$DE$43,R$3-VLOOKUP($A20,'détails investissements'!$A$71:$B$88,2,FALSE)+1,FALSE)="","",VLOOKUP($A20,'détails investissements'!$A$26:$DE$43,R$3-VLOOKUP($A20,'détails investissements'!$A$71:$B$88,2,FALSE)+1,FALSE)))&lt;&gt;"",HLOOKUP(IF(R$3-VLOOKUP($A20,'détails investissements'!$A$71:$B$88,2,FALSE)&lt;=0,"",IF(VLOOKUP($A20,'détails investissements'!$A$26:$DE$43,R$3-VLOOKUP($A20,'détails investissements'!$A$71:$B$88,2,FALSE)+1,FALSE)="","",VLOOKUP($A20,'détails investissements'!$A$26:$DE$43,R$3-VLOOKUP($A20,'détails investissements'!$A$71:$B$88,2,FALSE)+1,FALSE))),'détails investissements'!$U$6:$AB$7,2,FALSE),"")&lt;&gt;"",VLOOKUP($A20,'détails investissements'!$A$7:$H$21,1+IF(IF(R$3-VLOOKUP($A20,'détails investissements'!$A$71:$B$88,2,FALSE)&lt;=0,"",IF(VLOOKUP($A20,'détails investissements'!$A$26:$DE$43,R$3-VLOOKUP($A20,'détails investissements'!$A$71:$B$88,2,FALSE)+1,FALSE)="","",VLOOKUP($A20,'détails investissements'!$A$26:$DE$43,R$3-VLOOKUP($A20,'détails investissements'!$A$71:$B$88,2,FALSE)+1,FALSE)))&lt;&gt;"",HLOOKUP(IF(R$3-VLOOKUP($A20,'détails investissements'!$A$71:$B$88,2,FALSE)&lt;=0,"",IF(VLOOKUP($A20,'détails investissements'!$A$26:$DE$43,R$3-VLOOKUP($A20,'détails investissements'!$A$71:$B$88,2,FALSE)+1,FALSE)="","",VLOOKUP($A20,'détails investissements'!$A$26:$DE$43,R$3-VLOOKUP($A20,'détails investissements'!$A$71:$B$88,2,FALSE)+1,FALSE))),'détails investissements'!$U$6:$AB$7,2,FALSE),""),FALSE),"")</f>
        <v/>
      </c>
      <c r="S20" s="45" t="str">
        <f>IF(IF(IF(S$3-VLOOKUP($A20,'détails investissements'!$A$71:$B$88,2,FALSE)&lt;=0,"",IF(VLOOKUP($A20,'détails investissements'!$A$26:$DE$43,S$3-VLOOKUP($A20,'détails investissements'!$A$71:$B$88,2,FALSE)+1,FALSE)="","",VLOOKUP($A20,'détails investissements'!$A$26:$DE$43,S$3-VLOOKUP($A20,'détails investissements'!$A$71:$B$88,2,FALSE)+1,FALSE)))&lt;&gt;"",HLOOKUP(IF(S$3-VLOOKUP($A20,'détails investissements'!$A$71:$B$88,2,FALSE)&lt;=0,"",IF(VLOOKUP($A20,'détails investissements'!$A$26:$DE$43,S$3-VLOOKUP($A20,'détails investissements'!$A$71:$B$88,2,FALSE)+1,FALSE)="","",VLOOKUP($A20,'détails investissements'!$A$26:$DE$43,S$3-VLOOKUP($A20,'détails investissements'!$A$71:$B$88,2,FALSE)+1,FALSE))),'détails investissements'!$U$6:$AB$7,2,FALSE),"")&lt;&gt;"",VLOOKUP($A20,'détails investissements'!$A$7:$H$21,1+IF(IF(S$3-VLOOKUP($A20,'détails investissements'!$A$71:$B$88,2,FALSE)&lt;=0,"",IF(VLOOKUP($A20,'détails investissements'!$A$26:$DE$43,S$3-VLOOKUP($A20,'détails investissements'!$A$71:$B$88,2,FALSE)+1,FALSE)="","",VLOOKUP($A20,'détails investissements'!$A$26:$DE$43,S$3-VLOOKUP($A20,'détails investissements'!$A$71:$B$88,2,FALSE)+1,FALSE)))&lt;&gt;"",HLOOKUP(IF(S$3-VLOOKUP($A20,'détails investissements'!$A$71:$B$88,2,FALSE)&lt;=0,"",IF(VLOOKUP($A20,'détails investissements'!$A$26:$DE$43,S$3-VLOOKUP($A20,'détails investissements'!$A$71:$B$88,2,FALSE)+1,FALSE)="","",VLOOKUP($A20,'détails investissements'!$A$26:$DE$43,S$3-VLOOKUP($A20,'détails investissements'!$A$71:$B$88,2,FALSE)+1,FALSE))),'détails investissements'!$U$6:$AB$7,2,FALSE),""),FALSE),"")</f>
        <v/>
      </c>
      <c r="T20" s="45">
        <f>IF(IF(IF(T$3-VLOOKUP($A20,'détails investissements'!$A$71:$B$88,2,FALSE)&lt;=0,"",IF(VLOOKUP($A20,'détails investissements'!$A$26:$DE$43,T$3-VLOOKUP($A20,'détails investissements'!$A$71:$B$88,2,FALSE)+1,FALSE)="","",VLOOKUP($A20,'détails investissements'!$A$26:$DE$43,T$3-VLOOKUP($A20,'détails investissements'!$A$71:$B$88,2,FALSE)+1,FALSE)))&lt;&gt;"",HLOOKUP(IF(T$3-VLOOKUP($A20,'détails investissements'!$A$71:$B$88,2,FALSE)&lt;=0,"",IF(VLOOKUP($A20,'détails investissements'!$A$26:$DE$43,T$3-VLOOKUP($A20,'détails investissements'!$A$71:$B$88,2,FALSE)+1,FALSE)="","",VLOOKUP($A20,'détails investissements'!$A$26:$DE$43,T$3-VLOOKUP($A20,'détails investissements'!$A$71:$B$88,2,FALSE)+1,FALSE))),'détails investissements'!$U$6:$AB$7,2,FALSE),"")&lt;&gt;"",VLOOKUP($A20,'détails investissements'!$A$7:$H$21,1+IF(IF(T$3-VLOOKUP($A20,'détails investissements'!$A$71:$B$88,2,FALSE)&lt;=0,"",IF(VLOOKUP($A20,'détails investissements'!$A$26:$DE$43,T$3-VLOOKUP($A20,'détails investissements'!$A$71:$B$88,2,FALSE)+1,FALSE)="","",VLOOKUP($A20,'détails investissements'!$A$26:$DE$43,T$3-VLOOKUP($A20,'détails investissements'!$A$71:$B$88,2,FALSE)+1,FALSE)))&lt;&gt;"",HLOOKUP(IF(T$3-VLOOKUP($A20,'détails investissements'!$A$71:$B$88,2,FALSE)&lt;=0,"",IF(VLOOKUP($A20,'détails investissements'!$A$26:$DE$43,T$3-VLOOKUP($A20,'détails investissements'!$A$71:$B$88,2,FALSE)+1,FALSE)="","",VLOOKUP($A20,'détails investissements'!$A$26:$DE$43,T$3-VLOOKUP($A20,'détails investissements'!$A$71:$B$88,2,FALSE)+1,FALSE))),'détails investissements'!$U$6:$AB$7,2,FALSE),""),FALSE),"")</f>
        <v>0.2</v>
      </c>
      <c r="U20" s="45" t="str">
        <f>IF(IF(IF(U$3-VLOOKUP($A20,'détails investissements'!$A$71:$B$88,2,FALSE)&lt;=0,"",IF(VLOOKUP($A20,'détails investissements'!$A$26:$DE$43,U$3-VLOOKUP($A20,'détails investissements'!$A$71:$B$88,2,FALSE)+1,FALSE)="","",VLOOKUP($A20,'détails investissements'!$A$26:$DE$43,U$3-VLOOKUP($A20,'détails investissements'!$A$71:$B$88,2,FALSE)+1,FALSE)))&lt;&gt;"",HLOOKUP(IF(U$3-VLOOKUP($A20,'détails investissements'!$A$71:$B$88,2,FALSE)&lt;=0,"",IF(VLOOKUP($A20,'détails investissements'!$A$26:$DE$43,U$3-VLOOKUP($A20,'détails investissements'!$A$71:$B$88,2,FALSE)+1,FALSE)="","",VLOOKUP($A20,'détails investissements'!$A$26:$DE$43,U$3-VLOOKUP($A20,'détails investissements'!$A$71:$B$88,2,FALSE)+1,FALSE))),'détails investissements'!$U$6:$AB$7,2,FALSE),"")&lt;&gt;"",VLOOKUP($A20,'détails investissements'!$A$7:$H$21,1+IF(IF(U$3-VLOOKUP($A20,'détails investissements'!$A$71:$B$88,2,FALSE)&lt;=0,"",IF(VLOOKUP($A20,'détails investissements'!$A$26:$DE$43,U$3-VLOOKUP($A20,'détails investissements'!$A$71:$B$88,2,FALSE)+1,FALSE)="","",VLOOKUP($A20,'détails investissements'!$A$26:$DE$43,U$3-VLOOKUP($A20,'détails investissements'!$A$71:$B$88,2,FALSE)+1,FALSE)))&lt;&gt;"",HLOOKUP(IF(U$3-VLOOKUP($A20,'détails investissements'!$A$71:$B$88,2,FALSE)&lt;=0,"",IF(VLOOKUP($A20,'détails investissements'!$A$26:$DE$43,U$3-VLOOKUP($A20,'détails investissements'!$A$71:$B$88,2,FALSE)+1,FALSE)="","",VLOOKUP($A20,'détails investissements'!$A$26:$DE$43,U$3-VLOOKUP($A20,'détails investissements'!$A$71:$B$88,2,FALSE)+1,FALSE))),'détails investissements'!$U$6:$AB$7,2,FALSE),""),FALSE),"")</f>
        <v/>
      </c>
      <c r="V20" s="45" t="str">
        <f>IF(IF(IF(V$3-VLOOKUP($A20,'détails investissements'!$A$71:$B$88,2,FALSE)&lt;=0,"",IF(VLOOKUP($A20,'détails investissements'!$A$26:$DE$43,V$3-VLOOKUP($A20,'détails investissements'!$A$71:$B$88,2,FALSE)+1,FALSE)="","",VLOOKUP($A20,'détails investissements'!$A$26:$DE$43,V$3-VLOOKUP($A20,'détails investissements'!$A$71:$B$88,2,FALSE)+1,FALSE)))&lt;&gt;"",HLOOKUP(IF(V$3-VLOOKUP($A20,'détails investissements'!$A$71:$B$88,2,FALSE)&lt;=0,"",IF(VLOOKUP($A20,'détails investissements'!$A$26:$DE$43,V$3-VLOOKUP($A20,'détails investissements'!$A$71:$B$88,2,FALSE)+1,FALSE)="","",VLOOKUP($A20,'détails investissements'!$A$26:$DE$43,V$3-VLOOKUP($A20,'détails investissements'!$A$71:$B$88,2,FALSE)+1,FALSE))),'détails investissements'!$U$6:$AB$7,2,FALSE),"")&lt;&gt;"",VLOOKUP($A20,'détails investissements'!$A$7:$H$21,1+IF(IF(V$3-VLOOKUP($A20,'détails investissements'!$A$71:$B$88,2,FALSE)&lt;=0,"",IF(VLOOKUP($A20,'détails investissements'!$A$26:$DE$43,V$3-VLOOKUP($A20,'détails investissements'!$A$71:$B$88,2,FALSE)+1,FALSE)="","",VLOOKUP($A20,'détails investissements'!$A$26:$DE$43,V$3-VLOOKUP($A20,'détails investissements'!$A$71:$B$88,2,FALSE)+1,FALSE)))&lt;&gt;"",HLOOKUP(IF(V$3-VLOOKUP($A20,'détails investissements'!$A$71:$B$88,2,FALSE)&lt;=0,"",IF(VLOOKUP($A20,'détails investissements'!$A$26:$DE$43,V$3-VLOOKUP($A20,'détails investissements'!$A$71:$B$88,2,FALSE)+1,FALSE)="","",VLOOKUP($A20,'détails investissements'!$A$26:$DE$43,V$3-VLOOKUP($A20,'détails investissements'!$A$71:$B$88,2,FALSE)+1,FALSE))),'détails investissements'!$U$6:$AB$7,2,FALSE),""),FALSE),"")</f>
        <v/>
      </c>
      <c r="W20" s="45" t="str">
        <f>IF(IF(IF(W$3-VLOOKUP($A20,'détails investissements'!$A$71:$B$88,2,FALSE)&lt;=0,"",IF(VLOOKUP($A20,'détails investissements'!$A$26:$DE$43,W$3-VLOOKUP($A20,'détails investissements'!$A$71:$B$88,2,FALSE)+1,FALSE)="","",VLOOKUP($A20,'détails investissements'!$A$26:$DE$43,W$3-VLOOKUP($A20,'détails investissements'!$A$71:$B$88,2,FALSE)+1,FALSE)))&lt;&gt;"",HLOOKUP(IF(W$3-VLOOKUP($A20,'détails investissements'!$A$71:$B$88,2,FALSE)&lt;=0,"",IF(VLOOKUP($A20,'détails investissements'!$A$26:$DE$43,W$3-VLOOKUP($A20,'détails investissements'!$A$71:$B$88,2,FALSE)+1,FALSE)="","",VLOOKUP($A20,'détails investissements'!$A$26:$DE$43,W$3-VLOOKUP($A20,'détails investissements'!$A$71:$B$88,2,FALSE)+1,FALSE))),'détails investissements'!$U$6:$AB$7,2,FALSE),"")&lt;&gt;"",VLOOKUP($A20,'détails investissements'!$A$7:$H$21,1+IF(IF(W$3-VLOOKUP($A20,'détails investissements'!$A$71:$B$88,2,FALSE)&lt;=0,"",IF(VLOOKUP($A20,'détails investissements'!$A$26:$DE$43,W$3-VLOOKUP($A20,'détails investissements'!$A$71:$B$88,2,FALSE)+1,FALSE)="","",VLOOKUP($A20,'détails investissements'!$A$26:$DE$43,W$3-VLOOKUP($A20,'détails investissements'!$A$71:$B$88,2,FALSE)+1,FALSE)))&lt;&gt;"",HLOOKUP(IF(W$3-VLOOKUP($A20,'détails investissements'!$A$71:$B$88,2,FALSE)&lt;=0,"",IF(VLOOKUP($A20,'détails investissements'!$A$26:$DE$43,W$3-VLOOKUP($A20,'détails investissements'!$A$71:$B$88,2,FALSE)+1,FALSE)="","",VLOOKUP($A20,'détails investissements'!$A$26:$DE$43,W$3-VLOOKUP($A20,'détails investissements'!$A$71:$B$88,2,FALSE)+1,FALSE))),'détails investissements'!$U$6:$AB$7,2,FALSE),""),FALSE),"")</f>
        <v/>
      </c>
      <c r="X20" s="45">
        <f>IF(IF(IF(X$3-VLOOKUP($A20,'détails investissements'!$A$71:$B$88,2,FALSE)&lt;=0,"",IF(VLOOKUP($A20,'détails investissements'!$A$26:$DE$43,X$3-VLOOKUP($A20,'détails investissements'!$A$71:$B$88,2,FALSE)+1,FALSE)="","",VLOOKUP($A20,'détails investissements'!$A$26:$DE$43,X$3-VLOOKUP($A20,'détails investissements'!$A$71:$B$88,2,FALSE)+1,FALSE)))&lt;&gt;"",HLOOKUP(IF(X$3-VLOOKUP($A20,'détails investissements'!$A$71:$B$88,2,FALSE)&lt;=0,"",IF(VLOOKUP($A20,'détails investissements'!$A$26:$DE$43,X$3-VLOOKUP($A20,'détails investissements'!$A$71:$B$88,2,FALSE)+1,FALSE)="","",VLOOKUP($A20,'détails investissements'!$A$26:$DE$43,X$3-VLOOKUP($A20,'détails investissements'!$A$71:$B$88,2,FALSE)+1,FALSE))),'détails investissements'!$U$6:$AB$7,2,FALSE),"")&lt;&gt;"",VLOOKUP($A20,'détails investissements'!$A$7:$H$21,1+IF(IF(X$3-VLOOKUP($A20,'détails investissements'!$A$71:$B$88,2,FALSE)&lt;=0,"",IF(VLOOKUP($A20,'détails investissements'!$A$26:$DE$43,X$3-VLOOKUP($A20,'détails investissements'!$A$71:$B$88,2,FALSE)+1,FALSE)="","",VLOOKUP($A20,'détails investissements'!$A$26:$DE$43,X$3-VLOOKUP($A20,'détails investissements'!$A$71:$B$88,2,FALSE)+1,FALSE)))&lt;&gt;"",HLOOKUP(IF(X$3-VLOOKUP($A20,'détails investissements'!$A$71:$B$88,2,FALSE)&lt;=0,"",IF(VLOOKUP($A20,'détails investissements'!$A$26:$DE$43,X$3-VLOOKUP($A20,'détails investissements'!$A$71:$B$88,2,FALSE)+1,FALSE)="","",VLOOKUP($A20,'détails investissements'!$A$26:$DE$43,X$3-VLOOKUP($A20,'détails investissements'!$A$71:$B$88,2,FALSE)+1,FALSE))),'détails investissements'!$U$6:$AB$7,2,FALSE),""),FALSE),"")</f>
        <v>0.1</v>
      </c>
      <c r="Y20" s="45" t="str">
        <f>IF(IF(IF(Y$3-VLOOKUP($A20,'détails investissements'!$A$71:$B$88,2,FALSE)&lt;=0,"",IF(VLOOKUP($A20,'détails investissements'!$A$26:$DE$43,Y$3-VLOOKUP($A20,'détails investissements'!$A$71:$B$88,2,FALSE)+1,FALSE)="","",VLOOKUP($A20,'détails investissements'!$A$26:$DE$43,Y$3-VLOOKUP($A20,'détails investissements'!$A$71:$B$88,2,FALSE)+1,FALSE)))&lt;&gt;"",HLOOKUP(IF(Y$3-VLOOKUP($A20,'détails investissements'!$A$71:$B$88,2,FALSE)&lt;=0,"",IF(VLOOKUP($A20,'détails investissements'!$A$26:$DE$43,Y$3-VLOOKUP($A20,'détails investissements'!$A$71:$B$88,2,FALSE)+1,FALSE)="","",VLOOKUP($A20,'détails investissements'!$A$26:$DE$43,Y$3-VLOOKUP($A20,'détails investissements'!$A$71:$B$88,2,FALSE)+1,FALSE))),'détails investissements'!$U$6:$AB$7,2,FALSE),"")&lt;&gt;"",VLOOKUP($A20,'détails investissements'!$A$7:$H$21,1+IF(IF(Y$3-VLOOKUP($A20,'détails investissements'!$A$71:$B$88,2,FALSE)&lt;=0,"",IF(VLOOKUP($A20,'détails investissements'!$A$26:$DE$43,Y$3-VLOOKUP($A20,'détails investissements'!$A$71:$B$88,2,FALSE)+1,FALSE)="","",VLOOKUP($A20,'détails investissements'!$A$26:$DE$43,Y$3-VLOOKUP($A20,'détails investissements'!$A$71:$B$88,2,FALSE)+1,FALSE)))&lt;&gt;"",HLOOKUP(IF(Y$3-VLOOKUP($A20,'détails investissements'!$A$71:$B$88,2,FALSE)&lt;=0,"",IF(VLOOKUP($A20,'détails investissements'!$A$26:$DE$43,Y$3-VLOOKUP($A20,'détails investissements'!$A$71:$B$88,2,FALSE)+1,FALSE)="","",VLOOKUP($A20,'détails investissements'!$A$26:$DE$43,Y$3-VLOOKUP($A20,'détails investissements'!$A$71:$B$88,2,FALSE)+1,FALSE))),'détails investissements'!$U$6:$AB$7,2,FALSE),""),FALSE),"")</f>
        <v/>
      </c>
      <c r="Z20" s="45" t="str">
        <f>IF(IF(IF(Z$3-VLOOKUP($A20,'détails investissements'!$A$71:$B$88,2,FALSE)&lt;=0,"",IF(VLOOKUP($A20,'détails investissements'!$A$26:$DE$43,Z$3-VLOOKUP($A20,'détails investissements'!$A$71:$B$88,2,FALSE)+1,FALSE)="","",VLOOKUP($A20,'détails investissements'!$A$26:$DE$43,Z$3-VLOOKUP($A20,'détails investissements'!$A$71:$B$88,2,FALSE)+1,FALSE)))&lt;&gt;"",HLOOKUP(IF(Z$3-VLOOKUP($A20,'détails investissements'!$A$71:$B$88,2,FALSE)&lt;=0,"",IF(VLOOKUP($A20,'détails investissements'!$A$26:$DE$43,Z$3-VLOOKUP($A20,'détails investissements'!$A$71:$B$88,2,FALSE)+1,FALSE)="","",VLOOKUP($A20,'détails investissements'!$A$26:$DE$43,Z$3-VLOOKUP($A20,'détails investissements'!$A$71:$B$88,2,FALSE)+1,FALSE))),'détails investissements'!$U$6:$AB$7,2,FALSE),"")&lt;&gt;"",VLOOKUP($A20,'détails investissements'!$A$7:$H$21,1+IF(IF(Z$3-VLOOKUP($A20,'détails investissements'!$A$71:$B$88,2,FALSE)&lt;=0,"",IF(VLOOKUP($A20,'détails investissements'!$A$26:$DE$43,Z$3-VLOOKUP($A20,'détails investissements'!$A$71:$B$88,2,FALSE)+1,FALSE)="","",VLOOKUP($A20,'détails investissements'!$A$26:$DE$43,Z$3-VLOOKUP($A20,'détails investissements'!$A$71:$B$88,2,FALSE)+1,FALSE)))&lt;&gt;"",HLOOKUP(IF(Z$3-VLOOKUP($A20,'détails investissements'!$A$71:$B$88,2,FALSE)&lt;=0,"",IF(VLOOKUP($A20,'détails investissements'!$A$26:$DE$43,Z$3-VLOOKUP($A20,'détails investissements'!$A$71:$B$88,2,FALSE)+1,FALSE)="","",VLOOKUP($A20,'détails investissements'!$A$26:$DE$43,Z$3-VLOOKUP($A20,'détails investissements'!$A$71:$B$88,2,FALSE)+1,FALSE))),'détails investissements'!$U$6:$AB$7,2,FALSE),""),FALSE),"")</f>
        <v/>
      </c>
      <c r="AA20" s="45" t="str">
        <f>IF(IF(IF(AA$3-VLOOKUP($A20,'détails investissements'!$A$71:$B$88,2,FALSE)&lt;=0,"",IF(VLOOKUP($A20,'détails investissements'!$A$26:$DE$43,AA$3-VLOOKUP($A20,'détails investissements'!$A$71:$B$88,2,FALSE)+1,FALSE)="","",VLOOKUP($A20,'détails investissements'!$A$26:$DE$43,AA$3-VLOOKUP($A20,'détails investissements'!$A$71:$B$88,2,FALSE)+1,FALSE)))&lt;&gt;"",HLOOKUP(IF(AA$3-VLOOKUP($A20,'détails investissements'!$A$71:$B$88,2,FALSE)&lt;=0,"",IF(VLOOKUP($A20,'détails investissements'!$A$26:$DE$43,AA$3-VLOOKUP($A20,'détails investissements'!$A$71:$B$88,2,FALSE)+1,FALSE)="","",VLOOKUP($A20,'détails investissements'!$A$26:$DE$43,AA$3-VLOOKUP($A20,'détails investissements'!$A$71:$B$88,2,FALSE)+1,FALSE))),'détails investissements'!$U$6:$AB$7,2,FALSE),"")&lt;&gt;"",VLOOKUP($A20,'détails investissements'!$A$7:$H$21,1+IF(IF(AA$3-VLOOKUP($A20,'détails investissements'!$A$71:$B$88,2,FALSE)&lt;=0,"",IF(VLOOKUP($A20,'détails investissements'!$A$26:$DE$43,AA$3-VLOOKUP($A20,'détails investissements'!$A$71:$B$88,2,FALSE)+1,FALSE)="","",VLOOKUP($A20,'détails investissements'!$A$26:$DE$43,AA$3-VLOOKUP($A20,'détails investissements'!$A$71:$B$88,2,FALSE)+1,FALSE)))&lt;&gt;"",HLOOKUP(IF(AA$3-VLOOKUP($A20,'détails investissements'!$A$71:$B$88,2,FALSE)&lt;=0,"",IF(VLOOKUP($A20,'détails investissements'!$A$26:$DE$43,AA$3-VLOOKUP($A20,'détails investissements'!$A$71:$B$88,2,FALSE)+1,FALSE)="","",VLOOKUP($A20,'détails investissements'!$A$26:$DE$43,AA$3-VLOOKUP($A20,'détails investissements'!$A$71:$B$88,2,FALSE)+1,FALSE))),'détails investissements'!$U$6:$AB$7,2,FALSE),""),FALSE),"")</f>
        <v/>
      </c>
      <c r="AB20" s="45" t="str">
        <f>IF(IF(IF(AB$3-VLOOKUP($A20,'détails investissements'!$A$71:$B$88,2,FALSE)&lt;=0,"",IF(VLOOKUP($A20,'détails investissements'!$A$26:$DE$43,AB$3-VLOOKUP($A20,'détails investissements'!$A$71:$B$88,2,FALSE)+1,FALSE)="","",VLOOKUP($A20,'détails investissements'!$A$26:$DE$43,AB$3-VLOOKUP($A20,'détails investissements'!$A$71:$B$88,2,FALSE)+1,FALSE)))&lt;&gt;"",HLOOKUP(IF(AB$3-VLOOKUP($A20,'détails investissements'!$A$71:$B$88,2,FALSE)&lt;=0,"",IF(VLOOKUP($A20,'détails investissements'!$A$26:$DE$43,AB$3-VLOOKUP($A20,'détails investissements'!$A$71:$B$88,2,FALSE)+1,FALSE)="","",VLOOKUP($A20,'détails investissements'!$A$26:$DE$43,AB$3-VLOOKUP($A20,'détails investissements'!$A$71:$B$88,2,FALSE)+1,FALSE))),'détails investissements'!$U$6:$AB$7,2,FALSE),"")&lt;&gt;"",VLOOKUP($A20,'détails investissements'!$A$7:$H$21,1+IF(IF(AB$3-VLOOKUP($A20,'détails investissements'!$A$71:$B$88,2,FALSE)&lt;=0,"",IF(VLOOKUP($A20,'détails investissements'!$A$26:$DE$43,AB$3-VLOOKUP($A20,'détails investissements'!$A$71:$B$88,2,FALSE)+1,FALSE)="","",VLOOKUP($A20,'détails investissements'!$A$26:$DE$43,AB$3-VLOOKUP($A20,'détails investissements'!$A$71:$B$88,2,FALSE)+1,FALSE)))&lt;&gt;"",HLOOKUP(IF(AB$3-VLOOKUP($A20,'détails investissements'!$A$71:$B$88,2,FALSE)&lt;=0,"",IF(VLOOKUP($A20,'détails investissements'!$A$26:$DE$43,AB$3-VLOOKUP($A20,'détails investissements'!$A$71:$B$88,2,FALSE)+1,FALSE)="","",VLOOKUP($A20,'détails investissements'!$A$26:$DE$43,AB$3-VLOOKUP($A20,'détails investissements'!$A$71:$B$88,2,FALSE)+1,FALSE))),'détails investissements'!$U$6:$AB$7,2,FALSE),""),FALSE),"")</f>
        <v/>
      </c>
      <c r="AC20" s="45" t="str">
        <f>IF(IF(IF(AC$3-VLOOKUP($A20,'détails investissements'!$A$71:$B$88,2,FALSE)&lt;=0,"",IF(VLOOKUP($A20,'détails investissements'!$A$26:$DE$43,AC$3-VLOOKUP($A20,'détails investissements'!$A$71:$B$88,2,FALSE)+1,FALSE)="","",VLOOKUP($A20,'détails investissements'!$A$26:$DE$43,AC$3-VLOOKUP($A20,'détails investissements'!$A$71:$B$88,2,FALSE)+1,FALSE)))&lt;&gt;"",HLOOKUP(IF(AC$3-VLOOKUP($A20,'détails investissements'!$A$71:$B$88,2,FALSE)&lt;=0,"",IF(VLOOKUP($A20,'détails investissements'!$A$26:$DE$43,AC$3-VLOOKUP($A20,'détails investissements'!$A$71:$B$88,2,FALSE)+1,FALSE)="","",VLOOKUP($A20,'détails investissements'!$A$26:$DE$43,AC$3-VLOOKUP($A20,'détails investissements'!$A$71:$B$88,2,FALSE)+1,FALSE))),'détails investissements'!$U$6:$AB$7,2,FALSE),"")&lt;&gt;"",VLOOKUP($A20,'détails investissements'!$A$7:$H$21,1+IF(IF(AC$3-VLOOKUP($A20,'détails investissements'!$A$71:$B$88,2,FALSE)&lt;=0,"",IF(VLOOKUP($A20,'détails investissements'!$A$26:$DE$43,AC$3-VLOOKUP($A20,'détails investissements'!$A$71:$B$88,2,FALSE)+1,FALSE)="","",VLOOKUP($A20,'détails investissements'!$A$26:$DE$43,AC$3-VLOOKUP($A20,'détails investissements'!$A$71:$B$88,2,FALSE)+1,FALSE)))&lt;&gt;"",HLOOKUP(IF(AC$3-VLOOKUP($A20,'détails investissements'!$A$71:$B$88,2,FALSE)&lt;=0,"",IF(VLOOKUP($A20,'détails investissements'!$A$26:$DE$43,AC$3-VLOOKUP($A20,'détails investissements'!$A$71:$B$88,2,FALSE)+1,FALSE)="","",VLOOKUP($A20,'détails investissements'!$A$26:$DE$43,AC$3-VLOOKUP($A20,'détails investissements'!$A$71:$B$88,2,FALSE)+1,FALSE))),'détails investissements'!$U$6:$AB$7,2,FALSE),""),FALSE),"")</f>
        <v/>
      </c>
      <c r="AD20" s="45">
        <f>IF(IF(IF(AD$3-VLOOKUP($A20,'détails investissements'!$A$71:$B$88,2,FALSE)&lt;=0,"",IF(VLOOKUP($A20,'détails investissements'!$A$26:$DE$43,AD$3-VLOOKUP($A20,'détails investissements'!$A$71:$B$88,2,FALSE)+1,FALSE)="","",VLOOKUP($A20,'détails investissements'!$A$26:$DE$43,AD$3-VLOOKUP($A20,'détails investissements'!$A$71:$B$88,2,FALSE)+1,FALSE)))&lt;&gt;"",HLOOKUP(IF(AD$3-VLOOKUP($A20,'détails investissements'!$A$71:$B$88,2,FALSE)&lt;=0,"",IF(VLOOKUP($A20,'détails investissements'!$A$26:$DE$43,AD$3-VLOOKUP($A20,'détails investissements'!$A$71:$B$88,2,FALSE)+1,FALSE)="","",VLOOKUP($A20,'détails investissements'!$A$26:$DE$43,AD$3-VLOOKUP($A20,'détails investissements'!$A$71:$B$88,2,FALSE)+1,FALSE))),'détails investissements'!$U$6:$AB$7,2,FALSE),"")&lt;&gt;"",VLOOKUP($A20,'détails investissements'!$A$7:$H$21,1+IF(IF(AD$3-VLOOKUP($A20,'détails investissements'!$A$71:$B$88,2,FALSE)&lt;=0,"",IF(VLOOKUP($A20,'détails investissements'!$A$26:$DE$43,AD$3-VLOOKUP($A20,'détails investissements'!$A$71:$B$88,2,FALSE)+1,FALSE)="","",VLOOKUP($A20,'détails investissements'!$A$26:$DE$43,AD$3-VLOOKUP($A20,'détails investissements'!$A$71:$B$88,2,FALSE)+1,FALSE)))&lt;&gt;"",HLOOKUP(IF(AD$3-VLOOKUP($A20,'détails investissements'!$A$71:$B$88,2,FALSE)&lt;=0,"",IF(VLOOKUP($A20,'détails investissements'!$A$26:$DE$43,AD$3-VLOOKUP($A20,'détails investissements'!$A$71:$B$88,2,FALSE)+1,FALSE)="","",VLOOKUP($A20,'détails investissements'!$A$26:$DE$43,AD$3-VLOOKUP($A20,'détails investissements'!$A$71:$B$88,2,FALSE)+1,FALSE))),'détails investissements'!$U$6:$AB$7,2,FALSE),""),FALSE),"")</f>
        <v>0.05</v>
      </c>
      <c r="AE20" s="45" t="str">
        <f>IF(IF(IF(AE$3-VLOOKUP($A20,'détails investissements'!$A$71:$B$88,2,FALSE)&lt;=0,"",IF(VLOOKUP($A20,'détails investissements'!$A$26:$DE$43,AE$3-VLOOKUP($A20,'détails investissements'!$A$71:$B$88,2,FALSE)+1,FALSE)="","",VLOOKUP($A20,'détails investissements'!$A$26:$DE$43,AE$3-VLOOKUP($A20,'détails investissements'!$A$71:$B$88,2,FALSE)+1,FALSE)))&lt;&gt;"",HLOOKUP(IF(AE$3-VLOOKUP($A20,'détails investissements'!$A$71:$B$88,2,FALSE)&lt;=0,"",IF(VLOOKUP($A20,'détails investissements'!$A$26:$DE$43,AE$3-VLOOKUP($A20,'détails investissements'!$A$71:$B$88,2,FALSE)+1,FALSE)="","",VLOOKUP($A20,'détails investissements'!$A$26:$DE$43,AE$3-VLOOKUP($A20,'détails investissements'!$A$71:$B$88,2,FALSE)+1,FALSE))),'détails investissements'!$U$6:$AB$7,2,FALSE),"")&lt;&gt;"",VLOOKUP($A20,'détails investissements'!$A$7:$H$21,1+IF(IF(AE$3-VLOOKUP($A20,'détails investissements'!$A$71:$B$88,2,FALSE)&lt;=0,"",IF(VLOOKUP($A20,'détails investissements'!$A$26:$DE$43,AE$3-VLOOKUP($A20,'détails investissements'!$A$71:$B$88,2,FALSE)+1,FALSE)="","",VLOOKUP($A20,'détails investissements'!$A$26:$DE$43,AE$3-VLOOKUP($A20,'détails investissements'!$A$71:$B$88,2,FALSE)+1,FALSE)))&lt;&gt;"",HLOOKUP(IF(AE$3-VLOOKUP($A20,'détails investissements'!$A$71:$B$88,2,FALSE)&lt;=0,"",IF(VLOOKUP($A20,'détails investissements'!$A$26:$DE$43,AE$3-VLOOKUP($A20,'détails investissements'!$A$71:$B$88,2,FALSE)+1,FALSE)="","",VLOOKUP($A20,'détails investissements'!$A$26:$DE$43,AE$3-VLOOKUP($A20,'détails investissements'!$A$71:$B$88,2,FALSE)+1,FALSE))),'détails investissements'!$U$6:$AB$7,2,FALSE),""),FALSE),"")</f>
        <v/>
      </c>
      <c r="AF20" s="45" t="str">
        <f>IF(IF(IF(AF$3-VLOOKUP($A20,'détails investissements'!$A$71:$B$88,2,FALSE)&lt;=0,"",IF(VLOOKUP($A20,'détails investissements'!$A$26:$DE$43,AF$3-VLOOKUP($A20,'détails investissements'!$A$71:$B$88,2,FALSE)+1,FALSE)="","",VLOOKUP($A20,'détails investissements'!$A$26:$DE$43,AF$3-VLOOKUP($A20,'détails investissements'!$A$71:$B$88,2,FALSE)+1,FALSE)))&lt;&gt;"",HLOOKUP(IF(AF$3-VLOOKUP($A20,'détails investissements'!$A$71:$B$88,2,FALSE)&lt;=0,"",IF(VLOOKUP($A20,'détails investissements'!$A$26:$DE$43,AF$3-VLOOKUP($A20,'détails investissements'!$A$71:$B$88,2,FALSE)+1,FALSE)="","",VLOOKUP($A20,'détails investissements'!$A$26:$DE$43,AF$3-VLOOKUP($A20,'détails investissements'!$A$71:$B$88,2,FALSE)+1,FALSE))),'détails investissements'!$U$6:$AB$7,2,FALSE),"")&lt;&gt;"",VLOOKUP($A20,'détails investissements'!$A$7:$H$21,1+IF(IF(AF$3-VLOOKUP($A20,'détails investissements'!$A$71:$B$88,2,FALSE)&lt;=0,"",IF(VLOOKUP($A20,'détails investissements'!$A$26:$DE$43,AF$3-VLOOKUP($A20,'détails investissements'!$A$71:$B$88,2,FALSE)+1,FALSE)="","",VLOOKUP($A20,'détails investissements'!$A$26:$DE$43,AF$3-VLOOKUP($A20,'détails investissements'!$A$71:$B$88,2,FALSE)+1,FALSE)))&lt;&gt;"",HLOOKUP(IF(AF$3-VLOOKUP($A20,'détails investissements'!$A$71:$B$88,2,FALSE)&lt;=0,"",IF(VLOOKUP($A20,'détails investissements'!$A$26:$DE$43,AF$3-VLOOKUP($A20,'détails investissements'!$A$71:$B$88,2,FALSE)+1,FALSE)="","",VLOOKUP($A20,'détails investissements'!$A$26:$DE$43,AF$3-VLOOKUP($A20,'détails investissements'!$A$71:$B$88,2,FALSE)+1,FALSE))),'détails investissements'!$U$6:$AB$7,2,FALSE),""),FALSE),"")</f>
        <v/>
      </c>
      <c r="AG20" s="45" t="str">
        <f>IF(IF(IF(AG$3-VLOOKUP($A20,'détails investissements'!$A$71:$B$88,2,FALSE)&lt;=0,"",IF(VLOOKUP($A20,'détails investissements'!$A$26:$DE$43,AG$3-VLOOKUP($A20,'détails investissements'!$A$71:$B$88,2,FALSE)+1,FALSE)="","",VLOOKUP($A20,'détails investissements'!$A$26:$DE$43,AG$3-VLOOKUP($A20,'détails investissements'!$A$71:$B$88,2,FALSE)+1,FALSE)))&lt;&gt;"",HLOOKUP(IF(AG$3-VLOOKUP($A20,'détails investissements'!$A$71:$B$88,2,FALSE)&lt;=0,"",IF(VLOOKUP($A20,'détails investissements'!$A$26:$DE$43,AG$3-VLOOKUP($A20,'détails investissements'!$A$71:$B$88,2,FALSE)+1,FALSE)="","",VLOOKUP($A20,'détails investissements'!$A$26:$DE$43,AG$3-VLOOKUP($A20,'détails investissements'!$A$71:$B$88,2,FALSE)+1,FALSE))),'détails investissements'!$U$6:$AB$7,2,FALSE),"")&lt;&gt;"",VLOOKUP($A20,'détails investissements'!$A$7:$H$21,1+IF(IF(AG$3-VLOOKUP($A20,'détails investissements'!$A$71:$B$88,2,FALSE)&lt;=0,"",IF(VLOOKUP($A20,'détails investissements'!$A$26:$DE$43,AG$3-VLOOKUP($A20,'détails investissements'!$A$71:$B$88,2,FALSE)+1,FALSE)="","",VLOOKUP($A20,'détails investissements'!$A$26:$DE$43,AG$3-VLOOKUP($A20,'détails investissements'!$A$71:$B$88,2,FALSE)+1,FALSE)))&lt;&gt;"",HLOOKUP(IF(AG$3-VLOOKUP($A20,'détails investissements'!$A$71:$B$88,2,FALSE)&lt;=0,"",IF(VLOOKUP($A20,'détails investissements'!$A$26:$DE$43,AG$3-VLOOKUP($A20,'détails investissements'!$A$71:$B$88,2,FALSE)+1,FALSE)="","",VLOOKUP($A20,'détails investissements'!$A$26:$DE$43,AG$3-VLOOKUP($A20,'détails investissements'!$A$71:$B$88,2,FALSE)+1,FALSE))),'détails investissements'!$U$6:$AB$7,2,FALSE),""),FALSE),"")</f>
        <v/>
      </c>
      <c r="AH20" s="45" t="str">
        <f>IF(IF(IF(AH$3-VLOOKUP($A20,'détails investissements'!$A$71:$B$88,2,FALSE)&lt;=0,"",IF(VLOOKUP($A20,'détails investissements'!$A$26:$DE$43,AH$3-VLOOKUP($A20,'détails investissements'!$A$71:$B$88,2,FALSE)+1,FALSE)="","",VLOOKUP($A20,'détails investissements'!$A$26:$DE$43,AH$3-VLOOKUP($A20,'détails investissements'!$A$71:$B$88,2,FALSE)+1,FALSE)))&lt;&gt;"",HLOOKUP(IF(AH$3-VLOOKUP($A20,'détails investissements'!$A$71:$B$88,2,FALSE)&lt;=0,"",IF(VLOOKUP($A20,'détails investissements'!$A$26:$DE$43,AH$3-VLOOKUP($A20,'détails investissements'!$A$71:$B$88,2,FALSE)+1,FALSE)="","",VLOOKUP($A20,'détails investissements'!$A$26:$DE$43,AH$3-VLOOKUP($A20,'détails investissements'!$A$71:$B$88,2,FALSE)+1,FALSE))),'détails investissements'!$U$6:$AB$7,2,FALSE),"")&lt;&gt;"",VLOOKUP($A20,'détails investissements'!$A$7:$H$21,1+IF(IF(AH$3-VLOOKUP($A20,'détails investissements'!$A$71:$B$88,2,FALSE)&lt;=0,"",IF(VLOOKUP($A20,'détails investissements'!$A$26:$DE$43,AH$3-VLOOKUP($A20,'détails investissements'!$A$71:$B$88,2,FALSE)+1,FALSE)="","",VLOOKUP($A20,'détails investissements'!$A$26:$DE$43,AH$3-VLOOKUP($A20,'détails investissements'!$A$71:$B$88,2,FALSE)+1,FALSE)))&lt;&gt;"",HLOOKUP(IF(AH$3-VLOOKUP($A20,'détails investissements'!$A$71:$B$88,2,FALSE)&lt;=0,"",IF(VLOOKUP($A20,'détails investissements'!$A$26:$DE$43,AH$3-VLOOKUP($A20,'détails investissements'!$A$71:$B$88,2,FALSE)+1,FALSE)="","",VLOOKUP($A20,'détails investissements'!$A$26:$DE$43,AH$3-VLOOKUP($A20,'détails investissements'!$A$71:$B$88,2,FALSE)+1,FALSE))),'détails investissements'!$U$6:$AB$7,2,FALSE),""),FALSE),"")</f>
        <v/>
      </c>
      <c r="AI20" s="45" t="str">
        <f>IF(IF(IF(AI$3-VLOOKUP($A20,'détails investissements'!$A$71:$B$88,2,FALSE)&lt;=0,"",IF(VLOOKUP($A20,'détails investissements'!$A$26:$DE$43,AI$3-VLOOKUP($A20,'détails investissements'!$A$71:$B$88,2,FALSE)+1,FALSE)="","",VLOOKUP($A20,'détails investissements'!$A$26:$DE$43,AI$3-VLOOKUP($A20,'détails investissements'!$A$71:$B$88,2,FALSE)+1,FALSE)))&lt;&gt;"",HLOOKUP(IF(AI$3-VLOOKUP($A20,'détails investissements'!$A$71:$B$88,2,FALSE)&lt;=0,"",IF(VLOOKUP($A20,'détails investissements'!$A$26:$DE$43,AI$3-VLOOKUP($A20,'détails investissements'!$A$71:$B$88,2,FALSE)+1,FALSE)="","",VLOOKUP($A20,'détails investissements'!$A$26:$DE$43,AI$3-VLOOKUP($A20,'détails investissements'!$A$71:$B$88,2,FALSE)+1,FALSE))),'détails investissements'!$U$6:$AB$7,2,FALSE),"")&lt;&gt;"",VLOOKUP($A20,'détails investissements'!$A$7:$H$21,1+IF(IF(AI$3-VLOOKUP($A20,'détails investissements'!$A$71:$B$88,2,FALSE)&lt;=0,"",IF(VLOOKUP($A20,'détails investissements'!$A$26:$DE$43,AI$3-VLOOKUP($A20,'détails investissements'!$A$71:$B$88,2,FALSE)+1,FALSE)="","",VLOOKUP($A20,'détails investissements'!$A$26:$DE$43,AI$3-VLOOKUP($A20,'détails investissements'!$A$71:$B$88,2,FALSE)+1,FALSE)))&lt;&gt;"",HLOOKUP(IF(AI$3-VLOOKUP($A20,'détails investissements'!$A$71:$B$88,2,FALSE)&lt;=0,"",IF(VLOOKUP($A20,'détails investissements'!$A$26:$DE$43,AI$3-VLOOKUP($A20,'détails investissements'!$A$71:$B$88,2,FALSE)+1,FALSE)="","",VLOOKUP($A20,'détails investissements'!$A$26:$DE$43,AI$3-VLOOKUP($A20,'détails investissements'!$A$71:$B$88,2,FALSE)+1,FALSE))),'détails investissements'!$U$6:$AB$7,2,FALSE),""),FALSE),"")</f>
        <v/>
      </c>
      <c r="AJ20" s="45" t="str">
        <f>IF(IF(IF(AJ$3-VLOOKUP($A20,'détails investissements'!$A$71:$B$88,2,FALSE)&lt;=0,"",IF(VLOOKUP($A20,'détails investissements'!$A$26:$DE$43,AJ$3-VLOOKUP($A20,'détails investissements'!$A$71:$B$88,2,FALSE)+1,FALSE)="","",VLOOKUP($A20,'détails investissements'!$A$26:$DE$43,AJ$3-VLOOKUP($A20,'détails investissements'!$A$71:$B$88,2,FALSE)+1,FALSE)))&lt;&gt;"",HLOOKUP(IF(AJ$3-VLOOKUP($A20,'détails investissements'!$A$71:$B$88,2,FALSE)&lt;=0,"",IF(VLOOKUP($A20,'détails investissements'!$A$26:$DE$43,AJ$3-VLOOKUP($A20,'détails investissements'!$A$71:$B$88,2,FALSE)+1,FALSE)="","",VLOOKUP($A20,'détails investissements'!$A$26:$DE$43,AJ$3-VLOOKUP($A20,'détails investissements'!$A$71:$B$88,2,FALSE)+1,FALSE))),'détails investissements'!$U$6:$AB$7,2,FALSE),"")&lt;&gt;"",VLOOKUP($A20,'détails investissements'!$A$7:$H$21,1+IF(IF(AJ$3-VLOOKUP($A20,'détails investissements'!$A$71:$B$88,2,FALSE)&lt;=0,"",IF(VLOOKUP($A20,'détails investissements'!$A$26:$DE$43,AJ$3-VLOOKUP($A20,'détails investissements'!$A$71:$B$88,2,FALSE)+1,FALSE)="","",VLOOKUP($A20,'détails investissements'!$A$26:$DE$43,AJ$3-VLOOKUP($A20,'détails investissements'!$A$71:$B$88,2,FALSE)+1,FALSE)))&lt;&gt;"",HLOOKUP(IF(AJ$3-VLOOKUP($A20,'détails investissements'!$A$71:$B$88,2,FALSE)&lt;=0,"",IF(VLOOKUP($A20,'détails investissements'!$A$26:$DE$43,AJ$3-VLOOKUP($A20,'détails investissements'!$A$71:$B$88,2,FALSE)+1,FALSE)="","",VLOOKUP($A20,'détails investissements'!$A$26:$DE$43,AJ$3-VLOOKUP($A20,'détails investissements'!$A$71:$B$88,2,FALSE)+1,FALSE))),'détails investissements'!$U$6:$AB$7,2,FALSE),""),FALSE),"")</f>
        <v/>
      </c>
      <c r="AK20" s="45" t="str">
        <f>IF(IF(IF(AK$3-VLOOKUP($A20,'détails investissements'!$A$71:$B$88,2,FALSE)&lt;=0,"",IF(VLOOKUP($A20,'détails investissements'!$A$26:$DE$43,AK$3-VLOOKUP($A20,'détails investissements'!$A$71:$B$88,2,FALSE)+1,FALSE)="","",VLOOKUP($A20,'détails investissements'!$A$26:$DE$43,AK$3-VLOOKUP($A20,'détails investissements'!$A$71:$B$88,2,FALSE)+1,FALSE)))&lt;&gt;"",HLOOKUP(IF(AK$3-VLOOKUP($A20,'détails investissements'!$A$71:$B$88,2,FALSE)&lt;=0,"",IF(VLOOKUP($A20,'détails investissements'!$A$26:$DE$43,AK$3-VLOOKUP($A20,'détails investissements'!$A$71:$B$88,2,FALSE)+1,FALSE)="","",VLOOKUP($A20,'détails investissements'!$A$26:$DE$43,AK$3-VLOOKUP($A20,'détails investissements'!$A$71:$B$88,2,FALSE)+1,FALSE))),'détails investissements'!$U$6:$AB$7,2,FALSE),"")&lt;&gt;"",VLOOKUP($A20,'détails investissements'!$A$7:$H$21,1+IF(IF(AK$3-VLOOKUP($A20,'détails investissements'!$A$71:$B$88,2,FALSE)&lt;=0,"",IF(VLOOKUP($A20,'détails investissements'!$A$26:$DE$43,AK$3-VLOOKUP($A20,'détails investissements'!$A$71:$B$88,2,FALSE)+1,FALSE)="","",VLOOKUP($A20,'détails investissements'!$A$26:$DE$43,AK$3-VLOOKUP($A20,'détails investissements'!$A$71:$B$88,2,FALSE)+1,FALSE)))&lt;&gt;"",HLOOKUP(IF(AK$3-VLOOKUP($A20,'détails investissements'!$A$71:$B$88,2,FALSE)&lt;=0,"",IF(VLOOKUP($A20,'détails investissements'!$A$26:$DE$43,AK$3-VLOOKUP($A20,'détails investissements'!$A$71:$B$88,2,FALSE)+1,FALSE)="","",VLOOKUP($A20,'détails investissements'!$A$26:$DE$43,AK$3-VLOOKUP($A20,'détails investissements'!$A$71:$B$88,2,FALSE)+1,FALSE))),'détails investissements'!$U$6:$AB$7,2,FALSE),""),FALSE),"")</f>
        <v/>
      </c>
      <c r="AL20" s="45" t="str">
        <f>IF(IF(IF(AL$3-VLOOKUP($A20,'détails investissements'!$A$71:$B$88,2,FALSE)&lt;=0,"",IF(VLOOKUP($A20,'détails investissements'!$A$26:$DE$43,AL$3-VLOOKUP($A20,'détails investissements'!$A$71:$B$88,2,FALSE)+1,FALSE)="","",VLOOKUP($A20,'détails investissements'!$A$26:$DE$43,AL$3-VLOOKUP($A20,'détails investissements'!$A$71:$B$88,2,FALSE)+1,FALSE)))&lt;&gt;"",HLOOKUP(IF(AL$3-VLOOKUP($A20,'détails investissements'!$A$71:$B$88,2,FALSE)&lt;=0,"",IF(VLOOKUP($A20,'détails investissements'!$A$26:$DE$43,AL$3-VLOOKUP($A20,'détails investissements'!$A$71:$B$88,2,FALSE)+1,FALSE)="","",VLOOKUP($A20,'détails investissements'!$A$26:$DE$43,AL$3-VLOOKUP($A20,'détails investissements'!$A$71:$B$88,2,FALSE)+1,FALSE))),'détails investissements'!$U$6:$AB$7,2,FALSE),"")&lt;&gt;"",VLOOKUP($A20,'détails investissements'!$A$7:$H$21,1+IF(IF(AL$3-VLOOKUP($A20,'détails investissements'!$A$71:$B$88,2,FALSE)&lt;=0,"",IF(VLOOKUP($A20,'détails investissements'!$A$26:$DE$43,AL$3-VLOOKUP($A20,'détails investissements'!$A$71:$B$88,2,FALSE)+1,FALSE)="","",VLOOKUP($A20,'détails investissements'!$A$26:$DE$43,AL$3-VLOOKUP($A20,'détails investissements'!$A$71:$B$88,2,FALSE)+1,FALSE)))&lt;&gt;"",HLOOKUP(IF(AL$3-VLOOKUP($A20,'détails investissements'!$A$71:$B$88,2,FALSE)&lt;=0,"",IF(VLOOKUP($A20,'détails investissements'!$A$26:$DE$43,AL$3-VLOOKUP($A20,'détails investissements'!$A$71:$B$88,2,FALSE)+1,FALSE)="","",VLOOKUP($A20,'détails investissements'!$A$26:$DE$43,AL$3-VLOOKUP($A20,'détails investissements'!$A$71:$B$88,2,FALSE)+1,FALSE))),'détails investissements'!$U$6:$AB$7,2,FALSE),""),FALSE),"")</f>
        <v/>
      </c>
      <c r="AM20" s="45" t="str">
        <f>IF(IF(IF(AM$3-VLOOKUP($A20,'détails investissements'!$A$71:$B$88,2,FALSE)&lt;=0,"",IF(VLOOKUP($A20,'détails investissements'!$A$26:$DE$43,AM$3-VLOOKUP($A20,'détails investissements'!$A$71:$B$88,2,FALSE)+1,FALSE)="","",VLOOKUP($A20,'détails investissements'!$A$26:$DE$43,AM$3-VLOOKUP($A20,'détails investissements'!$A$71:$B$88,2,FALSE)+1,FALSE)))&lt;&gt;"",HLOOKUP(IF(AM$3-VLOOKUP($A20,'détails investissements'!$A$71:$B$88,2,FALSE)&lt;=0,"",IF(VLOOKUP($A20,'détails investissements'!$A$26:$DE$43,AM$3-VLOOKUP($A20,'détails investissements'!$A$71:$B$88,2,FALSE)+1,FALSE)="","",VLOOKUP($A20,'détails investissements'!$A$26:$DE$43,AM$3-VLOOKUP($A20,'détails investissements'!$A$71:$B$88,2,FALSE)+1,FALSE))),'détails investissements'!$U$6:$AB$7,2,FALSE),"")&lt;&gt;"",VLOOKUP($A20,'détails investissements'!$A$7:$H$21,1+IF(IF(AM$3-VLOOKUP($A20,'détails investissements'!$A$71:$B$88,2,FALSE)&lt;=0,"",IF(VLOOKUP($A20,'détails investissements'!$A$26:$DE$43,AM$3-VLOOKUP($A20,'détails investissements'!$A$71:$B$88,2,FALSE)+1,FALSE)="","",VLOOKUP($A20,'détails investissements'!$A$26:$DE$43,AM$3-VLOOKUP($A20,'détails investissements'!$A$71:$B$88,2,FALSE)+1,FALSE)))&lt;&gt;"",HLOOKUP(IF(AM$3-VLOOKUP($A20,'détails investissements'!$A$71:$B$88,2,FALSE)&lt;=0,"",IF(VLOOKUP($A20,'détails investissements'!$A$26:$DE$43,AM$3-VLOOKUP($A20,'détails investissements'!$A$71:$B$88,2,FALSE)+1,FALSE)="","",VLOOKUP($A20,'détails investissements'!$A$26:$DE$43,AM$3-VLOOKUP($A20,'détails investissements'!$A$71:$B$88,2,FALSE)+1,FALSE))),'détails investissements'!$U$6:$AB$7,2,FALSE),""),FALSE),"")</f>
        <v/>
      </c>
      <c r="AN20" s="45" t="str">
        <f>IF(IF(IF(AN$3-VLOOKUP($A20,'détails investissements'!$A$71:$B$88,2,FALSE)&lt;=0,"",IF(VLOOKUP($A20,'détails investissements'!$A$26:$DE$43,AN$3-VLOOKUP($A20,'détails investissements'!$A$71:$B$88,2,FALSE)+1,FALSE)="","",VLOOKUP($A20,'détails investissements'!$A$26:$DE$43,AN$3-VLOOKUP($A20,'détails investissements'!$A$71:$B$88,2,FALSE)+1,FALSE)))&lt;&gt;"",HLOOKUP(IF(AN$3-VLOOKUP($A20,'détails investissements'!$A$71:$B$88,2,FALSE)&lt;=0,"",IF(VLOOKUP($A20,'détails investissements'!$A$26:$DE$43,AN$3-VLOOKUP($A20,'détails investissements'!$A$71:$B$88,2,FALSE)+1,FALSE)="","",VLOOKUP($A20,'détails investissements'!$A$26:$DE$43,AN$3-VLOOKUP($A20,'détails investissements'!$A$71:$B$88,2,FALSE)+1,FALSE))),'détails investissements'!$U$6:$AB$7,2,FALSE),"")&lt;&gt;"",VLOOKUP($A20,'détails investissements'!$A$7:$H$21,1+IF(IF(AN$3-VLOOKUP($A20,'détails investissements'!$A$71:$B$88,2,FALSE)&lt;=0,"",IF(VLOOKUP($A20,'détails investissements'!$A$26:$DE$43,AN$3-VLOOKUP($A20,'détails investissements'!$A$71:$B$88,2,FALSE)+1,FALSE)="","",VLOOKUP($A20,'détails investissements'!$A$26:$DE$43,AN$3-VLOOKUP($A20,'détails investissements'!$A$71:$B$88,2,FALSE)+1,FALSE)))&lt;&gt;"",HLOOKUP(IF(AN$3-VLOOKUP($A20,'détails investissements'!$A$71:$B$88,2,FALSE)&lt;=0,"",IF(VLOOKUP($A20,'détails investissements'!$A$26:$DE$43,AN$3-VLOOKUP($A20,'détails investissements'!$A$71:$B$88,2,FALSE)+1,FALSE)="","",VLOOKUP($A20,'détails investissements'!$A$26:$DE$43,AN$3-VLOOKUP($A20,'détails investissements'!$A$71:$B$88,2,FALSE)+1,FALSE))),'détails investissements'!$U$6:$AB$7,2,FALSE),""),FALSE),"")</f>
        <v/>
      </c>
      <c r="AO20" s="45" t="str">
        <f>IF(IF(IF(AO$3-VLOOKUP($A20,'détails investissements'!$A$71:$B$88,2,FALSE)&lt;=0,"",IF(VLOOKUP($A20,'détails investissements'!$A$26:$DE$43,AO$3-VLOOKUP($A20,'détails investissements'!$A$71:$B$88,2,FALSE)+1,FALSE)="","",VLOOKUP($A20,'détails investissements'!$A$26:$DE$43,AO$3-VLOOKUP($A20,'détails investissements'!$A$71:$B$88,2,FALSE)+1,FALSE)))&lt;&gt;"",HLOOKUP(IF(AO$3-VLOOKUP($A20,'détails investissements'!$A$71:$B$88,2,FALSE)&lt;=0,"",IF(VLOOKUP($A20,'détails investissements'!$A$26:$DE$43,AO$3-VLOOKUP($A20,'détails investissements'!$A$71:$B$88,2,FALSE)+1,FALSE)="","",VLOOKUP($A20,'détails investissements'!$A$26:$DE$43,AO$3-VLOOKUP($A20,'détails investissements'!$A$71:$B$88,2,FALSE)+1,FALSE))),'détails investissements'!$U$6:$AB$7,2,FALSE),"")&lt;&gt;"",VLOOKUP($A20,'détails investissements'!$A$7:$H$21,1+IF(IF(AO$3-VLOOKUP($A20,'détails investissements'!$A$71:$B$88,2,FALSE)&lt;=0,"",IF(VLOOKUP($A20,'détails investissements'!$A$26:$DE$43,AO$3-VLOOKUP($A20,'détails investissements'!$A$71:$B$88,2,FALSE)+1,FALSE)="","",VLOOKUP($A20,'détails investissements'!$A$26:$DE$43,AO$3-VLOOKUP($A20,'détails investissements'!$A$71:$B$88,2,FALSE)+1,FALSE)))&lt;&gt;"",HLOOKUP(IF(AO$3-VLOOKUP($A20,'détails investissements'!$A$71:$B$88,2,FALSE)&lt;=0,"",IF(VLOOKUP($A20,'détails investissements'!$A$26:$DE$43,AO$3-VLOOKUP($A20,'détails investissements'!$A$71:$B$88,2,FALSE)+1,FALSE)="","",VLOOKUP($A20,'détails investissements'!$A$26:$DE$43,AO$3-VLOOKUP($A20,'détails investissements'!$A$71:$B$88,2,FALSE)+1,FALSE))),'détails investissements'!$U$6:$AB$7,2,FALSE),""),FALSE),"")</f>
        <v/>
      </c>
      <c r="AP20" s="45" t="str">
        <f>IF(IF(IF(AP$3-VLOOKUP($A20,'détails investissements'!$A$71:$B$88,2,FALSE)&lt;=0,"",IF(VLOOKUP($A20,'détails investissements'!$A$26:$DE$43,AP$3-VLOOKUP($A20,'détails investissements'!$A$71:$B$88,2,FALSE)+1,FALSE)="","",VLOOKUP($A20,'détails investissements'!$A$26:$DE$43,AP$3-VLOOKUP($A20,'détails investissements'!$A$71:$B$88,2,FALSE)+1,FALSE)))&lt;&gt;"",HLOOKUP(IF(AP$3-VLOOKUP($A20,'détails investissements'!$A$71:$B$88,2,FALSE)&lt;=0,"",IF(VLOOKUP($A20,'détails investissements'!$A$26:$DE$43,AP$3-VLOOKUP($A20,'détails investissements'!$A$71:$B$88,2,FALSE)+1,FALSE)="","",VLOOKUP($A20,'détails investissements'!$A$26:$DE$43,AP$3-VLOOKUP($A20,'détails investissements'!$A$71:$B$88,2,FALSE)+1,FALSE))),'détails investissements'!$U$6:$AB$7,2,FALSE),"")&lt;&gt;"",VLOOKUP($A20,'détails investissements'!$A$7:$H$21,1+IF(IF(AP$3-VLOOKUP($A20,'détails investissements'!$A$71:$B$88,2,FALSE)&lt;=0,"",IF(VLOOKUP($A20,'détails investissements'!$A$26:$DE$43,AP$3-VLOOKUP($A20,'détails investissements'!$A$71:$B$88,2,FALSE)+1,FALSE)="","",VLOOKUP($A20,'détails investissements'!$A$26:$DE$43,AP$3-VLOOKUP($A20,'détails investissements'!$A$71:$B$88,2,FALSE)+1,FALSE)))&lt;&gt;"",HLOOKUP(IF(AP$3-VLOOKUP($A20,'détails investissements'!$A$71:$B$88,2,FALSE)&lt;=0,"",IF(VLOOKUP($A20,'détails investissements'!$A$26:$DE$43,AP$3-VLOOKUP($A20,'détails investissements'!$A$71:$B$88,2,FALSE)+1,FALSE)="","",VLOOKUP($A20,'détails investissements'!$A$26:$DE$43,AP$3-VLOOKUP($A20,'détails investissements'!$A$71:$B$88,2,FALSE)+1,FALSE))),'détails investissements'!$U$6:$AB$7,2,FALSE),""),FALSE),"")</f>
        <v/>
      </c>
      <c r="AQ20" s="45" t="str">
        <f>IF(IF(IF(AQ$3-VLOOKUP($A20,'détails investissements'!$A$71:$B$88,2,FALSE)&lt;=0,"",IF(VLOOKUP($A20,'détails investissements'!$A$26:$DE$43,AQ$3-VLOOKUP($A20,'détails investissements'!$A$71:$B$88,2,FALSE)+1,FALSE)="","",VLOOKUP($A20,'détails investissements'!$A$26:$DE$43,AQ$3-VLOOKUP($A20,'détails investissements'!$A$71:$B$88,2,FALSE)+1,FALSE)))&lt;&gt;"",HLOOKUP(IF(AQ$3-VLOOKUP($A20,'détails investissements'!$A$71:$B$88,2,FALSE)&lt;=0,"",IF(VLOOKUP($A20,'détails investissements'!$A$26:$DE$43,AQ$3-VLOOKUP($A20,'détails investissements'!$A$71:$B$88,2,FALSE)+1,FALSE)="","",VLOOKUP($A20,'détails investissements'!$A$26:$DE$43,AQ$3-VLOOKUP($A20,'détails investissements'!$A$71:$B$88,2,FALSE)+1,FALSE))),'détails investissements'!$U$6:$AB$7,2,FALSE),"")&lt;&gt;"",VLOOKUP($A20,'détails investissements'!$A$7:$H$21,1+IF(IF(AQ$3-VLOOKUP($A20,'détails investissements'!$A$71:$B$88,2,FALSE)&lt;=0,"",IF(VLOOKUP($A20,'détails investissements'!$A$26:$DE$43,AQ$3-VLOOKUP($A20,'détails investissements'!$A$71:$B$88,2,FALSE)+1,FALSE)="","",VLOOKUP($A20,'détails investissements'!$A$26:$DE$43,AQ$3-VLOOKUP($A20,'détails investissements'!$A$71:$B$88,2,FALSE)+1,FALSE)))&lt;&gt;"",HLOOKUP(IF(AQ$3-VLOOKUP($A20,'détails investissements'!$A$71:$B$88,2,FALSE)&lt;=0,"",IF(VLOOKUP($A20,'détails investissements'!$A$26:$DE$43,AQ$3-VLOOKUP($A20,'détails investissements'!$A$71:$B$88,2,FALSE)+1,FALSE)="","",VLOOKUP($A20,'détails investissements'!$A$26:$DE$43,AQ$3-VLOOKUP($A20,'détails investissements'!$A$71:$B$88,2,FALSE)+1,FALSE))),'détails investissements'!$U$6:$AB$7,2,FALSE),""),FALSE),"")</f>
        <v/>
      </c>
      <c r="AR20" s="45" t="str">
        <f>IF(IF(IF(AR$3-VLOOKUP($A20,'détails investissements'!$A$71:$B$88,2,FALSE)&lt;=0,"",IF(VLOOKUP($A20,'détails investissements'!$A$26:$DE$43,AR$3-VLOOKUP($A20,'détails investissements'!$A$71:$B$88,2,FALSE)+1,FALSE)="","",VLOOKUP($A20,'détails investissements'!$A$26:$DE$43,AR$3-VLOOKUP($A20,'détails investissements'!$A$71:$B$88,2,FALSE)+1,FALSE)))&lt;&gt;"",HLOOKUP(IF(AR$3-VLOOKUP($A20,'détails investissements'!$A$71:$B$88,2,FALSE)&lt;=0,"",IF(VLOOKUP($A20,'détails investissements'!$A$26:$DE$43,AR$3-VLOOKUP($A20,'détails investissements'!$A$71:$B$88,2,FALSE)+1,FALSE)="","",VLOOKUP($A20,'détails investissements'!$A$26:$DE$43,AR$3-VLOOKUP($A20,'détails investissements'!$A$71:$B$88,2,FALSE)+1,FALSE))),'détails investissements'!$U$6:$AB$7,2,FALSE),"")&lt;&gt;"",VLOOKUP($A20,'détails investissements'!$A$7:$H$21,1+IF(IF(AR$3-VLOOKUP($A20,'détails investissements'!$A$71:$B$88,2,FALSE)&lt;=0,"",IF(VLOOKUP($A20,'détails investissements'!$A$26:$DE$43,AR$3-VLOOKUP($A20,'détails investissements'!$A$71:$B$88,2,FALSE)+1,FALSE)="","",VLOOKUP($A20,'détails investissements'!$A$26:$DE$43,AR$3-VLOOKUP($A20,'détails investissements'!$A$71:$B$88,2,FALSE)+1,FALSE)))&lt;&gt;"",HLOOKUP(IF(AR$3-VLOOKUP($A20,'détails investissements'!$A$71:$B$88,2,FALSE)&lt;=0,"",IF(VLOOKUP($A20,'détails investissements'!$A$26:$DE$43,AR$3-VLOOKUP($A20,'détails investissements'!$A$71:$B$88,2,FALSE)+1,FALSE)="","",VLOOKUP($A20,'détails investissements'!$A$26:$DE$43,AR$3-VLOOKUP($A20,'détails investissements'!$A$71:$B$88,2,FALSE)+1,FALSE))),'détails investissements'!$U$6:$AB$7,2,FALSE),""),FALSE),"")</f>
        <v/>
      </c>
      <c r="AS20" s="45" t="str">
        <f>IF(IF(IF(AS$3-VLOOKUP($A20,'détails investissements'!$A$71:$B$88,2,FALSE)&lt;=0,"",IF(VLOOKUP($A20,'détails investissements'!$A$26:$DE$43,AS$3-VLOOKUP($A20,'détails investissements'!$A$71:$B$88,2,FALSE)+1,FALSE)="","",VLOOKUP($A20,'détails investissements'!$A$26:$DE$43,AS$3-VLOOKUP($A20,'détails investissements'!$A$71:$B$88,2,FALSE)+1,FALSE)))&lt;&gt;"",HLOOKUP(IF(AS$3-VLOOKUP($A20,'détails investissements'!$A$71:$B$88,2,FALSE)&lt;=0,"",IF(VLOOKUP($A20,'détails investissements'!$A$26:$DE$43,AS$3-VLOOKUP($A20,'détails investissements'!$A$71:$B$88,2,FALSE)+1,FALSE)="","",VLOOKUP($A20,'détails investissements'!$A$26:$DE$43,AS$3-VLOOKUP($A20,'détails investissements'!$A$71:$B$88,2,FALSE)+1,FALSE))),'détails investissements'!$U$6:$AB$7,2,FALSE),"")&lt;&gt;"",VLOOKUP($A20,'détails investissements'!$A$7:$H$21,1+IF(IF(AS$3-VLOOKUP($A20,'détails investissements'!$A$71:$B$88,2,FALSE)&lt;=0,"",IF(VLOOKUP($A20,'détails investissements'!$A$26:$DE$43,AS$3-VLOOKUP($A20,'détails investissements'!$A$71:$B$88,2,FALSE)+1,FALSE)="","",VLOOKUP($A20,'détails investissements'!$A$26:$DE$43,AS$3-VLOOKUP($A20,'détails investissements'!$A$71:$B$88,2,FALSE)+1,FALSE)))&lt;&gt;"",HLOOKUP(IF(AS$3-VLOOKUP($A20,'détails investissements'!$A$71:$B$88,2,FALSE)&lt;=0,"",IF(VLOOKUP($A20,'détails investissements'!$A$26:$DE$43,AS$3-VLOOKUP($A20,'détails investissements'!$A$71:$B$88,2,FALSE)+1,FALSE)="","",VLOOKUP($A20,'détails investissements'!$A$26:$DE$43,AS$3-VLOOKUP($A20,'détails investissements'!$A$71:$B$88,2,FALSE)+1,FALSE))),'détails investissements'!$U$6:$AB$7,2,FALSE),""),FALSE),"")</f>
        <v/>
      </c>
      <c r="AT20" s="45" t="str">
        <f>IF(IF(IF(AT$3-VLOOKUP($A20,'détails investissements'!$A$71:$B$88,2,FALSE)&lt;=0,"",IF(VLOOKUP($A20,'détails investissements'!$A$26:$DE$43,AT$3-VLOOKUP($A20,'détails investissements'!$A$71:$B$88,2,FALSE)+1,FALSE)="","",VLOOKUP($A20,'détails investissements'!$A$26:$DE$43,AT$3-VLOOKUP($A20,'détails investissements'!$A$71:$B$88,2,FALSE)+1,FALSE)))&lt;&gt;"",HLOOKUP(IF(AT$3-VLOOKUP($A20,'détails investissements'!$A$71:$B$88,2,FALSE)&lt;=0,"",IF(VLOOKUP($A20,'détails investissements'!$A$26:$DE$43,AT$3-VLOOKUP($A20,'détails investissements'!$A$71:$B$88,2,FALSE)+1,FALSE)="","",VLOOKUP($A20,'détails investissements'!$A$26:$DE$43,AT$3-VLOOKUP($A20,'détails investissements'!$A$71:$B$88,2,FALSE)+1,FALSE))),'détails investissements'!$U$6:$AB$7,2,FALSE),"")&lt;&gt;"",VLOOKUP($A20,'détails investissements'!$A$7:$H$21,1+IF(IF(AT$3-VLOOKUP($A20,'détails investissements'!$A$71:$B$88,2,FALSE)&lt;=0,"",IF(VLOOKUP($A20,'détails investissements'!$A$26:$DE$43,AT$3-VLOOKUP($A20,'détails investissements'!$A$71:$B$88,2,FALSE)+1,FALSE)="","",VLOOKUP($A20,'détails investissements'!$A$26:$DE$43,AT$3-VLOOKUP($A20,'détails investissements'!$A$71:$B$88,2,FALSE)+1,FALSE)))&lt;&gt;"",HLOOKUP(IF(AT$3-VLOOKUP($A20,'détails investissements'!$A$71:$B$88,2,FALSE)&lt;=0,"",IF(VLOOKUP($A20,'détails investissements'!$A$26:$DE$43,AT$3-VLOOKUP($A20,'détails investissements'!$A$71:$B$88,2,FALSE)+1,FALSE)="","",VLOOKUP($A20,'détails investissements'!$A$26:$DE$43,AT$3-VLOOKUP($A20,'détails investissements'!$A$71:$B$88,2,FALSE)+1,FALSE))),'détails investissements'!$U$6:$AB$7,2,FALSE),""),FALSE),"")</f>
        <v/>
      </c>
      <c r="AU20" s="45" t="str">
        <f>IF(IF(IF(AU$3-VLOOKUP($A20,'détails investissements'!$A$71:$B$88,2,FALSE)&lt;=0,"",IF(VLOOKUP($A20,'détails investissements'!$A$26:$DE$43,AU$3-VLOOKUP($A20,'détails investissements'!$A$71:$B$88,2,FALSE)+1,FALSE)="","",VLOOKUP($A20,'détails investissements'!$A$26:$DE$43,AU$3-VLOOKUP($A20,'détails investissements'!$A$71:$B$88,2,FALSE)+1,FALSE)))&lt;&gt;"",HLOOKUP(IF(AU$3-VLOOKUP($A20,'détails investissements'!$A$71:$B$88,2,FALSE)&lt;=0,"",IF(VLOOKUP($A20,'détails investissements'!$A$26:$DE$43,AU$3-VLOOKUP($A20,'détails investissements'!$A$71:$B$88,2,FALSE)+1,FALSE)="","",VLOOKUP($A20,'détails investissements'!$A$26:$DE$43,AU$3-VLOOKUP($A20,'détails investissements'!$A$71:$B$88,2,FALSE)+1,FALSE))),'détails investissements'!$U$6:$AB$7,2,FALSE),"")&lt;&gt;"",VLOOKUP($A20,'détails investissements'!$A$7:$H$21,1+IF(IF(AU$3-VLOOKUP($A20,'détails investissements'!$A$71:$B$88,2,FALSE)&lt;=0,"",IF(VLOOKUP($A20,'détails investissements'!$A$26:$DE$43,AU$3-VLOOKUP($A20,'détails investissements'!$A$71:$B$88,2,FALSE)+1,FALSE)="","",VLOOKUP($A20,'détails investissements'!$A$26:$DE$43,AU$3-VLOOKUP($A20,'détails investissements'!$A$71:$B$88,2,FALSE)+1,FALSE)))&lt;&gt;"",HLOOKUP(IF(AU$3-VLOOKUP($A20,'détails investissements'!$A$71:$B$88,2,FALSE)&lt;=0,"",IF(VLOOKUP($A20,'détails investissements'!$A$26:$DE$43,AU$3-VLOOKUP($A20,'détails investissements'!$A$71:$B$88,2,FALSE)+1,FALSE)="","",VLOOKUP($A20,'détails investissements'!$A$26:$DE$43,AU$3-VLOOKUP($A20,'détails investissements'!$A$71:$B$88,2,FALSE)+1,FALSE))),'détails investissements'!$U$6:$AB$7,2,FALSE),""),FALSE),"")</f>
        <v/>
      </c>
      <c r="AV20" s="45" t="str">
        <f>IF(IF(IF(AV$3-VLOOKUP($A20,'détails investissements'!$A$71:$B$88,2,FALSE)&lt;=0,"",IF(VLOOKUP($A20,'détails investissements'!$A$26:$DE$43,AV$3-VLOOKUP($A20,'détails investissements'!$A$71:$B$88,2,FALSE)+1,FALSE)="","",VLOOKUP($A20,'détails investissements'!$A$26:$DE$43,AV$3-VLOOKUP($A20,'détails investissements'!$A$71:$B$88,2,FALSE)+1,FALSE)))&lt;&gt;"",HLOOKUP(IF(AV$3-VLOOKUP($A20,'détails investissements'!$A$71:$B$88,2,FALSE)&lt;=0,"",IF(VLOOKUP($A20,'détails investissements'!$A$26:$DE$43,AV$3-VLOOKUP($A20,'détails investissements'!$A$71:$B$88,2,FALSE)+1,FALSE)="","",VLOOKUP($A20,'détails investissements'!$A$26:$DE$43,AV$3-VLOOKUP($A20,'détails investissements'!$A$71:$B$88,2,FALSE)+1,FALSE))),'détails investissements'!$U$6:$AB$7,2,FALSE),"")&lt;&gt;"",VLOOKUP($A20,'détails investissements'!$A$7:$H$21,1+IF(IF(AV$3-VLOOKUP($A20,'détails investissements'!$A$71:$B$88,2,FALSE)&lt;=0,"",IF(VLOOKUP($A20,'détails investissements'!$A$26:$DE$43,AV$3-VLOOKUP($A20,'détails investissements'!$A$71:$B$88,2,FALSE)+1,FALSE)="","",VLOOKUP($A20,'détails investissements'!$A$26:$DE$43,AV$3-VLOOKUP($A20,'détails investissements'!$A$71:$B$88,2,FALSE)+1,FALSE)))&lt;&gt;"",HLOOKUP(IF(AV$3-VLOOKUP($A20,'détails investissements'!$A$71:$B$88,2,FALSE)&lt;=0,"",IF(VLOOKUP($A20,'détails investissements'!$A$26:$DE$43,AV$3-VLOOKUP($A20,'détails investissements'!$A$71:$B$88,2,FALSE)+1,FALSE)="","",VLOOKUP($A20,'détails investissements'!$A$26:$DE$43,AV$3-VLOOKUP($A20,'détails investissements'!$A$71:$B$88,2,FALSE)+1,FALSE))),'détails investissements'!$U$6:$AB$7,2,FALSE),""),FALSE),"")</f>
        <v/>
      </c>
      <c r="AW20" s="45" t="str">
        <f>IF(IF(IF(AW$3-VLOOKUP($A20,'détails investissements'!$A$71:$B$88,2,FALSE)&lt;=0,"",IF(VLOOKUP($A20,'détails investissements'!$A$26:$DE$43,AW$3-VLOOKUP($A20,'détails investissements'!$A$71:$B$88,2,FALSE)+1,FALSE)="","",VLOOKUP($A20,'détails investissements'!$A$26:$DE$43,AW$3-VLOOKUP($A20,'détails investissements'!$A$71:$B$88,2,FALSE)+1,FALSE)))&lt;&gt;"",HLOOKUP(IF(AW$3-VLOOKUP($A20,'détails investissements'!$A$71:$B$88,2,FALSE)&lt;=0,"",IF(VLOOKUP($A20,'détails investissements'!$A$26:$DE$43,AW$3-VLOOKUP($A20,'détails investissements'!$A$71:$B$88,2,FALSE)+1,FALSE)="","",VLOOKUP($A20,'détails investissements'!$A$26:$DE$43,AW$3-VLOOKUP($A20,'détails investissements'!$A$71:$B$88,2,FALSE)+1,FALSE))),'détails investissements'!$U$6:$AB$7,2,FALSE),"")&lt;&gt;"",VLOOKUP($A20,'détails investissements'!$A$7:$H$21,1+IF(IF(AW$3-VLOOKUP($A20,'détails investissements'!$A$71:$B$88,2,FALSE)&lt;=0,"",IF(VLOOKUP($A20,'détails investissements'!$A$26:$DE$43,AW$3-VLOOKUP($A20,'détails investissements'!$A$71:$B$88,2,FALSE)+1,FALSE)="","",VLOOKUP($A20,'détails investissements'!$A$26:$DE$43,AW$3-VLOOKUP($A20,'détails investissements'!$A$71:$B$88,2,FALSE)+1,FALSE)))&lt;&gt;"",HLOOKUP(IF(AW$3-VLOOKUP($A20,'détails investissements'!$A$71:$B$88,2,FALSE)&lt;=0,"",IF(VLOOKUP($A20,'détails investissements'!$A$26:$DE$43,AW$3-VLOOKUP($A20,'détails investissements'!$A$71:$B$88,2,FALSE)+1,FALSE)="","",VLOOKUP($A20,'détails investissements'!$A$26:$DE$43,AW$3-VLOOKUP($A20,'détails investissements'!$A$71:$B$88,2,FALSE)+1,FALSE))),'détails investissements'!$U$6:$AB$7,2,FALSE),""),FALSE),"")</f>
        <v/>
      </c>
      <c r="AX20" s="45" t="str">
        <f>IF(IF(IF(AX$3-VLOOKUP($A20,'détails investissements'!$A$71:$B$88,2,FALSE)&lt;=0,"",IF(VLOOKUP($A20,'détails investissements'!$A$26:$DE$43,AX$3-VLOOKUP($A20,'détails investissements'!$A$71:$B$88,2,FALSE)+1,FALSE)="","",VLOOKUP($A20,'détails investissements'!$A$26:$DE$43,AX$3-VLOOKUP($A20,'détails investissements'!$A$71:$B$88,2,FALSE)+1,FALSE)))&lt;&gt;"",HLOOKUP(IF(AX$3-VLOOKUP($A20,'détails investissements'!$A$71:$B$88,2,FALSE)&lt;=0,"",IF(VLOOKUP($A20,'détails investissements'!$A$26:$DE$43,AX$3-VLOOKUP($A20,'détails investissements'!$A$71:$B$88,2,FALSE)+1,FALSE)="","",VLOOKUP($A20,'détails investissements'!$A$26:$DE$43,AX$3-VLOOKUP($A20,'détails investissements'!$A$71:$B$88,2,FALSE)+1,FALSE))),'détails investissements'!$U$6:$AB$7,2,FALSE),"")&lt;&gt;"",VLOOKUP($A20,'détails investissements'!$A$7:$H$21,1+IF(IF(AX$3-VLOOKUP($A20,'détails investissements'!$A$71:$B$88,2,FALSE)&lt;=0,"",IF(VLOOKUP($A20,'détails investissements'!$A$26:$DE$43,AX$3-VLOOKUP($A20,'détails investissements'!$A$71:$B$88,2,FALSE)+1,FALSE)="","",VLOOKUP($A20,'détails investissements'!$A$26:$DE$43,AX$3-VLOOKUP($A20,'détails investissements'!$A$71:$B$88,2,FALSE)+1,FALSE)))&lt;&gt;"",HLOOKUP(IF(AX$3-VLOOKUP($A20,'détails investissements'!$A$71:$B$88,2,FALSE)&lt;=0,"",IF(VLOOKUP($A20,'détails investissements'!$A$26:$DE$43,AX$3-VLOOKUP($A20,'détails investissements'!$A$71:$B$88,2,FALSE)+1,FALSE)="","",VLOOKUP($A20,'détails investissements'!$A$26:$DE$43,AX$3-VLOOKUP($A20,'détails investissements'!$A$71:$B$88,2,FALSE)+1,FALSE))),'détails investissements'!$U$6:$AB$7,2,FALSE),""),FALSE),"")</f>
        <v/>
      </c>
      <c r="AY20" s="45" t="str">
        <f>IF(IF(IF(AY$3-VLOOKUP($A20,'détails investissements'!$A$71:$B$88,2,FALSE)&lt;=0,"",IF(VLOOKUP($A20,'détails investissements'!$A$26:$DE$43,AY$3-VLOOKUP($A20,'détails investissements'!$A$71:$B$88,2,FALSE)+1,FALSE)="","",VLOOKUP($A20,'détails investissements'!$A$26:$DE$43,AY$3-VLOOKUP($A20,'détails investissements'!$A$71:$B$88,2,FALSE)+1,FALSE)))&lt;&gt;"",HLOOKUP(IF(AY$3-VLOOKUP($A20,'détails investissements'!$A$71:$B$88,2,FALSE)&lt;=0,"",IF(VLOOKUP($A20,'détails investissements'!$A$26:$DE$43,AY$3-VLOOKUP($A20,'détails investissements'!$A$71:$B$88,2,FALSE)+1,FALSE)="","",VLOOKUP($A20,'détails investissements'!$A$26:$DE$43,AY$3-VLOOKUP($A20,'détails investissements'!$A$71:$B$88,2,FALSE)+1,FALSE))),'détails investissements'!$U$6:$AB$7,2,FALSE),"")&lt;&gt;"",VLOOKUP($A20,'détails investissements'!$A$7:$H$21,1+IF(IF(AY$3-VLOOKUP($A20,'détails investissements'!$A$71:$B$88,2,FALSE)&lt;=0,"",IF(VLOOKUP($A20,'détails investissements'!$A$26:$DE$43,AY$3-VLOOKUP($A20,'détails investissements'!$A$71:$B$88,2,FALSE)+1,FALSE)="","",VLOOKUP($A20,'détails investissements'!$A$26:$DE$43,AY$3-VLOOKUP($A20,'détails investissements'!$A$71:$B$88,2,FALSE)+1,FALSE)))&lt;&gt;"",HLOOKUP(IF(AY$3-VLOOKUP($A20,'détails investissements'!$A$71:$B$88,2,FALSE)&lt;=0,"",IF(VLOOKUP($A20,'détails investissements'!$A$26:$DE$43,AY$3-VLOOKUP($A20,'détails investissements'!$A$71:$B$88,2,FALSE)+1,FALSE)="","",VLOOKUP($A20,'détails investissements'!$A$26:$DE$43,AY$3-VLOOKUP($A20,'détails investissements'!$A$71:$B$88,2,FALSE)+1,FALSE))),'détails investissements'!$U$6:$AB$7,2,FALSE),""),FALSE),"")</f>
        <v/>
      </c>
      <c r="AZ20" s="45" t="str">
        <f>IF(IF(IF(AZ$3-VLOOKUP($A20,'détails investissements'!$A$71:$B$88,2,FALSE)&lt;=0,"",IF(VLOOKUP($A20,'détails investissements'!$A$26:$DE$43,AZ$3-VLOOKUP($A20,'détails investissements'!$A$71:$B$88,2,FALSE)+1,FALSE)="","",VLOOKUP($A20,'détails investissements'!$A$26:$DE$43,AZ$3-VLOOKUP($A20,'détails investissements'!$A$71:$B$88,2,FALSE)+1,FALSE)))&lt;&gt;"",HLOOKUP(IF(AZ$3-VLOOKUP($A20,'détails investissements'!$A$71:$B$88,2,FALSE)&lt;=0,"",IF(VLOOKUP($A20,'détails investissements'!$A$26:$DE$43,AZ$3-VLOOKUP($A20,'détails investissements'!$A$71:$B$88,2,FALSE)+1,FALSE)="","",VLOOKUP($A20,'détails investissements'!$A$26:$DE$43,AZ$3-VLOOKUP($A20,'détails investissements'!$A$71:$B$88,2,FALSE)+1,FALSE))),'détails investissements'!$U$6:$AB$7,2,FALSE),"")&lt;&gt;"",VLOOKUP($A20,'détails investissements'!$A$7:$H$21,1+IF(IF(AZ$3-VLOOKUP($A20,'détails investissements'!$A$71:$B$88,2,FALSE)&lt;=0,"",IF(VLOOKUP($A20,'détails investissements'!$A$26:$DE$43,AZ$3-VLOOKUP($A20,'détails investissements'!$A$71:$B$88,2,FALSE)+1,FALSE)="","",VLOOKUP($A20,'détails investissements'!$A$26:$DE$43,AZ$3-VLOOKUP($A20,'détails investissements'!$A$71:$B$88,2,FALSE)+1,FALSE)))&lt;&gt;"",HLOOKUP(IF(AZ$3-VLOOKUP($A20,'détails investissements'!$A$71:$B$88,2,FALSE)&lt;=0,"",IF(VLOOKUP($A20,'détails investissements'!$A$26:$DE$43,AZ$3-VLOOKUP($A20,'détails investissements'!$A$71:$B$88,2,FALSE)+1,FALSE)="","",VLOOKUP($A20,'détails investissements'!$A$26:$DE$43,AZ$3-VLOOKUP($A20,'détails investissements'!$A$71:$B$88,2,FALSE)+1,FALSE))),'détails investissements'!$U$6:$AB$7,2,FALSE),""),FALSE),"")</f>
        <v/>
      </c>
      <c r="BA20" s="45" t="str">
        <f>IF(IF(IF(BA$3-VLOOKUP($A20,'détails investissements'!$A$71:$B$88,2,FALSE)&lt;=0,"",IF(VLOOKUP($A20,'détails investissements'!$A$26:$DE$43,BA$3-VLOOKUP($A20,'détails investissements'!$A$71:$B$88,2,FALSE)+1,FALSE)="","",VLOOKUP($A20,'détails investissements'!$A$26:$DE$43,BA$3-VLOOKUP($A20,'détails investissements'!$A$71:$B$88,2,FALSE)+1,FALSE)))&lt;&gt;"",HLOOKUP(IF(BA$3-VLOOKUP($A20,'détails investissements'!$A$71:$B$88,2,FALSE)&lt;=0,"",IF(VLOOKUP($A20,'détails investissements'!$A$26:$DE$43,BA$3-VLOOKUP($A20,'détails investissements'!$A$71:$B$88,2,FALSE)+1,FALSE)="","",VLOOKUP($A20,'détails investissements'!$A$26:$DE$43,BA$3-VLOOKUP($A20,'détails investissements'!$A$71:$B$88,2,FALSE)+1,FALSE))),'détails investissements'!$U$6:$AB$7,2,FALSE),"")&lt;&gt;"",VLOOKUP($A20,'détails investissements'!$A$7:$H$21,1+IF(IF(BA$3-VLOOKUP($A20,'détails investissements'!$A$71:$B$88,2,FALSE)&lt;=0,"",IF(VLOOKUP($A20,'détails investissements'!$A$26:$DE$43,BA$3-VLOOKUP($A20,'détails investissements'!$A$71:$B$88,2,FALSE)+1,FALSE)="","",VLOOKUP($A20,'détails investissements'!$A$26:$DE$43,BA$3-VLOOKUP($A20,'détails investissements'!$A$71:$B$88,2,FALSE)+1,FALSE)))&lt;&gt;"",HLOOKUP(IF(BA$3-VLOOKUP($A20,'détails investissements'!$A$71:$B$88,2,FALSE)&lt;=0,"",IF(VLOOKUP($A20,'détails investissements'!$A$26:$DE$43,BA$3-VLOOKUP($A20,'détails investissements'!$A$71:$B$88,2,FALSE)+1,FALSE)="","",VLOOKUP($A20,'détails investissements'!$A$26:$DE$43,BA$3-VLOOKUP($A20,'détails investissements'!$A$71:$B$88,2,FALSE)+1,FALSE))),'détails investissements'!$U$6:$AB$7,2,FALSE),""),FALSE),"")</f>
        <v/>
      </c>
      <c r="BB20" s="45" t="str">
        <f>IF(IF(IF(BB$3-VLOOKUP($A20,'détails investissements'!$A$71:$B$88,2,FALSE)&lt;=0,"",IF(VLOOKUP($A20,'détails investissements'!$A$26:$DE$43,BB$3-VLOOKUP($A20,'détails investissements'!$A$71:$B$88,2,FALSE)+1,FALSE)="","",VLOOKUP($A20,'détails investissements'!$A$26:$DE$43,BB$3-VLOOKUP($A20,'détails investissements'!$A$71:$B$88,2,FALSE)+1,FALSE)))&lt;&gt;"",HLOOKUP(IF(BB$3-VLOOKUP($A20,'détails investissements'!$A$71:$B$88,2,FALSE)&lt;=0,"",IF(VLOOKUP($A20,'détails investissements'!$A$26:$DE$43,BB$3-VLOOKUP($A20,'détails investissements'!$A$71:$B$88,2,FALSE)+1,FALSE)="","",VLOOKUP($A20,'détails investissements'!$A$26:$DE$43,BB$3-VLOOKUP($A20,'détails investissements'!$A$71:$B$88,2,FALSE)+1,FALSE))),'détails investissements'!$U$6:$AB$7,2,FALSE),"")&lt;&gt;"",VLOOKUP($A20,'détails investissements'!$A$7:$H$21,1+IF(IF(BB$3-VLOOKUP($A20,'détails investissements'!$A$71:$B$88,2,FALSE)&lt;=0,"",IF(VLOOKUP($A20,'détails investissements'!$A$26:$DE$43,BB$3-VLOOKUP($A20,'détails investissements'!$A$71:$B$88,2,FALSE)+1,FALSE)="","",VLOOKUP($A20,'détails investissements'!$A$26:$DE$43,BB$3-VLOOKUP($A20,'détails investissements'!$A$71:$B$88,2,FALSE)+1,FALSE)))&lt;&gt;"",HLOOKUP(IF(BB$3-VLOOKUP($A20,'détails investissements'!$A$71:$B$88,2,FALSE)&lt;=0,"",IF(VLOOKUP($A20,'détails investissements'!$A$26:$DE$43,BB$3-VLOOKUP($A20,'détails investissements'!$A$71:$B$88,2,FALSE)+1,FALSE)="","",VLOOKUP($A20,'détails investissements'!$A$26:$DE$43,BB$3-VLOOKUP($A20,'détails investissements'!$A$71:$B$88,2,FALSE)+1,FALSE))),'détails investissements'!$U$6:$AB$7,2,FALSE),""),FALSE),"")</f>
        <v/>
      </c>
      <c r="BC20" s="45" t="str">
        <f>IF(IF(IF(BC$3-VLOOKUP($A20,'détails investissements'!$A$71:$B$88,2,FALSE)&lt;=0,"",IF(VLOOKUP($A20,'détails investissements'!$A$26:$DE$43,BC$3-VLOOKUP($A20,'détails investissements'!$A$71:$B$88,2,FALSE)+1,FALSE)="","",VLOOKUP($A20,'détails investissements'!$A$26:$DE$43,BC$3-VLOOKUP($A20,'détails investissements'!$A$71:$B$88,2,FALSE)+1,FALSE)))&lt;&gt;"",HLOOKUP(IF(BC$3-VLOOKUP($A20,'détails investissements'!$A$71:$B$88,2,FALSE)&lt;=0,"",IF(VLOOKUP($A20,'détails investissements'!$A$26:$DE$43,BC$3-VLOOKUP($A20,'détails investissements'!$A$71:$B$88,2,FALSE)+1,FALSE)="","",VLOOKUP($A20,'détails investissements'!$A$26:$DE$43,BC$3-VLOOKUP($A20,'détails investissements'!$A$71:$B$88,2,FALSE)+1,FALSE))),'détails investissements'!$U$6:$AB$7,2,FALSE),"")&lt;&gt;"",VLOOKUP($A20,'détails investissements'!$A$7:$H$21,1+IF(IF(BC$3-VLOOKUP($A20,'détails investissements'!$A$71:$B$88,2,FALSE)&lt;=0,"",IF(VLOOKUP($A20,'détails investissements'!$A$26:$DE$43,BC$3-VLOOKUP($A20,'détails investissements'!$A$71:$B$88,2,FALSE)+1,FALSE)="","",VLOOKUP($A20,'détails investissements'!$A$26:$DE$43,BC$3-VLOOKUP($A20,'détails investissements'!$A$71:$B$88,2,FALSE)+1,FALSE)))&lt;&gt;"",HLOOKUP(IF(BC$3-VLOOKUP($A20,'détails investissements'!$A$71:$B$88,2,FALSE)&lt;=0,"",IF(VLOOKUP($A20,'détails investissements'!$A$26:$DE$43,BC$3-VLOOKUP($A20,'détails investissements'!$A$71:$B$88,2,FALSE)+1,FALSE)="","",VLOOKUP($A20,'détails investissements'!$A$26:$DE$43,BC$3-VLOOKUP($A20,'détails investissements'!$A$71:$B$88,2,FALSE)+1,FALSE))),'détails investissements'!$U$6:$AB$7,2,FALSE),""),FALSE),"")</f>
        <v/>
      </c>
      <c r="BD20" s="45" t="str">
        <f>IF(IF(IF(BD$3-VLOOKUP($A20,'détails investissements'!$A$71:$B$88,2,FALSE)&lt;=0,"",IF(VLOOKUP($A20,'détails investissements'!$A$26:$DE$43,BD$3-VLOOKUP($A20,'détails investissements'!$A$71:$B$88,2,FALSE)+1,FALSE)="","",VLOOKUP($A20,'détails investissements'!$A$26:$DE$43,BD$3-VLOOKUP($A20,'détails investissements'!$A$71:$B$88,2,FALSE)+1,FALSE)))&lt;&gt;"",HLOOKUP(IF(BD$3-VLOOKUP($A20,'détails investissements'!$A$71:$B$88,2,FALSE)&lt;=0,"",IF(VLOOKUP($A20,'détails investissements'!$A$26:$DE$43,BD$3-VLOOKUP($A20,'détails investissements'!$A$71:$B$88,2,FALSE)+1,FALSE)="","",VLOOKUP($A20,'détails investissements'!$A$26:$DE$43,BD$3-VLOOKUP($A20,'détails investissements'!$A$71:$B$88,2,FALSE)+1,FALSE))),'détails investissements'!$U$6:$AB$7,2,FALSE),"")&lt;&gt;"",VLOOKUP($A20,'détails investissements'!$A$7:$H$21,1+IF(IF(BD$3-VLOOKUP($A20,'détails investissements'!$A$71:$B$88,2,FALSE)&lt;=0,"",IF(VLOOKUP($A20,'détails investissements'!$A$26:$DE$43,BD$3-VLOOKUP($A20,'détails investissements'!$A$71:$B$88,2,FALSE)+1,FALSE)="","",VLOOKUP($A20,'détails investissements'!$A$26:$DE$43,BD$3-VLOOKUP($A20,'détails investissements'!$A$71:$B$88,2,FALSE)+1,FALSE)))&lt;&gt;"",HLOOKUP(IF(BD$3-VLOOKUP($A20,'détails investissements'!$A$71:$B$88,2,FALSE)&lt;=0,"",IF(VLOOKUP($A20,'détails investissements'!$A$26:$DE$43,BD$3-VLOOKUP($A20,'détails investissements'!$A$71:$B$88,2,FALSE)+1,FALSE)="","",VLOOKUP($A20,'détails investissements'!$A$26:$DE$43,BD$3-VLOOKUP($A20,'détails investissements'!$A$71:$B$88,2,FALSE)+1,FALSE))),'détails investissements'!$U$6:$AB$7,2,FALSE),""),FALSE),"")</f>
        <v/>
      </c>
      <c r="BE20" s="45" t="str">
        <f>IF(IF(IF(BE$3-VLOOKUP($A20,'détails investissements'!$A$71:$B$88,2,FALSE)&lt;=0,"",IF(VLOOKUP($A20,'détails investissements'!$A$26:$DE$43,BE$3-VLOOKUP($A20,'détails investissements'!$A$71:$B$88,2,FALSE)+1,FALSE)="","",VLOOKUP($A20,'détails investissements'!$A$26:$DE$43,BE$3-VLOOKUP($A20,'détails investissements'!$A$71:$B$88,2,FALSE)+1,FALSE)))&lt;&gt;"",HLOOKUP(IF(BE$3-VLOOKUP($A20,'détails investissements'!$A$71:$B$88,2,FALSE)&lt;=0,"",IF(VLOOKUP($A20,'détails investissements'!$A$26:$DE$43,BE$3-VLOOKUP($A20,'détails investissements'!$A$71:$B$88,2,FALSE)+1,FALSE)="","",VLOOKUP($A20,'détails investissements'!$A$26:$DE$43,BE$3-VLOOKUP($A20,'détails investissements'!$A$71:$B$88,2,FALSE)+1,FALSE))),'détails investissements'!$U$6:$AB$7,2,FALSE),"")&lt;&gt;"",VLOOKUP($A20,'détails investissements'!$A$7:$H$21,1+IF(IF(BE$3-VLOOKUP($A20,'détails investissements'!$A$71:$B$88,2,FALSE)&lt;=0,"",IF(VLOOKUP($A20,'détails investissements'!$A$26:$DE$43,BE$3-VLOOKUP($A20,'détails investissements'!$A$71:$B$88,2,FALSE)+1,FALSE)="","",VLOOKUP($A20,'détails investissements'!$A$26:$DE$43,BE$3-VLOOKUP($A20,'détails investissements'!$A$71:$B$88,2,FALSE)+1,FALSE)))&lt;&gt;"",HLOOKUP(IF(BE$3-VLOOKUP($A20,'détails investissements'!$A$71:$B$88,2,FALSE)&lt;=0,"",IF(VLOOKUP($A20,'détails investissements'!$A$26:$DE$43,BE$3-VLOOKUP($A20,'détails investissements'!$A$71:$B$88,2,FALSE)+1,FALSE)="","",VLOOKUP($A20,'détails investissements'!$A$26:$DE$43,BE$3-VLOOKUP($A20,'détails investissements'!$A$71:$B$88,2,FALSE)+1,FALSE))),'détails investissements'!$U$6:$AB$7,2,FALSE),""),FALSE),"")</f>
        <v/>
      </c>
      <c r="BF20" s="45" t="str">
        <f>IF(IF(IF(BF$3-VLOOKUP($A20,'détails investissements'!$A$71:$B$88,2,FALSE)&lt;=0,"",IF(VLOOKUP($A20,'détails investissements'!$A$26:$DE$43,BF$3-VLOOKUP($A20,'détails investissements'!$A$71:$B$88,2,FALSE)+1,FALSE)="","",VLOOKUP($A20,'détails investissements'!$A$26:$DE$43,BF$3-VLOOKUP($A20,'détails investissements'!$A$71:$B$88,2,FALSE)+1,FALSE)))&lt;&gt;"",HLOOKUP(IF(BF$3-VLOOKUP($A20,'détails investissements'!$A$71:$B$88,2,FALSE)&lt;=0,"",IF(VLOOKUP($A20,'détails investissements'!$A$26:$DE$43,BF$3-VLOOKUP($A20,'détails investissements'!$A$71:$B$88,2,FALSE)+1,FALSE)="","",VLOOKUP($A20,'détails investissements'!$A$26:$DE$43,BF$3-VLOOKUP($A20,'détails investissements'!$A$71:$B$88,2,FALSE)+1,FALSE))),'détails investissements'!$U$6:$AB$7,2,FALSE),"")&lt;&gt;"",VLOOKUP($A20,'détails investissements'!$A$7:$H$21,1+IF(IF(BF$3-VLOOKUP($A20,'détails investissements'!$A$71:$B$88,2,FALSE)&lt;=0,"",IF(VLOOKUP($A20,'détails investissements'!$A$26:$DE$43,BF$3-VLOOKUP($A20,'détails investissements'!$A$71:$B$88,2,FALSE)+1,FALSE)="","",VLOOKUP($A20,'détails investissements'!$A$26:$DE$43,BF$3-VLOOKUP($A20,'détails investissements'!$A$71:$B$88,2,FALSE)+1,FALSE)))&lt;&gt;"",HLOOKUP(IF(BF$3-VLOOKUP($A20,'détails investissements'!$A$71:$B$88,2,FALSE)&lt;=0,"",IF(VLOOKUP($A20,'détails investissements'!$A$26:$DE$43,BF$3-VLOOKUP($A20,'détails investissements'!$A$71:$B$88,2,FALSE)+1,FALSE)="","",VLOOKUP($A20,'détails investissements'!$A$26:$DE$43,BF$3-VLOOKUP($A20,'détails investissements'!$A$71:$B$88,2,FALSE)+1,FALSE))),'détails investissements'!$U$6:$AB$7,2,FALSE),""),FALSE),"")</f>
        <v/>
      </c>
      <c r="BG20" s="45" t="str">
        <f>IF(IF(IF(BG$3-VLOOKUP($A20,'détails investissements'!$A$71:$B$88,2,FALSE)&lt;=0,"",IF(VLOOKUP($A20,'détails investissements'!$A$26:$DE$43,BG$3-VLOOKUP($A20,'détails investissements'!$A$71:$B$88,2,FALSE)+1,FALSE)="","",VLOOKUP($A20,'détails investissements'!$A$26:$DE$43,BG$3-VLOOKUP($A20,'détails investissements'!$A$71:$B$88,2,FALSE)+1,FALSE)))&lt;&gt;"",HLOOKUP(IF(BG$3-VLOOKUP($A20,'détails investissements'!$A$71:$B$88,2,FALSE)&lt;=0,"",IF(VLOOKUP($A20,'détails investissements'!$A$26:$DE$43,BG$3-VLOOKUP($A20,'détails investissements'!$A$71:$B$88,2,FALSE)+1,FALSE)="","",VLOOKUP($A20,'détails investissements'!$A$26:$DE$43,BG$3-VLOOKUP($A20,'détails investissements'!$A$71:$B$88,2,FALSE)+1,FALSE))),'détails investissements'!$U$6:$AB$7,2,FALSE),"")&lt;&gt;"",VLOOKUP($A20,'détails investissements'!$A$7:$H$21,1+IF(IF(BG$3-VLOOKUP($A20,'détails investissements'!$A$71:$B$88,2,FALSE)&lt;=0,"",IF(VLOOKUP($A20,'détails investissements'!$A$26:$DE$43,BG$3-VLOOKUP($A20,'détails investissements'!$A$71:$B$88,2,FALSE)+1,FALSE)="","",VLOOKUP($A20,'détails investissements'!$A$26:$DE$43,BG$3-VLOOKUP($A20,'détails investissements'!$A$71:$B$88,2,FALSE)+1,FALSE)))&lt;&gt;"",HLOOKUP(IF(BG$3-VLOOKUP($A20,'détails investissements'!$A$71:$B$88,2,FALSE)&lt;=0,"",IF(VLOOKUP($A20,'détails investissements'!$A$26:$DE$43,BG$3-VLOOKUP($A20,'détails investissements'!$A$71:$B$88,2,FALSE)+1,FALSE)="","",VLOOKUP($A20,'détails investissements'!$A$26:$DE$43,BG$3-VLOOKUP($A20,'détails investissements'!$A$71:$B$88,2,FALSE)+1,FALSE))),'détails investissements'!$U$6:$AB$7,2,FALSE),""),FALSE),"")</f>
        <v/>
      </c>
      <c r="BH20" s="45" t="str">
        <f>IF(IF(IF(BH$3-VLOOKUP($A20,'détails investissements'!$A$71:$B$88,2,FALSE)&lt;=0,"",IF(VLOOKUP($A20,'détails investissements'!$A$26:$DE$43,BH$3-VLOOKUP($A20,'détails investissements'!$A$71:$B$88,2,FALSE)+1,FALSE)="","",VLOOKUP($A20,'détails investissements'!$A$26:$DE$43,BH$3-VLOOKUP($A20,'détails investissements'!$A$71:$B$88,2,FALSE)+1,FALSE)))&lt;&gt;"",HLOOKUP(IF(BH$3-VLOOKUP($A20,'détails investissements'!$A$71:$B$88,2,FALSE)&lt;=0,"",IF(VLOOKUP($A20,'détails investissements'!$A$26:$DE$43,BH$3-VLOOKUP($A20,'détails investissements'!$A$71:$B$88,2,FALSE)+1,FALSE)="","",VLOOKUP($A20,'détails investissements'!$A$26:$DE$43,BH$3-VLOOKUP($A20,'détails investissements'!$A$71:$B$88,2,FALSE)+1,FALSE))),'détails investissements'!$U$6:$AB$7,2,FALSE),"")&lt;&gt;"",VLOOKUP($A20,'détails investissements'!$A$7:$H$21,1+IF(IF(BH$3-VLOOKUP($A20,'détails investissements'!$A$71:$B$88,2,FALSE)&lt;=0,"",IF(VLOOKUP($A20,'détails investissements'!$A$26:$DE$43,BH$3-VLOOKUP($A20,'détails investissements'!$A$71:$B$88,2,FALSE)+1,FALSE)="","",VLOOKUP($A20,'détails investissements'!$A$26:$DE$43,BH$3-VLOOKUP($A20,'détails investissements'!$A$71:$B$88,2,FALSE)+1,FALSE)))&lt;&gt;"",HLOOKUP(IF(BH$3-VLOOKUP($A20,'détails investissements'!$A$71:$B$88,2,FALSE)&lt;=0,"",IF(VLOOKUP($A20,'détails investissements'!$A$26:$DE$43,BH$3-VLOOKUP($A20,'détails investissements'!$A$71:$B$88,2,FALSE)+1,FALSE)="","",VLOOKUP($A20,'détails investissements'!$A$26:$DE$43,BH$3-VLOOKUP($A20,'détails investissements'!$A$71:$B$88,2,FALSE)+1,FALSE))),'détails investissements'!$U$6:$AB$7,2,FALSE),""),FALSE),"")</f>
        <v/>
      </c>
      <c r="BI20" s="45" t="str">
        <f>IF(IF(IF(BI$3-VLOOKUP($A20,'détails investissements'!$A$71:$B$88,2,FALSE)&lt;=0,"",IF(VLOOKUP($A20,'détails investissements'!$A$26:$DE$43,BI$3-VLOOKUP($A20,'détails investissements'!$A$71:$B$88,2,FALSE)+1,FALSE)="","",VLOOKUP($A20,'détails investissements'!$A$26:$DE$43,BI$3-VLOOKUP($A20,'détails investissements'!$A$71:$B$88,2,FALSE)+1,FALSE)))&lt;&gt;"",HLOOKUP(IF(BI$3-VLOOKUP($A20,'détails investissements'!$A$71:$B$88,2,FALSE)&lt;=0,"",IF(VLOOKUP($A20,'détails investissements'!$A$26:$DE$43,BI$3-VLOOKUP($A20,'détails investissements'!$A$71:$B$88,2,FALSE)+1,FALSE)="","",VLOOKUP($A20,'détails investissements'!$A$26:$DE$43,BI$3-VLOOKUP($A20,'détails investissements'!$A$71:$B$88,2,FALSE)+1,FALSE))),'détails investissements'!$U$6:$AB$7,2,FALSE),"")&lt;&gt;"",VLOOKUP($A20,'détails investissements'!$A$7:$H$21,1+IF(IF(BI$3-VLOOKUP($A20,'détails investissements'!$A$71:$B$88,2,FALSE)&lt;=0,"",IF(VLOOKUP($A20,'détails investissements'!$A$26:$DE$43,BI$3-VLOOKUP($A20,'détails investissements'!$A$71:$B$88,2,FALSE)+1,FALSE)="","",VLOOKUP($A20,'détails investissements'!$A$26:$DE$43,BI$3-VLOOKUP($A20,'détails investissements'!$A$71:$B$88,2,FALSE)+1,FALSE)))&lt;&gt;"",HLOOKUP(IF(BI$3-VLOOKUP($A20,'détails investissements'!$A$71:$B$88,2,FALSE)&lt;=0,"",IF(VLOOKUP($A20,'détails investissements'!$A$26:$DE$43,BI$3-VLOOKUP($A20,'détails investissements'!$A$71:$B$88,2,FALSE)+1,FALSE)="","",VLOOKUP($A20,'détails investissements'!$A$26:$DE$43,BI$3-VLOOKUP($A20,'détails investissements'!$A$71:$B$88,2,FALSE)+1,FALSE))),'détails investissements'!$U$6:$AB$7,2,FALSE),""),FALSE),"")</f>
        <v/>
      </c>
      <c r="BJ20" s="45" t="str">
        <f>IF(IF(IF(BJ$3-VLOOKUP($A20,'détails investissements'!$A$71:$B$88,2,FALSE)&lt;=0,"",IF(VLOOKUP($A20,'détails investissements'!$A$26:$DE$43,BJ$3-VLOOKUP($A20,'détails investissements'!$A$71:$B$88,2,FALSE)+1,FALSE)="","",VLOOKUP($A20,'détails investissements'!$A$26:$DE$43,BJ$3-VLOOKUP($A20,'détails investissements'!$A$71:$B$88,2,FALSE)+1,FALSE)))&lt;&gt;"",HLOOKUP(IF(BJ$3-VLOOKUP($A20,'détails investissements'!$A$71:$B$88,2,FALSE)&lt;=0,"",IF(VLOOKUP($A20,'détails investissements'!$A$26:$DE$43,BJ$3-VLOOKUP($A20,'détails investissements'!$A$71:$B$88,2,FALSE)+1,FALSE)="","",VLOOKUP($A20,'détails investissements'!$A$26:$DE$43,BJ$3-VLOOKUP($A20,'détails investissements'!$A$71:$B$88,2,FALSE)+1,FALSE))),'détails investissements'!$U$6:$AB$7,2,FALSE),"")&lt;&gt;"",VLOOKUP($A20,'détails investissements'!$A$7:$H$21,1+IF(IF(BJ$3-VLOOKUP($A20,'détails investissements'!$A$71:$B$88,2,FALSE)&lt;=0,"",IF(VLOOKUP($A20,'détails investissements'!$A$26:$DE$43,BJ$3-VLOOKUP($A20,'détails investissements'!$A$71:$B$88,2,FALSE)+1,FALSE)="","",VLOOKUP($A20,'détails investissements'!$A$26:$DE$43,BJ$3-VLOOKUP($A20,'détails investissements'!$A$71:$B$88,2,FALSE)+1,FALSE)))&lt;&gt;"",HLOOKUP(IF(BJ$3-VLOOKUP($A20,'détails investissements'!$A$71:$B$88,2,FALSE)&lt;=0,"",IF(VLOOKUP($A20,'détails investissements'!$A$26:$DE$43,BJ$3-VLOOKUP($A20,'détails investissements'!$A$71:$B$88,2,FALSE)+1,FALSE)="","",VLOOKUP($A20,'détails investissements'!$A$26:$DE$43,BJ$3-VLOOKUP($A20,'détails investissements'!$A$71:$B$88,2,FALSE)+1,FALSE))),'détails investissements'!$U$6:$AB$7,2,FALSE),""),FALSE),"")</f>
        <v/>
      </c>
      <c r="BK20" s="45" t="str">
        <f>IF(IF(IF(BK$3-VLOOKUP($A20,'détails investissements'!$A$71:$B$88,2,FALSE)&lt;=0,"",IF(VLOOKUP($A20,'détails investissements'!$A$26:$DE$43,BK$3-VLOOKUP($A20,'détails investissements'!$A$71:$B$88,2,FALSE)+1,FALSE)="","",VLOOKUP($A20,'détails investissements'!$A$26:$DE$43,BK$3-VLOOKUP($A20,'détails investissements'!$A$71:$B$88,2,FALSE)+1,FALSE)))&lt;&gt;"",HLOOKUP(IF(BK$3-VLOOKUP($A20,'détails investissements'!$A$71:$B$88,2,FALSE)&lt;=0,"",IF(VLOOKUP($A20,'détails investissements'!$A$26:$DE$43,BK$3-VLOOKUP($A20,'détails investissements'!$A$71:$B$88,2,FALSE)+1,FALSE)="","",VLOOKUP($A20,'détails investissements'!$A$26:$DE$43,BK$3-VLOOKUP($A20,'détails investissements'!$A$71:$B$88,2,FALSE)+1,FALSE))),'détails investissements'!$U$6:$AB$7,2,FALSE),"")&lt;&gt;"",VLOOKUP($A20,'détails investissements'!$A$7:$H$21,1+IF(IF(BK$3-VLOOKUP($A20,'détails investissements'!$A$71:$B$88,2,FALSE)&lt;=0,"",IF(VLOOKUP($A20,'détails investissements'!$A$26:$DE$43,BK$3-VLOOKUP($A20,'détails investissements'!$A$71:$B$88,2,FALSE)+1,FALSE)="","",VLOOKUP($A20,'détails investissements'!$A$26:$DE$43,BK$3-VLOOKUP($A20,'détails investissements'!$A$71:$B$88,2,FALSE)+1,FALSE)))&lt;&gt;"",HLOOKUP(IF(BK$3-VLOOKUP($A20,'détails investissements'!$A$71:$B$88,2,FALSE)&lt;=0,"",IF(VLOOKUP($A20,'détails investissements'!$A$26:$DE$43,BK$3-VLOOKUP($A20,'détails investissements'!$A$71:$B$88,2,FALSE)+1,FALSE)="","",VLOOKUP($A20,'détails investissements'!$A$26:$DE$43,BK$3-VLOOKUP($A20,'détails investissements'!$A$71:$B$88,2,FALSE)+1,FALSE))),'détails investissements'!$U$6:$AB$7,2,FALSE),""),FALSE),"")</f>
        <v/>
      </c>
      <c r="BL20" s="45" t="str">
        <f>IF(IF(IF(BL$3-VLOOKUP($A20,'détails investissements'!$A$71:$B$88,2,FALSE)&lt;=0,"",IF(VLOOKUP($A20,'détails investissements'!$A$26:$DE$43,BL$3-VLOOKUP($A20,'détails investissements'!$A$71:$B$88,2,FALSE)+1,FALSE)="","",VLOOKUP($A20,'détails investissements'!$A$26:$DE$43,BL$3-VLOOKUP($A20,'détails investissements'!$A$71:$B$88,2,FALSE)+1,FALSE)))&lt;&gt;"",HLOOKUP(IF(BL$3-VLOOKUP($A20,'détails investissements'!$A$71:$B$88,2,FALSE)&lt;=0,"",IF(VLOOKUP($A20,'détails investissements'!$A$26:$DE$43,BL$3-VLOOKUP($A20,'détails investissements'!$A$71:$B$88,2,FALSE)+1,FALSE)="","",VLOOKUP($A20,'détails investissements'!$A$26:$DE$43,BL$3-VLOOKUP($A20,'détails investissements'!$A$71:$B$88,2,FALSE)+1,FALSE))),'détails investissements'!$U$6:$AB$7,2,FALSE),"")&lt;&gt;"",VLOOKUP($A20,'détails investissements'!$A$7:$H$21,1+IF(IF(BL$3-VLOOKUP($A20,'détails investissements'!$A$71:$B$88,2,FALSE)&lt;=0,"",IF(VLOOKUP($A20,'détails investissements'!$A$26:$DE$43,BL$3-VLOOKUP($A20,'détails investissements'!$A$71:$B$88,2,FALSE)+1,FALSE)="","",VLOOKUP($A20,'détails investissements'!$A$26:$DE$43,BL$3-VLOOKUP($A20,'détails investissements'!$A$71:$B$88,2,FALSE)+1,FALSE)))&lt;&gt;"",HLOOKUP(IF(BL$3-VLOOKUP($A20,'détails investissements'!$A$71:$B$88,2,FALSE)&lt;=0,"",IF(VLOOKUP($A20,'détails investissements'!$A$26:$DE$43,BL$3-VLOOKUP($A20,'détails investissements'!$A$71:$B$88,2,FALSE)+1,FALSE)="","",VLOOKUP($A20,'détails investissements'!$A$26:$DE$43,BL$3-VLOOKUP($A20,'détails investissements'!$A$71:$B$88,2,FALSE)+1,FALSE))),'détails investissements'!$U$6:$AB$7,2,FALSE),""),FALSE),"")</f>
        <v/>
      </c>
      <c r="BM20" s="45" t="str">
        <f>IF(IF(IF(BM$3-VLOOKUP($A20,'détails investissements'!$A$71:$B$88,2,FALSE)&lt;=0,"",IF(VLOOKUP($A20,'détails investissements'!$A$26:$DE$43,BM$3-VLOOKUP($A20,'détails investissements'!$A$71:$B$88,2,FALSE)+1,FALSE)="","",VLOOKUP($A20,'détails investissements'!$A$26:$DE$43,BM$3-VLOOKUP($A20,'détails investissements'!$A$71:$B$88,2,FALSE)+1,FALSE)))&lt;&gt;"",HLOOKUP(IF(BM$3-VLOOKUP($A20,'détails investissements'!$A$71:$B$88,2,FALSE)&lt;=0,"",IF(VLOOKUP($A20,'détails investissements'!$A$26:$DE$43,BM$3-VLOOKUP($A20,'détails investissements'!$A$71:$B$88,2,FALSE)+1,FALSE)="","",VLOOKUP($A20,'détails investissements'!$A$26:$DE$43,BM$3-VLOOKUP($A20,'détails investissements'!$A$71:$B$88,2,FALSE)+1,FALSE))),'détails investissements'!$U$6:$AB$7,2,FALSE),"")&lt;&gt;"",VLOOKUP($A20,'détails investissements'!$A$7:$H$21,1+IF(IF(BM$3-VLOOKUP($A20,'détails investissements'!$A$71:$B$88,2,FALSE)&lt;=0,"",IF(VLOOKUP($A20,'détails investissements'!$A$26:$DE$43,BM$3-VLOOKUP($A20,'détails investissements'!$A$71:$B$88,2,FALSE)+1,FALSE)="","",VLOOKUP($A20,'détails investissements'!$A$26:$DE$43,BM$3-VLOOKUP($A20,'détails investissements'!$A$71:$B$88,2,FALSE)+1,FALSE)))&lt;&gt;"",HLOOKUP(IF(BM$3-VLOOKUP($A20,'détails investissements'!$A$71:$B$88,2,FALSE)&lt;=0,"",IF(VLOOKUP($A20,'détails investissements'!$A$26:$DE$43,BM$3-VLOOKUP($A20,'détails investissements'!$A$71:$B$88,2,FALSE)+1,FALSE)="","",VLOOKUP($A20,'détails investissements'!$A$26:$DE$43,BM$3-VLOOKUP($A20,'détails investissements'!$A$71:$B$88,2,FALSE)+1,FALSE))),'détails investissements'!$U$6:$AB$7,2,FALSE),""),FALSE),"")</f>
        <v/>
      </c>
      <c r="BN20" s="45" t="str">
        <f>IF(IF(IF(BN$3-VLOOKUP($A20,'détails investissements'!$A$71:$B$88,2,FALSE)&lt;=0,"",IF(VLOOKUP($A20,'détails investissements'!$A$26:$DE$43,BN$3-VLOOKUP($A20,'détails investissements'!$A$71:$B$88,2,FALSE)+1,FALSE)="","",VLOOKUP($A20,'détails investissements'!$A$26:$DE$43,BN$3-VLOOKUP($A20,'détails investissements'!$A$71:$B$88,2,FALSE)+1,FALSE)))&lt;&gt;"",HLOOKUP(IF(BN$3-VLOOKUP($A20,'détails investissements'!$A$71:$B$88,2,FALSE)&lt;=0,"",IF(VLOOKUP($A20,'détails investissements'!$A$26:$DE$43,BN$3-VLOOKUP($A20,'détails investissements'!$A$71:$B$88,2,FALSE)+1,FALSE)="","",VLOOKUP($A20,'détails investissements'!$A$26:$DE$43,BN$3-VLOOKUP($A20,'détails investissements'!$A$71:$B$88,2,FALSE)+1,FALSE))),'détails investissements'!$U$6:$AB$7,2,FALSE),"")&lt;&gt;"",VLOOKUP($A20,'détails investissements'!$A$7:$H$21,1+IF(IF(BN$3-VLOOKUP($A20,'détails investissements'!$A$71:$B$88,2,FALSE)&lt;=0,"",IF(VLOOKUP($A20,'détails investissements'!$A$26:$DE$43,BN$3-VLOOKUP($A20,'détails investissements'!$A$71:$B$88,2,FALSE)+1,FALSE)="","",VLOOKUP($A20,'détails investissements'!$A$26:$DE$43,BN$3-VLOOKUP($A20,'détails investissements'!$A$71:$B$88,2,FALSE)+1,FALSE)))&lt;&gt;"",HLOOKUP(IF(BN$3-VLOOKUP($A20,'détails investissements'!$A$71:$B$88,2,FALSE)&lt;=0,"",IF(VLOOKUP($A20,'détails investissements'!$A$26:$DE$43,BN$3-VLOOKUP($A20,'détails investissements'!$A$71:$B$88,2,FALSE)+1,FALSE)="","",VLOOKUP($A20,'détails investissements'!$A$26:$DE$43,BN$3-VLOOKUP($A20,'détails investissements'!$A$71:$B$88,2,FALSE)+1,FALSE))),'détails investissements'!$U$6:$AB$7,2,FALSE),""),FALSE),"")</f>
        <v/>
      </c>
      <c r="BO20" s="45" t="str">
        <f>IF(IF(IF(BO$3-VLOOKUP($A20,'détails investissements'!$A$71:$B$88,2,FALSE)&lt;=0,"",IF(VLOOKUP($A20,'détails investissements'!$A$26:$DE$43,BO$3-VLOOKUP($A20,'détails investissements'!$A$71:$B$88,2,FALSE)+1,FALSE)="","",VLOOKUP($A20,'détails investissements'!$A$26:$DE$43,BO$3-VLOOKUP($A20,'détails investissements'!$A$71:$B$88,2,FALSE)+1,FALSE)))&lt;&gt;"",HLOOKUP(IF(BO$3-VLOOKUP($A20,'détails investissements'!$A$71:$B$88,2,FALSE)&lt;=0,"",IF(VLOOKUP($A20,'détails investissements'!$A$26:$DE$43,BO$3-VLOOKUP($A20,'détails investissements'!$A$71:$B$88,2,FALSE)+1,FALSE)="","",VLOOKUP($A20,'détails investissements'!$A$26:$DE$43,BO$3-VLOOKUP($A20,'détails investissements'!$A$71:$B$88,2,FALSE)+1,FALSE))),'détails investissements'!$U$6:$AB$7,2,FALSE),"")&lt;&gt;"",VLOOKUP($A20,'détails investissements'!$A$7:$H$21,1+IF(IF(BO$3-VLOOKUP($A20,'détails investissements'!$A$71:$B$88,2,FALSE)&lt;=0,"",IF(VLOOKUP($A20,'détails investissements'!$A$26:$DE$43,BO$3-VLOOKUP($A20,'détails investissements'!$A$71:$B$88,2,FALSE)+1,FALSE)="","",VLOOKUP($A20,'détails investissements'!$A$26:$DE$43,BO$3-VLOOKUP($A20,'détails investissements'!$A$71:$B$88,2,FALSE)+1,FALSE)))&lt;&gt;"",HLOOKUP(IF(BO$3-VLOOKUP($A20,'détails investissements'!$A$71:$B$88,2,FALSE)&lt;=0,"",IF(VLOOKUP($A20,'détails investissements'!$A$26:$DE$43,BO$3-VLOOKUP($A20,'détails investissements'!$A$71:$B$88,2,FALSE)+1,FALSE)="","",VLOOKUP($A20,'détails investissements'!$A$26:$DE$43,BO$3-VLOOKUP($A20,'détails investissements'!$A$71:$B$88,2,FALSE)+1,FALSE))),'détails investissements'!$U$6:$AB$7,2,FALSE),""),FALSE),"")</f>
        <v/>
      </c>
      <c r="BP20" s="45" t="str">
        <f>IF(IF(IF(BP$3-VLOOKUP($A20,'détails investissements'!$A$71:$B$88,2,FALSE)&lt;=0,"",IF(VLOOKUP($A20,'détails investissements'!$A$26:$DE$43,BP$3-VLOOKUP($A20,'détails investissements'!$A$71:$B$88,2,FALSE)+1,FALSE)="","",VLOOKUP($A20,'détails investissements'!$A$26:$DE$43,BP$3-VLOOKUP($A20,'détails investissements'!$A$71:$B$88,2,FALSE)+1,FALSE)))&lt;&gt;"",HLOOKUP(IF(BP$3-VLOOKUP($A20,'détails investissements'!$A$71:$B$88,2,FALSE)&lt;=0,"",IF(VLOOKUP($A20,'détails investissements'!$A$26:$DE$43,BP$3-VLOOKUP($A20,'détails investissements'!$A$71:$B$88,2,FALSE)+1,FALSE)="","",VLOOKUP($A20,'détails investissements'!$A$26:$DE$43,BP$3-VLOOKUP($A20,'détails investissements'!$A$71:$B$88,2,FALSE)+1,FALSE))),'détails investissements'!$U$6:$AB$7,2,FALSE),"")&lt;&gt;"",VLOOKUP($A20,'détails investissements'!$A$7:$H$21,1+IF(IF(BP$3-VLOOKUP($A20,'détails investissements'!$A$71:$B$88,2,FALSE)&lt;=0,"",IF(VLOOKUP($A20,'détails investissements'!$A$26:$DE$43,BP$3-VLOOKUP($A20,'détails investissements'!$A$71:$B$88,2,FALSE)+1,FALSE)="","",VLOOKUP($A20,'détails investissements'!$A$26:$DE$43,BP$3-VLOOKUP($A20,'détails investissements'!$A$71:$B$88,2,FALSE)+1,FALSE)))&lt;&gt;"",HLOOKUP(IF(BP$3-VLOOKUP($A20,'détails investissements'!$A$71:$B$88,2,FALSE)&lt;=0,"",IF(VLOOKUP($A20,'détails investissements'!$A$26:$DE$43,BP$3-VLOOKUP($A20,'détails investissements'!$A$71:$B$88,2,FALSE)+1,FALSE)="","",VLOOKUP($A20,'détails investissements'!$A$26:$DE$43,BP$3-VLOOKUP($A20,'détails investissements'!$A$71:$B$88,2,FALSE)+1,FALSE))),'détails investissements'!$U$6:$AB$7,2,FALSE),""),FALSE),"")</f>
        <v/>
      </c>
      <c r="BQ20" s="45" t="str">
        <f>IF(IF(IF(BQ$3-VLOOKUP($A20,'détails investissements'!$A$71:$B$88,2,FALSE)&lt;=0,"",IF(VLOOKUP($A20,'détails investissements'!$A$26:$DE$43,BQ$3-VLOOKUP($A20,'détails investissements'!$A$71:$B$88,2,FALSE)+1,FALSE)="","",VLOOKUP($A20,'détails investissements'!$A$26:$DE$43,BQ$3-VLOOKUP($A20,'détails investissements'!$A$71:$B$88,2,FALSE)+1,FALSE)))&lt;&gt;"",HLOOKUP(IF(BQ$3-VLOOKUP($A20,'détails investissements'!$A$71:$B$88,2,FALSE)&lt;=0,"",IF(VLOOKUP($A20,'détails investissements'!$A$26:$DE$43,BQ$3-VLOOKUP($A20,'détails investissements'!$A$71:$B$88,2,FALSE)+1,FALSE)="","",VLOOKUP($A20,'détails investissements'!$A$26:$DE$43,BQ$3-VLOOKUP($A20,'détails investissements'!$A$71:$B$88,2,FALSE)+1,FALSE))),'détails investissements'!$U$6:$AB$7,2,FALSE),"")&lt;&gt;"",VLOOKUP($A20,'détails investissements'!$A$7:$H$21,1+IF(IF(BQ$3-VLOOKUP($A20,'détails investissements'!$A$71:$B$88,2,FALSE)&lt;=0,"",IF(VLOOKUP($A20,'détails investissements'!$A$26:$DE$43,BQ$3-VLOOKUP($A20,'détails investissements'!$A$71:$B$88,2,FALSE)+1,FALSE)="","",VLOOKUP($A20,'détails investissements'!$A$26:$DE$43,BQ$3-VLOOKUP($A20,'détails investissements'!$A$71:$B$88,2,FALSE)+1,FALSE)))&lt;&gt;"",HLOOKUP(IF(BQ$3-VLOOKUP($A20,'détails investissements'!$A$71:$B$88,2,FALSE)&lt;=0,"",IF(VLOOKUP($A20,'détails investissements'!$A$26:$DE$43,BQ$3-VLOOKUP($A20,'détails investissements'!$A$71:$B$88,2,FALSE)+1,FALSE)="","",VLOOKUP($A20,'détails investissements'!$A$26:$DE$43,BQ$3-VLOOKUP($A20,'détails investissements'!$A$71:$B$88,2,FALSE)+1,FALSE))),'détails investissements'!$U$6:$AB$7,2,FALSE),""),FALSE),"")</f>
        <v/>
      </c>
      <c r="BR20" s="45" t="str">
        <f>IF(IF(IF(BR$3-VLOOKUP($A20,'détails investissements'!$A$71:$B$88,2,FALSE)&lt;=0,"",IF(VLOOKUP($A20,'détails investissements'!$A$26:$DE$43,BR$3-VLOOKUP($A20,'détails investissements'!$A$71:$B$88,2,FALSE)+1,FALSE)="","",VLOOKUP($A20,'détails investissements'!$A$26:$DE$43,BR$3-VLOOKUP($A20,'détails investissements'!$A$71:$B$88,2,FALSE)+1,FALSE)))&lt;&gt;"",HLOOKUP(IF(BR$3-VLOOKUP($A20,'détails investissements'!$A$71:$B$88,2,FALSE)&lt;=0,"",IF(VLOOKUP($A20,'détails investissements'!$A$26:$DE$43,BR$3-VLOOKUP($A20,'détails investissements'!$A$71:$B$88,2,FALSE)+1,FALSE)="","",VLOOKUP($A20,'détails investissements'!$A$26:$DE$43,BR$3-VLOOKUP($A20,'détails investissements'!$A$71:$B$88,2,FALSE)+1,FALSE))),'détails investissements'!$U$6:$AB$7,2,FALSE),"")&lt;&gt;"",VLOOKUP($A20,'détails investissements'!$A$7:$H$21,1+IF(IF(BR$3-VLOOKUP($A20,'détails investissements'!$A$71:$B$88,2,FALSE)&lt;=0,"",IF(VLOOKUP($A20,'détails investissements'!$A$26:$DE$43,BR$3-VLOOKUP($A20,'détails investissements'!$A$71:$B$88,2,FALSE)+1,FALSE)="","",VLOOKUP($A20,'détails investissements'!$A$26:$DE$43,BR$3-VLOOKUP($A20,'détails investissements'!$A$71:$B$88,2,FALSE)+1,FALSE)))&lt;&gt;"",HLOOKUP(IF(BR$3-VLOOKUP($A20,'détails investissements'!$A$71:$B$88,2,FALSE)&lt;=0,"",IF(VLOOKUP($A20,'détails investissements'!$A$26:$DE$43,BR$3-VLOOKUP($A20,'détails investissements'!$A$71:$B$88,2,FALSE)+1,FALSE)="","",VLOOKUP($A20,'détails investissements'!$A$26:$DE$43,BR$3-VLOOKUP($A20,'détails investissements'!$A$71:$B$88,2,FALSE)+1,FALSE))),'détails investissements'!$U$6:$AB$7,2,FALSE),""),FALSE),"")</f>
        <v/>
      </c>
      <c r="BS20" s="45" t="str">
        <f>IF(IF(IF(BS$3-VLOOKUP($A20,'détails investissements'!$A$71:$B$88,2,FALSE)&lt;=0,"",IF(VLOOKUP($A20,'détails investissements'!$A$26:$DE$43,BS$3-VLOOKUP($A20,'détails investissements'!$A$71:$B$88,2,FALSE)+1,FALSE)="","",VLOOKUP($A20,'détails investissements'!$A$26:$DE$43,BS$3-VLOOKUP($A20,'détails investissements'!$A$71:$B$88,2,FALSE)+1,FALSE)))&lt;&gt;"",HLOOKUP(IF(BS$3-VLOOKUP($A20,'détails investissements'!$A$71:$B$88,2,FALSE)&lt;=0,"",IF(VLOOKUP($A20,'détails investissements'!$A$26:$DE$43,BS$3-VLOOKUP($A20,'détails investissements'!$A$71:$B$88,2,FALSE)+1,FALSE)="","",VLOOKUP($A20,'détails investissements'!$A$26:$DE$43,BS$3-VLOOKUP($A20,'détails investissements'!$A$71:$B$88,2,FALSE)+1,FALSE))),'détails investissements'!$U$6:$AB$7,2,FALSE),"")&lt;&gt;"",VLOOKUP($A20,'détails investissements'!$A$7:$H$21,1+IF(IF(BS$3-VLOOKUP($A20,'détails investissements'!$A$71:$B$88,2,FALSE)&lt;=0,"",IF(VLOOKUP($A20,'détails investissements'!$A$26:$DE$43,BS$3-VLOOKUP($A20,'détails investissements'!$A$71:$B$88,2,FALSE)+1,FALSE)="","",VLOOKUP($A20,'détails investissements'!$A$26:$DE$43,BS$3-VLOOKUP($A20,'détails investissements'!$A$71:$B$88,2,FALSE)+1,FALSE)))&lt;&gt;"",HLOOKUP(IF(BS$3-VLOOKUP($A20,'détails investissements'!$A$71:$B$88,2,FALSE)&lt;=0,"",IF(VLOOKUP($A20,'détails investissements'!$A$26:$DE$43,BS$3-VLOOKUP($A20,'détails investissements'!$A$71:$B$88,2,FALSE)+1,FALSE)="","",VLOOKUP($A20,'détails investissements'!$A$26:$DE$43,BS$3-VLOOKUP($A20,'détails investissements'!$A$71:$B$88,2,FALSE)+1,FALSE))),'détails investissements'!$U$6:$AB$7,2,FALSE),""),FALSE),"")</f>
        <v/>
      </c>
      <c r="BT20" s="45" t="str">
        <f>IF(IF(IF(BT$3-VLOOKUP($A20,'détails investissements'!$A$71:$B$88,2,FALSE)&lt;=0,"",IF(VLOOKUP($A20,'détails investissements'!$A$26:$DE$43,BT$3-VLOOKUP($A20,'détails investissements'!$A$71:$B$88,2,FALSE)+1,FALSE)="","",VLOOKUP($A20,'détails investissements'!$A$26:$DE$43,BT$3-VLOOKUP($A20,'détails investissements'!$A$71:$B$88,2,FALSE)+1,FALSE)))&lt;&gt;"",HLOOKUP(IF(BT$3-VLOOKUP($A20,'détails investissements'!$A$71:$B$88,2,FALSE)&lt;=0,"",IF(VLOOKUP($A20,'détails investissements'!$A$26:$DE$43,BT$3-VLOOKUP($A20,'détails investissements'!$A$71:$B$88,2,FALSE)+1,FALSE)="","",VLOOKUP($A20,'détails investissements'!$A$26:$DE$43,BT$3-VLOOKUP($A20,'détails investissements'!$A$71:$B$88,2,FALSE)+1,FALSE))),'détails investissements'!$U$6:$AB$7,2,FALSE),"")&lt;&gt;"",VLOOKUP($A20,'détails investissements'!$A$7:$H$21,1+IF(IF(BT$3-VLOOKUP($A20,'détails investissements'!$A$71:$B$88,2,FALSE)&lt;=0,"",IF(VLOOKUP($A20,'détails investissements'!$A$26:$DE$43,BT$3-VLOOKUP($A20,'détails investissements'!$A$71:$B$88,2,FALSE)+1,FALSE)="","",VLOOKUP($A20,'détails investissements'!$A$26:$DE$43,BT$3-VLOOKUP($A20,'détails investissements'!$A$71:$B$88,2,FALSE)+1,FALSE)))&lt;&gt;"",HLOOKUP(IF(BT$3-VLOOKUP($A20,'détails investissements'!$A$71:$B$88,2,FALSE)&lt;=0,"",IF(VLOOKUP($A20,'détails investissements'!$A$26:$DE$43,BT$3-VLOOKUP($A20,'détails investissements'!$A$71:$B$88,2,FALSE)+1,FALSE)="","",VLOOKUP($A20,'détails investissements'!$A$26:$DE$43,BT$3-VLOOKUP($A20,'détails investissements'!$A$71:$B$88,2,FALSE)+1,FALSE))),'détails investissements'!$U$6:$AB$7,2,FALSE),""),FALSE),"")</f>
        <v/>
      </c>
      <c r="BU20" s="45" t="str">
        <f>IF(IF(IF(BU$3-VLOOKUP($A20,'détails investissements'!$A$71:$B$88,2,FALSE)&lt;=0,"",IF(VLOOKUP($A20,'détails investissements'!$A$26:$DE$43,BU$3-VLOOKUP($A20,'détails investissements'!$A$71:$B$88,2,FALSE)+1,FALSE)="","",VLOOKUP($A20,'détails investissements'!$A$26:$DE$43,BU$3-VLOOKUP($A20,'détails investissements'!$A$71:$B$88,2,FALSE)+1,FALSE)))&lt;&gt;"",HLOOKUP(IF(BU$3-VLOOKUP($A20,'détails investissements'!$A$71:$B$88,2,FALSE)&lt;=0,"",IF(VLOOKUP($A20,'détails investissements'!$A$26:$DE$43,BU$3-VLOOKUP($A20,'détails investissements'!$A$71:$B$88,2,FALSE)+1,FALSE)="","",VLOOKUP($A20,'détails investissements'!$A$26:$DE$43,BU$3-VLOOKUP($A20,'détails investissements'!$A$71:$B$88,2,FALSE)+1,FALSE))),'détails investissements'!$U$6:$AB$7,2,FALSE),"")&lt;&gt;"",VLOOKUP($A20,'détails investissements'!$A$7:$H$21,1+IF(IF(BU$3-VLOOKUP($A20,'détails investissements'!$A$71:$B$88,2,FALSE)&lt;=0,"",IF(VLOOKUP($A20,'détails investissements'!$A$26:$DE$43,BU$3-VLOOKUP($A20,'détails investissements'!$A$71:$B$88,2,FALSE)+1,FALSE)="","",VLOOKUP($A20,'détails investissements'!$A$26:$DE$43,BU$3-VLOOKUP($A20,'détails investissements'!$A$71:$B$88,2,FALSE)+1,FALSE)))&lt;&gt;"",HLOOKUP(IF(BU$3-VLOOKUP($A20,'détails investissements'!$A$71:$B$88,2,FALSE)&lt;=0,"",IF(VLOOKUP($A20,'détails investissements'!$A$26:$DE$43,BU$3-VLOOKUP($A20,'détails investissements'!$A$71:$B$88,2,FALSE)+1,FALSE)="","",VLOOKUP($A20,'détails investissements'!$A$26:$DE$43,BU$3-VLOOKUP($A20,'détails investissements'!$A$71:$B$88,2,FALSE)+1,FALSE))),'détails investissements'!$U$6:$AB$7,2,FALSE),""),FALSE),"")</f>
        <v/>
      </c>
      <c r="BV20" s="45" t="str">
        <f>IF(IF(IF(BV$3-VLOOKUP($A20,'détails investissements'!$A$71:$B$88,2,FALSE)&lt;=0,"",IF(VLOOKUP($A20,'détails investissements'!$A$26:$DE$43,BV$3-VLOOKUP($A20,'détails investissements'!$A$71:$B$88,2,FALSE)+1,FALSE)="","",VLOOKUP($A20,'détails investissements'!$A$26:$DE$43,BV$3-VLOOKUP($A20,'détails investissements'!$A$71:$B$88,2,FALSE)+1,FALSE)))&lt;&gt;"",HLOOKUP(IF(BV$3-VLOOKUP($A20,'détails investissements'!$A$71:$B$88,2,FALSE)&lt;=0,"",IF(VLOOKUP($A20,'détails investissements'!$A$26:$DE$43,BV$3-VLOOKUP($A20,'détails investissements'!$A$71:$B$88,2,FALSE)+1,FALSE)="","",VLOOKUP($A20,'détails investissements'!$A$26:$DE$43,BV$3-VLOOKUP($A20,'détails investissements'!$A$71:$B$88,2,FALSE)+1,FALSE))),'détails investissements'!$U$6:$AB$7,2,FALSE),"")&lt;&gt;"",VLOOKUP($A20,'détails investissements'!$A$7:$H$21,1+IF(IF(BV$3-VLOOKUP($A20,'détails investissements'!$A$71:$B$88,2,FALSE)&lt;=0,"",IF(VLOOKUP($A20,'détails investissements'!$A$26:$DE$43,BV$3-VLOOKUP($A20,'détails investissements'!$A$71:$B$88,2,FALSE)+1,FALSE)="","",VLOOKUP($A20,'détails investissements'!$A$26:$DE$43,BV$3-VLOOKUP($A20,'détails investissements'!$A$71:$B$88,2,FALSE)+1,FALSE)))&lt;&gt;"",HLOOKUP(IF(BV$3-VLOOKUP($A20,'détails investissements'!$A$71:$B$88,2,FALSE)&lt;=0,"",IF(VLOOKUP($A20,'détails investissements'!$A$26:$DE$43,BV$3-VLOOKUP($A20,'détails investissements'!$A$71:$B$88,2,FALSE)+1,FALSE)="","",VLOOKUP($A20,'détails investissements'!$A$26:$DE$43,BV$3-VLOOKUP($A20,'détails investissements'!$A$71:$B$88,2,FALSE)+1,FALSE))),'détails investissements'!$U$6:$AB$7,2,FALSE),""),FALSE),"")</f>
        <v/>
      </c>
      <c r="BW20" s="45" t="str">
        <f>IF(IF(IF(BW$3-VLOOKUP($A20,'détails investissements'!$A$71:$B$88,2,FALSE)&lt;=0,"",IF(VLOOKUP($A20,'détails investissements'!$A$26:$DE$43,BW$3-VLOOKUP($A20,'détails investissements'!$A$71:$B$88,2,FALSE)+1,FALSE)="","",VLOOKUP($A20,'détails investissements'!$A$26:$DE$43,BW$3-VLOOKUP($A20,'détails investissements'!$A$71:$B$88,2,FALSE)+1,FALSE)))&lt;&gt;"",HLOOKUP(IF(BW$3-VLOOKUP($A20,'détails investissements'!$A$71:$B$88,2,FALSE)&lt;=0,"",IF(VLOOKUP($A20,'détails investissements'!$A$26:$DE$43,BW$3-VLOOKUP($A20,'détails investissements'!$A$71:$B$88,2,FALSE)+1,FALSE)="","",VLOOKUP($A20,'détails investissements'!$A$26:$DE$43,BW$3-VLOOKUP($A20,'détails investissements'!$A$71:$B$88,2,FALSE)+1,FALSE))),'détails investissements'!$U$6:$AB$7,2,FALSE),"")&lt;&gt;"",VLOOKUP($A20,'détails investissements'!$A$7:$H$21,1+IF(IF(BW$3-VLOOKUP($A20,'détails investissements'!$A$71:$B$88,2,FALSE)&lt;=0,"",IF(VLOOKUP($A20,'détails investissements'!$A$26:$DE$43,BW$3-VLOOKUP($A20,'détails investissements'!$A$71:$B$88,2,FALSE)+1,FALSE)="","",VLOOKUP($A20,'détails investissements'!$A$26:$DE$43,BW$3-VLOOKUP($A20,'détails investissements'!$A$71:$B$88,2,FALSE)+1,FALSE)))&lt;&gt;"",HLOOKUP(IF(BW$3-VLOOKUP($A20,'détails investissements'!$A$71:$B$88,2,FALSE)&lt;=0,"",IF(VLOOKUP($A20,'détails investissements'!$A$26:$DE$43,BW$3-VLOOKUP($A20,'détails investissements'!$A$71:$B$88,2,FALSE)+1,FALSE)="","",VLOOKUP($A20,'détails investissements'!$A$26:$DE$43,BW$3-VLOOKUP($A20,'détails investissements'!$A$71:$B$88,2,FALSE)+1,FALSE))),'détails investissements'!$U$6:$AB$7,2,FALSE),""),FALSE),"")</f>
        <v/>
      </c>
      <c r="BX20" s="45" t="str">
        <f>IF(IF(IF(BX$3-VLOOKUP($A20,'détails investissements'!$A$71:$B$88,2,FALSE)&lt;=0,"",IF(VLOOKUP($A20,'détails investissements'!$A$26:$DE$43,BX$3-VLOOKUP($A20,'détails investissements'!$A$71:$B$88,2,FALSE)+1,FALSE)="","",VLOOKUP($A20,'détails investissements'!$A$26:$DE$43,BX$3-VLOOKUP($A20,'détails investissements'!$A$71:$B$88,2,FALSE)+1,FALSE)))&lt;&gt;"",HLOOKUP(IF(BX$3-VLOOKUP($A20,'détails investissements'!$A$71:$B$88,2,FALSE)&lt;=0,"",IF(VLOOKUP($A20,'détails investissements'!$A$26:$DE$43,BX$3-VLOOKUP($A20,'détails investissements'!$A$71:$B$88,2,FALSE)+1,FALSE)="","",VLOOKUP($A20,'détails investissements'!$A$26:$DE$43,BX$3-VLOOKUP($A20,'détails investissements'!$A$71:$B$88,2,FALSE)+1,FALSE))),'détails investissements'!$U$6:$AB$7,2,FALSE),"")&lt;&gt;"",VLOOKUP($A20,'détails investissements'!$A$7:$H$21,1+IF(IF(BX$3-VLOOKUP($A20,'détails investissements'!$A$71:$B$88,2,FALSE)&lt;=0,"",IF(VLOOKUP($A20,'détails investissements'!$A$26:$DE$43,BX$3-VLOOKUP($A20,'détails investissements'!$A$71:$B$88,2,FALSE)+1,FALSE)="","",VLOOKUP($A20,'détails investissements'!$A$26:$DE$43,BX$3-VLOOKUP($A20,'détails investissements'!$A$71:$B$88,2,FALSE)+1,FALSE)))&lt;&gt;"",HLOOKUP(IF(BX$3-VLOOKUP($A20,'détails investissements'!$A$71:$B$88,2,FALSE)&lt;=0,"",IF(VLOOKUP($A20,'détails investissements'!$A$26:$DE$43,BX$3-VLOOKUP($A20,'détails investissements'!$A$71:$B$88,2,FALSE)+1,FALSE)="","",VLOOKUP($A20,'détails investissements'!$A$26:$DE$43,BX$3-VLOOKUP($A20,'détails investissements'!$A$71:$B$88,2,FALSE)+1,FALSE))),'détails investissements'!$U$6:$AB$7,2,FALSE),""),FALSE),"")</f>
        <v/>
      </c>
      <c r="BY20" s="45" t="str">
        <f>IF(IF(IF(BY$3-VLOOKUP($A20,'détails investissements'!$A$71:$B$88,2,FALSE)&lt;=0,"",IF(VLOOKUP($A20,'détails investissements'!$A$26:$DE$43,BY$3-VLOOKUP($A20,'détails investissements'!$A$71:$B$88,2,FALSE)+1,FALSE)="","",VLOOKUP($A20,'détails investissements'!$A$26:$DE$43,BY$3-VLOOKUP($A20,'détails investissements'!$A$71:$B$88,2,FALSE)+1,FALSE)))&lt;&gt;"",HLOOKUP(IF(BY$3-VLOOKUP($A20,'détails investissements'!$A$71:$B$88,2,FALSE)&lt;=0,"",IF(VLOOKUP($A20,'détails investissements'!$A$26:$DE$43,BY$3-VLOOKUP($A20,'détails investissements'!$A$71:$B$88,2,FALSE)+1,FALSE)="","",VLOOKUP($A20,'détails investissements'!$A$26:$DE$43,BY$3-VLOOKUP($A20,'détails investissements'!$A$71:$B$88,2,FALSE)+1,FALSE))),'détails investissements'!$U$6:$AB$7,2,FALSE),"")&lt;&gt;"",VLOOKUP($A20,'détails investissements'!$A$7:$H$21,1+IF(IF(BY$3-VLOOKUP($A20,'détails investissements'!$A$71:$B$88,2,FALSE)&lt;=0,"",IF(VLOOKUP($A20,'détails investissements'!$A$26:$DE$43,BY$3-VLOOKUP($A20,'détails investissements'!$A$71:$B$88,2,FALSE)+1,FALSE)="","",VLOOKUP($A20,'détails investissements'!$A$26:$DE$43,BY$3-VLOOKUP($A20,'détails investissements'!$A$71:$B$88,2,FALSE)+1,FALSE)))&lt;&gt;"",HLOOKUP(IF(BY$3-VLOOKUP($A20,'détails investissements'!$A$71:$B$88,2,FALSE)&lt;=0,"",IF(VLOOKUP($A20,'détails investissements'!$A$26:$DE$43,BY$3-VLOOKUP($A20,'détails investissements'!$A$71:$B$88,2,FALSE)+1,FALSE)="","",VLOOKUP($A20,'détails investissements'!$A$26:$DE$43,BY$3-VLOOKUP($A20,'détails investissements'!$A$71:$B$88,2,FALSE)+1,FALSE))),'détails investissements'!$U$6:$AB$7,2,FALSE),""),FALSE),"")</f>
        <v/>
      </c>
      <c r="BZ20" s="45" t="str">
        <f>IF(IF(IF(BZ$3-VLOOKUP($A20,'détails investissements'!$A$71:$B$88,2,FALSE)&lt;=0,"",IF(VLOOKUP($A20,'détails investissements'!$A$26:$DE$43,BZ$3-VLOOKUP($A20,'détails investissements'!$A$71:$B$88,2,FALSE)+1,FALSE)="","",VLOOKUP($A20,'détails investissements'!$A$26:$DE$43,BZ$3-VLOOKUP($A20,'détails investissements'!$A$71:$B$88,2,FALSE)+1,FALSE)))&lt;&gt;"",HLOOKUP(IF(BZ$3-VLOOKUP($A20,'détails investissements'!$A$71:$B$88,2,FALSE)&lt;=0,"",IF(VLOOKUP($A20,'détails investissements'!$A$26:$DE$43,BZ$3-VLOOKUP($A20,'détails investissements'!$A$71:$B$88,2,FALSE)+1,FALSE)="","",VLOOKUP($A20,'détails investissements'!$A$26:$DE$43,BZ$3-VLOOKUP($A20,'détails investissements'!$A$71:$B$88,2,FALSE)+1,FALSE))),'détails investissements'!$U$6:$AB$7,2,FALSE),"")&lt;&gt;"",VLOOKUP($A20,'détails investissements'!$A$7:$H$21,1+IF(IF(BZ$3-VLOOKUP($A20,'détails investissements'!$A$71:$B$88,2,FALSE)&lt;=0,"",IF(VLOOKUP($A20,'détails investissements'!$A$26:$DE$43,BZ$3-VLOOKUP($A20,'détails investissements'!$A$71:$B$88,2,FALSE)+1,FALSE)="","",VLOOKUP($A20,'détails investissements'!$A$26:$DE$43,BZ$3-VLOOKUP($A20,'détails investissements'!$A$71:$B$88,2,FALSE)+1,FALSE)))&lt;&gt;"",HLOOKUP(IF(BZ$3-VLOOKUP($A20,'détails investissements'!$A$71:$B$88,2,FALSE)&lt;=0,"",IF(VLOOKUP($A20,'détails investissements'!$A$26:$DE$43,BZ$3-VLOOKUP($A20,'détails investissements'!$A$71:$B$88,2,FALSE)+1,FALSE)="","",VLOOKUP($A20,'détails investissements'!$A$26:$DE$43,BZ$3-VLOOKUP($A20,'détails investissements'!$A$71:$B$88,2,FALSE)+1,FALSE))),'détails investissements'!$U$6:$AB$7,2,FALSE),""),FALSE),"")</f>
        <v/>
      </c>
      <c r="CA20" s="45" t="str">
        <f>IF(IF(IF(CA$3-VLOOKUP($A20,'détails investissements'!$A$71:$B$88,2,FALSE)&lt;=0,"",IF(VLOOKUP($A20,'détails investissements'!$A$26:$DE$43,CA$3-VLOOKUP($A20,'détails investissements'!$A$71:$B$88,2,FALSE)+1,FALSE)="","",VLOOKUP($A20,'détails investissements'!$A$26:$DE$43,CA$3-VLOOKUP($A20,'détails investissements'!$A$71:$B$88,2,FALSE)+1,FALSE)))&lt;&gt;"",HLOOKUP(IF(CA$3-VLOOKUP($A20,'détails investissements'!$A$71:$B$88,2,FALSE)&lt;=0,"",IF(VLOOKUP($A20,'détails investissements'!$A$26:$DE$43,CA$3-VLOOKUP($A20,'détails investissements'!$A$71:$B$88,2,FALSE)+1,FALSE)="","",VLOOKUP($A20,'détails investissements'!$A$26:$DE$43,CA$3-VLOOKUP($A20,'détails investissements'!$A$71:$B$88,2,FALSE)+1,FALSE))),'détails investissements'!$U$6:$AB$7,2,FALSE),"")&lt;&gt;"",VLOOKUP($A20,'détails investissements'!$A$7:$H$21,1+IF(IF(CA$3-VLOOKUP($A20,'détails investissements'!$A$71:$B$88,2,FALSE)&lt;=0,"",IF(VLOOKUP($A20,'détails investissements'!$A$26:$DE$43,CA$3-VLOOKUP($A20,'détails investissements'!$A$71:$B$88,2,FALSE)+1,FALSE)="","",VLOOKUP($A20,'détails investissements'!$A$26:$DE$43,CA$3-VLOOKUP($A20,'détails investissements'!$A$71:$B$88,2,FALSE)+1,FALSE)))&lt;&gt;"",HLOOKUP(IF(CA$3-VLOOKUP($A20,'détails investissements'!$A$71:$B$88,2,FALSE)&lt;=0,"",IF(VLOOKUP($A20,'détails investissements'!$A$26:$DE$43,CA$3-VLOOKUP($A20,'détails investissements'!$A$71:$B$88,2,FALSE)+1,FALSE)="","",VLOOKUP($A20,'détails investissements'!$A$26:$DE$43,CA$3-VLOOKUP($A20,'détails investissements'!$A$71:$B$88,2,FALSE)+1,FALSE))),'détails investissements'!$U$6:$AB$7,2,FALSE),""),FALSE),"")</f>
        <v/>
      </c>
      <c r="CB20" s="45" t="str">
        <f>IF(IF(IF(CB$3-VLOOKUP($A20,'détails investissements'!$A$71:$B$88,2,FALSE)&lt;=0,"",IF(VLOOKUP($A20,'détails investissements'!$A$26:$DE$43,CB$3-VLOOKUP($A20,'détails investissements'!$A$71:$B$88,2,FALSE)+1,FALSE)="","",VLOOKUP($A20,'détails investissements'!$A$26:$DE$43,CB$3-VLOOKUP($A20,'détails investissements'!$A$71:$B$88,2,FALSE)+1,FALSE)))&lt;&gt;"",HLOOKUP(IF(CB$3-VLOOKUP($A20,'détails investissements'!$A$71:$B$88,2,FALSE)&lt;=0,"",IF(VLOOKUP($A20,'détails investissements'!$A$26:$DE$43,CB$3-VLOOKUP($A20,'détails investissements'!$A$71:$B$88,2,FALSE)+1,FALSE)="","",VLOOKUP($A20,'détails investissements'!$A$26:$DE$43,CB$3-VLOOKUP($A20,'détails investissements'!$A$71:$B$88,2,FALSE)+1,FALSE))),'détails investissements'!$U$6:$AB$7,2,FALSE),"")&lt;&gt;"",VLOOKUP($A20,'détails investissements'!$A$7:$H$21,1+IF(IF(CB$3-VLOOKUP($A20,'détails investissements'!$A$71:$B$88,2,FALSE)&lt;=0,"",IF(VLOOKUP($A20,'détails investissements'!$A$26:$DE$43,CB$3-VLOOKUP($A20,'détails investissements'!$A$71:$B$88,2,FALSE)+1,FALSE)="","",VLOOKUP($A20,'détails investissements'!$A$26:$DE$43,CB$3-VLOOKUP($A20,'détails investissements'!$A$71:$B$88,2,FALSE)+1,FALSE)))&lt;&gt;"",HLOOKUP(IF(CB$3-VLOOKUP($A20,'détails investissements'!$A$71:$B$88,2,FALSE)&lt;=0,"",IF(VLOOKUP($A20,'détails investissements'!$A$26:$DE$43,CB$3-VLOOKUP($A20,'détails investissements'!$A$71:$B$88,2,FALSE)+1,FALSE)="","",VLOOKUP($A20,'détails investissements'!$A$26:$DE$43,CB$3-VLOOKUP($A20,'détails investissements'!$A$71:$B$88,2,FALSE)+1,FALSE))),'détails investissements'!$U$6:$AB$7,2,FALSE),""),FALSE),"")</f>
        <v/>
      </c>
      <c r="CC20" s="45" t="str">
        <f>IF(IF(IF(CC$3-VLOOKUP($A20,'détails investissements'!$A$71:$B$88,2,FALSE)&lt;=0,"",IF(VLOOKUP($A20,'détails investissements'!$A$26:$DE$43,CC$3-VLOOKUP($A20,'détails investissements'!$A$71:$B$88,2,FALSE)+1,FALSE)="","",VLOOKUP($A20,'détails investissements'!$A$26:$DE$43,CC$3-VLOOKUP($A20,'détails investissements'!$A$71:$B$88,2,FALSE)+1,FALSE)))&lt;&gt;"",HLOOKUP(IF(CC$3-VLOOKUP($A20,'détails investissements'!$A$71:$B$88,2,FALSE)&lt;=0,"",IF(VLOOKUP($A20,'détails investissements'!$A$26:$DE$43,CC$3-VLOOKUP($A20,'détails investissements'!$A$71:$B$88,2,FALSE)+1,FALSE)="","",VLOOKUP($A20,'détails investissements'!$A$26:$DE$43,CC$3-VLOOKUP($A20,'détails investissements'!$A$71:$B$88,2,FALSE)+1,FALSE))),'détails investissements'!$U$6:$AB$7,2,FALSE),"")&lt;&gt;"",VLOOKUP($A20,'détails investissements'!$A$7:$H$21,1+IF(IF(CC$3-VLOOKUP($A20,'détails investissements'!$A$71:$B$88,2,FALSE)&lt;=0,"",IF(VLOOKUP($A20,'détails investissements'!$A$26:$DE$43,CC$3-VLOOKUP($A20,'détails investissements'!$A$71:$B$88,2,FALSE)+1,FALSE)="","",VLOOKUP($A20,'détails investissements'!$A$26:$DE$43,CC$3-VLOOKUP($A20,'détails investissements'!$A$71:$B$88,2,FALSE)+1,FALSE)))&lt;&gt;"",HLOOKUP(IF(CC$3-VLOOKUP($A20,'détails investissements'!$A$71:$B$88,2,FALSE)&lt;=0,"",IF(VLOOKUP($A20,'détails investissements'!$A$26:$DE$43,CC$3-VLOOKUP($A20,'détails investissements'!$A$71:$B$88,2,FALSE)+1,FALSE)="","",VLOOKUP($A20,'détails investissements'!$A$26:$DE$43,CC$3-VLOOKUP($A20,'détails investissements'!$A$71:$B$88,2,FALSE)+1,FALSE))),'détails investissements'!$U$6:$AB$7,2,FALSE),""),FALSE),"")</f>
        <v/>
      </c>
      <c r="CD20" s="45" t="str">
        <f>IF(IF(IF(CD$3-VLOOKUP($A20,'détails investissements'!$A$71:$B$88,2,FALSE)&lt;=0,"",IF(VLOOKUP($A20,'détails investissements'!$A$26:$DE$43,CD$3-VLOOKUP($A20,'détails investissements'!$A$71:$B$88,2,FALSE)+1,FALSE)="","",VLOOKUP($A20,'détails investissements'!$A$26:$DE$43,CD$3-VLOOKUP($A20,'détails investissements'!$A$71:$B$88,2,FALSE)+1,FALSE)))&lt;&gt;"",HLOOKUP(IF(CD$3-VLOOKUP($A20,'détails investissements'!$A$71:$B$88,2,FALSE)&lt;=0,"",IF(VLOOKUP($A20,'détails investissements'!$A$26:$DE$43,CD$3-VLOOKUP($A20,'détails investissements'!$A$71:$B$88,2,FALSE)+1,FALSE)="","",VLOOKUP($A20,'détails investissements'!$A$26:$DE$43,CD$3-VLOOKUP($A20,'détails investissements'!$A$71:$B$88,2,FALSE)+1,FALSE))),'détails investissements'!$U$6:$AB$7,2,FALSE),"")&lt;&gt;"",VLOOKUP($A20,'détails investissements'!$A$7:$H$21,1+IF(IF(CD$3-VLOOKUP($A20,'détails investissements'!$A$71:$B$88,2,FALSE)&lt;=0,"",IF(VLOOKUP($A20,'détails investissements'!$A$26:$DE$43,CD$3-VLOOKUP($A20,'détails investissements'!$A$71:$B$88,2,FALSE)+1,FALSE)="","",VLOOKUP($A20,'détails investissements'!$A$26:$DE$43,CD$3-VLOOKUP($A20,'détails investissements'!$A$71:$B$88,2,FALSE)+1,FALSE)))&lt;&gt;"",HLOOKUP(IF(CD$3-VLOOKUP($A20,'détails investissements'!$A$71:$B$88,2,FALSE)&lt;=0,"",IF(VLOOKUP($A20,'détails investissements'!$A$26:$DE$43,CD$3-VLOOKUP($A20,'détails investissements'!$A$71:$B$88,2,FALSE)+1,FALSE)="","",VLOOKUP($A20,'détails investissements'!$A$26:$DE$43,CD$3-VLOOKUP($A20,'détails investissements'!$A$71:$B$88,2,FALSE)+1,FALSE))),'détails investissements'!$U$6:$AB$7,2,FALSE),""),FALSE),"")</f>
        <v/>
      </c>
      <c r="CE20" s="45" t="str">
        <f>IF(IF(IF(CE$3-VLOOKUP($A20,'détails investissements'!$A$71:$B$88,2,FALSE)&lt;=0,"",IF(VLOOKUP($A20,'détails investissements'!$A$26:$DE$43,CE$3-VLOOKUP($A20,'détails investissements'!$A$71:$B$88,2,FALSE)+1,FALSE)="","",VLOOKUP($A20,'détails investissements'!$A$26:$DE$43,CE$3-VLOOKUP($A20,'détails investissements'!$A$71:$B$88,2,FALSE)+1,FALSE)))&lt;&gt;"",HLOOKUP(IF(CE$3-VLOOKUP($A20,'détails investissements'!$A$71:$B$88,2,FALSE)&lt;=0,"",IF(VLOOKUP($A20,'détails investissements'!$A$26:$DE$43,CE$3-VLOOKUP($A20,'détails investissements'!$A$71:$B$88,2,FALSE)+1,FALSE)="","",VLOOKUP($A20,'détails investissements'!$A$26:$DE$43,CE$3-VLOOKUP($A20,'détails investissements'!$A$71:$B$88,2,FALSE)+1,FALSE))),'détails investissements'!$U$6:$AB$7,2,FALSE),"")&lt;&gt;"",VLOOKUP($A20,'détails investissements'!$A$7:$H$21,1+IF(IF(CE$3-VLOOKUP($A20,'détails investissements'!$A$71:$B$88,2,FALSE)&lt;=0,"",IF(VLOOKUP($A20,'détails investissements'!$A$26:$DE$43,CE$3-VLOOKUP($A20,'détails investissements'!$A$71:$B$88,2,FALSE)+1,FALSE)="","",VLOOKUP($A20,'détails investissements'!$A$26:$DE$43,CE$3-VLOOKUP($A20,'détails investissements'!$A$71:$B$88,2,FALSE)+1,FALSE)))&lt;&gt;"",HLOOKUP(IF(CE$3-VLOOKUP($A20,'détails investissements'!$A$71:$B$88,2,FALSE)&lt;=0,"",IF(VLOOKUP($A20,'détails investissements'!$A$26:$DE$43,CE$3-VLOOKUP($A20,'détails investissements'!$A$71:$B$88,2,FALSE)+1,FALSE)="","",VLOOKUP($A20,'détails investissements'!$A$26:$DE$43,CE$3-VLOOKUP($A20,'détails investissements'!$A$71:$B$88,2,FALSE)+1,FALSE))),'détails investissements'!$U$6:$AB$7,2,FALSE),""),FALSE),"")</f>
        <v/>
      </c>
      <c r="CF20" s="45" t="str">
        <f>IF(IF(IF(CF$3-VLOOKUP($A20,'détails investissements'!$A$71:$B$88,2,FALSE)&lt;=0,"",IF(VLOOKUP($A20,'détails investissements'!$A$26:$DE$43,CF$3-VLOOKUP($A20,'détails investissements'!$A$71:$B$88,2,FALSE)+1,FALSE)="","",VLOOKUP($A20,'détails investissements'!$A$26:$DE$43,CF$3-VLOOKUP($A20,'détails investissements'!$A$71:$B$88,2,FALSE)+1,FALSE)))&lt;&gt;"",HLOOKUP(IF(CF$3-VLOOKUP($A20,'détails investissements'!$A$71:$B$88,2,FALSE)&lt;=0,"",IF(VLOOKUP($A20,'détails investissements'!$A$26:$DE$43,CF$3-VLOOKUP($A20,'détails investissements'!$A$71:$B$88,2,FALSE)+1,FALSE)="","",VLOOKUP($A20,'détails investissements'!$A$26:$DE$43,CF$3-VLOOKUP($A20,'détails investissements'!$A$71:$B$88,2,FALSE)+1,FALSE))),'détails investissements'!$U$6:$AB$7,2,FALSE),"")&lt;&gt;"",VLOOKUP($A20,'détails investissements'!$A$7:$H$21,1+IF(IF(CF$3-VLOOKUP($A20,'détails investissements'!$A$71:$B$88,2,FALSE)&lt;=0,"",IF(VLOOKUP($A20,'détails investissements'!$A$26:$DE$43,CF$3-VLOOKUP($A20,'détails investissements'!$A$71:$B$88,2,FALSE)+1,FALSE)="","",VLOOKUP($A20,'détails investissements'!$A$26:$DE$43,CF$3-VLOOKUP($A20,'détails investissements'!$A$71:$B$88,2,FALSE)+1,FALSE)))&lt;&gt;"",HLOOKUP(IF(CF$3-VLOOKUP($A20,'détails investissements'!$A$71:$B$88,2,FALSE)&lt;=0,"",IF(VLOOKUP($A20,'détails investissements'!$A$26:$DE$43,CF$3-VLOOKUP($A20,'détails investissements'!$A$71:$B$88,2,FALSE)+1,FALSE)="","",VLOOKUP($A20,'détails investissements'!$A$26:$DE$43,CF$3-VLOOKUP($A20,'détails investissements'!$A$71:$B$88,2,FALSE)+1,FALSE))),'détails investissements'!$U$6:$AB$7,2,FALSE),""),FALSE),"")</f>
        <v/>
      </c>
      <c r="CG20" s="45" t="str">
        <f>IF(IF(IF(CG$3-VLOOKUP($A20,'détails investissements'!$A$71:$B$88,2,FALSE)&lt;=0,"",IF(VLOOKUP($A20,'détails investissements'!$A$26:$DE$43,CG$3-VLOOKUP($A20,'détails investissements'!$A$71:$B$88,2,FALSE)+1,FALSE)="","",VLOOKUP($A20,'détails investissements'!$A$26:$DE$43,CG$3-VLOOKUP($A20,'détails investissements'!$A$71:$B$88,2,FALSE)+1,FALSE)))&lt;&gt;"",HLOOKUP(IF(CG$3-VLOOKUP($A20,'détails investissements'!$A$71:$B$88,2,FALSE)&lt;=0,"",IF(VLOOKUP($A20,'détails investissements'!$A$26:$DE$43,CG$3-VLOOKUP($A20,'détails investissements'!$A$71:$B$88,2,FALSE)+1,FALSE)="","",VLOOKUP($A20,'détails investissements'!$A$26:$DE$43,CG$3-VLOOKUP($A20,'détails investissements'!$A$71:$B$88,2,FALSE)+1,FALSE))),'détails investissements'!$U$6:$AB$7,2,FALSE),"")&lt;&gt;"",VLOOKUP($A20,'détails investissements'!$A$7:$H$21,1+IF(IF(CG$3-VLOOKUP($A20,'détails investissements'!$A$71:$B$88,2,FALSE)&lt;=0,"",IF(VLOOKUP($A20,'détails investissements'!$A$26:$DE$43,CG$3-VLOOKUP($A20,'détails investissements'!$A$71:$B$88,2,FALSE)+1,FALSE)="","",VLOOKUP($A20,'détails investissements'!$A$26:$DE$43,CG$3-VLOOKUP($A20,'détails investissements'!$A$71:$B$88,2,FALSE)+1,FALSE)))&lt;&gt;"",HLOOKUP(IF(CG$3-VLOOKUP($A20,'détails investissements'!$A$71:$B$88,2,FALSE)&lt;=0,"",IF(VLOOKUP($A20,'détails investissements'!$A$26:$DE$43,CG$3-VLOOKUP($A20,'détails investissements'!$A$71:$B$88,2,FALSE)+1,FALSE)="","",VLOOKUP($A20,'détails investissements'!$A$26:$DE$43,CG$3-VLOOKUP($A20,'détails investissements'!$A$71:$B$88,2,FALSE)+1,FALSE))),'détails investissements'!$U$6:$AB$7,2,FALSE),""),FALSE),"")</f>
        <v/>
      </c>
      <c r="CH20" s="45" t="str">
        <f>IF(IF(IF(CH$3-VLOOKUP($A20,'détails investissements'!$A$71:$B$88,2,FALSE)&lt;=0,"",IF(VLOOKUP($A20,'détails investissements'!$A$26:$DE$43,CH$3-VLOOKUP($A20,'détails investissements'!$A$71:$B$88,2,FALSE)+1,FALSE)="","",VLOOKUP($A20,'détails investissements'!$A$26:$DE$43,CH$3-VLOOKUP($A20,'détails investissements'!$A$71:$B$88,2,FALSE)+1,FALSE)))&lt;&gt;"",HLOOKUP(IF(CH$3-VLOOKUP($A20,'détails investissements'!$A$71:$B$88,2,FALSE)&lt;=0,"",IF(VLOOKUP($A20,'détails investissements'!$A$26:$DE$43,CH$3-VLOOKUP($A20,'détails investissements'!$A$71:$B$88,2,FALSE)+1,FALSE)="","",VLOOKUP($A20,'détails investissements'!$A$26:$DE$43,CH$3-VLOOKUP($A20,'détails investissements'!$A$71:$B$88,2,FALSE)+1,FALSE))),'détails investissements'!$U$6:$AB$7,2,FALSE),"")&lt;&gt;"",VLOOKUP($A20,'détails investissements'!$A$7:$H$21,1+IF(IF(CH$3-VLOOKUP($A20,'détails investissements'!$A$71:$B$88,2,FALSE)&lt;=0,"",IF(VLOOKUP($A20,'détails investissements'!$A$26:$DE$43,CH$3-VLOOKUP($A20,'détails investissements'!$A$71:$B$88,2,FALSE)+1,FALSE)="","",VLOOKUP($A20,'détails investissements'!$A$26:$DE$43,CH$3-VLOOKUP($A20,'détails investissements'!$A$71:$B$88,2,FALSE)+1,FALSE)))&lt;&gt;"",HLOOKUP(IF(CH$3-VLOOKUP($A20,'détails investissements'!$A$71:$B$88,2,FALSE)&lt;=0,"",IF(VLOOKUP($A20,'détails investissements'!$A$26:$DE$43,CH$3-VLOOKUP($A20,'détails investissements'!$A$71:$B$88,2,FALSE)+1,FALSE)="","",VLOOKUP($A20,'détails investissements'!$A$26:$DE$43,CH$3-VLOOKUP($A20,'détails investissements'!$A$71:$B$88,2,FALSE)+1,FALSE))),'détails investissements'!$U$6:$AB$7,2,FALSE),""),FALSE),"")</f>
        <v/>
      </c>
      <c r="CI20" s="45" t="str">
        <f>IF(IF(IF(CI$3-VLOOKUP($A20,'détails investissements'!$A$71:$B$88,2,FALSE)&lt;=0,"",IF(VLOOKUP($A20,'détails investissements'!$A$26:$DE$43,CI$3-VLOOKUP($A20,'détails investissements'!$A$71:$B$88,2,FALSE)+1,FALSE)="","",VLOOKUP($A20,'détails investissements'!$A$26:$DE$43,CI$3-VLOOKUP($A20,'détails investissements'!$A$71:$B$88,2,FALSE)+1,FALSE)))&lt;&gt;"",HLOOKUP(IF(CI$3-VLOOKUP($A20,'détails investissements'!$A$71:$B$88,2,FALSE)&lt;=0,"",IF(VLOOKUP($A20,'détails investissements'!$A$26:$DE$43,CI$3-VLOOKUP($A20,'détails investissements'!$A$71:$B$88,2,FALSE)+1,FALSE)="","",VLOOKUP($A20,'détails investissements'!$A$26:$DE$43,CI$3-VLOOKUP($A20,'détails investissements'!$A$71:$B$88,2,FALSE)+1,FALSE))),'détails investissements'!$U$6:$AB$7,2,FALSE),"")&lt;&gt;"",VLOOKUP($A20,'détails investissements'!$A$7:$H$21,1+IF(IF(CI$3-VLOOKUP($A20,'détails investissements'!$A$71:$B$88,2,FALSE)&lt;=0,"",IF(VLOOKUP($A20,'détails investissements'!$A$26:$DE$43,CI$3-VLOOKUP($A20,'détails investissements'!$A$71:$B$88,2,FALSE)+1,FALSE)="","",VLOOKUP($A20,'détails investissements'!$A$26:$DE$43,CI$3-VLOOKUP($A20,'détails investissements'!$A$71:$B$88,2,FALSE)+1,FALSE)))&lt;&gt;"",HLOOKUP(IF(CI$3-VLOOKUP($A20,'détails investissements'!$A$71:$B$88,2,FALSE)&lt;=0,"",IF(VLOOKUP($A20,'détails investissements'!$A$26:$DE$43,CI$3-VLOOKUP($A20,'détails investissements'!$A$71:$B$88,2,FALSE)+1,FALSE)="","",VLOOKUP($A20,'détails investissements'!$A$26:$DE$43,CI$3-VLOOKUP($A20,'détails investissements'!$A$71:$B$88,2,FALSE)+1,FALSE))),'détails investissements'!$U$6:$AB$7,2,FALSE),""),FALSE),"")</f>
        <v/>
      </c>
      <c r="CJ20" s="45" t="str">
        <f>IF(IF(IF(CJ$3-VLOOKUP($A20,'détails investissements'!$A$71:$B$88,2,FALSE)&lt;=0,"",IF(VLOOKUP($A20,'détails investissements'!$A$26:$DE$43,CJ$3-VLOOKUP($A20,'détails investissements'!$A$71:$B$88,2,FALSE)+1,FALSE)="","",VLOOKUP($A20,'détails investissements'!$A$26:$DE$43,CJ$3-VLOOKUP($A20,'détails investissements'!$A$71:$B$88,2,FALSE)+1,FALSE)))&lt;&gt;"",HLOOKUP(IF(CJ$3-VLOOKUP($A20,'détails investissements'!$A$71:$B$88,2,FALSE)&lt;=0,"",IF(VLOOKUP($A20,'détails investissements'!$A$26:$DE$43,CJ$3-VLOOKUP($A20,'détails investissements'!$A$71:$B$88,2,FALSE)+1,FALSE)="","",VLOOKUP($A20,'détails investissements'!$A$26:$DE$43,CJ$3-VLOOKUP($A20,'détails investissements'!$A$71:$B$88,2,FALSE)+1,FALSE))),'détails investissements'!$U$6:$AB$7,2,FALSE),"")&lt;&gt;"",VLOOKUP($A20,'détails investissements'!$A$7:$H$21,1+IF(IF(CJ$3-VLOOKUP($A20,'détails investissements'!$A$71:$B$88,2,FALSE)&lt;=0,"",IF(VLOOKUP($A20,'détails investissements'!$A$26:$DE$43,CJ$3-VLOOKUP($A20,'détails investissements'!$A$71:$B$88,2,FALSE)+1,FALSE)="","",VLOOKUP($A20,'détails investissements'!$A$26:$DE$43,CJ$3-VLOOKUP($A20,'détails investissements'!$A$71:$B$88,2,FALSE)+1,FALSE)))&lt;&gt;"",HLOOKUP(IF(CJ$3-VLOOKUP($A20,'détails investissements'!$A$71:$B$88,2,FALSE)&lt;=0,"",IF(VLOOKUP($A20,'détails investissements'!$A$26:$DE$43,CJ$3-VLOOKUP($A20,'détails investissements'!$A$71:$B$88,2,FALSE)+1,FALSE)="","",VLOOKUP($A20,'détails investissements'!$A$26:$DE$43,CJ$3-VLOOKUP($A20,'détails investissements'!$A$71:$B$88,2,FALSE)+1,FALSE))),'détails investissements'!$U$6:$AB$7,2,FALSE),""),FALSE),"")</f>
        <v/>
      </c>
      <c r="CK20" s="45" t="str">
        <f>IF(IF(IF(CK$3-VLOOKUP($A20,'détails investissements'!$A$71:$B$88,2,FALSE)&lt;=0,"",IF(VLOOKUP($A20,'détails investissements'!$A$26:$DE$43,CK$3-VLOOKUP($A20,'détails investissements'!$A$71:$B$88,2,FALSE)+1,FALSE)="","",VLOOKUP($A20,'détails investissements'!$A$26:$DE$43,CK$3-VLOOKUP($A20,'détails investissements'!$A$71:$B$88,2,FALSE)+1,FALSE)))&lt;&gt;"",HLOOKUP(IF(CK$3-VLOOKUP($A20,'détails investissements'!$A$71:$B$88,2,FALSE)&lt;=0,"",IF(VLOOKUP($A20,'détails investissements'!$A$26:$DE$43,CK$3-VLOOKUP($A20,'détails investissements'!$A$71:$B$88,2,FALSE)+1,FALSE)="","",VLOOKUP($A20,'détails investissements'!$A$26:$DE$43,CK$3-VLOOKUP($A20,'détails investissements'!$A$71:$B$88,2,FALSE)+1,FALSE))),'détails investissements'!$U$6:$AB$7,2,FALSE),"")&lt;&gt;"",VLOOKUP($A20,'détails investissements'!$A$7:$H$21,1+IF(IF(CK$3-VLOOKUP($A20,'détails investissements'!$A$71:$B$88,2,FALSE)&lt;=0,"",IF(VLOOKUP($A20,'détails investissements'!$A$26:$DE$43,CK$3-VLOOKUP($A20,'détails investissements'!$A$71:$B$88,2,FALSE)+1,FALSE)="","",VLOOKUP($A20,'détails investissements'!$A$26:$DE$43,CK$3-VLOOKUP($A20,'détails investissements'!$A$71:$B$88,2,FALSE)+1,FALSE)))&lt;&gt;"",HLOOKUP(IF(CK$3-VLOOKUP($A20,'détails investissements'!$A$71:$B$88,2,FALSE)&lt;=0,"",IF(VLOOKUP($A20,'détails investissements'!$A$26:$DE$43,CK$3-VLOOKUP($A20,'détails investissements'!$A$71:$B$88,2,FALSE)+1,FALSE)="","",VLOOKUP($A20,'détails investissements'!$A$26:$DE$43,CK$3-VLOOKUP($A20,'détails investissements'!$A$71:$B$88,2,FALSE)+1,FALSE))),'détails investissements'!$U$6:$AB$7,2,FALSE),""),FALSE),"")</f>
        <v/>
      </c>
      <c r="CL20" s="45" t="str">
        <f>IF(IF(IF(CL$3-VLOOKUP($A20,'détails investissements'!$A$71:$B$88,2,FALSE)&lt;=0,"",IF(VLOOKUP($A20,'détails investissements'!$A$26:$DE$43,CL$3-VLOOKUP($A20,'détails investissements'!$A$71:$B$88,2,FALSE)+1,FALSE)="","",VLOOKUP($A20,'détails investissements'!$A$26:$DE$43,CL$3-VLOOKUP($A20,'détails investissements'!$A$71:$B$88,2,FALSE)+1,FALSE)))&lt;&gt;"",HLOOKUP(IF(CL$3-VLOOKUP($A20,'détails investissements'!$A$71:$B$88,2,FALSE)&lt;=0,"",IF(VLOOKUP($A20,'détails investissements'!$A$26:$DE$43,CL$3-VLOOKUP($A20,'détails investissements'!$A$71:$B$88,2,FALSE)+1,FALSE)="","",VLOOKUP($A20,'détails investissements'!$A$26:$DE$43,CL$3-VLOOKUP($A20,'détails investissements'!$A$71:$B$88,2,FALSE)+1,FALSE))),'détails investissements'!$U$6:$AB$7,2,FALSE),"")&lt;&gt;"",VLOOKUP($A20,'détails investissements'!$A$7:$H$21,1+IF(IF(CL$3-VLOOKUP($A20,'détails investissements'!$A$71:$B$88,2,FALSE)&lt;=0,"",IF(VLOOKUP($A20,'détails investissements'!$A$26:$DE$43,CL$3-VLOOKUP($A20,'détails investissements'!$A$71:$B$88,2,FALSE)+1,FALSE)="","",VLOOKUP($A20,'détails investissements'!$A$26:$DE$43,CL$3-VLOOKUP($A20,'détails investissements'!$A$71:$B$88,2,FALSE)+1,FALSE)))&lt;&gt;"",HLOOKUP(IF(CL$3-VLOOKUP($A20,'détails investissements'!$A$71:$B$88,2,FALSE)&lt;=0,"",IF(VLOOKUP($A20,'détails investissements'!$A$26:$DE$43,CL$3-VLOOKUP($A20,'détails investissements'!$A$71:$B$88,2,FALSE)+1,FALSE)="","",VLOOKUP($A20,'détails investissements'!$A$26:$DE$43,CL$3-VLOOKUP($A20,'détails investissements'!$A$71:$B$88,2,FALSE)+1,FALSE))),'détails investissements'!$U$6:$AB$7,2,FALSE),""),FALSE),"")</f>
        <v/>
      </c>
      <c r="CM20" s="45" t="str">
        <f>IF(IF(IF(CM$3-VLOOKUP($A20,'détails investissements'!$A$71:$B$88,2,FALSE)&lt;=0,"",IF(VLOOKUP($A20,'détails investissements'!$A$26:$DE$43,CM$3-VLOOKUP($A20,'détails investissements'!$A$71:$B$88,2,FALSE)+1,FALSE)="","",VLOOKUP($A20,'détails investissements'!$A$26:$DE$43,CM$3-VLOOKUP($A20,'détails investissements'!$A$71:$B$88,2,FALSE)+1,FALSE)))&lt;&gt;"",HLOOKUP(IF(CM$3-VLOOKUP($A20,'détails investissements'!$A$71:$B$88,2,FALSE)&lt;=0,"",IF(VLOOKUP($A20,'détails investissements'!$A$26:$DE$43,CM$3-VLOOKUP($A20,'détails investissements'!$A$71:$B$88,2,FALSE)+1,FALSE)="","",VLOOKUP($A20,'détails investissements'!$A$26:$DE$43,CM$3-VLOOKUP($A20,'détails investissements'!$A$71:$B$88,2,FALSE)+1,FALSE))),'détails investissements'!$U$6:$AB$7,2,FALSE),"")&lt;&gt;"",VLOOKUP($A20,'détails investissements'!$A$7:$H$21,1+IF(IF(CM$3-VLOOKUP($A20,'détails investissements'!$A$71:$B$88,2,FALSE)&lt;=0,"",IF(VLOOKUP($A20,'détails investissements'!$A$26:$DE$43,CM$3-VLOOKUP($A20,'détails investissements'!$A$71:$B$88,2,FALSE)+1,FALSE)="","",VLOOKUP($A20,'détails investissements'!$A$26:$DE$43,CM$3-VLOOKUP($A20,'détails investissements'!$A$71:$B$88,2,FALSE)+1,FALSE)))&lt;&gt;"",HLOOKUP(IF(CM$3-VLOOKUP($A20,'détails investissements'!$A$71:$B$88,2,FALSE)&lt;=0,"",IF(VLOOKUP($A20,'détails investissements'!$A$26:$DE$43,CM$3-VLOOKUP($A20,'détails investissements'!$A$71:$B$88,2,FALSE)+1,FALSE)="","",VLOOKUP($A20,'détails investissements'!$A$26:$DE$43,CM$3-VLOOKUP($A20,'détails investissements'!$A$71:$B$88,2,FALSE)+1,FALSE))),'détails investissements'!$U$6:$AB$7,2,FALSE),""),FALSE),"")</f>
        <v/>
      </c>
      <c r="CN20" s="45" t="str">
        <f>IF(IF(IF(CN$3-VLOOKUP($A20,'détails investissements'!$A$71:$B$88,2,FALSE)&lt;=0,"",IF(VLOOKUP($A20,'détails investissements'!$A$26:$DE$43,CN$3-VLOOKUP($A20,'détails investissements'!$A$71:$B$88,2,FALSE)+1,FALSE)="","",VLOOKUP($A20,'détails investissements'!$A$26:$DE$43,CN$3-VLOOKUP($A20,'détails investissements'!$A$71:$B$88,2,FALSE)+1,FALSE)))&lt;&gt;"",HLOOKUP(IF(CN$3-VLOOKUP($A20,'détails investissements'!$A$71:$B$88,2,FALSE)&lt;=0,"",IF(VLOOKUP($A20,'détails investissements'!$A$26:$DE$43,CN$3-VLOOKUP($A20,'détails investissements'!$A$71:$B$88,2,FALSE)+1,FALSE)="","",VLOOKUP($A20,'détails investissements'!$A$26:$DE$43,CN$3-VLOOKUP($A20,'détails investissements'!$A$71:$B$88,2,FALSE)+1,FALSE))),'détails investissements'!$U$6:$AB$7,2,FALSE),"")&lt;&gt;"",VLOOKUP($A20,'détails investissements'!$A$7:$H$21,1+IF(IF(CN$3-VLOOKUP($A20,'détails investissements'!$A$71:$B$88,2,FALSE)&lt;=0,"",IF(VLOOKUP($A20,'détails investissements'!$A$26:$DE$43,CN$3-VLOOKUP($A20,'détails investissements'!$A$71:$B$88,2,FALSE)+1,FALSE)="","",VLOOKUP($A20,'détails investissements'!$A$26:$DE$43,CN$3-VLOOKUP($A20,'détails investissements'!$A$71:$B$88,2,FALSE)+1,FALSE)))&lt;&gt;"",HLOOKUP(IF(CN$3-VLOOKUP($A20,'détails investissements'!$A$71:$B$88,2,FALSE)&lt;=0,"",IF(VLOOKUP($A20,'détails investissements'!$A$26:$DE$43,CN$3-VLOOKUP($A20,'détails investissements'!$A$71:$B$88,2,FALSE)+1,FALSE)="","",VLOOKUP($A20,'détails investissements'!$A$26:$DE$43,CN$3-VLOOKUP($A20,'détails investissements'!$A$71:$B$88,2,FALSE)+1,FALSE))),'détails investissements'!$U$6:$AB$7,2,FALSE),""),FALSE),"")</f>
        <v/>
      </c>
      <c r="CO20" s="45" t="str">
        <f>IF(IF(IF(CO$3-VLOOKUP($A20,'détails investissements'!$A$71:$B$88,2,FALSE)&lt;=0,"",IF(VLOOKUP($A20,'détails investissements'!$A$26:$DE$43,CO$3-VLOOKUP($A20,'détails investissements'!$A$71:$B$88,2,FALSE)+1,FALSE)="","",VLOOKUP($A20,'détails investissements'!$A$26:$DE$43,CO$3-VLOOKUP($A20,'détails investissements'!$A$71:$B$88,2,FALSE)+1,FALSE)))&lt;&gt;"",HLOOKUP(IF(CO$3-VLOOKUP($A20,'détails investissements'!$A$71:$B$88,2,FALSE)&lt;=0,"",IF(VLOOKUP($A20,'détails investissements'!$A$26:$DE$43,CO$3-VLOOKUP($A20,'détails investissements'!$A$71:$B$88,2,FALSE)+1,FALSE)="","",VLOOKUP($A20,'détails investissements'!$A$26:$DE$43,CO$3-VLOOKUP($A20,'détails investissements'!$A$71:$B$88,2,FALSE)+1,FALSE))),'détails investissements'!$U$6:$AB$7,2,FALSE),"")&lt;&gt;"",VLOOKUP($A20,'détails investissements'!$A$7:$H$21,1+IF(IF(CO$3-VLOOKUP($A20,'détails investissements'!$A$71:$B$88,2,FALSE)&lt;=0,"",IF(VLOOKUP($A20,'détails investissements'!$A$26:$DE$43,CO$3-VLOOKUP($A20,'détails investissements'!$A$71:$B$88,2,FALSE)+1,FALSE)="","",VLOOKUP($A20,'détails investissements'!$A$26:$DE$43,CO$3-VLOOKUP($A20,'détails investissements'!$A$71:$B$88,2,FALSE)+1,FALSE)))&lt;&gt;"",HLOOKUP(IF(CO$3-VLOOKUP($A20,'détails investissements'!$A$71:$B$88,2,FALSE)&lt;=0,"",IF(VLOOKUP($A20,'détails investissements'!$A$26:$DE$43,CO$3-VLOOKUP($A20,'détails investissements'!$A$71:$B$88,2,FALSE)+1,FALSE)="","",VLOOKUP($A20,'détails investissements'!$A$26:$DE$43,CO$3-VLOOKUP($A20,'détails investissements'!$A$71:$B$88,2,FALSE)+1,FALSE))),'détails investissements'!$U$6:$AB$7,2,FALSE),""),FALSE),"")</f>
        <v/>
      </c>
      <c r="CP20" s="45" t="str">
        <f>IF(IF(IF(CP$3-VLOOKUP($A20,'détails investissements'!$A$71:$B$88,2,FALSE)&lt;=0,"",IF(VLOOKUP($A20,'détails investissements'!$A$26:$DE$43,CP$3-VLOOKUP($A20,'détails investissements'!$A$71:$B$88,2,FALSE)+1,FALSE)="","",VLOOKUP($A20,'détails investissements'!$A$26:$DE$43,CP$3-VLOOKUP($A20,'détails investissements'!$A$71:$B$88,2,FALSE)+1,FALSE)))&lt;&gt;"",HLOOKUP(IF(CP$3-VLOOKUP($A20,'détails investissements'!$A$71:$B$88,2,FALSE)&lt;=0,"",IF(VLOOKUP($A20,'détails investissements'!$A$26:$DE$43,CP$3-VLOOKUP($A20,'détails investissements'!$A$71:$B$88,2,FALSE)+1,FALSE)="","",VLOOKUP($A20,'détails investissements'!$A$26:$DE$43,CP$3-VLOOKUP($A20,'détails investissements'!$A$71:$B$88,2,FALSE)+1,FALSE))),'détails investissements'!$U$6:$AB$7,2,FALSE),"")&lt;&gt;"",VLOOKUP($A20,'détails investissements'!$A$7:$H$21,1+IF(IF(CP$3-VLOOKUP($A20,'détails investissements'!$A$71:$B$88,2,FALSE)&lt;=0,"",IF(VLOOKUP($A20,'détails investissements'!$A$26:$DE$43,CP$3-VLOOKUP($A20,'détails investissements'!$A$71:$B$88,2,FALSE)+1,FALSE)="","",VLOOKUP($A20,'détails investissements'!$A$26:$DE$43,CP$3-VLOOKUP($A20,'détails investissements'!$A$71:$B$88,2,FALSE)+1,FALSE)))&lt;&gt;"",HLOOKUP(IF(CP$3-VLOOKUP($A20,'détails investissements'!$A$71:$B$88,2,FALSE)&lt;=0,"",IF(VLOOKUP($A20,'détails investissements'!$A$26:$DE$43,CP$3-VLOOKUP($A20,'détails investissements'!$A$71:$B$88,2,FALSE)+1,FALSE)="","",VLOOKUP($A20,'détails investissements'!$A$26:$DE$43,CP$3-VLOOKUP($A20,'détails investissements'!$A$71:$B$88,2,FALSE)+1,FALSE))),'détails investissements'!$U$6:$AB$7,2,FALSE),""),FALSE),"")</f>
        <v/>
      </c>
      <c r="CQ20" s="45" t="str">
        <f>IF(IF(IF(CQ$3-VLOOKUP($A20,'détails investissements'!$A$71:$B$88,2,FALSE)&lt;=0,"",IF(VLOOKUP($A20,'détails investissements'!$A$26:$DE$43,CQ$3-VLOOKUP($A20,'détails investissements'!$A$71:$B$88,2,FALSE)+1,FALSE)="","",VLOOKUP($A20,'détails investissements'!$A$26:$DE$43,CQ$3-VLOOKUP($A20,'détails investissements'!$A$71:$B$88,2,FALSE)+1,FALSE)))&lt;&gt;"",HLOOKUP(IF(CQ$3-VLOOKUP($A20,'détails investissements'!$A$71:$B$88,2,FALSE)&lt;=0,"",IF(VLOOKUP($A20,'détails investissements'!$A$26:$DE$43,CQ$3-VLOOKUP($A20,'détails investissements'!$A$71:$B$88,2,FALSE)+1,FALSE)="","",VLOOKUP($A20,'détails investissements'!$A$26:$DE$43,CQ$3-VLOOKUP($A20,'détails investissements'!$A$71:$B$88,2,FALSE)+1,FALSE))),'détails investissements'!$U$6:$AB$7,2,FALSE),"")&lt;&gt;"",VLOOKUP($A20,'détails investissements'!$A$7:$H$21,1+IF(IF(CQ$3-VLOOKUP($A20,'détails investissements'!$A$71:$B$88,2,FALSE)&lt;=0,"",IF(VLOOKUP($A20,'détails investissements'!$A$26:$DE$43,CQ$3-VLOOKUP($A20,'détails investissements'!$A$71:$B$88,2,FALSE)+1,FALSE)="","",VLOOKUP($A20,'détails investissements'!$A$26:$DE$43,CQ$3-VLOOKUP($A20,'détails investissements'!$A$71:$B$88,2,FALSE)+1,FALSE)))&lt;&gt;"",HLOOKUP(IF(CQ$3-VLOOKUP($A20,'détails investissements'!$A$71:$B$88,2,FALSE)&lt;=0,"",IF(VLOOKUP($A20,'détails investissements'!$A$26:$DE$43,CQ$3-VLOOKUP($A20,'détails investissements'!$A$71:$B$88,2,FALSE)+1,FALSE)="","",VLOOKUP($A20,'détails investissements'!$A$26:$DE$43,CQ$3-VLOOKUP($A20,'détails investissements'!$A$71:$B$88,2,FALSE)+1,FALSE))),'détails investissements'!$U$6:$AB$7,2,FALSE),""),FALSE),"")</f>
        <v/>
      </c>
      <c r="CR20" s="45" t="str">
        <f>IF(IF(IF(CR$3-VLOOKUP($A20,'détails investissements'!$A$71:$B$88,2,FALSE)&lt;=0,"",IF(VLOOKUP($A20,'détails investissements'!$A$26:$DE$43,CR$3-VLOOKUP($A20,'détails investissements'!$A$71:$B$88,2,FALSE)+1,FALSE)="","",VLOOKUP($A20,'détails investissements'!$A$26:$DE$43,CR$3-VLOOKUP($A20,'détails investissements'!$A$71:$B$88,2,FALSE)+1,FALSE)))&lt;&gt;"",HLOOKUP(IF(CR$3-VLOOKUP($A20,'détails investissements'!$A$71:$B$88,2,FALSE)&lt;=0,"",IF(VLOOKUP($A20,'détails investissements'!$A$26:$DE$43,CR$3-VLOOKUP($A20,'détails investissements'!$A$71:$B$88,2,FALSE)+1,FALSE)="","",VLOOKUP($A20,'détails investissements'!$A$26:$DE$43,CR$3-VLOOKUP($A20,'détails investissements'!$A$71:$B$88,2,FALSE)+1,FALSE))),'détails investissements'!$U$6:$AB$7,2,FALSE),"")&lt;&gt;"",VLOOKUP($A20,'détails investissements'!$A$7:$H$21,1+IF(IF(CR$3-VLOOKUP($A20,'détails investissements'!$A$71:$B$88,2,FALSE)&lt;=0,"",IF(VLOOKUP($A20,'détails investissements'!$A$26:$DE$43,CR$3-VLOOKUP($A20,'détails investissements'!$A$71:$B$88,2,FALSE)+1,FALSE)="","",VLOOKUP($A20,'détails investissements'!$A$26:$DE$43,CR$3-VLOOKUP($A20,'détails investissements'!$A$71:$B$88,2,FALSE)+1,FALSE)))&lt;&gt;"",HLOOKUP(IF(CR$3-VLOOKUP($A20,'détails investissements'!$A$71:$B$88,2,FALSE)&lt;=0,"",IF(VLOOKUP($A20,'détails investissements'!$A$26:$DE$43,CR$3-VLOOKUP($A20,'détails investissements'!$A$71:$B$88,2,FALSE)+1,FALSE)="","",VLOOKUP($A20,'détails investissements'!$A$26:$DE$43,CR$3-VLOOKUP($A20,'détails investissements'!$A$71:$B$88,2,FALSE)+1,FALSE))),'détails investissements'!$U$6:$AB$7,2,FALSE),""),FALSE),"")</f>
        <v/>
      </c>
      <c r="CS20" s="45" t="str">
        <f>IF(IF(IF(CS$3-VLOOKUP($A20,'détails investissements'!$A$71:$B$88,2,FALSE)&lt;=0,"",IF(VLOOKUP($A20,'détails investissements'!$A$26:$DE$43,CS$3-VLOOKUP($A20,'détails investissements'!$A$71:$B$88,2,FALSE)+1,FALSE)="","",VLOOKUP($A20,'détails investissements'!$A$26:$DE$43,CS$3-VLOOKUP($A20,'détails investissements'!$A$71:$B$88,2,FALSE)+1,FALSE)))&lt;&gt;"",HLOOKUP(IF(CS$3-VLOOKUP($A20,'détails investissements'!$A$71:$B$88,2,FALSE)&lt;=0,"",IF(VLOOKUP($A20,'détails investissements'!$A$26:$DE$43,CS$3-VLOOKUP($A20,'détails investissements'!$A$71:$B$88,2,FALSE)+1,FALSE)="","",VLOOKUP($A20,'détails investissements'!$A$26:$DE$43,CS$3-VLOOKUP($A20,'détails investissements'!$A$71:$B$88,2,FALSE)+1,FALSE))),'détails investissements'!$U$6:$AB$7,2,FALSE),"")&lt;&gt;"",VLOOKUP($A20,'détails investissements'!$A$7:$H$21,1+IF(IF(CS$3-VLOOKUP($A20,'détails investissements'!$A$71:$B$88,2,FALSE)&lt;=0,"",IF(VLOOKUP($A20,'détails investissements'!$A$26:$DE$43,CS$3-VLOOKUP($A20,'détails investissements'!$A$71:$B$88,2,FALSE)+1,FALSE)="","",VLOOKUP($A20,'détails investissements'!$A$26:$DE$43,CS$3-VLOOKUP($A20,'détails investissements'!$A$71:$B$88,2,FALSE)+1,FALSE)))&lt;&gt;"",HLOOKUP(IF(CS$3-VLOOKUP($A20,'détails investissements'!$A$71:$B$88,2,FALSE)&lt;=0,"",IF(VLOOKUP($A20,'détails investissements'!$A$26:$DE$43,CS$3-VLOOKUP($A20,'détails investissements'!$A$71:$B$88,2,FALSE)+1,FALSE)="","",VLOOKUP($A20,'détails investissements'!$A$26:$DE$43,CS$3-VLOOKUP($A20,'détails investissements'!$A$71:$B$88,2,FALSE)+1,FALSE))),'détails investissements'!$U$6:$AB$7,2,FALSE),""),FALSE),"")</f>
        <v/>
      </c>
      <c r="CT20" s="45" t="str">
        <f>IF(IF(IF(CT$3-VLOOKUP($A20,'détails investissements'!$A$71:$B$88,2,FALSE)&lt;=0,"",IF(VLOOKUP($A20,'détails investissements'!$A$26:$DE$43,CT$3-VLOOKUP($A20,'détails investissements'!$A$71:$B$88,2,FALSE)+1,FALSE)="","",VLOOKUP($A20,'détails investissements'!$A$26:$DE$43,CT$3-VLOOKUP($A20,'détails investissements'!$A$71:$B$88,2,FALSE)+1,FALSE)))&lt;&gt;"",HLOOKUP(IF(CT$3-VLOOKUP($A20,'détails investissements'!$A$71:$B$88,2,FALSE)&lt;=0,"",IF(VLOOKUP($A20,'détails investissements'!$A$26:$DE$43,CT$3-VLOOKUP($A20,'détails investissements'!$A$71:$B$88,2,FALSE)+1,FALSE)="","",VLOOKUP($A20,'détails investissements'!$A$26:$DE$43,CT$3-VLOOKUP($A20,'détails investissements'!$A$71:$B$88,2,FALSE)+1,FALSE))),'détails investissements'!$U$6:$AB$7,2,FALSE),"")&lt;&gt;"",VLOOKUP($A20,'détails investissements'!$A$7:$H$21,1+IF(IF(CT$3-VLOOKUP($A20,'détails investissements'!$A$71:$B$88,2,FALSE)&lt;=0,"",IF(VLOOKUP($A20,'détails investissements'!$A$26:$DE$43,CT$3-VLOOKUP($A20,'détails investissements'!$A$71:$B$88,2,FALSE)+1,FALSE)="","",VLOOKUP($A20,'détails investissements'!$A$26:$DE$43,CT$3-VLOOKUP($A20,'détails investissements'!$A$71:$B$88,2,FALSE)+1,FALSE)))&lt;&gt;"",HLOOKUP(IF(CT$3-VLOOKUP($A20,'détails investissements'!$A$71:$B$88,2,FALSE)&lt;=0,"",IF(VLOOKUP($A20,'détails investissements'!$A$26:$DE$43,CT$3-VLOOKUP($A20,'détails investissements'!$A$71:$B$88,2,FALSE)+1,FALSE)="","",VLOOKUP($A20,'détails investissements'!$A$26:$DE$43,CT$3-VLOOKUP($A20,'détails investissements'!$A$71:$B$88,2,FALSE)+1,FALSE))),'détails investissements'!$U$6:$AB$7,2,FALSE),""),FALSE),"")</f>
        <v/>
      </c>
      <c r="CU20" s="45" t="str">
        <f>IF(IF(IF(CU$3-VLOOKUP($A20,'détails investissements'!$A$71:$B$88,2,FALSE)&lt;=0,"",IF(VLOOKUP($A20,'détails investissements'!$A$26:$DE$43,CU$3-VLOOKUP($A20,'détails investissements'!$A$71:$B$88,2,FALSE)+1,FALSE)="","",VLOOKUP($A20,'détails investissements'!$A$26:$DE$43,CU$3-VLOOKUP($A20,'détails investissements'!$A$71:$B$88,2,FALSE)+1,FALSE)))&lt;&gt;"",HLOOKUP(IF(CU$3-VLOOKUP($A20,'détails investissements'!$A$71:$B$88,2,FALSE)&lt;=0,"",IF(VLOOKUP($A20,'détails investissements'!$A$26:$DE$43,CU$3-VLOOKUP($A20,'détails investissements'!$A$71:$B$88,2,FALSE)+1,FALSE)="","",VLOOKUP($A20,'détails investissements'!$A$26:$DE$43,CU$3-VLOOKUP($A20,'détails investissements'!$A$71:$B$88,2,FALSE)+1,FALSE))),'détails investissements'!$U$6:$AB$7,2,FALSE),"")&lt;&gt;"",VLOOKUP($A20,'détails investissements'!$A$7:$H$21,1+IF(IF(CU$3-VLOOKUP($A20,'détails investissements'!$A$71:$B$88,2,FALSE)&lt;=0,"",IF(VLOOKUP($A20,'détails investissements'!$A$26:$DE$43,CU$3-VLOOKUP($A20,'détails investissements'!$A$71:$B$88,2,FALSE)+1,FALSE)="","",VLOOKUP($A20,'détails investissements'!$A$26:$DE$43,CU$3-VLOOKUP($A20,'détails investissements'!$A$71:$B$88,2,FALSE)+1,FALSE)))&lt;&gt;"",HLOOKUP(IF(CU$3-VLOOKUP($A20,'détails investissements'!$A$71:$B$88,2,FALSE)&lt;=0,"",IF(VLOOKUP($A20,'détails investissements'!$A$26:$DE$43,CU$3-VLOOKUP($A20,'détails investissements'!$A$71:$B$88,2,FALSE)+1,FALSE)="","",VLOOKUP($A20,'détails investissements'!$A$26:$DE$43,CU$3-VLOOKUP($A20,'détails investissements'!$A$71:$B$88,2,FALSE)+1,FALSE))),'détails investissements'!$U$6:$AB$7,2,FALSE),""),FALSE),"")</f>
        <v/>
      </c>
      <c r="CV20" s="45" t="str">
        <f>IF(IF(IF(CV$3-VLOOKUP($A20,'détails investissements'!$A$71:$B$88,2,FALSE)&lt;=0,"",IF(VLOOKUP($A20,'détails investissements'!$A$26:$DE$43,CV$3-VLOOKUP($A20,'détails investissements'!$A$71:$B$88,2,FALSE)+1,FALSE)="","",VLOOKUP($A20,'détails investissements'!$A$26:$DE$43,CV$3-VLOOKUP($A20,'détails investissements'!$A$71:$B$88,2,FALSE)+1,FALSE)))&lt;&gt;"",HLOOKUP(IF(CV$3-VLOOKUP($A20,'détails investissements'!$A$71:$B$88,2,FALSE)&lt;=0,"",IF(VLOOKUP($A20,'détails investissements'!$A$26:$DE$43,CV$3-VLOOKUP($A20,'détails investissements'!$A$71:$B$88,2,FALSE)+1,FALSE)="","",VLOOKUP($A20,'détails investissements'!$A$26:$DE$43,CV$3-VLOOKUP($A20,'détails investissements'!$A$71:$B$88,2,FALSE)+1,FALSE))),'détails investissements'!$U$6:$AB$7,2,FALSE),"")&lt;&gt;"",VLOOKUP($A20,'détails investissements'!$A$7:$H$21,1+IF(IF(CV$3-VLOOKUP($A20,'détails investissements'!$A$71:$B$88,2,FALSE)&lt;=0,"",IF(VLOOKUP($A20,'détails investissements'!$A$26:$DE$43,CV$3-VLOOKUP($A20,'détails investissements'!$A$71:$B$88,2,FALSE)+1,FALSE)="","",VLOOKUP($A20,'détails investissements'!$A$26:$DE$43,CV$3-VLOOKUP($A20,'détails investissements'!$A$71:$B$88,2,FALSE)+1,FALSE)))&lt;&gt;"",HLOOKUP(IF(CV$3-VLOOKUP($A20,'détails investissements'!$A$71:$B$88,2,FALSE)&lt;=0,"",IF(VLOOKUP($A20,'détails investissements'!$A$26:$DE$43,CV$3-VLOOKUP($A20,'détails investissements'!$A$71:$B$88,2,FALSE)+1,FALSE)="","",VLOOKUP($A20,'détails investissements'!$A$26:$DE$43,CV$3-VLOOKUP($A20,'détails investissements'!$A$71:$B$88,2,FALSE)+1,FALSE))),'détails investissements'!$U$6:$AB$7,2,FALSE),""),FALSE),"")</f>
        <v/>
      </c>
      <c r="CW20" s="45" t="str">
        <f>IF(IF(IF(CW$3-VLOOKUP($A20,'détails investissements'!$A$71:$B$88,2,FALSE)&lt;=0,"",IF(VLOOKUP($A20,'détails investissements'!$A$26:$DE$43,CW$3-VLOOKUP($A20,'détails investissements'!$A$71:$B$88,2,FALSE)+1,FALSE)="","",VLOOKUP($A20,'détails investissements'!$A$26:$DE$43,CW$3-VLOOKUP($A20,'détails investissements'!$A$71:$B$88,2,FALSE)+1,FALSE)))&lt;&gt;"",HLOOKUP(IF(CW$3-VLOOKUP($A20,'détails investissements'!$A$71:$B$88,2,FALSE)&lt;=0,"",IF(VLOOKUP($A20,'détails investissements'!$A$26:$DE$43,CW$3-VLOOKUP($A20,'détails investissements'!$A$71:$B$88,2,FALSE)+1,FALSE)="","",VLOOKUP($A20,'détails investissements'!$A$26:$DE$43,CW$3-VLOOKUP($A20,'détails investissements'!$A$71:$B$88,2,FALSE)+1,FALSE))),'détails investissements'!$U$6:$AB$7,2,FALSE),"")&lt;&gt;"",VLOOKUP($A20,'détails investissements'!$A$7:$H$21,1+IF(IF(CW$3-VLOOKUP($A20,'détails investissements'!$A$71:$B$88,2,FALSE)&lt;=0,"",IF(VLOOKUP($A20,'détails investissements'!$A$26:$DE$43,CW$3-VLOOKUP($A20,'détails investissements'!$A$71:$B$88,2,FALSE)+1,FALSE)="","",VLOOKUP($A20,'détails investissements'!$A$26:$DE$43,CW$3-VLOOKUP($A20,'détails investissements'!$A$71:$B$88,2,FALSE)+1,FALSE)))&lt;&gt;"",HLOOKUP(IF(CW$3-VLOOKUP($A20,'détails investissements'!$A$71:$B$88,2,FALSE)&lt;=0,"",IF(VLOOKUP($A20,'détails investissements'!$A$26:$DE$43,CW$3-VLOOKUP($A20,'détails investissements'!$A$71:$B$88,2,FALSE)+1,FALSE)="","",VLOOKUP($A20,'détails investissements'!$A$26:$DE$43,CW$3-VLOOKUP($A20,'détails investissements'!$A$71:$B$88,2,FALSE)+1,FALSE))),'détails investissements'!$U$6:$AB$7,2,FALSE),""),FALSE),"")</f>
        <v/>
      </c>
      <c r="CX20" s="45" t="str">
        <f>IF(IF(IF(CX$3-VLOOKUP($A20,'détails investissements'!$A$71:$B$88,2,FALSE)&lt;=0,"",IF(VLOOKUP($A20,'détails investissements'!$A$26:$DE$43,CX$3-VLOOKUP($A20,'détails investissements'!$A$71:$B$88,2,FALSE)+1,FALSE)="","",VLOOKUP($A20,'détails investissements'!$A$26:$DE$43,CX$3-VLOOKUP($A20,'détails investissements'!$A$71:$B$88,2,FALSE)+1,FALSE)))&lt;&gt;"",HLOOKUP(IF(CX$3-VLOOKUP($A20,'détails investissements'!$A$71:$B$88,2,FALSE)&lt;=0,"",IF(VLOOKUP($A20,'détails investissements'!$A$26:$DE$43,CX$3-VLOOKUP($A20,'détails investissements'!$A$71:$B$88,2,FALSE)+1,FALSE)="","",VLOOKUP($A20,'détails investissements'!$A$26:$DE$43,CX$3-VLOOKUP($A20,'détails investissements'!$A$71:$B$88,2,FALSE)+1,FALSE))),'détails investissements'!$U$6:$AB$7,2,FALSE),"")&lt;&gt;"",VLOOKUP($A20,'détails investissements'!$A$7:$H$21,1+IF(IF(CX$3-VLOOKUP($A20,'détails investissements'!$A$71:$B$88,2,FALSE)&lt;=0,"",IF(VLOOKUP($A20,'détails investissements'!$A$26:$DE$43,CX$3-VLOOKUP($A20,'détails investissements'!$A$71:$B$88,2,FALSE)+1,FALSE)="","",VLOOKUP($A20,'détails investissements'!$A$26:$DE$43,CX$3-VLOOKUP($A20,'détails investissements'!$A$71:$B$88,2,FALSE)+1,FALSE)))&lt;&gt;"",HLOOKUP(IF(CX$3-VLOOKUP($A20,'détails investissements'!$A$71:$B$88,2,FALSE)&lt;=0,"",IF(VLOOKUP($A20,'détails investissements'!$A$26:$DE$43,CX$3-VLOOKUP($A20,'détails investissements'!$A$71:$B$88,2,FALSE)+1,FALSE)="","",VLOOKUP($A20,'détails investissements'!$A$26:$DE$43,CX$3-VLOOKUP($A20,'détails investissements'!$A$71:$B$88,2,FALSE)+1,FALSE))),'détails investissements'!$U$6:$AB$7,2,FALSE),""),FALSE),"")</f>
        <v/>
      </c>
      <c r="CY20" s="45" t="str">
        <f>IF(IF(IF(CY$3-VLOOKUP($A20,'détails investissements'!$A$71:$B$88,2,FALSE)&lt;=0,"",IF(VLOOKUP($A20,'détails investissements'!$A$26:$DE$43,CY$3-VLOOKUP($A20,'détails investissements'!$A$71:$B$88,2,FALSE)+1,FALSE)="","",VLOOKUP($A20,'détails investissements'!$A$26:$DE$43,CY$3-VLOOKUP($A20,'détails investissements'!$A$71:$B$88,2,FALSE)+1,FALSE)))&lt;&gt;"",HLOOKUP(IF(CY$3-VLOOKUP($A20,'détails investissements'!$A$71:$B$88,2,FALSE)&lt;=0,"",IF(VLOOKUP($A20,'détails investissements'!$A$26:$DE$43,CY$3-VLOOKUP($A20,'détails investissements'!$A$71:$B$88,2,FALSE)+1,FALSE)="","",VLOOKUP($A20,'détails investissements'!$A$26:$DE$43,CY$3-VLOOKUP($A20,'détails investissements'!$A$71:$B$88,2,FALSE)+1,FALSE))),'détails investissements'!$U$6:$AB$7,2,FALSE),"")&lt;&gt;"",VLOOKUP($A20,'détails investissements'!$A$7:$H$21,1+IF(IF(CY$3-VLOOKUP($A20,'détails investissements'!$A$71:$B$88,2,FALSE)&lt;=0,"",IF(VLOOKUP($A20,'détails investissements'!$A$26:$DE$43,CY$3-VLOOKUP($A20,'détails investissements'!$A$71:$B$88,2,FALSE)+1,FALSE)="","",VLOOKUP($A20,'détails investissements'!$A$26:$DE$43,CY$3-VLOOKUP($A20,'détails investissements'!$A$71:$B$88,2,FALSE)+1,FALSE)))&lt;&gt;"",HLOOKUP(IF(CY$3-VLOOKUP($A20,'détails investissements'!$A$71:$B$88,2,FALSE)&lt;=0,"",IF(VLOOKUP($A20,'détails investissements'!$A$26:$DE$43,CY$3-VLOOKUP($A20,'détails investissements'!$A$71:$B$88,2,FALSE)+1,FALSE)="","",VLOOKUP($A20,'détails investissements'!$A$26:$DE$43,CY$3-VLOOKUP($A20,'détails investissements'!$A$71:$B$88,2,FALSE)+1,FALSE))),'détails investissements'!$U$6:$AB$7,2,FALSE),""),FALSE),"")</f>
        <v/>
      </c>
      <c r="CZ20" s="45" t="str">
        <f>IF(IF(IF(CZ$3-VLOOKUP($A20,'détails investissements'!$A$71:$B$88,2,FALSE)&lt;=0,"",IF(VLOOKUP($A20,'détails investissements'!$A$26:$DE$43,CZ$3-VLOOKUP($A20,'détails investissements'!$A$71:$B$88,2,FALSE)+1,FALSE)="","",VLOOKUP($A20,'détails investissements'!$A$26:$DE$43,CZ$3-VLOOKUP($A20,'détails investissements'!$A$71:$B$88,2,FALSE)+1,FALSE)))&lt;&gt;"",HLOOKUP(IF(CZ$3-VLOOKUP($A20,'détails investissements'!$A$71:$B$88,2,FALSE)&lt;=0,"",IF(VLOOKUP($A20,'détails investissements'!$A$26:$DE$43,CZ$3-VLOOKUP($A20,'détails investissements'!$A$71:$B$88,2,FALSE)+1,FALSE)="","",VLOOKUP($A20,'détails investissements'!$A$26:$DE$43,CZ$3-VLOOKUP($A20,'détails investissements'!$A$71:$B$88,2,FALSE)+1,FALSE))),'détails investissements'!$U$6:$AB$7,2,FALSE),"")&lt;&gt;"",VLOOKUP($A20,'détails investissements'!$A$7:$H$21,1+IF(IF(CZ$3-VLOOKUP($A20,'détails investissements'!$A$71:$B$88,2,FALSE)&lt;=0,"",IF(VLOOKUP($A20,'détails investissements'!$A$26:$DE$43,CZ$3-VLOOKUP($A20,'détails investissements'!$A$71:$B$88,2,FALSE)+1,FALSE)="","",VLOOKUP($A20,'détails investissements'!$A$26:$DE$43,CZ$3-VLOOKUP($A20,'détails investissements'!$A$71:$B$88,2,FALSE)+1,FALSE)))&lt;&gt;"",HLOOKUP(IF(CZ$3-VLOOKUP($A20,'détails investissements'!$A$71:$B$88,2,FALSE)&lt;=0,"",IF(VLOOKUP($A20,'détails investissements'!$A$26:$DE$43,CZ$3-VLOOKUP($A20,'détails investissements'!$A$71:$B$88,2,FALSE)+1,FALSE)="","",VLOOKUP($A20,'détails investissements'!$A$26:$DE$43,CZ$3-VLOOKUP($A20,'détails investissements'!$A$71:$B$88,2,FALSE)+1,FALSE))),'détails investissements'!$U$6:$AB$7,2,FALSE),""),FALSE),"")</f>
        <v/>
      </c>
      <c r="DA20" s="45" t="str">
        <f>IF(IF(IF(DA$3-VLOOKUP($A20,'détails investissements'!$A$71:$B$88,2,FALSE)&lt;=0,"",IF(VLOOKUP($A20,'détails investissements'!$A$26:$DE$43,DA$3-VLOOKUP($A20,'détails investissements'!$A$71:$B$88,2,FALSE)+1,FALSE)="","",VLOOKUP($A20,'détails investissements'!$A$26:$DE$43,DA$3-VLOOKUP($A20,'détails investissements'!$A$71:$B$88,2,FALSE)+1,FALSE)))&lt;&gt;"",HLOOKUP(IF(DA$3-VLOOKUP($A20,'détails investissements'!$A$71:$B$88,2,FALSE)&lt;=0,"",IF(VLOOKUP($A20,'détails investissements'!$A$26:$DE$43,DA$3-VLOOKUP($A20,'détails investissements'!$A$71:$B$88,2,FALSE)+1,FALSE)="","",VLOOKUP($A20,'détails investissements'!$A$26:$DE$43,DA$3-VLOOKUP($A20,'détails investissements'!$A$71:$B$88,2,FALSE)+1,FALSE))),'détails investissements'!$U$6:$AB$7,2,FALSE),"")&lt;&gt;"",VLOOKUP($A20,'détails investissements'!$A$7:$H$21,1+IF(IF(DA$3-VLOOKUP($A20,'détails investissements'!$A$71:$B$88,2,FALSE)&lt;=0,"",IF(VLOOKUP($A20,'détails investissements'!$A$26:$DE$43,DA$3-VLOOKUP($A20,'détails investissements'!$A$71:$B$88,2,FALSE)+1,FALSE)="","",VLOOKUP($A20,'détails investissements'!$A$26:$DE$43,DA$3-VLOOKUP($A20,'détails investissements'!$A$71:$B$88,2,FALSE)+1,FALSE)))&lt;&gt;"",HLOOKUP(IF(DA$3-VLOOKUP($A20,'détails investissements'!$A$71:$B$88,2,FALSE)&lt;=0,"",IF(VLOOKUP($A20,'détails investissements'!$A$26:$DE$43,DA$3-VLOOKUP($A20,'détails investissements'!$A$71:$B$88,2,FALSE)+1,FALSE)="","",VLOOKUP($A20,'détails investissements'!$A$26:$DE$43,DA$3-VLOOKUP($A20,'détails investissements'!$A$71:$B$88,2,FALSE)+1,FALSE))),'détails investissements'!$U$6:$AB$7,2,FALSE),""),FALSE),"")</f>
        <v/>
      </c>
      <c r="DB20" s="45" t="str">
        <f>IF(IF(IF(DB$3-VLOOKUP($A20,'détails investissements'!$A$71:$B$88,2,FALSE)&lt;=0,"",IF(VLOOKUP($A20,'détails investissements'!$A$26:$DE$43,DB$3-VLOOKUP($A20,'détails investissements'!$A$71:$B$88,2,FALSE)+1,FALSE)="","",VLOOKUP($A20,'détails investissements'!$A$26:$DE$43,DB$3-VLOOKUP($A20,'détails investissements'!$A$71:$B$88,2,FALSE)+1,FALSE)))&lt;&gt;"",HLOOKUP(IF(DB$3-VLOOKUP($A20,'détails investissements'!$A$71:$B$88,2,FALSE)&lt;=0,"",IF(VLOOKUP($A20,'détails investissements'!$A$26:$DE$43,DB$3-VLOOKUP($A20,'détails investissements'!$A$71:$B$88,2,FALSE)+1,FALSE)="","",VLOOKUP($A20,'détails investissements'!$A$26:$DE$43,DB$3-VLOOKUP($A20,'détails investissements'!$A$71:$B$88,2,FALSE)+1,FALSE))),'détails investissements'!$U$6:$AB$7,2,FALSE),"")&lt;&gt;"",VLOOKUP($A20,'détails investissements'!$A$7:$H$21,1+IF(IF(DB$3-VLOOKUP($A20,'détails investissements'!$A$71:$B$88,2,FALSE)&lt;=0,"",IF(VLOOKUP($A20,'détails investissements'!$A$26:$DE$43,DB$3-VLOOKUP($A20,'détails investissements'!$A$71:$B$88,2,FALSE)+1,FALSE)="","",VLOOKUP($A20,'détails investissements'!$A$26:$DE$43,DB$3-VLOOKUP($A20,'détails investissements'!$A$71:$B$88,2,FALSE)+1,FALSE)))&lt;&gt;"",HLOOKUP(IF(DB$3-VLOOKUP($A20,'détails investissements'!$A$71:$B$88,2,FALSE)&lt;=0,"",IF(VLOOKUP($A20,'détails investissements'!$A$26:$DE$43,DB$3-VLOOKUP($A20,'détails investissements'!$A$71:$B$88,2,FALSE)+1,FALSE)="","",VLOOKUP($A20,'détails investissements'!$A$26:$DE$43,DB$3-VLOOKUP($A20,'détails investissements'!$A$71:$B$88,2,FALSE)+1,FALSE))),'détails investissements'!$U$6:$AB$7,2,FALSE),""),FALSE),"")</f>
        <v/>
      </c>
      <c r="DC20" s="45" t="str">
        <f>IF(IF(IF(DC$3-VLOOKUP($A20,'détails investissements'!$A$71:$B$88,2,FALSE)&lt;=0,"",IF(VLOOKUP($A20,'détails investissements'!$A$26:$DE$43,DC$3-VLOOKUP($A20,'détails investissements'!$A$71:$B$88,2,FALSE)+1,FALSE)="","",VLOOKUP($A20,'détails investissements'!$A$26:$DE$43,DC$3-VLOOKUP($A20,'détails investissements'!$A$71:$B$88,2,FALSE)+1,FALSE)))&lt;&gt;"",HLOOKUP(IF(DC$3-VLOOKUP($A20,'détails investissements'!$A$71:$B$88,2,FALSE)&lt;=0,"",IF(VLOOKUP($A20,'détails investissements'!$A$26:$DE$43,DC$3-VLOOKUP($A20,'détails investissements'!$A$71:$B$88,2,FALSE)+1,FALSE)="","",VLOOKUP($A20,'détails investissements'!$A$26:$DE$43,DC$3-VLOOKUP($A20,'détails investissements'!$A$71:$B$88,2,FALSE)+1,FALSE))),'détails investissements'!$U$6:$AB$7,2,FALSE),"")&lt;&gt;"",VLOOKUP($A20,'détails investissements'!$A$7:$H$21,1+IF(IF(DC$3-VLOOKUP($A20,'détails investissements'!$A$71:$B$88,2,FALSE)&lt;=0,"",IF(VLOOKUP($A20,'détails investissements'!$A$26:$DE$43,DC$3-VLOOKUP($A20,'détails investissements'!$A$71:$B$88,2,FALSE)+1,FALSE)="","",VLOOKUP($A20,'détails investissements'!$A$26:$DE$43,DC$3-VLOOKUP($A20,'détails investissements'!$A$71:$B$88,2,FALSE)+1,FALSE)))&lt;&gt;"",HLOOKUP(IF(DC$3-VLOOKUP($A20,'détails investissements'!$A$71:$B$88,2,FALSE)&lt;=0,"",IF(VLOOKUP($A20,'détails investissements'!$A$26:$DE$43,DC$3-VLOOKUP($A20,'détails investissements'!$A$71:$B$88,2,FALSE)+1,FALSE)="","",VLOOKUP($A20,'détails investissements'!$A$26:$DE$43,DC$3-VLOOKUP($A20,'détails investissements'!$A$71:$B$88,2,FALSE)+1,FALSE))),'détails investissements'!$U$6:$AB$7,2,FALSE),""),FALSE),"")</f>
        <v/>
      </c>
      <c r="DD20" s="45" t="str">
        <f>IF(IF(IF(DD$3-VLOOKUP($A20,'détails investissements'!$A$71:$B$88,2,FALSE)&lt;=0,"",IF(VLOOKUP($A20,'détails investissements'!$A$26:$DE$43,DD$3-VLOOKUP($A20,'détails investissements'!$A$71:$B$88,2,FALSE)+1,FALSE)="","",VLOOKUP($A20,'détails investissements'!$A$26:$DE$43,DD$3-VLOOKUP($A20,'détails investissements'!$A$71:$B$88,2,FALSE)+1,FALSE)))&lt;&gt;"",HLOOKUP(IF(DD$3-VLOOKUP($A20,'détails investissements'!$A$71:$B$88,2,FALSE)&lt;=0,"",IF(VLOOKUP($A20,'détails investissements'!$A$26:$DE$43,DD$3-VLOOKUP($A20,'détails investissements'!$A$71:$B$88,2,FALSE)+1,FALSE)="","",VLOOKUP($A20,'détails investissements'!$A$26:$DE$43,DD$3-VLOOKUP($A20,'détails investissements'!$A$71:$B$88,2,FALSE)+1,FALSE))),'détails investissements'!$U$6:$AB$7,2,FALSE),"")&lt;&gt;"",VLOOKUP($A20,'détails investissements'!$A$7:$H$21,1+IF(IF(DD$3-VLOOKUP($A20,'détails investissements'!$A$71:$B$88,2,FALSE)&lt;=0,"",IF(VLOOKUP($A20,'détails investissements'!$A$26:$DE$43,DD$3-VLOOKUP($A20,'détails investissements'!$A$71:$B$88,2,FALSE)+1,FALSE)="","",VLOOKUP($A20,'détails investissements'!$A$26:$DE$43,DD$3-VLOOKUP($A20,'détails investissements'!$A$71:$B$88,2,FALSE)+1,FALSE)))&lt;&gt;"",HLOOKUP(IF(DD$3-VLOOKUP($A20,'détails investissements'!$A$71:$B$88,2,FALSE)&lt;=0,"",IF(VLOOKUP($A20,'détails investissements'!$A$26:$DE$43,DD$3-VLOOKUP($A20,'détails investissements'!$A$71:$B$88,2,FALSE)+1,FALSE)="","",VLOOKUP($A20,'détails investissements'!$A$26:$DE$43,DD$3-VLOOKUP($A20,'détails investissements'!$A$71:$B$88,2,FALSE)+1,FALSE))),'détails investissements'!$U$6:$AB$7,2,FALSE),""),FALSE),"")</f>
        <v/>
      </c>
      <c r="DE20" s="45" t="str">
        <f>IF(IF(IF(DE$3-VLOOKUP($A20,'détails investissements'!$A$71:$B$88,2,FALSE)&lt;=0,"",IF(VLOOKUP($A20,'détails investissements'!$A$26:$DE$43,DE$3-VLOOKUP($A20,'détails investissements'!$A$71:$B$88,2,FALSE)+1,FALSE)="","",VLOOKUP($A20,'détails investissements'!$A$26:$DE$43,DE$3-VLOOKUP($A20,'détails investissements'!$A$71:$B$88,2,FALSE)+1,FALSE)))&lt;&gt;"",HLOOKUP(IF(DE$3-VLOOKUP($A20,'détails investissements'!$A$71:$B$88,2,FALSE)&lt;=0,"",IF(VLOOKUP($A20,'détails investissements'!$A$26:$DE$43,DE$3-VLOOKUP($A20,'détails investissements'!$A$71:$B$88,2,FALSE)+1,FALSE)="","",VLOOKUP($A20,'détails investissements'!$A$26:$DE$43,DE$3-VLOOKUP($A20,'détails investissements'!$A$71:$B$88,2,FALSE)+1,FALSE))),'détails investissements'!$U$6:$AB$7,2,FALSE),"")&lt;&gt;"",VLOOKUP($A20,'détails investissements'!$A$7:$H$21,1+IF(IF(DE$3-VLOOKUP($A20,'détails investissements'!$A$71:$B$88,2,FALSE)&lt;=0,"",IF(VLOOKUP($A20,'détails investissements'!$A$26:$DE$43,DE$3-VLOOKUP($A20,'détails investissements'!$A$71:$B$88,2,FALSE)+1,FALSE)="","",VLOOKUP($A20,'détails investissements'!$A$26:$DE$43,DE$3-VLOOKUP($A20,'détails investissements'!$A$71:$B$88,2,FALSE)+1,FALSE)))&lt;&gt;"",HLOOKUP(IF(DE$3-VLOOKUP($A20,'détails investissements'!$A$71:$B$88,2,FALSE)&lt;=0,"",IF(VLOOKUP($A20,'détails investissements'!$A$26:$DE$43,DE$3-VLOOKUP($A20,'détails investissements'!$A$71:$B$88,2,FALSE)+1,FALSE)="","",VLOOKUP($A20,'détails investissements'!$A$26:$DE$43,DE$3-VLOOKUP($A20,'détails investissements'!$A$71:$B$88,2,FALSE)+1,FALSE))),'détails investissements'!$U$6:$AB$7,2,FALSE),""),FALSE),"")</f>
        <v/>
      </c>
      <c r="DF20" s="45" t="str">
        <f>IF(IF(IF(DF$3-VLOOKUP($A20,'détails investissements'!$A$71:$B$88,2,FALSE)&lt;=0,"",IF(VLOOKUP($A20,'détails investissements'!$A$26:$DE$43,DF$3-VLOOKUP($A20,'détails investissements'!$A$71:$B$88,2,FALSE)+1,FALSE)="","",VLOOKUP($A20,'détails investissements'!$A$26:$DE$43,DF$3-VLOOKUP($A20,'détails investissements'!$A$71:$B$88,2,FALSE)+1,FALSE)))&lt;&gt;"",HLOOKUP(IF(DF$3-VLOOKUP($A20,'détails investissements'!$A$71:$B$88,2,FALSE)&lt;=0,"",IF(VLOOKUP($A20,'détails investissements'!$A$26:$DE$43,DF$3-VLOOKUP($A20,'détails investissements'!$A$71:$B$88,2,FALSE)+1,FALSE)="","",VLOOKUP($A20,'détails investissements'!$A$26:$DE$43,DF$3-VLOOKUP($A20,'détails investissements'!$A$71:$B$88,2,FALSE)+1,FALSE))),'détails investissements'!$U$6:$AB$7,2,FALSE),"")&lt;&gt;"",VLOOKUP($A20,'détails investissements'!$A$7:$H$21,1+IF(IF(DF$3-VLOOKUP($A20,'détails investissements'!$A$71:$B$88,2,FALSE)&lt;=0,"",IF(VLOOKUP($A20,'détails investissements'!$A$26:$DE$43,DF$3-VLOOKUP($A20,'détails investissements'!$A$71:$B$88,2,FALSE)+1,FALSE)="","",VLOOKUP($A20,'détails investissements'!$A$26:$DE$43,DF$3-VLOOKUP($A20,'détails investissements'!$A$71:$B$88,2,FALSE)+1,FALSE)))&lt;&gt;"",HLOOKUP(IF(DF$3-VLOOKUP($A20,'détails investissements'!$A$71:$B$88,2,FALSE)&lt;=0,"",IF(VLOOKUP($A20,'détails investissements'!$A$26:$DE$43,DF$3-VLOOKUP($A20,'détails investissements'!$A$71:$B$88,2,FALSE)+1,FALSE)="","",VLOOKUP($A20,'détails investissements'!$A$26:$DE$43,DF$3-VLOOKUP($A20,'détails investissements'!$A$71:$B$88,2,FALSE)+1,FALSE))),'détails investissements'!$U$6:$AB$7,2,FALSE),""),FALSE),"")</f>
        <v/>
      </c>
      <c r="DG20">
        <f t="shared" si="0"/>
        <v>1</v>
      </c>
    </row>
    <row r="21" spans="1:111" x14ac:dyDescent="0.2">
      <c r="A21" s="15" t="str">
        <f>'[4]Données investissements'!A41</f>
        <v>VRD</v>
      </c>
      <c r="B21" s="23">
        <f>'détails investissements'!B109</f>
        <v>1.9</v>
      </c>
      <c r="C21" s="45">
        <f>IF(C$3-VLOOKUP($A21,'détails investissements'!$A$71:$B$88,2,FALSE)&lt;=0,"",IF(VLOOKUP($A21,'détails investissements'!$A$26:$DE$43,C$3-VLOOKUP($A21,'détails investissements'!$A$71:$B$88,2,FALSE)+1,FALSE)="","",VLOOKUP($A21,'détails investissements'!$A$26:$DE$43,C$3-VLOOKUP($A21,'détails investissements'!$A$71:$B$88,2,FALSE)+1,FALSE)))</f>
        <v>0.1</v>
      </c>
      <c r="D21" s="45" t="str">
        <f>IF(D$3-VLOOKUP($A21,'détails investissements'!$A$71:$B$88,2,FALSE)&lt;=0,"",IF(VLOOKUP($A21,'détails investissements'!$A$26:$DE$43,D$3-VLOOKUP($A21,'détails investissements'!$A$71:$B$88,2,FALSE)+1,FALSE)="","",VLOOKUP($A21,'détails investissements'!$A$26:$DE$43,D$3-VLOOKUP($A21,'détails investissements'!$A$71:$B$88,2,FALSE)+1,FALSE)))</f>
        <v/>
      </c>
      <c r="E21" s="45">
        <f>IF(E$3-VLOOKUP($A21,'détails investissements'!$A$71:$B$88,2,FALSE)&lt;=0,"",IF(VLOOKUP($A21,'détails investissements'!$A$26:$DE$43,E$3-VLOOKUP($A21,'détails investissements'!$A$71:$B$88,2,FALSE)+1,FALSE)="","",VLOOKUP($A21,'détails investissements'!$A$26:$DE$43,E$3-VLOOKUP($A21,'détails investissements'!$A$71:$B$88,2,FALSE)+1,FALSE)))</f>
        <v>0.1</v>
      </c>
      <c r="F21" s="45" t="str">
        <f>IF(F$3-VLOOKUP($A21,'détails investissements'!$A$71:$B$88,2,FALSE)&lt;=0,"",IF(VLOOKUP($A21,'détails investissements'!$A$26:$DE$43,F$3-VLOOKUP($A21,'détails investissements'!$A$71:$B$88,2,FALSE)+1,FALSE)="","",VLOOKUP($A21,'détails investissements'!$A$26:$DE$43,F$3-VLOOKUP($A21,'détails investissements'!$A$71:$B$88,2,FALSE)+1,FALSE)))</f>
        <v/>
      </c>
      <c r="G21" s="45">
        <f>IF(G$3-VLOOKUP($A21,'détails investissements'!$A$71:$B$88,2,FALSE)&lt;=0,"",IF(VLOOKUP($A21,'détails investissements'!$A$26:$DE$43,G$3-VLOOKUP($A21,'détails investissements'!$A$71:$B$88,2,FALSE)+1,FALSE)="","",VLOOKUP($A21,'détails investissements'!$A$26:$DE$43,G$3-VLOOKUP($A21,'détails investissements'!$A$71:$B$88,2,FALSE)+1,FALSE)))</f>
        <v>0.1</v>
      </c>
      <c r="H21" s="45" t="str">
        <f>IF(H$3-VLOOKUP($A21,'détails investissements'!$A$71:$B$88,2,FALSE)&lt;=0,"",IF(VLOOKUP($A21,'détails investissements'!$A$26:$DE$43,H$3-VLOOKUP($A21,'détails investissements'!$A$71:$B$88,2,FALSE)+1,FALSE)="","",VLOOKUP($A21,'détails investissements'!$A$26:$DE$43,H$3-VLOOKUP($A21,'détails investissements'!$A$71:$B$88,2,FALSE)+1,FALSE)))</f>
        <v/>
      </c>
      <c r="I21" s="45">
        <f>IF(I$3-VLOOKUP($A21,'détails investissements'!$A$71:$B$88,2,FALSE)&lt;=0,"",IF(VLOOKUP($A21,'détails investissements'!$A$26:$DE$43,I$3-VLOOKUP($A21,'détails investissements'!$A$71:$B$88,2,FALSE)+1,FALSE)="","",VLOOKUP($A21,'détails investissements'!$A$26:$DE$43,I$3-VLOOKUP($A21,'détails investissements'!$A$71:$B$88,2,FALSE)+1,FALSE)))</f>
        <v>0.15</v>
      </c>
      <c r="J21" s="45" t="str">
        <f>IF(J$3-VLOOKUP($A21,'détails investissements'!$A$71:$B$88,2,FALSE)&lt;=0,"",IF(VLOOKUP($A21,'détails investissements'!$A$26:$DE$43,J$3-VLOOKUP($A21,'détails investissements'!$A$71:$B$88,2,FALSE)+1,FALSE)="","",VLOOKUP($A21,'détails investissements'!$A$26:$DE$43,J$3-VLOOKUP($A21,'détails investissements'!$A$71:$B$88,2,FALSE)+1,FALSE)))</f>
        <v/>
      </c>
      <c r="K21" s="45">
        <f>IF(K$3-VLOOKUP($A21,'détails investissements'!$A$71:$B$88,2,FALSE)&lt;=0,"",IF(VLOOKUP($A21,'détails investissements'!$A$26:$DE$43,K$3-VLOOKUP($A21,'détails investissements'!$A$71:$B$88,2,FALSE)+1,FALSE)="","",VLOOKUP($A21,'détails investissements'!$A$26:$DE$43,K$3-VLOOKUP($A21,'détails investissements'!$A$71:$B$88,2,FALSE)+1,FALSE)))</f>
        <v>0.1</v>
      </c>
      <c r="L21" s="45" t="str">
        <f>IF(L$3-VLOOKUP($A21,'détails investissements'!$A$71:$B$88,2,FALSE)&lt;=0,"",IF(VLOOKUP($A21,'détails investissements'!$A$26:$DE$43,L$3-VLOOKUP($A21,'détails investissements'!$A$71:$B$88,2,FALSE)+1,FALSE)="","",VLOOKUP($A21,'détails investissements'!$A$26:$DE$43,L$3-VLOOKUP($A21,'détails investissements'!$A$71:$B$88,2,FALSE)+1,FALSE)))</f>
        <v/>
      </c>
      <c r="M21" s="45">
        <f>IF(M$3-VLOOKUP($A21,'détails investissements'!$A$71:$B$88,2,FALSE)&lt;=0,"",IF(VLOOKUP($A21,'détails investissements'!$A$26:$DE$43,M$3-VLOOKUP($A21,'détails investissements'!$A$71:$B$88,2,FALSE)+1,FALSE)="","",VLOOKUP($A21,'détails investissements'!$A$26:$DE$43,M$3-VLOOKUP($A21,'détails investissements'!$A$71:$B$88,2,FALSE)+1,FALSE)))</f>
        <v>0.1</v>
      </c>
      <c r="N21" s="45" t="str">
        <f>IF(N$3-VLOOKUP($A21,'détails investissements'!$A$71:$B$88,2,FALSE)&lt;=0,"",IF(VLOOKUP($A21,'détails investissements'!$A$26:$DE$43,N$3-VLOOKUP($A21,'détails investissements'!$A$71:$B$88,2,FALSE)+1,FALSE)="","",VLOOKUP($A21,'détails investissements'!$A$26:$DE$43,N$3-VLOOKUP($A21,'détails investissements'!$A$71:$B$88,2,FALSE)+1,FALSE)))</f>
        <v/>
      </c>
      <c r="O21" s="45" t="str">
        <f>IF(O$3-VLOOKUP($A21,'détails investissements'!$A$71:$B$88,2,FALSE)&lt;=0,"",IF(VLOOKUP($A21,'détails investissements'!$A$26:$DE$43,O$3-VLOOKUP($A21,'détails investissements'!$A$71:$B$88,2,FALSE)+1,FALSE)="","",VLOOKUP($A21,'détails investissements'!$A$26:$DE$43,O$3-VLOOKUP($A21,'détails investissements'!$A$71:$B$88,2,FALSE)+1,FALSE)))</f>
        <v/>
      </c>
      <c r="P21" s="45">
        <f>IF(P$3-VLOOKUP($A21,'détails investissements'!$A$71:$B$88,2,FALSE)&lt;=0,"",IF(VLOOKUP($A21,'détails investissements'!$A$26:$DE$43,P$3-VLOOKUP($A21,'détails investissements'!$A$71:$B$88,2,FALSE)+1,FALSE)="","",VLOOKUP($A21,'détails investissements'!$A$26:$DE$43,P$3-VLOOKUP($A21,'détails investissements'!$A$71:$B$88,2,FALSE)+1,FALSE)))</f>
        <v>0.1</v>
      </c>
      <c r="Q21" s="45" t="str">
        <f>IF(Q$3-VLOOKUP($A21,'détails investissements'!$A$71:$B$88,2,FALSE)&lt;=0,"",IF(VLOOKUP($A21,'détails investissements'!$A$26:$DE$43,Q$3-VLOOKUP($A21,'détails investissements'!$A$71:$B$88,2,FALSE)+1,FALSE)="","",VLOOKUP($A21,'détails investissements'!$A$26:$DE$43,Q$3-VLOOKUP($A21,'détails investissements'!$A$71:$B$88,2,FALSE)+1,FALSE)))</f>
        <v/>
      </c>
      <c r="R21" s="45" t="str">
        <f>IF(R$3-VLOOKUP($A21,'détails investissements'!$A$71:$B$88,2,FALSE)&lt;=0,"",IF(VLOOKUP($A21,'détails investissements'!$A$26:$DE$43,R$3-VLOOKUP($A21,'détails investissements'!$A$71:$B$88,2,FALSE)+1,FALSE)="","",VLOOKUP($A21,'détails investissements'!$A$26:$DE$43,R$3-VLOOKUP($A21,'détails investissements'!$A$71:$B$88,2,FALSE)+1,FALSE)))</f>
        <v/>
      </c>
      <c r="S21" s="45">
        <f>IF(S$3-VLOOKUP($A21,'détails investissements'!$A$71:$B$88,2,FALSE)&lt;=0,"",IF(VLOOKUP($A21,'détails investissements'!$A$26:$DE$43,S$3-VLOOKUP($A21,'détails investissements'!$A$71:$B$88,2,FALSE)+1,FALSE)="","",VLOOKUP($A21,'détails investissements'!$A$26:$DE$43,S$3-VLOOKUP($A21,'détails investissements'!$A$71:$B$88,2,FALSE)+1,FALSE)))</f>
        <v>0.1</v>
      </c>
      <c r="T21" s="45" t="str">
        <f>IF(T$3-VLOOKUP($A21,'détails investissements'!$A$71:$B$88,2,FALSE)&lt;=0,"",IF(VLOOKUP($A21,'détails investissements'!$A$26:$DE$43,T$3-VLOOKUP($A21,'détails investissements'!$A$71:$B$88,2,FALSE)+1,FALSE)="","",VLOOKUP($A21,'détails investissements'!$A$26:$DE$43,T$3-VLOOKUP($A21,'détails investissements'!$A$71:$B$88,2,FALSE)+1,FALSE)))</f>
        <v/>
      </c>
      <c r="U21" s="45" t="str">
        <f>IF(U$3-VLOOKUP($A21,'détails investissements'!$A$71:$B$88,2,FALSE)&lt;=0,"",IF(VLOOKUP($A21,'détails investissements'!$A$26:$DE$43,U$3-VLOOKUP($A21,'détails investissements'!$A$71:$B$88,2,FALSE)+1,FALSE)="","",VLOOKUP($A21,'détails investissements'!$A$26:$DE$43,U$3-VLOOKUP($A21,'détails investissements'!$A$71:$B$88,2,FALSE)+1,FALSE)))</f>
        <v/>
      </c>
      <c r="V21" s="45">
        <f>IF(V$3-VLOOKUP($A21,'détails investissements'!$A$71:$B$88,2,FALSE)&lt;=0,"",IF(VLOOKUP($A21,'détails investissements'!$A$26:$DE$43,V$3-VLOOKUP($A21,'détails investissements'!$A$71:$B$88,2,FALSE)+1,FALSE)="","",VLOOKUP($A21,'détails investissements'!$A$26:$DE$43,V$3-VLOOKUP($A21,'détails investissements'!$A$71:$B$88,2,FALSE)+1,FALSE)))</f>
        <v>0.1</v>
      </c>
      <c r="W21" s="45" t="str">
        <f>IF(W$3-VLOOKUP($A21,'détails investissements'!$A$71:$B$88,2,FALSE)&lt;=0,"",IF(VLOOKUP($A21,'détails investissements'!$A$26:$DE$43,W$3-VLOOKUP($A21,'détails investissements'!$A$71:$B$88,2,FALSE)+1,FALSE)="","",VLOOKUP($A21,'détails investissements'!$A$26:$DE$43,W$3-VLOOKUP($A21,'détails investissements'!$A$71:$B$88,2,FALSE)+1,FALSE)))</f>
        <v/>
      </c>
      <c r="X21" s="45" t="str">
        <f>IF(X$3-VLOOKUP($A21,'détails investissements'!$A$71:$B$88,2,FALSE)&lt;=0,"",IF(VLOOKUP($A21,'détails investissements'!$A$26:$DE$43,X$3-VLOOKUP($A21,'détails investissements'!$A$71:$B$88,2,FALSE)+1,FALSE)="","",VLOOKUP($A21,'détails investissements'!$A$26:$DE$43,X$3-VLOOKUP($A21,'détails investissements'!$A$71:$B$88,2,FALSE)+1,FALSE)))</f>
        <v/>
      </c>
      <c r="Y21" s="45">
        <f>IF(Y$3-VLOOKUP($A21,'détails investissements'!$A$71:$B$88,2,FALSE)&lt;=0,"",IF(VLOOKUP($A21,'détails investissements'!$A$26:$DE$43,Y$3-VLOOKUP($A21,'détails investissements'!$A$71:$B$88,2,FALSE)+1,FALSE)="","",VLOOKUP($A21,'détails investissements'!$A$26:$DE$43,Y$3-VLOOKUP($A21,'détails investissements'!$A$71:$B$88,2,FALSE)+1,FALSE)))</f>
        <v>0.05</v>
      </c>
      <c r="Z21" s="45" t="str">
        <f>IF(Z$3-VLOOKUP($A21,'détails investissements'!$A$71:$B$88,2,FALSE)&lt;=0,"",IF(VLOOKUP($A21,'détails investissements'!$A$26:$DE$43,Z$3-VLOOKUP($A21,'détails investissements'!$A$71:$B$88,2,FALSE)+1,FALSE)="","",VLOOKUP($A21,'détails investissements'!$A$26:$DE$43,Z$3-VLOOKUP($A21,'détails investissements'!$A$71:$B$88,2,FALSE)+1,FALSE)))</f>
        <v/>
      </c>
      <c r="AA21" s="45" t="str">
        <f>IF(AA$3-VLOOKUP($A21,'détails investissements'!$A$71:$B$88,2,FALSE)&lt;=0,"",IF(VLOOKUP($A21,'détails investissements'!$A$26:$DE$43,AA$3-VLOOKUP($A21,'détails investissements'!$A$71:$B$88,2,FALSE)+1,FALSE)="","",VLOOKUP($A21,'détails investissements'!$A$26:$DE$43,AA$3-VLOOKUP($A21,'détails investissements'!$A$71:$B$88,2,FALSE)+1,FALSE)))</f>
        <v/>
      </c>
      <c r="AB21" s="45" t="str">
        <f>IF(AB$3-VLOOKUP($A21,'détails investissements'!$A$71:$B$88,2,FALSE)&lt;=0,"",IF(VLOOKUP($A21,'détails investissements'!$A$26:$DE$43,AB$3-VLOOKUP($A21,'détails investissements'!$A$71:$B$88,2,FALSE)+1,FALSE)="","",VLOOKUP($A21,'détails investissements'!$A$26:$DE$43,AB$3-VLOOKUP($A21,'détails investissements'!$A$71:$B$88,2,FALSE)+1,FALSE)))</f>
        <v/>
      </c>
      <c r="AC21" s="45" t="str">
        <f>IF(AC$3-VLOOKUP($A21,'détails investissements'!$A$71:$B$88,2,FALSE)&lt;=0,"",IF(VLOOKUP($A21,'détails investissements'!$A$26:$DE$43,AC$3-VLOOKUP($A21,'détails investissements'!$A$71:$B$88,2,FALSE)+1,FALSE)="","",VLOOKUP($A21,'détails investissements'!$A$26:$DE$43,AC$3-VLOOKUP($A21,'détails investissements'!$A$71:$B$88,2,FALSE)+1,FALSE)))</f>
        <v/>
      </c>
      <c r="AD21" s="45" t="str">
        <f>IF(AD$3-VLOOKUP($A21,'détails investissements'!$A$71:$B$88,2,FALSE)&lt;=0,"",IF(VLOOKUP($A21,'détails investissements'!$A$26:$DE$43,AD$3-VLOOKUP($A21,'détails investissements'!$A$71:$B$88,2,FALSE)+1,FALSE)="","",VLOOKUP($A21,'détails investissements'!$A$26:$DE$43,AD$3-VLOOKUP($A21,'détails investissements'!$A$71:$B$88,2,FALSE)+1,FALSE)))</f>
        <v/>
      </c>
      <c r="AE21" s="45" t="str">
        <f>IF(AE$3-VLOOKUP($A21,'détails investissements'!$A$71:$B$88,2,FALSE)&lt;=0,"",IF(VLOOKUP($A21,'détails investissements'!$A$26:$DE$43,AE$3-VLOOKUP($A21,'détails investissements'!$A$71:$B$88,2,FALSE)+1,FALSE)="","",VLOOKUP($A21,'détails investissements'!$A$26:$DE$43,AE$3-VLOOKUP($A21,'détails investissements'!$A$71:$B$88,2,FALSE)+1,FALSE)))</f>
        <v/>
      </c>
      <c r="AF21" s="45" t="str">
        <f>IF(AF$3-VLOOKUP($A21,'détails investissements'!$A$71:$B$88,2,FALSE)&lt;=0,"",IF(VLOOKUP($A21,'détails investissements'!$A$26:$DE$43,AF$3-VLOOKUP($A21,'détails investissements'!$A$71:$B$88,2,FALSE)+1,FALSE)="","",VLOOKUP($A21,'détails investissements'!$A$26:$DE$43,AF$3-VLOOKUP($A21,'détails investissements'!$A$71:$B$88,2,FALSE)+1,FALSE)))</f>
        <v/>
      </c>
      <c r="AG21" s="45" t="str">
        <f>IF(AG$3-VLOOKUP($A21,'détails investissements'!$A$71:$B$88,2,FALSE)&lt;=0,"",IF(VLOOKUP($A21,'détails investissements'!$A$26:$DE$43,AG$3-VLOOKUP($A21,'détails investissements'!$A$71:$B$88,2,FALSE)+1,FALSE)="","",VLOOKUP($A21,'détails investissements'!$A$26:$DE$43,AG$3-VLOOKUP($A21,'détails investissements'!$A$71:$B$88,2,FALSE)+1,FALSE)))</f>
        <v/>
      </c>
      <c r="AH21" s="45" t="str">
        <f>IF(AH$3-VLOOKUP($A21,'détails investissements'!$A$71:$B$88,2,FALSE)&lt;=0,"",IF(VLOOKUP($A21,'détails investissements'!$A$26:$DE$43,AH$3-VLOOKUP($A21,'détails investissements'!$A$71:$B$88,2,FALSE)+1,FALSE)="","",VLOOKUP($A21,'détails investissements'!$A$26:$DE$43,AH$3-VLOOKUP($A21,'détails investissements'!$A$71:$B$88,2,FALSE)+1,FALSE)))</f>
        <v/>
      </c>
      <c r="AI21" s="45" t="str">
        <f>IF(AI$3-VLOOKUP($A21,'détails investissements'!$A$71:$B$88,2,FALSE)&lt;=0,"",IF(VLOOKUP($A21,'détails investissements'!$A$26:$DE$43,AI$3-VLOOKUP($A21,'détails investissements'!$A$71:$B$88,2,FALSE)+1,FALSE)="","",VLOOKUP($A21,'détails investissements'!$A$26:$DE$43,AI$3-VLOOKUP($A21,'détails investissements'!$A$71:$B$88,2,FALSE)+1,FALSE)))</f>
        <v/>
      </c>
      <c r="AJ21" s="45" t="str">
        <f>IF(AJ$3-VLOOKUP($A21,'détails investissements'!$A$71:$B$88,2,FALSE)&lt;=0,"",IF(VLOOKUP($A21,'détails investissements'!$A$26:$DE$43,AJ$3-VLOOKUP($A21,'détails investissements'!$A$71:$B$88,2,FALSE)+1,FALSE)="","",VLOOKUP($A21,'détails investissements'!$A$26:$DE$43,AJ$3-VLOOKUP($A21,'détails investissements'!$A$71:$B$88,2,FALSE)+1,FALSE)))</f>
        <v/>
      </c>
      <c r="AK21" s="45" t="str">
        <f>IF(AK$3-VLOOKUP($A21,'détails investissements'!$A$71:$B$88,2,FALSE)&lt;=0,"",IF(VLOOKUP($A21,'détails investissements'!$A$26:$DE$43,AK$3-VLOOKUP($A21,'détails investissements'!$A$71:$B$88,2,FALSE)+1,FALSE)="","",VLOOKUP($A21,'détails investissements'!$A$26:$DE$43,AK$3-VLOOKUP($A21,'détails investissements'!$A$71:$B$88,2,FALSE)+1,FALSE)))</f>
        <v/>
      </c>
      <c r="AL21" s="45" t="str">
        <f>IF(AL$3-VLOOKUP($A21,'détails investissements'!$A$71:$B$88,2,FALSE)&lt;=0,"",IF(VLOOKUP($A21,'détails investissements'!$A$26:$DE$43,AL$3-VLOOKUP($A21,'détails investissements'!$A$71:$B$88,2,FALSE)+1,FALSE)="","",VLOOKUP($A21,'détails investissements'!$A$26:$DE$43,AL$3-VLOOKUP($A21,'détails investissements'!$A$71:$B$88,2,FALSE)+1,FALSE)))</f>
        <v/>
      </c>
      <c r="AM21" s="45" t="str">
        <f>IF(AM$3-VLOOKUP($A21,'détails investissements'!$A$71:$B$88,2,FALSE)&lt;=0,"",IF(VLOOKUP($A21,'détails investissements'!$A$26:$DE$43,AM$3-VLOOKUP($A21,'détails investissements'!$A$71:$B$88,2,FALSE)+1,FALSE)="","",VLOOKUP($A21,'détails investissements'!$A$26:$DE$43,AM$3-VLOOKUP($A21,'détails investissements'!$A$71:$B$88,2,FALSE)+1,FALSE)))</f>
        <v/>
      </c>
      <c r="AN21" s="45" t="str">
        <f>IF(AN$3-VLOOKUP($A21,'détails investissements'!$A$71:$B$88,2,FALSE)&lt;=0,"",IF(VLOOKUP($A21,'détails investissements'!$A$26:$DE$43,AN$3-VLOOKUP($A21,'détails investissements'!$A$71:$B$88,2,FALSE)+1,FALSE)="","",VLOOKUP($A21,'détails investissements'!$A$26:$DE$43,AN$3-VLOOKUP($A21,'détails investissements'!$A$71:$B$88,2,FALSE)+1,FALSE)))</f>
        <v/>
      </c>
      <c r="AO21" s="45" t="str">
        <f>IF(AO$3-VLOOKUP($A21,'détails investissements'!$A$71:$B$88,2,FALSE)&lt;=0,"",IF(VLOOKUP($A21,'détails investissements'!$A$26:$DE$43,AO$3-VLOOKUP($A21,'détails investissements'!$A$71:$B$88,2,FALSE)+1,FALSE)="","",VLOOKUP($A21,'détails investissements'!$A$26:$DE$43,AO$3-VLOOKUP($A21,'détails investissements'!$A$71:$B$88,2,FALSE)+1,FALSE)))</f>
        <v/>
      </c>
      <c r="AP21" s="45" t="str">
        <f>IF(AP$3-VLOOKUP($A21,'détails investissements'!$A$71:$B$88,2,FALSE)&lt;=0,"",IF(VLOOKUP($A21,'détails investissements'!$A$26:$DE$43,AP$3-VLOOKUP($A21,'détails investissements'!$A$71:$B$88,2,FALSE)+1,FALSE)="","",VLOOKUP($A21,'détails investissements'!$A$26:$DE$43,AP$3-VLOOKUP($A21,'détails investissements'!$A$71:$B$88,2,FALSE)+1,FALSE)))</f>
        <v/>
      </c>
      <c r="AQ21" s="45" t="str">
        <f>IF(AQ$3-VLOOKUP($A21,'détails investissements'!$A$71:$B$88,2,FALSE)&lt;=0,"",IF(VLOOKUP($A21,'détails investissements'!$A$26:$DE$43,AQ$3-VLOOKUP($A21,'détails investissements'!$A$71:$B$88,2,FALSE)+1,FALSE)="","",VLOOKUP($A21,'détails investissements'!$A$26:$DE$43,AQ$3-VLOOKUP($A21,'détails investissements'!$A$71:$B$88,2,FALSE)+1,FALSE)))</f>
        <v/>
      </c>
      <c r="AR21" s="45" t="str">
        <f>IF(AR$3-VLOOKUP($A21,'détails investissements'!$A$71:$B$88,2,FALSE)&lt;=0,"",IF(VLOOKUP($A21,'détails investissements'!$A$26:$DE$43,AR$3-VLOOKUP($A21,'détails investissements'!$A$71:$B$88,2,FALSE)+1,FALSE)="","",VLOOKUP($A21,'détails investissements'!$A$26:$DE$43,AR$3-VLOOKUP($A21,'détails investissements'!$A$71:$B$88,2,FALSE)+1,FALSE)))</f>
        <v/>
      </c>
      <c r="AS21" s="45" t="str">
        <f>IF(AS$3-VLOOKUP($A21,'détails investissements'!$A$71:$B$88,2,FALSE)&lt;=0,"",IF(VLOOKUP($A21,'détails investissements'!$A$26:$DE$43,AS$3-VLOOKUP($A21,'détails investissements'!$A$71:$B$88,2,FALSE)+1,FALSE)="","",VLOOKUP($A21,'détails investissements'!$A$26:$DE$43,AS$3-VLOOKUP($A21,'détails investissements'!$A$71:$B$88,2,FALSE)+1,FALSE)))</f>
        <v/>
      </c>
      <c r="AT21" s="45" t="str">
        <f>IF(AT$3-VLOOKUP($A21,'détails investissements'!$A$71:$B$88,2,FALSE)&lt;=0,"",IF(VLOOKUP($A21,'détails investissements'!$A$26:$DE$43,AT$3-VLOOKUP($A21,'détails investissements'!$A$71:$B$88,2,FALSE)+1,FALSE)="","",VLOOKUP($A21,'détails investissements'!$A$26:$DE$43,AT$3-VLOOKUP($A21,'détails investissements'!$A$71:$B$88,2,FALSE)+1,FALSE)))</f>
        <v/>
      </c>
      <c r="AU21" s="45" t="str">
        <f>IF(AU$3-VLOOKUP($A21,'détails investissements'!$A$71:$B$88,2,FALSE)&lt;=0,"",IF(VLOOKUP($A21,'détails investissements'!$A$26:$DE$43,AU$3-VLOOKUP($A21,'détails investissements'!$A$71:$B$88,2,FALSE)+1,FALSE)="","",VLOOKUP($A21,'détails investissements'!$A$26:$DE$43,AU$3-VLOOKUP($A21,'détails investissements'!$A$71:$B$88,2,FALSE)+1,FALSE)))</f>
        <v/>
      </c>
      <c r="AV21" s="45" t="str">
        <f>IF(AV$3-VLOOKUP($A21,'détails investissements'!$A$71:$B$88,2,FALSE)&lt;=0,"",IF(VLOOKUP($A21,'détails investissements'!$A$26:$DE$43,AV$3-VLOOKUP($A21,'détails investissements'!$A$71:$B$88,2,FALSE)+1,FALSE)="","",VLOOKUP($A21,'détails investissements'!$A$26:$DE$43,AV$3-VLOOKUP($A21,'détails investissements'!$A$71:$B$88,2,FALSE)+1,FALSE)))</f>
        <v/>
      </c>
      <c r="AW21" s="45" t="str">
        <f>IF(AW$3-VLOOKUP($A21,'détails investissements'!$A$71:$B$88,2,FALSE)&lt;=0,"",IF(VLOOKUP($A21,'détails investissements'!$A$26:$DE$43,AW$3-VLOOKUP($A21,'détails investissements'!$A$71:$B$88,2,FALSE)+1,FALSE)="","",VLOOKUP($A21,'détails investissements'!$A$26:$DE$43,AW$3-VLOOKUP($A21,'détails investissements'!$A$71:$B$88,2,FALSE)+1,FALSE)))</f>
        <v/>
      </c>
      <c r="AX21" s="45" t="str">
        <f>IF(AX$3-VLOOKUP($A21,'détails investissements'!$A$71:$B$88,2,FALSE)&lt;=0,"",IF(VLOOKUP($A21,'détails investissements'!$A$26:$DE$43,AX$3-VLOOKUP($A21,'détails investissements'!$A$71:$B$88,2,FALSE)+1,FALSE)="","",VLOOKUP($A21,'détails investissements'!$A$26:$DE$43,AX$3-VLOOKUP($A21,'détails investissements'!$A$71:$B$88,2,FALSE)+1,FALSE)))</f>
        <v/>
      </c>
      <c r="AY21" s="45" t="str">
        <f>IF(AY$3-VLOOKUP($A21,'détails investissements'!$A$71:$B$88,2,FALSE)&lt;=0,"",IF(VLOOKUP($A21,'détails investissements'!$A$26:$DE$43,AY$3-VLOOKUP($A21,'détails investissements'!$A$71:$B$88,2,FALSE)+1,FALSE)="","",VLOOKUP($A21,'détails investissements'!$A$26:$DE$43,AY$3-VLOOKUP($A21,'détails investissements'!$A$71:$B$88,2,FALSE)+1,FALSE)))</f>
        <v/>
      </c>
      <c r="AZ21" s="45" t="str">
        <f>IF(AZ$3-VLOOKUP($A21,'détails investissements'!$A$71:$B$88,2,FALSE)&lt;=0,"",IF(VLOOKUP($A21,'détails investissements'!$A$26:$DE$43,AZ$3-VLOOKUP($A21,'détails investissements'!$A$71:$B$88,2,FALSE)+1,FALSE)="","",VLOOKUP($A21,'détails investissements'!$A$26:$DE$43,AZ$3-VLOOKUP($A21,'détails investissements'!$A$71:$B$88,2,FALSE)+1,FALSE)))</f>
        <v/>
      </c>
      <c r="BA21" s="45" t="str">
        <f>IF(BA$3-VLOOKUP($A21,'détails investissements'!$A$71:$B$88,2,FALSE)&lt;=0,"",IF(VLOOKUP($A21,'détails investissements'!$A$26:$DE$43,BA$3-VLOOKUP($A21,'détails investissements'!$A$71:$B$88,2,FALSE)+1,FALSE)="","",VLOOKUP($A21,'détails investissements'!$A$26:$DE$43,BA$3-VLOOKUP($A21,'détails investissements'!$A$71:$B$88,2,FALSE)+1,FALSE)))</f>
        <v/>
      </c>
      <c r="BB21" s="45" t="str">
        <f>IF(BB$3-VLOOKUP($A21,'détails investissements'!$A$71:$B$88,2,FALSE)&lt;=0,"",IF(VLOOKUP($A21,'détails investissements'!$A$26:$DE$43,BB$3-VLOOKUP($A21,'détails investissements'!$A$71:$B$88,2,FALSE)+1,FALSE)="","",VLOOKUP($A21,'détails investissements'!$A$26:$DE$43,BB$3-VLOOKUP($A21,'détails investissements'!$A$71:$B$88,2,FALSE)+1,FALSE)))</f>
        <v/>
      </c>
      <c r="BC21" s="45" t="str">
        <f>IF(BC$3-VLOOKUP($A21,'détails investissements'!$A$71:$B$88,2,FALSE)&lt;=0,"",IF(VLOOKUP($A21,'détails investissements'!$A$26:$DE$43,BC$3-VLOOKUP($A21,'détails investissements'!$A$71:$B$88,2,FALSE)+1,FALSE)="","",VLOOKUP($A21,'détails investissements'!$A$26:$DE$43,BC$3-VLOOKUP($A21,'détails investissements'!$A$71:$B$88,2,FALSE)+1,FALSE)))</f>
        <v/>
      </c>
      <c r="BD21" s="45" t="str">
        <f>IF(BD$3-VLOOKUP($A21,'détails investissements'!$A$71:$B$88,2,FALSE)&lt;=0,"",IF(VLOOKUP($A21,'détails investissements'!$A$26:$DE$43,BD$3-VLOOKUP($A21,'détails investissements'!$A$71:$B$88,2,FALSE)+1,FALSE)="","",VLOOKUP($A21,'détails investissements'!$A$26:$DE$43,BD$3-VLOOKUP($A21,'détails investissements'!$A$71:$B$88,2,FALSE)+1,FALSE)))</f>
        <v/>
      </c>
      <c r="BE21" s="45" t="str">
        <f>IF(BE$3-VLOOKUP($A21,'détails investissements'!$A$71:$B$88,2,FALSE)&lt;=0,"",IF(VLOOKUP($A21,'détails investissements'!$A$26:$DE$43,BE$3-VLOOKUP($A21,'détails investissements'!$A$71:$B$88,2,FALSE)+1,FALSE)="","",VLOOKUP($A21,'détails investissements'!$A$26:$DE$43,BE$3-VLOOKUP($A21,'détails investissements'!$A$71:$B$88,2,FALSE)+1,FALSE)))</f>
        <v/>
      </c>
      <c r="BF21" s="45" t="str">
        <f>IF(BF$3-VLOOKUP($A21,'détails investissements'!$A$71:$B$88,2,FALSE)&lt;=0,"",IF(VLOOKUP($A21,'détails investissements'!$A$26:$DE$43,BF$3-VLOOKUP($A21,'détails investissements'!$A$71:$B$88,2,FALSE)+1,FALSE)="","",VLOOKUP($A21,'détails investissements'!$A$26:$DE$43,BF$3-VLOOKUP($A21,'détails investissements'!$A$71:$B$88,2,FALSE)+1,FALSE)))</f>
        <v/>
      </c>
      <c r="BG21" s="45" t="str">
        <f>IF(BG$3-VLOOKUP($A21,'détails investissements'!$A$71:$B$88,2,FALSE)&lt;=0,"",IF(VLOOKUP($A21,'détails investissements'!$A$26:$DE$43,BG$3-VLOOKUP($A21,'détails investissements'!$A$71:$B$88,2,FALSE)+1,FALSE)="","",VLOOKUP($A21,'détails investissements'!$A$26:$DE$43,BG$3-VLOOKUP($A21,'détails investissements'!$A$71:$B$88,2,FALSE)+1,FALSE)))</f>
        <v/>
      </c>
      <c r="BH21" s="45" t="str">
        <f>IF(BH$3-VLOOKUP($A21,'détails investissements'!$A$71:$B$88,2,FALSE)&lt;=0,"",IF(VLOOKUP($A21,'détails investissements'!$A$26:$DE$43,BH$3-VLOOKUP($A21,'détails investissements'!$A$71:$B$88,2,FALSE)+1,FALSE)="","",VLOOKUP($A21,'détails investissements'!$A$26:$DE$43,BH$3-VLOOKUP($A21,'détails investissements'!$A$71:$B$88,2,FALSE)+1,FALSE)))</f>
        <v/>
      </c>
      <c r="BI21" s="45" t="str">
        <f>IF(BI$3-VLOOKUP($A21,'détails investissements'!$A$71:$B$88,2,FALSE)&lt;=0,"",IF(VLOOKUP($A21,'détails investissements'!$A$26:$DE$43,BI$3-VLOOKUP($A21,'détails investissements'!$A$71:$B$88,2,FALSE)+1,FALSE)="","",VLOOKUP($A21,'détails investissements'!$A$26:$DE$43,BI$3-VLOOKUP($A21,'détails investissements'!$A$71:$B$88,2,FALSE)+1,FALSE)))</f>
        <v/>
      </c>
      <c r="BJ21" s="45" t="str">
        <f>IF(BJ$3-VLOOKUP($A21,'détails investissements'!$A$71:$B$88,2,FALSE)&lt;=0,"",IF(VLOOKUP($A21,'détails investissements'!$A$26:$DE$43,BJ$3-VLOOKUP($A21,'détails investissements'!$A$71:$B$88,2,FALSE)+1,FALSE)="","",VLOOKUP($A21,'détails investissements'!$A$26:$DE$43,BJ$3-VLOOKUP($A21,'détails investissements'!$A$71:$B$88,2,FALSE)+1,FALSE)))</f>
        <v/>
      </c>
      <c r="BK21" s="45" t="str">
        <f>IF(BK$3-VLOOKUP($A21,'détails investissements'!$A$71:$B$88,2,FALSE)&lt;=0,"",IF(VLOOKUP($A21,'détails investissements'!$A$26:$DE$43,BK$3-VLOOKUP($A21,'détails investissements'!$A$71:$B$88,2,FALSE)+1,FALSE)="","",VLOOKUP($A21,'détails investissements'!$A$26:$DE$43,BK$3-VLOOKUP($A21,'détails investissements'!$A$71:$B$88,2,FALSE)+1,FALSE)))</f>
        <v/>
      </c>
      <c r="BL21" s="45" t="str">
        <f>IF(BL$3-VLOOKUP($A21,'détails investissements'!$A$71:$B$88,2,FALSE)&lt;=0,"",IF(VLOOKUP($A21,'détails investissements'!$A$26:$DE$43,BL$3-VLOOKUP($A21,'détails investissements'!$A$71:$B$88,2,FALSE)+1,FALSE)="","",VLOOKUP($A21,'détails investissements'!$A$26:$DE$43,BL$3-VLOOKUP($A21,'détails investissements'!$A$71:$B$88,2,FALSE)+1,FALSE)))</f>
        <v/>
      </c>
      <c r="BM21" s="45" t="str">
        <f>IF(BM$3-VLOOKUP($A21,'détails investissements'!$A$71:$B$88,2,FALSE)&lt;=0,"",IF(VLOOKUP($A21,'détails investissements'!$A$26:$DE$43,BM$3-VLOOKUP($A21,'détails investissements'!$A$71:$B$88,2,FALSE)+1,FALSE)="","",VLOOKUP($A21,'détails investissements'!$A$26:$DE$43,BM$3-VLOOKUP($A21,'détails investissements'!$A$71:$B$88,2,FALSE)+1,FALSE)))</f>
        <v/>
      </c>
      <c r="BN21" s="45" t="str">
        <f>IF(BN$3-VLOOKUP($A21,'détails investissements'!$A$71:$B$88,2,FALSE)&lt;=0,"",IF(VLOOKUP($A21,'détails investissements'!$A$26:$DE$43,BN$3-VLOOKUP($A21,'détails investissements'!$A$71:$B$88,2,FALSE)+1,FALSE)="","",VLOOKUP($A21,'détails investissements'!$A$26:$DE$43,BN$3-VLOOKUP($A21,'détails investissements'!$A$71:$B$88,2,FALSE)+1,FALSE)))</f>
        <v/>
      </c>
      <c r="BO21" s="45" t="str">
        <f>IF(BO$3-VLOOKUP($A21,'détails investissements'!$A$71:$B$88,2,FALSE)&lt;=0,"",IF(VLOOKUP($A21,'détails investissements'!$A$26:$DE$43,BO$3-VLOOKUP($A21,'détails investissements'!$A$71:$B$88,2,FALSE)+1,FALSE)="","",VLOOKUP($A21,'détails investissements'!$A$26:$DE$43,BO$3-VLOOKUP($A21,'détails investissements'!$A$71:$B$88,2,FALSE)+1,FALSE)))</f>
        <v/>
      </c>
      <c r="BP21" s="45" t="str">
        <f>IF(BP$3-VLOOKUP($A21,'détails investissements'!$A$71:$B$88,2,FALSE)&lt;=0,"",IF(VLOOKUP($A21,'détails investissements'!$A$26:$DE$43,BP$3-VLOOKUP($A21,'détails investissements'!$A$71:$B$88,2,FALSE)+1,FALSE)="","",VLOOKUP($A21,'détails investissements'!$A$26:$DE$43,BP$3-VLOOKUP($A21,'détails investissements'!$A$71:$B$88,2,FALSE)+1,FALSE)))</f>
        <v/>
      </c>
      <c r="BQ21" s="45" t="str">
        <f>IF(BQ$3-VLOOKUP($A21,'détails investissements'!$A$71:$B$88,2,FALSE)&lt;=0,"",IF(VLOOKUP($A21,'détails investissements'!$A$26:$DE$43,BQ$3-VLOOKUP($A21,'détails investissements'!$A$71:$B$88,2,FALSE)+1,FALSE)="","",VLOOKUP($A21,'détails investissements'!$A$26:$DE$43,BQ$3-VLOOKUP($A21,'détails investissements'!$A$71:$B$88,2,FALSE)+1,FALSE)))</f>
        <v/>
      </c>
      <c r="BR21" s="45" t="str">
        <f>IF(BR$3-VLOOKUP($A21,'détails investissements'!$A$71:$B$88,2,FALSE)&lt;=0,"",IF(VLOOKUP($A21,'détails investissements'!$A$26:$DE$43,BR$3-VLOOKUP($A21,'détails investissements'!$A$71:$B$88,2,FALSE)+1,FALSE)="","",VLOOKUP($A21,'détails investissements'!$A$26:$DE$43,BR$3-VLOOKUP($A21,'détails investissements'!$A$71:$B$88,2,FALSE)+1,FALSE)))</f>
        <v/>
      </c>
      <c r="BS21" s="45" t="str">
        <f>IF(BS$3-VLOOKUP($A21,'détails investissements'!$A$71:$B$88,2,FALSE)&lt;=0,"",IF(VLOOKUP($A21,'détails investissements'!$A$26:$DE$43,BS$3-VLOOKUP($A21,'détails investissements'!$A$71:$B$88,2,FALSE)+1,FALSE)="","",VLOOKUP($A21,'détails investissements'!$A$26:$DE$43,BS$3-VLOOKUP($A21,'détails investissements'!$A$71:$B$88,2,FALSE)+1,FALSE)))</f>
        <v/>
      </c>
      <c r="BT21" s="45" t="str">
        <f>IF(BT$3-VLOOKUP($A21,'détails investissements'!$A$71:$B$88,2,FALSE)&lt;=0,"",IF(VLOOKUP($A21,'détails investissements'!$A$26:$DE$43,BT$3-VLOOKUP($A21,'détails investissements'!$A$71:$B$88,2,FALSE)+1,FALSE)="","",VLOOKUP($A21,'détails investissements'!$A$26:$DE$43,BT$3-VLOOKUP($A21,'détails investissements'!$A$71:$B$88,2,FALSE)+1,FALSE)))</f>
        <v/>
      </c>
      <c r="BU21" s="45" t="str">
        <f>IF(BU$3-VLOOKUP($A21,'détails investissements'!$A$71:$B$88,2,FALSE)&lt;=0,"",IF(VLOOKUP($A21,'détails investissements'!$A$26:$DE$43,BU$3-VLOOKUP($A21,'détails investissements'!$A$71:$B$88,2,FALSE)+1,FALSE)="","",VLOOKUP($A21,'détails investissements'!$A$26:$DE$43,BU$3-VLOOKUP($A21,'détails investissements'!$A$71:$B$88,2,FALSE)+1,FALSE)))</f>
        <v/>
      </c>
      <c r="BV21" s="45" t="str">
        <f>IF(BV$3-VLOOKUP($A21,'détails investissements'!$A$71:$B$88,2,FALSE)&lt;=0,"",IF(VLOOKUP($A21,'détails investissements'!$A$26:$DE$43,BV$3-VLOOKUP($A21,'détails investissements'!$A$71:$B$88,2,FALSE)+1,FALSE)="","",VLOOKUP($A21,'détails investissements'!$A$26:$DE$43,BV$3-VLOOKUP($A21,'détails investissements'!$A$71:$B$88,2,FALSE)+1,FALSE)))</f>
        <v/>
      </c>
      <c r="BW21" s="45" t="str">
        <f>IF(BW$3-VLOOKUP($A21,'détails investissements'!$A$71:$B$88,2,FALSE)&lt;=0,"",IF(VLOOKUP($A21,'détails investissements'!$A$26:$DE$43,BW$3-VLOOKUP($A21,'détails investissements'!$A$71:$B$88,2,FALSE)+1,FALSE)="","",VLOOKUP($A21,'détails investissements'!$A$26:$DE$43,BW$3-VLOOKUP($A21,'détails investissements'!$A$71:$B$88,2,FALSE)+1,FALSE)))</f>
        <v/>
      </c>
      <c r="BX21" s="45" t="str">
        <f>IF(BX$3-VLOOKUP($A21,'détails investissements'!$A$71:$B$88,2,FALSE)&lt;=0,"",IF(VLOOKUP($A21,'détails investissements'!$A$26:$DE$43,BX$3-VLOOKUP($A21,'détails investissements'!$A$71:$B$88,2,FALSE)+1,FALSE)="","",VLOOKUP($A21,'détails investissements'!$A$26:$DE$43,BX$3-VLOOKUP($A21,'détails investissements'!$A$71:$B$88,2,FALSE)+1,FALSE)))</f>
        <v/>
      </c>
      <c r="BY21" s="45" t="str">
        <f>IF(BY$3-VLOOKUP($A21,'détails investissements'!$A$71:$B$88,2,FALSE)&lt;=0,"",IF(VLOOKUP($A21,'détails investissements'!$A$26:$DE$43,BY$3-VLOOKUP($A21,'détails investissements'!$A$71:$B$88,2,FALSE)+1,FALSE)="","",VLOOKUP($A21,'détails investissements'!$A$26:$DE$43,BY$3-VLOOKUP($A21,'détails investissements'!$A$71:$B$88,2,FALSE)+1,FALSE)))</f>
        <v/>
      </c>
      <c r="BZ21" s="45" t="str">
        <f>IF(BZ$3-VLOOKUP($A21,'détails investissements'!$A$71:$B$88,2,FALSE)&lt;=0,"",IF(VLOOKUP($A21,'détails investissements'!$A$26:$DE$43,BZ$3-VLOOKUP($A21,'détails investissements'!$A$71:$B$88,2,FALSE)+1,FALSE)="","",VLOOKUP($A21,'détails investissements'!$A$26:$DE$43,BZ$3-VLOOKUP($A21,'détails investissements'!$A$71:$B$88,2,FALSE)+1,FALSE)))</f>
        <v/>
      </c>
      <c r="CA21" s="45" t="str">
        <f>IF(CA$3-VLOOKUP($A21,'détails investissements'!$A$71:$B$88,2,FALSE)&lt;=0,"",IF(VLOOKUP($A21,'détails investissements'!$A$26:$DE$43,CA$3-VLOOKUP($A21,'détails investissements'!$A$71:$B$88,2,FALSE)+1,FALSE)="","",VLOOKUP($A21,'détails investissements'!$A$26:$DE$43,CA$3-VLOOKUP($A21,'détails investissements'!$A$71:$B$88,2,FALSE)+1,FALSE)))</f>
        <v/>
      </c>
      <c r="CB21" s="45" t="str">
        <f>IF(CB$3-VLOOKUP($A21,'détails investissements'!$A$71:$B$88,2,FALSE)&lt;=0,"",IF(VLOOKUP($A21,'détails investissements'!$A$26:$DE$43,CB$3-VLOOKUP($A21,'détails investissements'!$A$71:$B$88,2,FALSE)+1,FALSE)="","",VLOOKUP($A21,'détails investissements'!$A$26:$DE$43,CB$3-VLOOKUP($A21,'détails investissements'!$A$71:$B$88,2,FALSE)+1,FALSE)))</f>
        <v/>
      </c>
      <c r="CC21" s="45" t="str">
        <f>IF(CC$3-VLOOKUP($A21,'détails investissements'!$A$71:$B$88,2,FALSE)&lt;=0,"",IF(VLOOKUP($A21,'détails investissements'!$A$26:$DE$43,CC$3-VLOOKUP($A21,'détails investissements'!$A$71:$B$88,2,FALSE)+1,FALSE)="","",VLOOKUP($A21,'détails investissements'!$A$26:$DE$43,CC$3-VLOOKUP($A21,'détails investissements'!$A$71:$B$88,2,FALSE)+1,FALSE)))</f>
        <v/>
      </c>
      <c r="CD21" s="45" t="str">
        <f>IF(CD$3-VLOOKUP($A21,'détails investissements'!$A$71:$B$88,2,FALSE)&lt;=0,"",IF(VLOOKUP($A21,'détails investissements'!$A$26:$DE$43,CD$3-VLOOKUP($A21,'détails investissements'!$A$71:$B$88,2,FALSE)+1,FALSE)="","",VLOOKUP($A21,'détails investissements'!$A$26:$DE$43,CD$3-VLOOKUP($A21,'détails investissements'!$A$71:$B$88,2,FALSE)+1,FALSE)))</f>
        <v/>
      </c>
      <c r="CE21" s="45" t="str">
        <f>IF(CE$3-VLOOKUP($A21,'détails investissements'!$A$71:$B$88,2,FALSE)&lt;=0,"",IF(VLOOKUP($A21,'détails investissements'!$A$26:$DE$43,CE$3-VLOOKUP($A21,'détails investissements'!$A$71:$B$88,2,FALSE)+1,FALSE)="","",VLOOKUP($A21,'détails investissements'!$A$26:$DE$43,CE$3-VLOOKUP($A21,'détails investissements'!$A$71:$B$88,2,FALSE)+1,FALSE)))</f>
        <v/>
      </c>
      <c r="CF21" s="45" t="str">
        <f>IF(CF$3-VLOOKUP($A21,'détails investissements'!$A$71:$B$88,2,FALSE)&lt;=0,"",IF(VLOOKUP($A21,'détails investissements'!$A$26:$DE$43,CF$3-VLOOKUP($A21,'détails investissements'!$A$71:$B$88,2,FALSE)+1,FALSE)="","",VLOOKUP($A21,'détails investissements'!$A$26:$DE$43,CF$3-VLOOKUP($A21,'détails investissements'!$A$71:$B$88,2,FALSE)+1,FALSE)))</f>
        <v/>
      </c>
      <c r="CG21" s="45" t="str">
        <f>IF(CG$3-VLOOKUP($A21,'détails investissements'!$A$71:$B$88,2,FALSE)&lt;=0,"",IF(VLOOKUP($A21,'détails investissements'!$A$26:$DE$43,CG$3-VLOOKUP($A21,'détails investissements'!$A$71:$B$88,2,FALSE)+1,FALSE)="","",VLOOKUP($A21,'détails investissements'!$A$26:$DE$43,CG$3-VLOOKUP($A21,'détails investissements'!$A$71:$B$88,2,FALSE)+1,FALSE)))</f>
        <v/>
      </c>
      <c r="CH21" s="45" t="str">
        <f>IF(CH$3-VLOOKUP($A21,'détails investissements'!$A$71:$B$88,2,FALSE)&lt;=0,"",IF(VLOOKUP($A21,'détails investissements'!$A$26:$DE$43,CH$3-VLOOKUP($A21,'détails investissements'!$A$71:$B$88,2,FALSE)+1,FALSE)="","",VLOOKUP($A21,'détails investissements'!$A$26:$DE$43,CH$3-VLOOKUP($A21,'détails investissements'!$A$71:$B$88,2,FALSE)+1,FALSE)))</f>
        <v/>
      </c>
      <c r="CI21" s="45" t="str">
        <f>IF(CI$3-VLOOKUP($A21,'détails investissements'!$A$71:$B$88,2,FALSE)&lt;=0,"",IF(VLOOKUP($A21,'détails investissements'!$A$26:$DE$43,CI$3-VLOOKUP($A21,'détails investissements'!$A$71:$B$88,2,FALSE)+1,FALSE)="","",VLOOKUP($A21,'détails investissements'!$A$26:$DE$43,CI$3-VLOOKUP($A21,'détails investissements'!$A$71:$B$88,2,FALSE)+1,FALSE)))</f>
        <v/>
      </c>
      <c r="CJ21" s="45" t="str">
        <f>IF(CJ$3-VLOOKUP($A21,'détails investissements'!$A$71:$B$88,2,FALSE)&lt;=0,"",IF(VLOOKUP($A21,'détails investissements'!$A$26:$DE$43,CJ$3-VLOOKUP($A21,'détails investissements'!$A$71:$B$88,2,FALSE)+1,FALSE)="","",VLOOKUP($A21,'détails investissements'!$A$26:$DE$43,CJ$3-VLOOKUP($A21,'détails investissements'!$A$71:$B$88,2,FALSE)+1,FALSE)))</f>
        <v/>
      </c>
      <c r="CK21" s="45" t="str">
        <f>IF(CK$3-VLOOKUP($A21,'détails investissements'!$A$71:$B$88,2,FALSE)&lt;=0,"",IF(VLOOKUP($A21,'détails investissements'!$A$26:$DE$43,CK$3-VLOOKUP($A21,'détails investissements'!$A$71:$B$88,2,FALSE)+1,FALSE)="","",VLOOKUP($A21,'détails investissements'!$A$26:$DE$43,CK$3-VLOOKUP($A21,'détails investissements'!$A$71:$B$88,2,FALSE)+1,FALSE)))</f>
        <v/>
      </c>
      <c r="CL21" s="45" t="str">
        <f>IF(CL$3-VLOOKUP($A21,'détails investissements'!$A$71:$B$88,2,FALSE)&lt;=0,"",IF(VLOOKUP($A21,'détails investissements'!$A$26:$DE$43,CL$3-VLOOKUP($A21,'détails investissements'!$A$71:$B$88,2,FALSE)+1,FALSE)="","",VLOOKUP($A21,'détails investissements'!$A$26:$DE$43,CL$3-VLOOKUP($A21,'détails investissements'!$A$71:$B$88,2,FALSE)+1,FALSE)))</f>
        <v/>
      </c>
      <c r="CM21" s="45" t="str">
        <f>IF(CM$3-VLOOKUP($A21,'détails investissements'!$A$71:$B$88,2,FALSE)&lt;=0,"",IF(VLOOKUP($A21,'détails investissements'!$A$26:$DE$43,CM$3-VLOOKUP($A21,'détails investissements'!$A$71:$B$88,2,FALSE)+1,FALSE)="","",VLOOKUP($A21,'détails investissements'!$A$26:$DE$43,CM$3-VLOOKUP($A21,'détails investissements'!$A$71:$B$88,2,FALSE)+1,FALSE)))</f>
        <v/>
      </c>
      <c r="CN21" s="45" t="str">
        <f>IF(CN$3-VLOOKUP($A21,'détails investissements'!$A$71:$B$88,2,FALSE)&lt;=0,"",IF(VLOOKUP($A21,'détails investissements'!$A$26:$DE$43,CN$3-VLOOKUP($A21,'détails investissements'!$A$71:$B$88,2,FALSE)+1,FALSE)="","",VLOOKUP($A21,'détails investissements'!$A$26:$DE$43,CN$3-VLOOKUP($A21,'détails investissements'!$A$71:$B$88,2,FALSE)+1,FALSE)))</f>
        <v/>
      </c>
      <c r="CO21" s="45" t="str">
        <f>IF(CO$3-VLOOKUP($A21,'détails investissements'!$A$71:$B$88,2,FALSE)&lt;=0,"",IF(VLOOKUP($A21,'détails investissements'!$A$26:$DE$43,CO$3-VLOOKUP($A21,'détails investissements'!$A$71:$B$88,2,FALSE)+1,FALSE)="","",VLOOKUP($A21,'détails investissements'!$A$26:$DE$43,CO$3-VLOOKUP($A21,'détails investissements'!$A$71:$B$88,2,FALSE)+1,FALSE)))</f>
        <v/>
      </c>
      <c r="CP21" s="45" t="str">
        <f>IF(CP$3-VLOOKUP($A21,'détails investissements'!$A$71:$B$88,2,FALSE)&lt;=0,"",IF(VLOOKUP($A21,'détails investissements'!$A$26:$DE$43,CP$3-VLOOKUP($A21,'détails investissements'!$A$71:$B$88,2,FALSE)+1,FALSE)="","",VLOOKUP($A21,'détails investissements'!$A$26:$DE$43,CP$3-VLOOKUP($A21,'détails investissements'!$A$71:$B$88,2,FALSE)+1,FALSE)))</f>
        <v/>
      </c>
      <c r="CQ21" s="45" t="str">
        <f>IF(CQ$3-VLOOKUP($A21,'détails investissements'!$A$71:$B$88,2,FALSE)&lt;=0,"",IF(VLOOKUP($A21,'détails investissements'!$A$26:$DE$43,CQ$3-VLOOKUP($A21,'détails investissements'!$A$71:$B$88,2,FALSE)+1,FALSE)="","",VLOOKUP($A21,'détails investissements'!$A$26:$DE$43,CQ$3-VLOOKUP($A21,'détails investissements'!$A$71:$B$88,2,FALSE)+1,FALSE)))</f>
        <v/>
      </c>
      <c r="CR21" s="45" t="str">
        <f>IF(CR$3-VLOOKUP($A21,'détails investissements'!$A$71:$B$88,2,FALSE)&lt;=0,"",IF(VLOOKUP($A21,'détails investissements'!$A$26:$DE$43,CR$3-VLOOKUP($A21,'détails investissements'!$A$71:$B$88,2,FALSE)+1,FALSE)="","",VLOOKUP($A21,'détails investissements'!$A$26:$DE$43,CR$3-VLOOKUP($A21,'détails investissements'!$A$71:$B$88,2,FALSE)+1,FALSE)))</f>
        <v/>
      </c>
      <c r="CS21" s="45" t="str">
        <f>IF(CS$3-VLOOKUP($A21,'détails investissements'!$A$71:$B$88,2,FALSE)&lt;=0,"",IF(VLOOKUP($A21,'détails investissements'!$A$26:$DE$43,CS$3-VLOOKUP($A21,'détails investissements'!$A$71:$B$88,2,FALSE)+1,FALSE)="","",VLOOKUP($A21,'détails investissements'!$A$26:$DE$43,CS$3-VLOOKUP($A21,'détails investissements'!$A$71:$B$88,2,FALSE)+1,FALSE)))</f>
        <v/>
      </c>
      <c r="CT21" s="45" t="str">
        <f>IF(CT$3-VLOOKUP($A21,'détails investissements'!$A$71:$B$88,2,FALSE)&lt;=0,"",IF(VLOOKUP($A21,'détails investissements'!$A$26:$DE$43,CT$3-VLOOKUP($A21,'détails investissements'!$A$71:$B$88,2,FALSE)+1,FALSE)="","",VLOOKUP($A21,'détails investissements'!$A$26:$DE$43,CT$3-VLOOKUP($A21,'détails investissements'!$A$71:$B$88,2,FALSE)+1,FALSE)))</f>
        <v/>
      </c>
      <c r="CU21" s="45" t="str">
        <f>IF(CU$3-VLOOKUP($A21,'détails investissements'!$A$71:$B$88,2,FALSE)&lt;=0,"",IF(VLOOKUP($A21,'détails investissements'!$A$26:$DE$43,CU$3-VLOOKUP($A21,'détails investissements'!$A$71:$B$88,2,FALSE)+1,FALSE)="","",VLOOKUP($A21,'détails investissements'!$A$26:$DE$43,CU$3-VLOOKUP($A21,'détails investissements'!$A$71:$B$88,2,FALSE)+1,FALSE)))</f>
        <v/>
      </c>
      <c r="CV21" s="45" t="str">
        <f>IF(CV$3-VLOOKUP($A21,'détails investissements'!$A$71:$B$88,2,FALSE)&lt;=0,"",IF(VLOOKUP($A21,'détails investissements'!$A$26:$DE$43,CV$3-VLOOKUP($A21,'détails investissements'!$A$71:$B$88,2,FALSE)+1,FALSE)="","",VLOOKUP($A21,'détails investissements'!$A$26:$DE$43,CV$3-VLOOKUP($A21,'détails investissements'!$A$71:$B$88,2,FALSE)+1,FALSE)))</f>
        <v/>
      </c>
      <c r="CW21" s="45" t="str">
        <f>IF(CW$3-VLOOKUP($A21,'détails investissements'!$A$71:$B$88,2,FALSE)&lt;=0,"",IF(VLOOKUP($A21,'détails investissements'!$A$26:$DE$43,CW$3-VLOOKUP($A21,'détails investissements'!$A$71:$B$88,2,FALSE)+1,FALSE)="","",VLOOKUP($A21,'détails investissements'!$A$26:$DE$43,CW$3-VLOOKUP($A21,'détails investissements'!$A$71:$B$88,2,FALSE)+1,FALSE)))</f>
        <v/>
      </c>
      <c r="CX21" s="45" t="str">
        <f>IF(CX$3-VLOOKUP($A21,'détails investissements'!$A$71:$B$88,2,FALSE)&lt;=0,"",IF(VLOOKUP($A21,'détails investissements'!$A$26:$DE$43,CX$3-VLOOKUP($A21,'détails investissements'!$A$71:$B$88,2,FALSE)+1,FALSE)="","",VLOOKUP($A21,'détails investissements'!$A$26:$DE$43,CX$3-VLOOKUP($A21,'détails investissements'!$A$71:$B$88,2,FALSE)+1,FALSE)))</f>
        <v/>
      </c>
      <c r="CY21" s="45" t="str">
        <f>IF(CY$3-VLOOKUP($A21,'détails investissements'!$A$71:$B$88,2,FALSE)&lt;=0,"",IF(VLOOKUP($A21,'détails investissements'!$A$26:$DE$43,CY$3-VLOOKUP($A21,'détails investissements'!$A$71:$B$88,2,FALSE)+1,FALSE)="","",VLOOKUP($A21,'détails investissements'!$A$26:$DE$43,CY$3-VLOOKUP($A21,'détails investissements'!$A$71:$B$88,2,FALSE)+1,FALSE)))</f>
        <v/>
      </c>
      <c r="CZ21" s="45" t="str">
        <f>IF(CZ$3-VLOOKUP($A21,'détails investissements'!$A$71:$B$88,2,FALSE)&lt;=0,"",IF(VLOOKUP($A21,'détails investissements'!$A$26:$DE$43,CZ$3-VLOOKUP($A21,'détails investissements'!$A$71:$B$88,2,FALSE)+1,FALSE)="","",VLOOKUP($A21,'détails investissements'!$A$26:$DE$43,CZ$3-VLOOKUP($A21,'détails investissements'!$A$71:$B$88,2,FALSE)+1,FALSE)))</f>
        <v/>
      </c>
      <c r="DA21" s="45" t="str">
        <f>IF(DA$3-VLOOKUP($A21,'détails investissements'!$A$71:$B$88,2,FALSE)&lt;=0,"",IF(VLOOKUP($A21,'détails investissements'!$A$26:$DE$43,DA$3-VLOOKUP($A21,'détails investissements'!$A$71:$B$88,2,FALSE)+1,FALSE)="","",VLOOKUP($A21,'détails investissements'!$A$26:$DE$43,DA$3-VLOOKUP($A21,'détails investissements'!$A$71:$B$88,2,FALSE)+1,FALSE)))</f>
        <v/>
      </c>
      <c r="DB21" s="45" t="str">
        <f>IF(DB$3-VLOOKUP($A21,'détails investissements'!$A$71:$B$88,2,FALSE)&lt;=0,"",IF(VLOOKUP($A21,'détails investissements'!$A$26:$DE$43,DB$3-VLOOKUP($A21,'détails investissements'!$A$71:$B$88,2,FALSE)+1,FALSE)="","",VLOOKUP($A21,'détails investissements'!$A$26:$DE$43,DB$3-VLOOKUP($A21,'détails investissements'!$A$71:$B$88,2,FALSE)+1,FALSE)))</f>
        <v/>
      </c>
      <c r="DC21" s="45" t="str">
        <f>IF(DC$3-VLOOKUP($A21,'détails investissements'!$A$71:$B$88,2,FALSE)&lt;=0,"",IF(VLOOKUP($A21,'détails investissements'!$A$26:$DE$43,DC$3-VLOOKUP($A21,'détails investissements'!$A$71:$B$88,2,FALSE)+1,FALSE)="","",VLOOKUP($A21,'détails investissements'!$A$26:$DE$43,DC$3-VLOOKUP($A21,'détails investissements'!$A$71:$B$88,2,FALSE)+1,FALSE)))</f>
        <v/>
      </c>
      <c r="DD21" s="45" t="str">
        <f>IF(DD$3-VLOOKUP($A21,'détails investissements'!$A$71:$B$88,2,FALSE)&lt;=0,"",IF(VLOOKUP($A21,'détails investissements'!$A$26:$DE$43,DD$3-VLOOKUP($A21,'détails investissements'!$A$71:$B$88,2,FALSE)+1,FALSE)="","",VLOOKUP($A21,'détails investissements'!$A$26:$DE$43,DD$3-VLOOKUP($A21,'détails investissements'!$A$71:$B$88,2,FALSE)+1,FALSE)))</f>
        <v/>
      </c>
      <c r="DE21" s="45" t="str">
        <f>IF(DE$3-VLOOKUP($A21,'détails investissements'!$A$71:$B$88,2,FALSE)&lt;=0,"",IF(VLOOKUP($A21,'détails investissements'!$A$26:$DE$43,DE$3-VLOOKUP($A21,'détails investissements'!$A$71:$B$88,2,FALSE)+1,FALSE)="","",VLOOKUP($A21,'détails investissements'!$A$26:$DE$43,DE$3-VLOOKUP($A21,'détails investissements'!$A$71:$B$88,2,FALSE)+1,FALSE)))</f>
        <v/>
      </c>
      <c r="DF21" s="45" t="str">
        <f>IF(DF$3-VLOOKUP($A21,'détails investissements'!$A$71:$B$88,2,FALSE)&lt;=0,"",IF(VLOOKUP($A21,'détails investissements'!$A$26:$DE$43,DF$3-VLOOKUP($A21,'détails investissements'!$A$71:$B$88,2,FALSE)+1,FALSE)="","",VLOOKUP($A21,'détails investissements'!$A$26:$DE$43,DF$3-VLOOKUP($A21,'détails investissements'!$A$71:$B$88,2,FALSE)+1,FALSE)))</f>
        <v/>
      </c>
      <c r="DG21">
        <f t="shared" si="0"/>
        <v>1</v>
      </c>
    </row>
    <row r="22" spans="1:111" x14ac:dyDescent="0.2">
      <c r="A22" s="15" t="str">
        <f>'[4]Données investissements'!A42</f>
        <v>Projet</v>
      </c>
      <c r="B22" s="23">
        <f>'détails investissements'!B110</f>
        <v>4.9000000000000004</v>
      </c>
      <c r="C22" s="45">
        <f>IF(C$3-VLOOKUP($A22,'détails investissements'!$A$71:$B$88,2,FALSE)&lt;=0,"",IF(VLOOKUP($A22,'détails investissements'!$A$26:$DE$43,C$3-VLOOKUP($A22,'détails investissements'!$A$71:$B$88,2,FALSE)+1,FALSE)="","",VLOOKUP($A22,'détails investissements'!$A$26:$DE$43,C$3-VLOOKUP($A22,'détails investissements'!$A$71:$B$88,2,FALSE)+1,FALSE)))</f>
        <v>0.22500000000000001</v>
      </c>
      <c r="D22" s="45">
        <f>IF(D$3-VLOOKUP($A22,'détails investissements'!$A$71:$B$88,2,FALSE)&lt;=0,"",IF(VLOOKUP($A22,'détails investissements'!$A$26:$DE$43,D$3-VLOOKUP($A22,'détails investissements'!$A$71:$B$88,2,FALSE)+1,FALSE)="","",VLOOKUP($A22,'détails investissements'!$A$26:$DE$43,D$3-VLOOKUP($A22,'détails investissements'!$A$71:$B$88,2,FALSE)+1,FALSE)))</f>
        <v>2.5000000000000001E-2</v>
      </c>
      <c r="E22" s="45">
        <f>IF(E$3-VLOOKUP($A22,'détails investissements'!$A$71:$B$88,2,FALSE)&lt;=0,"",IF(VLOOKUP($A22,'détails investissements'!$A$26:$DE$43,E$3-VLOOKUP($A22,'détails investissements'!$A$71:$B$88,2,FALSE)+1,FALSE)="","",VLOOKUP($A22,'détails investissements'!$A$26:$DE$43,E$3-VLOOKUP($A22,'détails investissements'!$A$71:$B$88,2,FALSE)+1,FALSE)))</f>
        <v>2.5000000000000001E-2</v>
      </c>
      <c r="F22" s="45">
        <f>IF(F$3-VLOOKUP($A22,'détails investissements'!$A$71:$B$88,2,FALSE)&lt;=0,"",IF(VLOOKUP($A22,'détails investissements'!$A$26:$DE$43,F$3-VLOOKUP($A22,'détails investissements'!$A$71:$B$88,2,FALSE)+1,FALSE)="","",VLOOKUP($A22,'détails investissements'!$A$26:$DE$43,F$3-VLOOKUP($A22,'détails investissements'!$A$71:$B$88,2,FALSE)+1,FALSE)))</f>
        <v>2.5000000000000001E-2</v>
      </c>
      <c r="G22" s="45">
        <f>IF(G$3-VLOOKUP($A22,'détails investissements'!$A$71:$B$88,2,FALSE)&lt;=0,"",IF(VLOOKUP($A22,'détails investissements'!$A$26:$DE$43,G$3-VLOOKUP($A22,'détails investissements'!$A$71:$B$88,2,FALSE)+1,FALSE)="","",VLOOKUP($A22,'détails investissements'!$A$26:$DE$43,G$3-VLOOKUP($A22,'détails investissements'!$A$71:$B$88,2,FALSE)+1,FALSE)))</f>
        <v>2.5000000000000001E-2</v>
      </c>
      <c r="H22" s="45">
        <f>IF(H$3-VLOOKUP($A22,'détails investissements'!$A$71:$B$88,2,FALSE)&lt;=0,"",IF(VLOOKUP($A22,'détails investissements'!$A$26:$DE$43,H$3-VLOOKUP($A22,'détails investissements'!$A$71:$B$88,2,FALSE)+1,FALSE)="","",VLOOKUP($A22,'détails investissements'!$A$26:$DE$43,H$3-VLOOKUP($A22,'détails investissements'!$A$71:$B$88,2,FALSE)+1,FALSE)))</f>
        <v>2.5000000000000001E-2</v>
      </c>
      <c r="I22" s="45">
        <f>IF(I$3-VLOOKUP($A22,'détails investissements'!$A$71:$B$88,2,FALSE)&lt;=0,"",IF(VLOOKUP($A22,'détails investissements'!$A$26:$DE$43,I$3-VLOOKUP($A22,'détails investissements'!$A$71:$B$88,2,FALSE)+1,FALSE)="","",VLOOKUP($A22,'détails investissements'!$A$26:$DE$43,I$3-VLOOKUP($A22,'détails investissements'!$A$71:$B$88,2,FALSE)+1,FALSE)))</f>
        <v>2.5000000000000001E-2</v>
      </c>
      <c r="J22" s="45">
        <f>IF(J$3-VLOOKUP($A22,'détails investissements'!$A$71:$B$88,2,FALSE)&lt;=0,"",IF(VLOOKUP($A22,'détails investissements'!$A$26:$DE$43,J$3-VLOOKUP($A22,'détails investissements'!$A$71:$B$88,2,FALSE)+1,FALSE)="","",VLOOKUP($A22,'détails investissements'!$A$26:$DE$43,J$3-VLOOKUP($A22,'détails investissements'!$A$71:$B$88,2,FALSE)+1,FALSE)))</f>
        <v>2.5000000000000001E-2</v>
      </c>
      <c r="K22" s="45">
        <f>IF(K$3-VLOOKUP($A22,'détails investissements'!$A$71:$B$88,2,FALSE)&lt;=0,"",IF(VLOOKUP($A22,'détails investissements'!$A$26:$DE$43,K$3-VLOOKUP($A22,'détails investissements'!$A$71:$B$88,2,FALSE)+1,FALSE)="","",VLOOKUP($A22,'détails investissements'!$A$26:$DE$43,K$3-VLOOKUP($A22,'détails investissements'!$A$71:$B$88,2,FALSE)+1,FALSE)))</f>
        <v>2.5000000000000001E-2</v>
      </c>
      <c r="L22" s="45">
        <f>IF(L$3-VLOOKUP($A22,'détails investissements'!$A$71:$B$88,2,FALSE)&lt;=0,"",IF(VLOOKUP($A22,'détails investissements'!$A$26:$DE$43,L$3-VLOOKUP($A22,'détails investissements'!$A$71:$B$88,2,FALSE)+1,FALSE)="","",VLOOKUP($A22,'détails investissements'!$A$26:$DE$43,L$3-VLOOKUP($A22,'détails investissements'!$A$71:$B$88,2,FALSE)+1,FALSE)))</f>
        <v>2.5000000000000001E-2</v>
      </c>
      <c r="M22" s="45">
        <f>IF(M$3-VLOOKUP($A22,'détails investissements'!$A$71:$B$88,2,FALSE)&lt;=0,"",IF(VLOOKUP($A22,'détails investissements'!$A$26:$DE$43,M$3-VLOOKUP($A22,'détails investissements'!$A$71:$B$88,2,FALSE)+1,FALSE)="","",VLOOKUP($A22,'détails investissements'!$A$26:$DE$43,M$3-VLOOKUP($A22,'détails investissements'!$A$71:$B$88,2,FALSE)+1,FALSE)))</f>
        <v>2.5000000000000001E-2</v>
      </c>
      <c r="N22" s="45">
        <f>IF(N$3-VLOOKUP($A22,'détails investissements'!$A$71:$B$88,2,FALSE)&lt;=0,"",IF(VLOOKUP($A22,'détails investissements'!$A$26:$DE$43,N$3-VLOOKUP($A22,'détails investissements'!$A$71:$B$88,2,FALSE)+1,FALSE)="","",VLOOKUP($A22,'détails investissements'!$A$26:$DE$43,N$3-VLOOKUP($A22,'détails investissements'!$A$71:$B$88,2,FALSE)+1,FALSE)))</f>
        <v>2.5000000000000001E-2</v>
      </c>
      <c r="O22" s="45">
        <f>IF(O$3-VLOOKUP($A22,'détails investissements'!$A$71:$B$88,2,FALSE)&lt;=0,"",IF(VLOOKUP($A22,'détails investissements'!$A$26:$DE$43,O$3-VLOOKUP($A22,'détails investissements'!$A$71:$B$88,2,FALSE)+1,FALSE)="","",VLOOKUP($A22,'détails investissements'!$A$26:$DE$43,O$3-VLOOKUP($A22,'détails investissements'!$A$71:$B$88,2,FALSE)+1,FALSE)))</f>
        <v>2.5000000000000001E-2</v>
      </c>
      <c r="P22" s="45">
        <f>IF(P$3-VLOOKUP($A22,'détails investissements'!$A$71:$B$88,2,FALSE)&lt;=0,"",IF(VLOOKUP($A22,'détails investissements'!$A$26:$DE$43,P$3-VLOOKUP($A22,'détails investissements'!$A$71:$B$88,2,FALSE)+1,FALSE)="","",VLOOKUP($A22,'détails investissements'!$A$26:$DE$43,P$3-VLOOKUP($A22,'détails investissements'!$A$71:$B$88,2,FALSE)+1,FALSE)))</f>
        <v>2.5000000000000001E-2</v>
      </c>
      <c r="Q22" s="45">
        <f>IF(Q$3-VLOOKUP($A22,'détails investissements'!$A$71:$B$88,2,FALSE)&lt;=0,"",IF(VLOOKUP($A22,'détails investissements'!$A$26:$DE$43,Q$3-VLOOKUP($A22,'détails investissements'!$A$71:$B$88,2,FALSE)+1,FALSE)="","",VLOOKUP($A22,'détails investissements'!$A$26:$DE$43,Q$3-VLOOKUP($A22,'détails investissements'!$A$71:$B$88,2,FALSE)+1,FALSE)))</f>
        <v>2.5000000000000001E-2</v>
      </c>
      <c r="R22" s="45">
        <f>IF(R$3-VLOOKUP($A22,'détails investissements'!$A$71:$B$88,2,FALSE)&lt;=0,"",IF(VLOOKUP($A22,'détails investissements'!$A$26:$DE$43,R$3-VLOOKUP($A22,'détails investissements'!$A$71:$B$88,2,FALSE)+1,FALSE)="","",VLOOKUP($A22,'détails investissements'!$A$26:$DE$43,R$3-VLOOKUP($A22,'détails investissements'!$A$71:$B$88,2,FALSE)+1,FALSE)))</f>
        <v>2.5000000000000001E-2</v>
      </c>
      <c r="S22" s="45">
        <f>IF(S$3-VLOOKUP($A22,'détails investissements'!$A$71:$B$88,2,FALSE)&lt;=0,"",IF(VLOOKUP($A22,'détails investissements'!$A$26:$DE$43,S$3-VLOOKUP($A22,'détails investissements'!$A$71:$B$88,2,FALSE)+1,FALSE)="","",VLOOKUP($A22,'détails investissements'!$A$26:$DE$43,S$3-VLOOKUP($A22,'détails investissements'!$A$71:$B$88,2,FALSE)+1,FALSE)))</f>
        <v>2.5000000000000001E-2</v>
      </c>
      <c r="T22" s="45">
        <f>IF(T$3-VLOOKUP($A22,'détails investissements'!$A$71:$B$88,2,FALSE)&lt;=0,"",IF(VLOOKUP($A22,'détails investissements'!$A$26:$DE$43,T$3-VLOOKUP($A22,'détails investissements'!$A$71:$B$88,2,FALSE)+1,FALSE)="","",VLOOKUP($A22,'détails investissements'!$A$26:$DE$43,T$3-VLOOKUP($A22,'détails investissements'!$A$71:$B$88,2,FALSE)+1,FALSE)))</f>
        <v>2.5000000000000001E-2</v>
      </c>
      <c r="U22" s="45">
        <f>IF(U$3-VLOOKUP($A22,'détails investissements'!$A$71:$B$88,2,FALSE)&lt;=0,"",IF(VLOOKUP($A22,'détails investissements'!$A$26:$DE$43,U$3-VLOOKUP($A22,'détails investissements'!$A$71:$B$88,2,FALSE)+1,FALSE)="","",VLOOKUP($A22,'détails investissements'!$A$26:$DE$43,U$3-VLOOKUP($A22,'détails investissements'!$A$71:$B$88,2,FALSE)+1,FALSE)))</f>
        <v>2.5000000000000001E-2</v>
      </c>
      <c r="V22" s="45">
        <f>IF(V$3-VLOOKUP($A22,'détails investissements'!$A$71:$B$88,2,FALSE)&lt;=0,"",IF(VLOOKUP($A22,'détails investissements'!$A$26:$DE$43,V$3-VLOOKUP($A22,'détails investissements'!$A$71:$B$88,2,FALSE)+1,FALSE)="","",VLOOKUP($A22,'détails investissements'!$A$26:$DE$43,V$3-VLOOKUP($A22,'détails investissements'!$A$71:$B$88,2,FALSE)+1,FALSE)))</f>
        <v>2.5000000000000001E-2</v>
      </c>
      <c r="W22" s="45">
        <f>IF(W$3-VLOOKUP($A22,'détails investissements'!$A$71:$B$88,2,FALSE)&lt;=0,"",IF(VLOOKUP($A22,'détails investissements'!$A$26:$DE$43,W$3-VLOOKUP($A22,'détails investissements'!$A$71:$B$88,2,FALSE)+1,FALSE)="","",VLOOKUP($A22,'détails investissements'!$A$26:$DE$43,W$3-VLOOKUP($A22,'détails investissements'!$A$71:$B$88,2,FALSE)+1,FALSE)))</f>
        <v>2.5000000000000001E-2</v>
      </c>
      <c r="X22" s="45">
        <f>IF(X$3-VLOOKUP($A22,'détails investissements'!$A$71:$B$88,2,FALSE)&lt;=0,"",IF(VLOOKUP($A22,'détails investissements'!$A$26:$DE$43,X$3-VLOOKUP($A22,'détails investissements'!$A$71:$B$88,2,FALSE)+1,FALSE)="","",VLOOKUP($A22,'détails investissements'!$A$26:$DE$43,X$3-VLOOKUP($A22,'détails investissements'!$A$71:$B$88,2,FALSE)+1,FALSE)))</f>
        <v>2.5000000000000001E-2</v>
      </c>
      <c r="Y22" s="45">
        <f>IF(Y$3-VLOOKUP($A22,'détails investissements'!$A$71:$B$88,2,FALSE)&lt;=0,"",IF(VLOOKUP($A22,'détails investissements'!$A$26:$DE$43,Y$3-VLOOKUP($A22,'détails investissements'!$A$71:$B$88,2,FALSE)+1,FALSE)="","",VLOOKUP($A22,'détails investissements'!$A$26:$DE$43,Y$3-VLOOKUP($A22,'détails investissements'!$A$71:$B$88,2,FALSE)+1,FALSE)))</f>
        <v>2.5000000000000001E-2</v>
      </c>
      <c r="Z22" s="45">
        <f>IF(Z$3-VLOOKUP($A22,'détails investissements'!$A$71:$B$88,2,FALSE)&lt;=0,"",IF(VLOOKUP($A22,'détails investissements'!$A$26:$DE$43,Z$3-VLOOKUP($A22,'détails investissements'!$A$71:$B$88,2,FALSE)+1,FALSE)="","",VLOOKUP($A22,'détails investissements'!$A$26:$DE$43,Z$3-VLOOKUP($A22,'détails investissements'!$A$71:$B$88,2,FALSE)+1,FALSE)))</f>
        <v>2.5000000000000001E-2</v>
      </c>
      <c r="AA22" s="45">
        <f>IF(AA$3-VLOOKUP($A22,'détails investissements'!$A$71:$B$88,2,FALSE)&lt;=0,"",IF(VLOOKUP($A22,'détails investissements'!$A$26:$DE$43,AA$3-VLOOKUP($A22,'détails investissements'!$A$71:$B$88,2,FALSE)+1,FALSE)="","",VLOOKUP($A22,'détails investissements'!$A$26:$DE$43,AA$3-VLOOKUP($A22,'détails investissements'!$A$71:$B$88,2,FALSE)+1,FALSE)))</f>
        <v>2.5000000000000001E-2</v>
      </c>
      <c r="AB22" s="45">
        <f>IF(AB$3-VLOOKUP($A22,'détails investissements'!$A$71:$B$88,2,FALSE)&lt;=0,"",IF(VLOOKUP($A22,'détails investissements'!$A$26:$DE$43,AB$3-VLOOKUP($A22,'détails investissements'!$A$71:$B$88,2,FALSE)+1,FALSE)="","",VLOOKUP($A22,'détails investissements'!$A$26:$DE$43,AB$3-VLOOKUP($A22,'détails investissements'!$A$71:$B$88,2,FALSE)+1,FALSE)))</f>
        <v>2.5000000000000001E-2</v>
      </c>
      <c r="AC22" s="45">
        <f>IF(AC$3-VLOOKUP($A22,'détails investissements'!$A$71:$B$88,2,FALSE)&lt;=0,"",IF(VLOOKUP($A22,'détails investissements'!$A$26:$DE$43,AC$3-VLOOKUP($A22,'détails investissements'!$A$71:$B$88,2,FALSE)+1,FALSE)="","",VLOOKUP($A22,'détails investissements'!$A$26:$DE$43,AC$3-VLOOKUP($A22,'détails investissements'!$A$71:$B$88,2,FALSE)+1,FALSE)))</f>
        <v>2.5000000000000001E-2</v>
      </c>
      <c r="AD22" s="45">
        <f>IF(AD$3-VLOOKUP($A22,'détails investissements'!$A$71:$B$88,2,FALSE)&lt;=0,"",IF(VLOOKUP($A22,'détails investissements'!$A$26:$DE$43,AD$3-VLOOKUP($A22,'détails investissements'!$A$71:$B$88,2,FALSE)+1,FALSE)="","",VLOOKUP($A22,'détails investissements'!$A$26:$DE$43,AD$3-VLOOKUP($A22,'détails investissements'!$A$71:$B$88,2,FALSE)+1,FALSE)))</f>
        <v>2.5000000000000001E-2</v>
      </c>
      <c r="AE22" s="45">
        <f>IF(AE$3-VLOOKUP($A22,'détails investissements'!$A$71:$B$88,2,FALSE)&lt;=0,"",IF(VLOOKUP($A22,'détails investissements'!$A$26:$DE$43,AE$3-VLOOKUP($A22,'détails investissements'!$A$71:$B$88,2,FALSE)+1,FALSE)="","",VLOOKUP($A22,'détails investissements'!$A$26:$DE$43,AE$3-VLOOKUP($A22,'détails investissements'!$A$71:$B$88,2,FALSE)+1,FALSE)))</f>
        <v>2.5000000000000001E-2</v>
      </c>
      <c r="AF22" s="45">
        <f>IF(AF$3-VLOOKUP($A22,'détails investissements'!$A$71:$B$88,2,FALSE)&lt;=0,"",IF(VLOOKUP($A22,'détails investissements'!$A$26:$DE$43,AF$3-VLOOKUP($A22,'détails investissements'!$A$71:$B$88,2,FALSE)+1,FALSE)="","",VLOOKUP($A22,'détails investissements'!$A$26:$DE$43,AF$3-VLOOKUP($A22,'détails investissements'!$A$71:$B$88,2,FALSE)+1,FALSE)))</f>
        <v>2.5000000000000001E-2</v>
      </c>
      <c r="AG22" s="45">
        <f>IF(AG$3-VLOOKUP($A22,'détails investissements'!$A$71:$B$88,2,FALSE)&lt;=0,"",IF(VLOOKUP($A22,'détails investissements'!$A$26:$DE$43,AG$3-VLOOKUP($A22,'détails investissements'!$A$71:$B$88,2,FALSE)+1,FALSE)="","",VLOOKUP($A22,'détails investissements'!$A$26:$DE$43,AG$3-VLOOKUP($A22,'détails investissements'!$A$71:$B$88,2,FALSE)+1,FALSE)))</f>
        <v>2.5000000000000001E-2</v>
      </c>
      <c r="AH22" s="45">
        <f>IF(AH$3-VLOOKUP($A22,'détails investissements'!$A$71:$B$88,2,FALSE)&lt;=0,"",IF(VLOOKUP($A22,'détails investissements'!$A$26:$DE$43,AH$3-VLOOKUP($A22,'détails investissements'!$A$71:$B$88,2,FALSE)+1,FALSE)="","",VLOOKUP($A22,'détails investissements'!$A$26:$DE$43,AH$3-VLOOKUP($A22,'détails investissements'!$A$71:$B$88,2,FALSE)+1,FALSE)))</f>
        <v>2.5000000000000001E-2</v>
      </c>
      <c r="AI22" s="45" t="str">
        <f>IF(AI$3-VLOOKUP($A22,'détails investissements'!$A$71:$B$88,2,FALSE)&lt;=0,"",IF(VLOOKUP($A22,'détails investissements'!$A$26:$DE$43,AI$3-VLOOKUP($A22,'détails investissements'!$A$71:$B$88,2,FALSE)+1,FALSE)="","",VLOOKUP($A22,'détails investissements'!$A$26:$DE$43,AI$3-VLOOKUP($A22,'détails investissements'!$A$71:$B$88,2,FALSE)+1,FALSE)))</f>
        <v/>
      </c>
      <c r="AJ22" s="45" t="str">
        <f>IF(AJ$3-VLOOKUP($A22,'détails investissements'!$A$71:$B$88,2,FALSE)&lt;=0,"",IF(VLOOKUP($A22,'détails investissements'!$A$26:$DE$43,AJ$3-VLOOKUP($A22,'détails investissements'!$A$71:$B$88,2,FALSE)+1,FALSE)="","",VLOOKUP($A22,'détails investissements'!$A$26:$DE$43,AJ$3-VLOOKUP($A22,'détails investissements'!$A$71:$B$88,2,FALSE)+1,FALSE)))</f>
        <v/>
      </c>
      <c r="AK22" s="45" t="str">
        <f>IF(AK$3-VLOOKUP($A22,'détails investissements'!$A$71:$B$88,2,FALSE)&lt;=0,"",IF(VLOOKUP($A22,'détails investissements'!$A$26:$DE$43,AK$3-VLOOKUP($A22,'détails investissements'!$A$71:$B$88,2,FALSE)+1,FALSE)="","",VLOOKUP($A22,'détails investissements'!$A$26:$DE$43,AK$3-VLOOKUP($A22,'détails investissements'!$A$71:$B$88,2,FALSE)+1,FALSE)))</f>
        <v/>
      </c>
      <c r="AL22" s="45" t="str">
        <f>IF(AL$3-VLOOKUP($A22,'détails investissements'!$A$71:$B$88,2,FALSE)&lt;=0,"",IF(VLOOKUP($A22,'détails investissements'!$A$26:$DE$43,AL$3-VLOOKUP($A22,'détails investissements'!$A$71:$B$88,2,FALSE)+1,FALSE)="","",VLOOKUP($A22,'détails investissements'!$A$26:$DE$43,AL$3-VLOOKUP($A22,'détails investissements'!$A$71:$B$88,2,FALSE)+1,FALSE)))</f>
        <v/>
      </c>
      <c r="AM22" s="45" t="str">
        <f>IF(AM$3-VLOOKUP($A22,'détails investissements'!$A$71:$B$88,2,FALSE)&lt;=0,"",IF(VLOOKUP($A22,'détails investissements'!$A$26:$DE$43,AM$3-VLOOKUP($A22,'détails investissements'!$A$71:$B$88,2,FALSE)+1,FALSE)="","",VLOOKUP($A22,'détails investissements'!$A$26:$DE$43,AM$3-VLOOKUP($A22,'détails investissements'!$A$71:$B$88,2,FALSE)+1,FALSE)))</f>
        <v/>
      </c>
      <c r="AN22" s="45" t="str">
        <f>IF(AN$3-VLOOKUP($A22,'détails investissements'!$A$71:$B$88,2,FALSE)&lt;=0,"",IF(VLOOKUP($A22,'détails investissements'!$A$26:$DE$43,AN$3-VLOOKUP($A22,'détails investissements'!$A$71:$B$88,2,FALSE)+1,FALSE)="","",VLOOKUP($A22,'détails investissements'!$A$26:$DE$43,AN$3-VLOOKUP($A22,'détails investissements'!$A$71:$B$88,2,FALSE)+1,FALSE)))</f>
        <v/>
      </c>
      <c r="AO22" s="45" t="str">
        <f>IF(AO$3-VLOOKUP($A22,'détails investissements'!$A$71:$B$88,2,FALSE)&lt;=0,"",IF(VLOOKUP($A22,'détails investissements'!$A$26:$DE$43,AO$3-VLOOKUP($A22,'détails investissements'!$A$71:$B$88,2,FALSE)+1,FALSE)="","",VLOOKUP($A22,'détails investissements'!$A$26:$DE$43,AO$3-VLOOKUP($A22,'détails investissements'!$A$71:$B$88,2,FALSE)+1,FALSE)))</f>
        <v/>
      </c>
      <c r="AP22" s="45" t="str">
        <f>IF(AP$3-VLOOKUP($A22,'détails investissements'!$A$71:$B$88,2,FALSE)&lt;=0,"",IF(VLOOKUP($A22,'détails investissements'!$A$26:$DE$43,AP$3-VLOOKUP($A22,'détails investissements'!$A$71:$B$88,2,FALSE)+1,FALSE)="","",VLOOKUP($A22,'détails investissements'!$A$26:$DE$43,AP$3-VLOOKUP($A22,'détails investissements'!$A$71:$B$88,2,FALSE)+1,FALSE)))</f>
        <v/>
      </c>
      <c r="AQ22" s="45" t="str">
        <f>IF(AQ$3-VLOOKUP($A22,'détails investissements'!$A$71:$B$88,2,FALSE)&lt;=0,"",IF(VLOOKUP($A22,'détails investissements'!$A$26:$DE$43,AQ$3-VLOOKUP($A22,'détails investissements'!$A$71:$B$88,2,FALSE)+1,FALSE)="","",VLOOKUP($A22,'détails investissements'!$A$26:$DE$43,AQ$3-VLOOKUP($A22,'détails investissements'!$A$71:$B$88,2,FALSE)+1,FALSE)))</f>
        <v/>
      </c>
      <c r="AR22" s="45" t="str">
        <f>IF(AR$3-VLOOKUP($A22,'détails investissements'!$A$71:$B$88,2,FALSE)&lt;=0,"",IF(VLOOKUP($A22,'détails investissements'!$A$26:$DE$43,AR$3-VLOOKUP($A22,'détails investissements'!$A$71:$B$88,2,FALSE)+1,FALSE)="","",VLOOKUP($A22,'détails investissements'!$A$26:$DE$43,AR$3-VLOOKUP($A22,'détails investissements'!$A$71:$B$88,2,FALSE)+1,FALSE)))</f>
        <v/>
      </c>
      <c r="AS22" s="45" t="str">
        <f>IF(AS$3-VLOOKUP($A22,'détails investissements'!$A$71:$B$88,2,FALSE)&lt;=0,"",IF(VLOOKUP($A22,'détails investissements'!$A$26:$DE$43,AS$3-VLOOKUP($A22,'détails investissements'!$A$71:$B$88,2,FALSE)+1,FALSE)="","",VLOOKUP($A22,'détails investissements'!$A$26:$DE$43,AS$3-VLOOKUP($A22,'détails investissements'!$A$71:$B$88,2,FALSE)+1,FALSE)))</f>
        <v/>
      </c>
      <c r="AT22" s="45" t="str">
        <f>IF(AT$3-VLOOKUP($A22,'détails investissements'!$A$71:$B$88,2,FALSE)&lt;=0,"",IF(VLOOKUP($A22,'détails investissements'!$A$26:$DE$43,AT$3-VLOOKUP($A22,'détails investissements'!$A$71:$B$88,2,FALSE)+1,FALSE)="","",VLOOKUP($A22,'détails investissements'!$A$26:$DE$43,AT$3-VLOOKUP($A22,'détails investissements'!$A$71:$B$88,2,FALSE)+1,FALSE)))</f>
        <v/>
      </c>
      <c r="AU22" s="45" t="str">
        <f>IF(AU$3-VLOOKUP($A22,'détails investissements'!$A$71:$B$88,2,FALSE)&lt;=0,"",IF(VLOOKUP($A22,'détails investissements'!$A$26:$DE$43,AU$3-VLOOKUP($A22,'détails investissements'!$A$71:$B$88,2,FALSE)+1,FALSE)="","",VLOOKUP($A22,'détails investissements'!$A$26:$DE$43,AU$3-VLOOKUP($A22,'détails investissements'!$A$71:$B$88,2,FALSE)+1,FALSE)))</f>
        <v/>
      </c>
      <c r="AV22" s="45" t="str">
        <f>IF(AV$3-VLOOKUP($A22,'détails investissements'!$A$71:$B$88,2,FALSE)&lt;=0,"",IF(VLOOKUP($A22,'détails investissements'!$A$26:$DE$43,AV$3-VLOOKUP($A22,'détails investissements'!$A$71:$B$88,2,FALSE)+1,FALSE)="","",VLOOKUP($A22,'détails investissements'!$A$26:$DE$43,AV$3-VLOOKUP($A22,'détails investissements'!$A$71:$B$88,2,FALSE)+1,FALSE)))</f>
        <v/>
      </c>
      <c r="AW22" s="45" t="str">
        <f>IF(AW$3-VLOOKUP($A22,'détails investissements'!$A$71:$B$88,2,FALSE)&lt;=0,"",IF(VLOOKUP($A22,'détails investissements'!$A$26:$DE$43,AW$3-VLOOKUP($A22,'détails investissements'!$A$71:$B$88,2,FALSE)+1,FALSE)="","",VLOOKUP($A22,'détails investissements'!$A$26:$DE$43,AW$3-VLOOKUP($A22,'détails investissements'!$A$71:$B$88,2,FALSE)+1,FALSE)))</f>
        <v/>
      </c>
      <c r="AX22" s="45" t="str">
        <f>IF(AX$3-VLOOKUP($A22,'détails investissements'!$A$71:$B$88,2,FALSE)&lt;=0,"",IF(VLOOKUP($A22,'détails investissements'!$A$26:$DE$43,AX$3-VLOOKUP($A22,'détails investissements'!$A$71:$B$88,2,FALSE)+1,FALSE)="","",VLOOKUP($A22,'détails investissements'!$A$26:$DE$43,AX$3-VLOOKUP($A22,'détails investissements'!$A$71:$B$88,2,FALSE)+1,FALSE)))</f>
        <v/>
      </c>
      <c r="AY22" s="45" t="str">
        <f>IF(AY$3-VLOOKUP($A22,'détails investissements'!$A$71:$B$88,2,FALSE)&lt;=0,"",IF(VLOOKUP($A22,'détails investissements'!$A$26:$DE$43,AY$3-VLOOKUP($A22,'détails investissements'!$A$71:$B$88,2,FALSE)+1,FALSE)="","",VLOOKUP($A22,'détails investissements'!$A$26:$DE$43,AY$3-VLOOKUP($A22,'détails investissements'!$A$71:$B$88,2,FALSE)+1,FALSE)))</f>
        <v/>
      </c>
      <c r="AZ22" s="45" t="str">
        <f>IF(AZ$3-VLOOKUP($A22,'détails investissements'!$A$71:$B$88,2,FALSE)&lt;=0,"",IF(VLOOKUP($A22,'détails investissements'!$A$26:$DE$43,AZ$3-VLOOKUP($A22,'détails investissements'!$A$71:$B$88,2,FALSE)+1,FALSE)="","",VLOOKUP($A22,'détails investissements'!$A$26:$DE$43,AZ$3-VLOOKUP($A22,'détails investissements'!$A$71:$B$88,2,FALSE)+1,FALSE)))</f>
        <v/>
      </c>
      <c r="BA22" s="45" t="str">
        <f>IF(BA$3-VLOOKUP($A22,'détails investissements'!$A$71:$B$88,2,FALSE)&lt;=0,"",IF(VLOOKUP($A22,'détails investissements'!$A$26:$DE$43,BA$3-VLOOKUP($A22,'détails investissements'!$A$71:$B$88,2,FALSE)+1,FALSE)="","",VLOOKUP($A22,'détails investissements'!$A$26:$DE$43,BA$3-VLOOKUP($A22,'détails investissements'!$A$71:$B$88,2,FALSE)+1,FALSE)))</f>
        <v/>
      </c>
      <c r="BB22" s="45" t="str">
        <f>IF(BB$3-VLOOKUP($A22,'détails investissements'!$A$71:$B$88,2,FALSE)&lt;=0,"",IF(VLOOKUP($A22,'détails investissements'!$A$26:$DE$43,BB$3-VLOOKUP($A22,'détails investissements'!$A$71:$B$88,2,FALSE)+1,FALSE)="","",VLOOKUP($A22,'détails investissements'!$A$26:$DE$43,BB$3-VLOOKUP($A22,'détails investissements'!$A$71:$B$88,2,FALSE)+1,FALSE)))</f>
        <v/>
      </c>
      <c r="BC22" s="45" t="str">
        <f>IF(BC$3-VLOOKUP($A22,'détails investissements'!$A$71:$B$88,2,FALSE)&lt;=0,"",IF(VLOOKUP($A22,'détails investissements'!$A$26:$DE$43,BC$3-VLOOKUP($A22,'détails investissements'!$A$71:$B$88,2,FALSE)+1,FALSE)="","",VLOOKUP($A22,'détails investissements'!$A$26:$DE$43,BC$3-VLOOKUP($A22,'détails investissements'!$A$71:$B$88,2,FALSE)+1,FALSE)))</f>
        <v/>
      </c>
      <c r="BD22" s="45" t="str">
        <f>IF(BD$3-VLOOKUP($A22,'détails investissements'!$A$71:$B$88,2,FALSE)&lt;=0,"",IF(VLOOKUP($A22,'détails investissements'!$A$26:$DE$43,BD$3-VLOOKUP($A22,'détails investissements'!$A$71:$B$88,2,FALSE)+1,FALSE)="","",VLOOKUP($A22,'détails investissements'!$A$26:$DE$43,BD$3-VLOOKUP($A22,'détails investissements'!$A$71:$B$88,2,FALSE)+1,FALSE)))</f>
        <v/>
      </c>
      <c r="BE22" s="45" t="str">
        <f>IF(BE$3-VLOOKUP($A22,'détails investissements'!$A$71:$B$88,2,FALSE)&lt;=0,"",IF(VLOOKUP($A22,'détails investissements'!$A$26:$DE$43,BE$3-VLOOKUP($A22,'détails investissements'!$A$71:$B$88,2,FALSE)+1,FALSE)="","",VLOOKUP($A22,'détails investissements'!$A$26:$DE$43,BE$3-VLOOKUP($A22,'détails investissements'!$A$71:$B$88,2,FALSE)+1,FALSE)))</f>
        <v/>
      </c>
      <c r="BF22" s="45" t="str">
        <f>IF(BF$3-VLOOKUP($A22,'détails investissements'!$A$71:$B$88,2,FALSE)&lt;=0,"",IF(VLOOKUP($A22,'détails investissements'!$A$26:$DE$43,BF$3-VLOOKUP($A22,'détails investissements'!$A$71:$B$88,2,FALSE)+1,FALSE)="","",VLOOKUP($A22,'détails investissements'!$A$26:$DE$43,BF$3-VLOOKUP($A22,'détails investissements'!$A$71:$B$88,2,FALSE)+1,FALSE)))</f>
        <v/>
      </c>
      <c r="BG22" s="45" t="str">
        <f>IF(BG$3-VLOOKUP($A22,'détails investissements'!$A$71:$B$88,2,FALSE)&lt;=0,"",IF(VLOOKUP($A22,'détails investissements'!$A$26:$DE$43,BG$3-VLOOKUP($A22,'détails investissements'!$A$71:$B$88,2,FALSE)+1,FALSE)="","",VLOOKUP($A22,'détails investissements'!$A$26:$DE$43,BG$3-VLOOKUP($A22,'détails investissements'!$A$71:$B$88,2,FALSE)+1,FALSE)))</f>
        <v/>
      </c>
      <c r="BH22" s="45" t="str">
        <f>IF(BH$3-VLOOKUP($A22,'détails investissements'!$A$71:$B$88,2,FALSE)&lt;=0,"",IF(VLOOKUP($A22,'détails investissements'!$A$26:$DE$43,BH$3-VLOOKUP($A22,'détails investissements'!$A$71:$B$88,2,FALSE)+1,FALSE)="","",VLOOKUP($A22,'détails investissements'!$A$26:$DE$43,BH$3-VLOOKUP($A22,'détails investissements'!$A$71:$B$88,2,FALSE)+1,FALSE)))</f>
        <v/>
      </c>
      <c r="BI22" s="45" t="str">
        <f>IF(BI$3-VLOOKUP($A22,'détails investissements'!$A$71:$B$88,2,FALSE)&lt;=0,"",IF(VLOOKUP($A22,'détails investissements'!$A$26:$DE$43,BI$3-VLOOKUP($A22,'détails investissements'!$A$71:$B$88,2,FALSE)+1,FALSE)="","",VLOOKUP($A22,'détails investissements'!$A$26:$DE$43,BI$3-VLOOKUP($A22,'détails investissements'!$A$71:$B$88,2,FALSE)+1,FALSE)))</f>
        <v/>
      </c>
      <c r="BJ22" s="45" t="str">
        <f>IF(BJ$3-VLOOKUP($A22,'détails investissements'!$A$71:$B$88,2,FALSE)&lt;=0,"",IF(VLOOKUP($A22,'détails investissements'!$A$26:$DE$43,BJ$3-VLOOKUP($A22,'détails investissements'!$A$71:$B$88,2,FALSE)+1,FALSE)="","",VLOOKUP($A22,'détails investissements'!$A$26:$DE$43,BJ$3-VLOOKUP($A22,'détails investissements'!$A$71:$B$88,2,FALSE)+1,FALSE)))</f>
        <v/>
      </c>
      <c r="BK22" s="45" t="str">
        <f>IF(BK$3-VLOOKUP($A22,'détails investissements'!$A$71:$B$88,2,FALSE)&lt;=0,"",IF(VLOOKUP($A22,'détails investissements'!$A$26:$DE$43,BK$3-VLOOKUP($A22,'détails investissements'!$A$71:$B$88,2,FALSE)+1,FALSE)="","",VLOOKUP($A22,'détails investissements'!$A$26:$DE$43,BK$3-VLOOKUP($A22,'détails investissements'!$A$71:$B$88,2,FALSE)+1,FALSE)))</f>
        <v/>
      </c>
      <c r="BL22" s="45" t="str">
        <f>IF(BL$3-VLOOKUP($A22,'détails investissements'!$A$71:$B$88,2,FALSE)&lt;=0,"",IF(VLOOKUP($A22,'détails investissements'!$A$26:$DE$43,BL$3-VLOOKUP($A22,'détails investissements'!$A$71:$B$88,2,FALSE)+1,FALSE)="","",VLOOKUP($A22,'détails investissements'!$A$26:$DE$43,BL$3-VLOOKUP($A22,'détails investissements'!$A$71:$B$88,2,FALSE)+1,FALSE)))</f>
        <v/>
      </c>
      <c r="BM22" s="45" t="str">
        <f>IF(BM$3-VLOOKUP($A22,'détails investissements'!$A$71:$B$88,2,FALSE)&lt;=0,"",IF(VLOOKUP($A22,'détails investissements'!$A$26:$DE$43,BM$3-VLOOKUP($A22,'détails investissements'!$A$71:$B$88,2,FALSE)+1,FALSE)="","",VLOOKUP($A22,'détails investissements'!$A$26:$DE$43,BM$3-VLOOKUP($A22,'détails investissements'!$A$71:$B$88,2,FALSE)+1,FALSE)))</f>
        <v/>
      </c>
      <c r="BN22" s="45" t="str">
        <f>IF(BN$3-VLOOKUP($A22,'détails investissements'!$A$71:$B$88,2,FALSE)&lt;=0,"",IF(VLOOKUP($A22,'détails investissements'!$A$26:$DE$43,BN$3-VLOOKUP($A22,'détails investissements'!$A$71:$B$88,2,FALSE)+1,FALSE)="","",VLOOKUP($A22,'détails investissements'!$A$26:$DE$43,BN$3-VLOOKUP($A22,'détails investissements'!$A$71:$B$88,2,FALSE)+1,FALSE)))</f>
        <v/>
      </c>
      <c r="BO22" s="45" t="str">
        <f>IF(BO$3-VLOOKUP($A22,'détails investissements'!$A$71:$B$88,2,FALSE)&lt;=0,"",IF(VLOOKUP($A22,'détails investissements'!$A$26:$DE$43,BO$3-VLOOKUP($A22,'détails investissements'!$A$71:$B$88,2,FALSE)+1,FALSE)="","",VLOOKUP($A22,'détails investissements'!$A$26:$DE$43,BO$3-VLOOKUP($A22,'détails investissements'!$A$71:$B$88,2,FALSE)+1,FALSE)))</f>
        <v/>
      </c>
      <c r="BP22" s="45" t="str">
        <f>IF(BP$3-VLOOKUP($A22,'détails investissements'!$A$71:$B$88,2,FALSE)&lt;=0,"",IF(VLOOKUP($A22,'détails investissements'!$A$26:$DE$43,BP$3-VLOOKUP($A22,'détails investissements'!$A$71:$B$88,2,FALSE)+1,FALSE)="","",VLOOKUP($A22,'détails investissements'!$A$26:$DE$43,BP$3-VLOOKUP($A22,'détails investissements'!$A$71:$B$88,2,FALSE)+1,FALSE)))</f>
        <v/>
      </c>
      <c r="BQ22" s="45" t="str">
        <f>IF(BQ$3-VLOOKUP($A22,'détails investissements'!$A$71:$B$88,2,FALSE)&lt;=0,"",IF(VLOOKUP($A22,'détails investissements'!$A$26:$DE$43,BQ$3-VLOOKUP($A22,'détails investissements'!$A$71:$B$88,2,FALSE)+1,FALSE)="","",VLOOKUP($A22,'détails investissements'!$A$26:$DE$43,BQ$3-VLOOKUP($A22,'détails investissements'!$A$71:$B$88,2,FALSE)+1,FALSE)))</f>
        <v/>
      </c>
      <c r="BR22" s="45" t="str">
        <f>IF(BR$3-VLOOKUP($A22,'détails investissements'!$A$71:$B$88,2,FALSE)&lt;=0,"",IF(VLOOKUP($A22,'détails investissements'!$A$26:$DE$43,BR$3-VLOOKUP($A22,'détails investissements'!$A$71:$B$88,2,FALSE)+1,FALSE)="","",VLOOKUP($A22,'détails investissements'!$A$26:$DE$43,BR$3-VLOOKUP($A22,'détails investissements'!$A$71:$B$88,2,FALSE)+1,FALSE)))</f>
        <v/>
      </c>
      <c r="BS22" s="45" t="str">
        <f>IF(BS$3-VLOOKUP($A22,'détails investissements'!$A$71:$B$88,2,FALSE)&lt;=0,"",IF(VLOOKUP($A22,'détails investissements'!$A$26:$DE$43,BS$3-VLOOKUP($A22,'détails investissements'!$A$71:$B$88,2,FALSE)+1,FALSE)="","",VLOOKUP($A22,'détails investissements'!$A$26:$DE$43,BS$3-VLOOKUP($A22,'détails investissements'!$A$71:$B$88,2,FALSE)+1,FALSE)))</f>
        <v/>
      </c>
      <c r="BT22" s="45" t="str">
        <f>IF(BT$3-VLOOKUP($A22,'détails investissements'!$A$71:$B$88,2,FALSE)&lt;=0,"",IF(VLOOKUP($A22,'détails investissements'!$A$26:$DE$43,BT$3-VLOOKUP($A22,'détails investissements'!$A$71:$B$88,2,FALSE)+1,FALSE)="","",VLOOKUP($A22,'détails investissements'!$A$26:$DE$43,BT$3-VLOOKUP($A22,'détails investissements'!$A$71:$B$88,2,FALSE)+1,FALSE)))</f>
        <v/>
      </c>
      <c r="BU22" s="45" t="str">
        <f>IF(BU$3-VLOOKUP($A22,'détails investissements'!$A$71:$B$88,2,FALSE)&lt;=0,"",IF(VLOOKUP($A22,'détails investissements'!$A$26:$DE$43,BU$3-VLOOKUP($A22,'détails investissements'!$A$71:$B$88,2,FALSE)+1,FALSE)="","",VLOOKUP($A22,'détails investissements'!$A$26:$DE$43,BU$3-VLOOKUP($A22,'détails investissements'!$A$71:$B$88,2,FALSE)+1,FALSE)))</f>
        <v/>
      </c>
      <c r="BV22" s="45" t="str">
        <f>IF(BV$3-VLOOKUP($A22,'détails investissements'!$A$71:$B$88,2,FALSE)&lt;=0,"",IF(VLOOKUP($A22,'détails investissements'!$A$26:$DE$43,BV$3-VLOOKUP($A22,'détails investissements'!$A$71:$B$88,2,FALSE)+1,FALSE)="","",VLOOKUP($A22,'détails investissements'!$A$26:$DE$43,BV$3-VLOOKUP($A22,'détails investissements'!$A$71:$B$88,2,FALSE)+1,FALSE)))</f>
        <v/>
      </c>
      <c r="BW22" s="45" t="str">
        <f>IF(BW$3-VLOOKUP($A22,'détails investissements'!$A$71:$B$88,2,FALSE)&lt;=0,"",IF(VLOOKUP($A22,'détails investissements'!$A$26:$DE$43,BW$3-VLOOKUP($A22,'détails investissements'!$A$71:$B$88,2,FALSE)+1,FALSE)="","",VLOOKUP($A22,'détails investissements'!$A$26:$DE$43,BW$3-VLOOKUP($A22,'détails investissements'!$A$71:$B$88,2,FALSE)+1,FALSE)))</f>
        <v/>
      </c>
      <c r="BX22" s="45" t="str">
        <f>IF(BX$3-VLOOKUP($A22,'détails investissements'!$A$71:$B$88,2,FALSE)&lt;=0,"",IF(VLOOKUP($A22,'détails investissements'!$A$26:$DE$43,BX$3-VLOOKUP($A22,'détails investissements'!$A$71:$B$88,2,FALSE)+1,FALSE)="","",VLOOKUP($A22,'détails investissements'!$A$26:$DE$43,BX$3-VLOOKUP($A22,'détails investissements'!$A$71:$B$88,2,FALSE)+1,FALSE)))</f>
        <v/>
      </c>
      <c r="BY22" s="45" t="str">
        <f>IF(BY$3-VLOOKUP($A22,'détails investissements'!$A$71:$B$88,2,FALSE)&lt;=0,"",IF(VLOOKUP($A22,'détails investissements'!$A$26:$DE$43,BY$3-VLOOKUP($A22,'détails investissements'!$A$71:$B$88,2,FALSE)+1,FALSE)="","",VLOOKUP($A22,'détails investissements'!$A$26:$DE$43,BY$3-VLOOKUP($A22,'détails investissements'!$A$71:$B$88,2,FALSE)+1,FALSE)))</f>
        <v/>
      </c>
      <c r="BZ22" s="45" t="str">
        <f>IF(BZ$3-VLOOKUP($A22,'détails investissements'!$A$71:$B$88,2,FALSE)&lt;=0,"",IF(VLOOKUP($A22,'détails investissements'!$A$26:$DE$43,BZ$3-VLOOKUP($A22,'détails investissements'!$A$71:$B$88,2,FALSE)+1,FALSE)="","",VLOOKUP($A22,'détails investissements'!$A$26:$DE$43,BZ$3-VLOOKUP($A22,'détails investissements'!$A$71:$B$88,2,FALSE)+1,FALSE)))</f>
        <v/>
      </c>
      <c r="CA22" s="45" t="str">
        <f>IF(CA$3-VLOOKUP($A22,'détails investissements'!$A$71:$B$88,2,FALSE)&lt;=0,"",IF(VLOOKUP($A22,'détails investissements'!$A$26:$DE$43,CA$3-VLOOKUP($A22,'détails investissements'!$A$71:$B$88,2,FALSE)+1,FALSE)="","",VLOOKUP($A22,'détails investissements'!$A$26:$DE$43,CA$3-VLOOKUP($A22,'détails investissements'!$A$71:$B$88,2,FALSE)+1,FALSE)))</f>
        <v/>
      </c>
      <c r="CB22" s="45" t="str">
        <f>IF(CB$3-VLOOKUP($A22,'détails investissements'!$A$71:$B$88,2,FALSE)&lt;=0,"",IF(VLOOKUP($A22,'détails investissements'!$A$26:$DE$43,CB$3-VLOOKUP($A22,'détails investissements'!$A$71:$B$88,2,FALSE)+1,FALSE)="","",VLOOKUP($A22,'détails investissements'!$A$26:$DE$43,CB$3-VLOOKUP($A22,'détails investissements'!$A$71:$B$88,2,FALSE)+1,FALSE)))</f>
        <v/>
      </c>
      <c r="CC22" s="45" t="str">
        <f>IF(CC$3-VLOOKUP($A22,'détails investissements'!$A$71:$B$88,2,FALSE)&lt;=0,"",IF(VLOOKUP($A22,'détails investissements'!$A$26:$DE$43,CC$3-VLOOKUP($A22,'détails investissements'!$A$71:$B$88,2,FALSE)+1,FALSE)="","",VLOOKUP($A22,'détails investissements'!$A$26:$DE$43,CC$3-VLOOKUP($A22,'détails investissements'!$A$71:$B$88,2,FALSE)+1,FALSE)))</f>
        <v/>
      </c>
      <c r="CD22" s="45" t="str">
        <f>IF(CD$3-VLOOKUP($A22,'détails investissements'!$A$71:$B$88,2,FALSE)&lt;=0,"",IF(VLOOKUP($A22,'détails investissements'!$A$26:$DE$43,CD$3-VLOOKUP($A22,'détails investissements'!$A$71:$B$88,2,FALSE)+1,FALSE)="","",VLOOKUP($A22,'détails investissements'!$A$26:$DE$43,CD$3-VLOOKUP($A22,'détails investissements'!$A$71:$B$88,2,FALSE)+1,FALSE)))</f>
        <v/>
      </c>
      <c r="CE22" s="45" t="str">
        <f>IF(CE$3-VLOOKUP($A22,'détails investissements'!$A$71:$B$88,2,FALSE)&lt;=0,"",IF(VLOOKUP($A22,'détails investissements'!$A$26:$DE$43,CE$3-VLOOKUP($A22,'détails investissements'!$A$71:$B$88,2,FALSE)+1,FALSE)="","",VLOOKUP($A22,'détails investissements'!$A$26:$DE$43,CE$3-VLOOKUP($A22,'détails investissements'!$A$71:$B$88,2,FALSE)+1,FALSE)))</f>
        <v/>
      </c>
      <c r="CF22" s="45" t="str">
        <f>IF(CF$3-VLOOKUP($A22,'détails investissements'!$A$71:$B$88,2,FALSE)&lt;=0,"",IF(VLOOKUP($A22,'détails investissements'!$A$26:$DE$43,CF$3-VLOOKUP($A22,'détails investissements'!$A$71:$B$88,2,FALSE)+1,FALSE)="","",VLOOKUP($A22,'détails investissements'!$A$26:$DE$43,CF$3-VLOOKUP($A22,'détails investissements'!$A$71:$B$88,2,FALSE)+1,FALSE)))</f>
        <v/>
      </c>
      <c r="CG22" s="45" t="str">
        <f>IF(CG$3-VLOOKUP($A22,'détails investissements'!$A$71:$B$88,2,FALSE)&lt;=0,"",IF(VLOOKUP($A22,'détails investissements'!$A$26:$DE$43,CG$3-VLOOKUP($A22,'détails investissements'!$A$71:$B$88,2,FALSE)+1,FALSE)="","",VLOOKUP($A22,'détails investissements'!$A$26:$DE$43,CG$3-VLOOKUP($A22,'détails investissements'!$A$71:$B$88,2,FALSE)+1,FALSE)))</f>
        <v/>
      </c>
      <c r="CH22" s="45" t="str">
        <f>IF(CH$3-VLOOKUP($A22,'détails investissements'!$A$71:$B$88,2,FALSE)&lt;=0,"",IF(VLOOKUP($A22,'détails investissements'!$A$26:$DE$43,CH$3-VLOOKUP($A22,'détails investissements'!$A$71:$B$88,2,FALSE)+1,FALSE)="","",VLOOKUP($A22,'détails investissements'!$A$26:$DE$43,CH$3-VLOOKUP($A22,'détails investissements'!$A$71:$B$88,2,FALSE)+1,FALSE)))</f>
        <v/>
      </c>
      <c r="CI22" s="45" t="str">
        <f>IF(CI$3-VLOOKUP($A22,'détails investissements'!$A$71:$B$88,2,FALSE)&lt;=0,"",IF(VLOOKUP($A22,'détails investissements'!$A$26:$DE$43,CI$3-VLOOKUP($A22,'détails investissements'!$A$71:$B$88,2,FALSE)+1,FALSE)="","",VLOOKUP($A22,'détails investissements'!$A$26:$DE$43,CI$3-VLOOKUP($A22,'détails investissements'!$A$71:$B$88,2,FALSE)+1,FALSE)))</f>
        <v/>
      </c>
      <c r="CJ22" s="45" t="str">
        <f>IF(CJ$3-VLOOKUP($A22,'détails investissements'!$A$71:$B$88,2,FALSE)&lt;=0,"",IF(VLOOKUP($A22,'détails investissements'!$A$26:$DE$43,CJ$3-VLOOKUP($A22,'détails investissements'!$A$71:$B$88,2,FALSE)+1,FALSE)="","",VLOOKUP($A22,'détails investissements'!$A$26:$DE$43,CJ$3-VLOOKUP($A22,'détails investissements'!$A$71:$B$88,2,FALSE)+1,FALSE)))</f>
        <v/>
      </c>
      <c r="CK22" s="45" t="str">
        <f>IF(CK$3-VLOOKUP($A22,'détails investissements'!$A$71:$B$88,2,FALSE)&lt;=0,"",IF(VLOOKUP($A22,'détails investissements'!$A$26:$DE$43,CK$3-VLOOKUP($A22,'détails investissements'!$A$71:$B$88,2,FALSE)+1,FALSE)="","",VLOOKUP($A22,'détails investissements'!$A$26:$DE$43,CK$3-VLOOKUP($A22,'détails investissements'!$A$71:$B$88,2,FALSE)+1,FALSE)))</f>
        <v/>
      </c>
      <c r="CL22" s="45" t="str">
        <f>IF(CL$3-VLOOKUP($A22,'détails investissements'!$A$71:$B$88,2,FALSE)&lt;=0,"",IF(VLOOKUP($A22,'détails investissements'!$A$26:$DE$43,CL$3-VLOOKUP($A22,'détails investissements'!$A$71:$B$88,2,FALSE)+1,FALSE)="","",VLOOKUP($A22,'détails investissements'!$A$26:$DE$43,CL$3-VLOOKUP($A22,'détails investissements'!$A$71:$B$88,2,FALSE)+1,FALSE)))</f>
        <v/>
      </c>
      <c r="CM22" s="45" t="str">
        <f>IF(CM$3-VLOOKUP($A22,'détails investissements'!$A$71:$B$88,2,FALSE)&lt;=0,"",IF(VLOOKUP($A22,'détails investissements'!$A$26:$DE$43,CM$3-VLOOKUP($A22,'détails investissements'!$A$71:$B$88,2,FALSE)+1,FALSE)="","",VLOOKUP($A22,'détails investissements'!$A$26:$DE$43,CM$3-VLOOKUP($A22,'détails investissements'!$A$71:$B$88,2,FALSE)+1,FALSE)))</f>
        <v/>
      </c>
      <c r="CN22" s="45" t="str">
        <f>IF(CN$3-VLOOKUP($A22,'détails investissements'!$A$71:$B$88,2,FALSE)&lt;=0,"",IF(VLOOKUP($A22,'détails investissements'!$A$26:$DE$43,CN$3-VLOOKUP($A22,'détails investissements'!$A$71:$B$88,2,FALSE)+1,FALSE)="","",VLOOKUP($A22,'détails investissements'!$A$26:$DE$43,CN$3-VLOOKUP($A22,'détails investissements'!$A$71:$B$88,2,FALSE)+1,FALSE)))</f>
        <v/>
      </c>
      <c r="CO22" s="45" t="str">
        <f>IF(CO$3-VLOOKUP($A22,'détails investissements'!$A$71:$B$88,2,FALSE)&lt;=0,"",IF(VLOOKUP($A22,'détails investissements'!$A$26:$DE$43,CO$3-VLOOKUP($A22,'détails investissements'!$A$71:$B$88,2,FALSE)+1,FALSE)="","",VLOOKUP($A22,'détails investissements'!$A$26:$DE$43,CO$3-VLOOKUP($A22,'détails investissements'!$A$71:$B$88,2,FALSE)+1,FALSE)))</f>
        <v/>
      </c>
      <c r="CP22" s="45" t="str">
        <f>IF(CP$3-VLOOKUP($A22,'détails investissements'!$A$71:$B$88,2,FALSE)&lt;=0,"",IF(VLOOKUP($A22,'détails investissements'!$A$26:$DE$43,CP$3-VLOOKUP($A22,'détails investissements'!$A$71:$B$88,2,FALSE)+1,FALSE)="","",VLOOKUP($A22,'détails investissements'!$A$26:$DE$43,CP$3-VLOOKUP($A22,'détails investissements'!$A$71:$B$88,2,FALSE)+1,FALSE)))</f>
        <v/>
      </c>
      <c r="CQ22" s="45" t="str">
        <f>IF(CQ$3-VLOOKUP($A22,'détails investissements'!$A$71:$B$88,2,FALSE)&lt;=0,"",IF(VLOOKUP($A22,'détails investissements'!$A$26:$DE$43,CQ$3-VLOOKUP($A22,'détails investissements'!$A$71:$B$88,2,FALSE)+1,FALSE)="","",VLOOKUP($A22,'détails investissements'!$A$26:$DE$43,CQ$3-VLOOKUP($A22,'détails investissements'!$A$71:$B$88,2,FALSE)+1,FALSE)))</f>
        <v/>
      </c>
      <c r="CR22" s="45" t="str">
        <f>IF(CR$3-VLOOKUP($A22,'détails investissements'!$A$71:$B$88,2,FALSE)&lt;=0,"",IF(VLOOKUP($A22,'détails investissements'!$A$26:$DE$43,CR$3-VLOOKUP($A22,'détails investissements'!$A$71:$B$88,2,FALSE)+1,FALSE)="","",VLOOKUP($A22,'détails investissements'!$A$26:$DE$43,CR$3-VLOOKUP($A22,'détails investissements'!$A$71:$B$88,2,FALSE)+1,FALSE)))</f>
        <v/>
      </c>
      <c r="CS22" s="45" t="str">
        <f>IF(CS$3-VLOOKUP($A22,'détails investissements'!$A$71:$B$88,2,FALSE)&lt;=0,"",IF(VLOOKUP($A22,'détails investissements'!$A$26:$DE$43,CS$3-VLOOKUP($A22,'détails investissements'!$A$71:$B$88,2,FALSE)+1,FALSE)="","",VLOOKUP($A22,'détails investissements'!$A$26:$DE$43,CS$3-VLOOKUP($A22,'détails investissements'!$A$71:$B$88,2,FALSE)+1,FALSE)))</f>
        <v/>
      </c>
      <c r="CT22" s="45" t="str">
        <f>IF(CT$3-VLOOKUP($A22,'détails investissements'!$A$71:$B$88,2,FALSE)&lt;=0,"",IF(VLOOKUP($A22,'détails investissements'!$A$26:$DE$43,CT$3-VLOOKUP($A22,'détails investissements'!$A$71:$B$88,2,FALSE)+1,FALSE)="","",VLOOKUP($A22,'détails investissements'!$A$26:$DE$43,CT$3-VLOOKUP($A22,'détails investissements'!$A$71:$B$88,2,FALSE)+1,FALSE)))</f>
        <v/>
      </c>
      <c r="CU22" s="45" t="str">
        <f>IF(CU$3-VLOOKUP($A22,'détails investissements'!$A$71:$B$88,2,FALSE)&lt;=0,"",IF(VLOOKUP($A22,'détails investissements'!$A$26:$DE$43,CU$3-VLOOKUP($A22,'détails investissements'!$A$71:$B$88,2,FALSE)+1,FALSE)="","",VLOOKUP($A22,'détails investissements'!$A$26:$DE$43,CU$3-VLOOKUP($A22,'détails investissements'!$A$71:$B$88,2,FALSE)+1,FALSE)))</f>
        <v/>
      </c>
      <c r="CV22" s="45" t="str">
        <f>IF(CV$3-VLOOKUP($A22,'détails investissements'!$A$71:$B$88,2,FALSE)&lt;=0,"",IF(VLOOKUP($A22,'détails investissements'!$A$26:$DE$43,CV$3-VLOOKUP($A22,'détails investissements'!$A$71:$B$88,2,FALSE)+1,FALSE)="","",VLOOKUP($A22,'détails investissements'!$A$26:$DE$43,CV$3-VLOOKUP($A22,'détails investissements'!$A$71:$B$88,2,FALSE)+1,FALSE)))</f>
        <v/>
      </c>
      <c r="CW22" s="45" t="str">
        <f>IF(CW$3-VLOOKUP($A22,'détails investissements'!$A$71:$B$88,2,FALSE)&lt;=0,"",IF(VLOOKUP($A22,'détails investissements'!$A$26:$DE$43,CW$3-VLOOKUP($A22,'détails investissements'!$A$71:$B$88,2,FALSE)+1,FALSE)="","",VLOOKUP($A22,'détails investissements'!$A$26:$DE$43,CW$3-VLOOKUP($A22,'détails investissements'!$A$71:$B$88,2,FALSE)+1,FALSE)))</f>
        <v/>
      </c>
      <c r="CX22" s="45" t="str">
        <f>IF(CX$3-VLOOKUP($A22,'détails investissements'!$A$71:$B$88,2,FALSE)&lt;=0,"",IF(VLOOKUP($A22,'détails investissements'!$A$26:$DE$43,CX$3-VLOOKUP($A22,'détails investissements'!$A$71:$B$88,2,FALSE)+1,FALSE)="","",VLOOKUP($A22,'détails investissements'!$A$26:$DE$43,CX$3-VLOOKUP($A22,'détails investissements'!$A$71:$B$88,2,FALSE)+1,FALSE)))</f>
        <v/>
      </c>
      <c r="CY22" s="45" t="str">
        <f>IF(CY$3-VLOOKUP($A22,'détails investissements'!$A$71:$B$88,2,FALSE)&lt;=0,"",IF(VLOOKUP($A22,'détails investissements'!$A$26:$DE$43,CY$3-VLOOKUP($A22,'détails investissements'!$A$71:$B$88,2,FALSE)+1,FALSE)="","",VLOOKUP($A22,'détails investissements'!$A$26:$DE$43,CY$3-VLOOKUP($A22,'détails investissements'!$A$71:$B$88,2,FALSE)+1,FALSE)))</f>
        <v/>
      </c>
      <c r="CZ22" s="45" t="str">
        <f>IF(CZ$3-VLOOKUP($A22,'détails investissements'!$A$71:$B$88,2,FALSE)&lt;=0,"",IF(VLOOKUP($A22,'détails investissements'!$A$26:$DE$43,CZ$3-VLOOKUP($A22,'détails investissements'!$A$71:$B$88,2,FALSE)+1,FALSE)="","",VLOOKUP($A22,'détails investissements'!$A$26:$DE$43,CZ$3-VLOOKUP($A22,'détails investissements'!$A$71:$B$88,2,FALSE)+1,FALSE)))</f>
        <v/>
      </c>
      <c r="DA22" s="45" t="str">
        <f>IF(DA$3-VLOOKUP($A22,'détails investissements'!$A$71:$B$88,2,FALSE)&lt;=0,"",IF(VLOOKUP($A22,'détails investissements'!$A$26:$DE$43,DA$3-VLOOKUP($A22,'détails investissements'!$A$71:$B$88,2,FALSE)+1,FALSE)="","",VLOOKUP($A22,'détails investissements'!$A$26:$DE$43,DA$3-VLOOKUP($A22,'détails investissements'!$A$71:$B$88,2,FALSE)+1,FALSE)))</f>
        <v/>
      </c>
      <c r="DB22" s="45" t="str">
        <f>IF(DB$3-VLOOKUP($A22,'détails investissements'!$A$71:$B$88,2,FALSE)&lt;=0,"",IF(VLOOKUP($A22,'détails investissements'!$A$26:$DE$43,DB$3-VLOOKUP($A22,'détails investissements'!$A$71:$B$88,2,FALSE)+1,FALSE)="","",VLOOKUP($A22,'détails investissements'!$A$26:$DE$43,DB$3-VLOOKUP($A22,'détails investissements'!$A$71:$B$88,2,FALSE)+1,FALSE)))</f>
        <v/>
      </c>
      <c r="DC22" s="45" t="str">
        <f>IF(DC$3-VLOOKUP($A22,'détails investissements'!$A$71:$B$88,2,FALSE)&lt;=0,"",IF(VLOOKUP($A22,'détails investissements'!$A$26:$DE$43,DC$3-VLOOKUP($A22,'détails investissements'!$A$71:$B$88,2,FALSE)+1,FALSE)="","",VLOOKUP($A22,'détails investissements'!$A$26:$DE$43,DC$3-VLOOKUP($A22,'détails investissements'!$A$71:$B$88,2,FALSE)+1,FALSE)))</f>
        <v/>
      </c>
      <c r="DD22" s="45" t="str">
        <f>IF(DD$3-VLOOKUP($A22,'détails investissements'!$A$71:$B$88,2,FALSE)&lt;=0,"",IF(VLOOKUP($A22,'détails investissements'!$A$26:$DE$43,DD$3-VLOOKUP($A22,'détails investissements'!$A$71:$B$88,2,FALSE)+1,FALSE)="","",VLOOKUP($A22,'détails investissements'!$A$26:$DE$43,DD$3-VLOOKUP($A22,'détails investissements'!$A$71:$B$88,2,FALSE)+1,FALSE)))</f>
        <v/>
      </c>
      <c r="DE22" s="45" t="str">
        <f>IF(DE$3-VLOOKUP($A22,'détails investissements'!$A$71:$B$88,2,FALSE)&lt;=0,"",IF(VLOOKUP($A22,'détails investissements'!$A$26:$DE$43,DE$3-VLOOKUP($A22,'détails investissements'!$A$71:$B$88,2,FALSE)+1,FALSE)="","",VLOOKUP($A22,'détails investissements'!$A$26:$DE$43,DE$3-VLOOKUP($A22,'détails investissements'!$A$71:$B$88,2,FALSE)+1,FALSE)))</f>
        <v/>
      </c>
      <c r="DF22" s="45" t="str">
        <f>IF(DF$3-VLOOKUP($A22,'détails investissements'!$A$71:$B$88,2,FALSE)&lt;=0,"",IF(VLOOKUP($A22,'détails investissements'!$A$26:$DE$43,DF$3-VLOOKUP($A22,'détails investissements'!$A$71:$B$88,2,FALSE)+1,FALSE)="","",VLOOKUP($A22,'détails investissements'!$A$26:$DE$43,DF$3-VLOOKUP($A22,'détails investissements'!$A$71:$B$88,2,FALSE)+1,FALSE)))</f>
        <v/>
      </c>
      <c r="DG22">
        <f t="shared" si="0"/>
        <v>1.0000000000000007</v>
      </c>
    </row>
    <row r="23" spans="1:111" x14ac:dyDescent="0.2">
      <c r="A23" s="15" t="str">
        <f>'[4]Données investissements'!A43</f>
        <v>DNR</v>
      </c>
      <c r="B23" s="23">
        <f>'détails investissements'!B111</f>
        <v>4</v>
      </c>
      <c r="C23" s="45" t="str">
        <f>IF(C$3-VLOOKUP($A23,'détails investissements'!$A$71:$B$88,2,FALSE)&lt;=0,"",IF(VLOOKUP($A23,'détails investissements'!$A$26:$DE$43,C$3-VLOOKUP($A23,'détails investissements'!$A$71:$B$88,2,FALSE)+1,FALSE)="","",VLOOKUP($A23,'détails investissements'!$A$26:$DE$43,C$3-VLOOKUP($A23,'détails investissements'!$A$71:$B$88,2,FALSE)+1,FALSE)))</f>
        <v/>
      </c>
      <c r="D23" s="45" t="str">
        <f>IF(D$3-VLOOKUP($A23,'détails investissements'!$A$71:$B$88,2,FALSE)&lt;=0,"",IF(VLOOKUP($A23,'détails investissements'!$A$26:$DE$43,D$3-VLOOKUP($A23,'détails investissements'!$A$71:$B$88,2,FALSE)+1,FALSE)="","",VLOOKUP($A23,'détails investissements'!$A$26:$DE$43,D$3-VLOOKUP($A23,'détails investissements'!$A$71:$B$88,2,FALSE)+1,FALSE)))</f>
        <v/>
      </c>
      <c r="E23" s="45" t="str">
        <f>IF(E$3-VLOOKUP($A23,'détails investissements'!$A$71:$B$88,2,FALSE)&lt;=0,"",IF(VLOOKUP($A23,'détails investissements'!$A$26:$DE$43,E$3-VLOOKUP($A23,'détails investissements'!$A$71:$B$88,2,FALSE)+1,FALSE)="","",VLOOKUP($A23,'détails investissements'!$A$26:$DE$43,E$3-VLOOKUP($A23,'détails investissements'!$A$71:$B$88,2,FALSE)+1,FALSE)))</f>
        <v/>
      </c>
      <c r="F23" s="45">
        <f>IF(F$3-VLOOKUP($A23,'détails investissements'!$A$71:$B$88,2,FALSE)&lt;=0,"",IF(VLOOKUP($A23,'détails investissements'!$A$26:$DE$43,F$3-VLOOKUP($A23,'détails investissements'!$A$71:$B$88,2,FALSE)+1,FALSE)="","",VLOOKUP($A23,'détails investissements'!$A$26:$DE$43,F$3-VLOOKUP($A23,'détails investissements'!$A$71:$B$88,2,FALSE)+1,FALSE)))</f>
        <v>0.05</v>
      </c>
      <c r="G23" s="45" t="str">
        <f>IF(G$3-VLOOKUP($A23,'détails investissements'!$A$71:$B$88,2,FALSE)&lt;=0,"",IF(VLOOKUP($A23,'détails investissements'!$A$26:$DE$43,G$3-VLOOKUP($A23,'détails investissements'!$A$71:$B$88,2,FALSE)+1,FALSE)="","",VLOOKUP($A23,'détails investissements'!$A$26:$DE$43,G$3-VLOOKUP($A23,'détails investissements'!$A$71:$B$88,2,FALSE)+1,FALSE)))</f>
        <v/>
      </c>
      <c r="H23" s="45" t="str">
        <f>IF(H$3-VLOOKUP($A23,'détails investissements'!$A$71:$B$88,2,FALSE)&lt;=0,"",IF(VLOOKUP($A23,'détails investissements'!$A$26:$DE$43,H$3-VLOOKUP($A23,'détails investissements'!$A$71:$B$88,2,FALSE)+1,FALSE)="","",VLOOKUP($A23,'détails investissements'!$A$26:$DE$43,H$3-VLOOKUP($A23,'détails investissements'!$A$71:$B$88,2,FALSE)+1,FALSE)))</f>
        <v/>
      </c>
      <c r="I23" s="45" t="str">
        <f>IF(I$3-VLOOKUP($A23,'détails investissements'!$A$71:$B$88,2,FALSE)&lt;=0,"",IF(VLOOKUP($A23,'détails investissements'!$A$26:$DE$43,I$3-VLOOKUP($A23,'détails investissements'!$A$71:$B$88,2,FALSE)+1,FALSE)="","",VLOOKUP($A23,'détails investissements'!$A$26:$DE$43,I$3-VLOOKUP($A23,'détails investissements'!$A$71:$B$88,2,FALSE)+1,FALSE)))</f>
        <v/>
      </c>
      <c r="J23" s="45">
        <f>IF(J$3-VLOOKUP($A23,'détails investissements'!$A$71:$B$88,2,FALSE)&lt;=0,"",IF(VLOOKUP($A23,'détails investissements'!$A$26:$DE$43,J$3-VLOOKUP($A23,'détails investissements'!$A$71:$B$88,2,FALSE)+1,FALSE)="","",VLOOKUP($A23,'détails investissements'!$A$26:$DE$43,J$3-VLOOKUP($A23,'détails investissements'!$A$71:$B$88,2,FALSE)+1,FALSE)))</f>
        <v>0.05</v>
      </c>
      <c r="K23" s="45" t="str">
        <f>IF(K$3-VLOOKUP($A23,'détails investissements'!$A$71:$B$88,2,FALSE)&lt;=0,"",IF(VLOOKUP($A23,'détails investissements'!$A$26:$DE$43,K$3-VLOOKUP($A23,'détails investissements'!$A$71:$B$88,2,FALSE)+1,FALSE)="","",VLOOKUP($A23,'détails investissements'!$A$26:$DE$43,K$3-VLOOKUP($A23,'détails investissements'!$A$71:$B$88,2,FALSE)+1,FALSE)))</f>
        <v/>
      </c>
      <c r="L23" s="45" t="str">
        <f>IF(L$3-VLOOKUP($A23,'détails investissements'!$A$71:$B$88,2,FALSE)&lt;=0,"",IF(VLOOKUP($A23,'détails investissements'!$A$26:$DE$43,L$3-VLOOKUP($A23,'détails investissements'!$A$71:$B$88,2,FALSE)+1,FALSE)="","",VLOOKUP($A23,'détails investissements'!$A$26:$DE$43,L$3-VLOOKUP($A23,'détails investissements'!$A$71:$B$88,2,FALSE)+1,FALSE)))</f>
        <v/>
      </c>
      <c r="M23" s="45" t="str">
        <f>IF(M$3-VLOOKUP($A23,'détails investissements'!$A$71:$B$88,2,FALSE)&lt;=0,"",IF(VLOOKUP($A23,'détails investissements'!$A$26:$DE$43,M$3-VLOOKUP($A23,'détails investissements'!$A$71:$B$88,2,FALSE)+1,FALSE)="","",VLOOKUP($A23,'détails investissements'!$A$26:$DE$43,M$3-VLOOKUP($A23,'détails investissements'!$A$71:$B$88,2,FALSE)+1,FALSE)))</f>
        <v/>
      </c>
      <c r="N23" s="45">
        <f>IF(N$3-VLOOKUP($A23,'détails investissements'!$A$71:$B$88,2,FALSE)&lt;=0,"",IF(VLOOKUP($A23,'détails investissements'!$A$26:$DE$43,N$3-VLOOKUP($A23,'détails investissements'!$A$71:$B$88,2,FALSE)+1,FALSE)="","",VLOOKUP($A23,'détails investissements'!$A$26:$DE$43,N$3-VLOOKUP($A23,'détails investissements'!$A$71:$B$88,2,FALSE)+1,FALSE)))</f>
        <v>0.05</v>
      </c>
      <c r="O23" s="45">
        <f>IF(O$3-VLOOKUP($A23,'détails investissements'!$A$71:$B$88,2,FALSE)&lt;=0,"",IF(VLOOKUP($A23,'détails investissements'!$A$26:$DE$43,O$3-VLOOKUP($A23,'détails investissements'!$A$71:$B$88,2,FALSE)+1,FALSE)="","",VLOOKUP($A23,'détails investissements'!$A$26:$DE$43,O$3-VLOOKUP($A23,'détails investissements'!$A$71:$B$88,2,FALSE)+1,FALSE)))</f>
        <v>0.05</v>
      </c>
      <c r="P23" s="45">
        <f>IF(P$3-VLOOKUP($A23,'détails investissements'!$A$71:$B$88,2,FALSE)&lt;=0,"",IF(VLOOKUP($A23,'détails investissements'!$A$26:$DE$43,P$3-VLOOKUP($A23,'détails investissements'!$A$71:$B$88,2,FALSE)+1,FALSE)="","",VLOOKUP($A23,'détails investissements'!$A$26:$DE$43,P$3-VLOOKUP($A23,'détails investissements'!$A$71:$B$88,2,FALSE)+1,FALSE)))</f>
        <v>0.05</v>
      </c>
      <c r="Q23" s="45">
        <f>IF(Q$3-VLOOKUP($A23,'détails investissements'!$A$71:$B$88,2,FALSE)&lt;=0,"",IF(VLOOKUP($A23,'détails investissements'!$A$26:$DE$43,Q$3-VLOOKUP($A23,'détails investissements'!$A$71:$B$88,2,FALSE)+1,FALSE)="","",VLOOKUP($A23,'détails investissements'!$A$26:$DE$43,Q$3-VLOOKUP($A23,'détails investissements'!$A$71:$B$88,2,FALSE)+1,FALSE)))</f>
        <v>0.05</v>
      </c>
      <c r="R23" s="45">
        <f>IF(R$3-VLOOKUP($A23,'détails investissements'!$A$71:$B$88,2,FALSE)&lt;=0,"",IF(VLOOKUP($A23,'détails investissements'!$A$26:$DE$43,R$3-VLOOKUP($A23,'détails investissements'!$A$71:$B$88,2,FALSE)+1,FALSE)="","",VLOOKUP($A23,'détails investissements'!$A$26:$DE$43,R$3-VLOOKUP($A23,'détails investissements'!$A$71:$B$88,2,FALSE)+1,FALSE)))</f>
        <v>0.05</v>
      </c>
      <c r="S23" s="45">
        <f>IF(S$3-VLOOKUP($A23,'détails investissements'!$A$71:$B$88,2,FALSE)&lt;=0,"",IF(VLOOKUP($A23,'détails investissements'!$A$26:$DE$43,S$3-VLOOKUP($A23,'détails investissements'!$A$71:$B$88,2,FALSE)+1,FALSE)="","",VLOOKUP($A23,'détails investissements'!$A$26:$DE$43,S$3-VLOOKUP($A23,'détails investissements'!$A$71:$B$88,2,FALSE)+1,FALSE)))</f>
        <v>0.05</v>
      </c>
      <c r="T23" s="45">
        <f>IF(T$3-VLOOKUP($A23,'détails investissements'!$A$71:$B$88,2,FALSE)&lt;=0,"",IF(VLOOKUP($A23,'détails investissements'!$A$26:$DE$43,T$3-VLOOKUP($A23,'détails investissements'!$A$71:$B$88,2,FALSE)+1,FALSE)="","",VLOOKUP($A23,'détails investissements'!$A$26:$DE$43,T$3-VLOOKUP($A23,'détails investissements'!$A$71:$B$88,2,FALSE)+1,FALSE)))</f>
        <v>0.05</v>
      </c>
      <c r="U23" s="45">
        <f>IF(U$3-VLOOKUP($A23,'détails investissements'!$A$71:$B$88,2,FALSE)&lt;=0,"",IF(VLOOKUP($A23,'détails investissements'!$A$26:$DE$43,U$3-VLOOKUP($A23,'détails investissements'!$A$71:$B$88,2,FALSE)+1,FALSE)="","",VLOOKUP($A23,'détails investissements'!$A$26:$DE$43,U$3-VLOOKUP($A23,'détails investissements'!$A$71:$B$88,2,FALSE)+1,FALSE)))</f>
        <v>0.05</v>
      </c>
      <c r="V23" s="45">
        <f>IF(V$3-VLOOKUP($A23,'détails investissements'!$A$71:$B$88,2,FALSE)&lt;=0,"",IF(VLOOKUP($A23,'détails investissements'!$A$26:$DE$43,V$3-VLOOKUP($A23,'détails investissements'!$A$71:$B$88,2,FALSE)+1,FALSE)="","",VLOOKUP($A23,'détails investissements'!$A$26:$DE$43,V$3-VLOOKUP($A23,'détails investissements'!$A$71:$B$88,2,FALSE)+1,FALSE)))</f>
        <v>0.05</v>
      </c>
      <c r="W23" s="45">
        <f>IF(W$3-VLOOKUP($A23,'détails investissements'!$A$71:$B$88,2,FALSE)&lt;=0,"",IF(VLOOKUP($A23,'détails investissements'!$A$26:$DE$43,W$3-VLOOKUP($A23,'détails investissements'!$A$71:$B$88,2,FALSE)+1,FALSE)="","",VLOOKUP($A23,'détails investissements'!$A$26:$DE$43,W$3-VLOOKUP($A23,'détails investissements'!$A$71:$B$88,2,FALSE)+1,FALSE)))</f>
        <v>0.05</v>
      </c>
      <c r="X23" s="45">
        <f>IF(X$3-VLOOKUP($A23,'détails investissements'!$A$71:$B$88,2,FALSE)&lt;=0,"",IF(VLOOKUP($A23,'détails investissements'!$A$26:$DE$43,X$3-VLOOKUP($A23,'détails investissements'!$A$71:$B$88,2,FALSE)+1,FALSE)="","",VLOOKUP($A23,'détails investissements'!$A$26:$DE$43,X$3-VLOOKUP($A23,'détails investissements'!$A$71:$B$88,2,FALSE)+1,FALSE)))</f>
        <v>0.05</v>
      </c>
      <c r="Y23" s="45">
        <f>IF(Y$3-VLOOKUP($A23,'détails investissements'!$A$71:$B$88,2,FALSE)&lt;=0,"",IF(VLOOKUP($A23,'détails investissements'!$A$26:$DE$43,Y$3-VLOOKUP($A23,'détails investissements'!$A$71:$B$88,2,FALSE)+1,FALSE)="","",VLOOKUP($A23,'détails investissements'!$A$26:$DE$43,Y$3-VLOOKUP($A23,'détails investissements'!$A$71:$B$88,2,FALSE)+1,FALSE)))</f>
        <v>0.05</v>
      </c>
      <c r="Z23" s="45">
        <f>IF(Z$3-VLOOKUP($A23,'détails investissements'!$A$71:$B$88,2,FALSE)&lt;=0,"",IF(VLOOKUP($A23,'détails investissements'!$A$26:$DE$43,Z$3-VLOOKUP($A23,'détails investissements'!$A$71:$B$88,2,FALSE)+1,FALSE)="","",VLOOKUP($A23,'détails investissements'!$A$26:$DE$43,Z$3-VLOOKUP($A23,'détails investissements'!$A$71:$B$88,2,FALSE)+1,FALSE)))</f>
        <v>0.05</v>
      </c>
      <c r="AA23" s="45">
        <f>IF(AA$3-VLOOKUP($A23,'détails investissements'!$A$71:$B$88,2,FALSE)&lt;=0,"",IF(VLOOKUP($A23,'détails investissements'!$A$26:$DE$43,AA$3-VLOOKUP($A23,'détails investissements'!$A$71:$B$88,2,FALSE)+1,FALSE)="","",VLOOKUP($A23,'détails investissements'!$A$26:$DE$43,AA$3-VLOOKUP($A23,'détails investissements'!$A$71:$B$88,2,FALSE)+1,FALSE)))</f>
        <v>0.05</v>
      </c>
      <c r="AB23" s="45">
        <f>IF(AB$3-VLOOKUP($A23,'détails investissements'!$A$71:$B$88,2,FALSE)&lt;=0,"",IF(VLOOKUP($A23,'détails investissements'!$A$26:$DE$43,AB$3-VLOOKUP($A23,'détails investissements'!$A$71:$B$88,2,FALSE)+1,FALSE)="","",VLOOKUP($A23,'détails investissements'!$A$26:$DE$43,AB$3-VLOOKUP($A23,'détails investissements'!$A$71:$B$88,2,FALSE)+1,FALSE)))</f>
        <v>0.05</v>
      </c>
      <c r="AC23" s="45" t="str">
        <f>IF(AC$3-VLOOKUP($A23,'détails investissements'!$A$71:$B$88,2,FALSE)&lt;=0,"",IF(VLOOKUP($A23,'détails investissements'!$A$26:$DE$43,AC$3-VLOOKUP($A23,'détails investissements'!$A$71:$B$88,2,FALSE)+1,FALSE)="","",VLOOKUP($A23,'détails investissements'!$A$26:$DE$43,AC$3-VLOOKUP($A23,'détails investissements'!$A$71:$B$88,2,FALSE)+1,FALSE)))</f>
        <v/>
      </c>
      <c r="AD23" s="45">
        <f>IF(AD$3-VLOOKUP($A23,'détails investissements'!$A$71:$B$88,2,FALSE)&lt;=0,"",IF(VLOOKUP($A23,'détails investissements'!$A$26:$DE$43,AD$3-VLOOKUP($A23,'détails investissements'!$A$71:$B$88,2,FALSE)+1,FALSE)="","",VLOOKUP($A23,'détails investissements'!$A$26:$DE$43,AD$3-VLOOKUP($A23,'détails investissements'!$A$71:$B$88,2,FALSE)+1,FALSE)))</f>
        <v>0.05</v>
      </c>
      <c r="AE23" s="45">
        <f>IF(AE$3-VLOOKUP($A23,'détails investissements'!$A$71:$B$88,2,FALSE)&lt;=0,"",IF(VLOOKUP($A23,'détails investissements'!$A$26:$DE$43,AE$3-VLOOKUP($A23,'détails investissements'!$A$71:$B$88,2,FALSE)+1,FALSE)="","",VLOOKUP($A23,'détails investissements'!$A$26:$DE$43,AE$3-VLOOKUP($A23,'détails investissements'!$A$71:$B$88,2,FALSE)+1,FALSE)))</f>
        <v>0.05</v>
      </c>
      <c r="AF23" s="45" t="str">
        <f>IF(AF$3-VLOOKUP($A23,'détails investissements'!$A$71:$B$88,2,FALSE)&lt;=0,"",IF(VLOOKUP($A23,'détails investissements'!$A$26:$DE$43,AF$3-VLOOKUP($A23,'détails investissements'!$A$71:$B$88,2,FALSE)+1,FALSE)="","",VLOOKUP($A23,'détails investissements'!$A$26:$DE$43,AF$3-VLOOKUP($A23,'détails investissements'!$A$71:$B$88,2,FALSE)+1,FALSE)))</f>
        <v/>
      </c>
      <c r="AG23" s="45">
        <f>IF(AG$3-VLOOKUP($A23,'détails investissements'!$A$71:$B$88,2,FALSE)&lt;=0,"",IF(VLOOKUP($A23,'détails investissements'!$A$26:$DE$43,AG$3-VLOOKUP($A23,'détails investissements'!$A$71:$B$88,2,FALSE)+1,FALSE)="","",VLOOKUP($A23,'détails investissements'!$A$26:$DE$43,AG$3-VLOOKUP($A23,'détails investissements'!$A$71:$B$88,2,FALSE)+1,FALSE)))</f>
        <v>0.05</v>
      </c>
      <c r="AH23" s="45" t="str">
        <f>IF(AH$3-VLOOKUP($A23,'détails investissements'!$A$71:$B$88,2,FALSE)&lt;=0,"",IF(VLOOKUP($A23,'détails investissements'!$A$26:$DE$43,AH$3-VLOOKUP($A23,'détails investissements'!$A$71:$B$88,2,FALSE)+1,FALSE)="","",VLOOKUP($A23,'détails investissements'!$A$26:$DE$43,AH$3-VLOOKUP($A23,'détails investissements'!$A$71:$B$88,2,FALSE)+1,FALSE)))</f>
        <v/>
      </c>
      <c r="AI23" s="45" t="str">
        <f>IF(AI$3-VLOOKUP($A23,'détails investissements'!$A$71:$B$88,2,FALSE)&lt;=0,"",IF(VLOOKUP($A23,'détails investissements'!$A$26:$DE$43,AI$3-VLOOKUP($A23,'détails investissements'!$A$71:$B$88,2,FALSE)+1,FALSE)="","",VLOOKUP($A23,'détails investissements'!$A$26:$DE$43,AI$3-VLOOKUP($A23,'détails investissements'!$A$71:$B$88,2,FALSE)+1,FALSE)))</f>
        <v/>
      </c>
      <c r="AJ23" s="45" t="str">
        <f>IF(AJ$3-VLOOKUP($A23,'détails investissements'!$A$71:$B$88,2,FALSE)&lt;=0,"",IF(VLOOKUP($A23,'détails investissements'!$A$26:$DE$43,AJ$3-VLOOKUP($A23,'détails investissements'!$A$71:$B$88,2,FALSE)+1,FALSE)="","",VLOOKUP($A23,'détails investissements'!$A$26:$DE$43,AJ$3-VLOOKUP($A23,'détails investissements'!$A$71:$B$88,2,FALSE)+1,FALSE)))</f>
        <v/>
      </c>
      <c r="AK23" s="45" t="str">
        <f>IF(AK$3-VLOOKUP($A23,'détails investissements'!$A$71:$B$88,2,FALSE)&lt;=0,"",IF(VLOOKUP($A23,'détails investissements'!$A$26:$DE$43,AK$3-VLOOKUP($A23,'détails investissements'!$A$71:$B$88,2,FALSE)+1,FALSE)="","",VLOOKUP($A23,'détails investissements'!$A$26:$DE$43,AK$3-VLOOKUP($A23,'détails investissements'!$A$71:$B$88,2,FALSE)+1,FALSE)))</f>
        <v/>
      </c>
      <c r="AL23" s="45" t="str">
        <f>IF(AL$3-VLOOKUP($A23,'détails investissements'!$A$71:$B$88,2,FALSE)&lt;=0,"",IF(VLOOKUP($A23,'détails investissements'!$A$26:$DE$43,AL$3-VLOOKUP($A23,'détails investissements'!$A$71:$B$88,2,FALSE)+1,FALSE)="","",VLOOKUP($A23,'détails investissements'!$A$26:$DE$43,AL$3-VLOOKUP($A23,'détails investissements'!$A$71:$B$88,2,FALSE)+1,FALSE)))</f>
        <v/>
      </c>
      <c r="AM23" s="45" t="str">
        <f>IF(AM$3-VLOOKUP($A23,'détails investissements'!$A$71:$B$88,2,FALSE)&lt;=0,"",IF(VLOOKUP($A23,'détails investissements'!$A$26:$DE$43,AM$3-VLOOKUP($A23,'détails investissements'!$A$71:$B$88,2,FALSE)+1,FALSE)="","",VLOOKUP($A23,'détails investissements'!$A$26:$DE$43,AM$3-VLOOKUP($A23,'détails investissements'!$A$71:$B$88,2,FALSE)+1,FALSE)))</f>
        <v/>
      </c>
      <c r="AN23" s="45" t="str">
        <f>IF(AN$3-VLOOKUP($A23,'détails investissements'!$A$71:$B$88,2,FALSE)&lt;=0,"",IF(VLOOKUP($A23,'détails investissements'!$A$26:$DE$43,AN$3-VLOOKUP($A23,'détails investissements'!$A$71:$B$88,2,FALSE)+1,FALSE)="","",VLOOKUP($A23,'détails investissements'!$A$26:$DE$43,AN$3-VLOOKUP($A23,'détails investissements'!$A$71:$B$88,2,FALSE)+1,FALSE)))</f>
        <v/>
      </c>
      <c r="AO23" s="45" t="str">
        <f>IF(AO$3-VLOOKUP($A23,'détails investissements'!$A$71:$B$88,2,FALSE)&lt;=0,"",IF(VLOOKUP($A23,'détails investissements'!$A$26:$DE$43,AO$3-VLOOKUP($A23,'détails investissements'!$A$71:$B$88,2,FALSE)+1,FALSE)="","",VLOOKUP($A23,'détails investissements'!$A$26:$DE$43,AO$3-VLOOKUP($A23,'détails investissements'!$A$71:$B$88,2,FALSE)+1,FALSE)))</f>
        <v/>
      </c>
      <c r="AP23" s="45" t="str">
        <f>IF(AP$3-VLOOKUP($A23,'détails investissements'!$A$71:$B$88,2,FALSE)&lt;=0,"",IF(VLOOKUP($A23,'détails investissements'!$A$26:$DE$43,AP$3-VLOOKUP($A23,'détails investissements'!$A$71:$B$88,2,FALSE)+1,FALSE)="","",VLOOKUP($A23,'détails investissements'!$A$26:$DE$43,AP$3-VLOOKUP($A23,'détails investissements'!$A$71:$B$88,2,FALSE)+1,FALSE)))</f>
        <v/>
      </c>
      <c r="AQ23" s="45" t="str">
        <f>IF(AQ$3-VLOOKUP($A23,'détails investissements'!$A$71:$B$88,2,FALSE)&lt;=0,"",IF(VLOOKUP($A23,'détails investissements'!$A$26:$DE$43,AQ$3-VLOOKUP($A23,'détails investissements'!$A$71:$B$88,2,FALSE)+1,FALSE)="","",VLOOKUP($A23,'détails investissements'!$A$26:$DE$43,AQ$3-VLOOKUP($A23,'détails investissements'!$A$71:$B$88,2,FALSE)+1,FALSE)))</f>
        <v/>
      </c>
      <c r="AR23" s="45" t="str">
        <f>IF(AR$3-VLOOKUP($A23,'détails investissements'!$A$71:$B$88,2,FALSE)&lt;=0,"",IF(VLOOKUP($A23,'détails investissements'!$A$26:$DE$43,AR$3-VLOOKUP($A23,'détails investissements'!$A$71:$B$88,2,FALSE)+1,FALSE)="","",VLOOKUP($A23,'détails investissements'!$A$26:$DE$43,AR$3-VLOOKUP($A23,'détails investissements'!$A$71:$B$88,2,FALSE)+1,FALSE)))</f>
        <v/>
      </c>
      <c r="AS23" s="45" t="str">
        <f>IF(AS$3-VLOOKUP($A23,'détails investissements'!$A$71:$B$88,2,FALSE)&lt;=0,"",IF(VLOOKUP($A23,'détails investissements'!$A$26:$DE$43,AS$3-VLOOKUP($A23,'détails investissements'!$A$71:$B$88,2,FALSE)+1,FALSE)="","",VLOOKUP($A23,'détails investissements'!$A$26:$DE$43,AS$3-VLOOKUP($A23,'détails investissements'!$A$71:$B$88,2,FALSE)+1,FALSE)))</f>
        <v/>
      </c>
      <c r="AT23" s="45" t="str">
        <f>IF(AT$3-VLOOKUP($A23,'détails investissements'!$A$71:$B$88,2,FALSE)&lt;=0,"",IF(VLOOKUP($A23,'détails investissements'!$A$26:$DE$43,AT$3-VLOOKUP($A23,'détails investissements'!$A$71:$B$88,2,FALSE)+1,FALSE)="","",VLOOKUP($A23,'détails investissements'!$A$26:$DE$43,AT$3-VLOOKUP($A23,'détails investissements'!$A$71:$B$88,2,FALSE)+1,FALSE)))</f>
        <v/>
      </c>
      <c r="AU23" s="45" t="str">
        <f>IF(AU$3-VLOOKUP($A23,'détails investissements'!$A$71:$B$88,2,FALSE)&lt;=0,"",IF(VLOOKUP($A23,'détails investissements'!$A$26:$DE$43,AU$3-VLOOKUP($A23,'détails investissements'!$A$71:$B$88,2,FALSE)+1,FALSE)="","",VLOOKUP($A23,'détails investissements'!$A$26:$DE$43,AU$3-VLOOKUP($A23,'détails investissements'!$A$71:$B$88,2,FALSE)+1,FALSE)))</f>
        <v/>
      </c>
      <c r="AV23" s="45" t="str">
        <f>IF(AV$3-VLOOKUP($A23,'détails investissements'!$A$71:$B$88,2,FALSE)&lt;=0,"",IF(VLOOKUP($A23,'détails investissements'!$A$26:$DE$43,AV$3-VLOOKUP($A23,'détails investissements'!$A$71:$B$88,2,FALSE)+1,FALSE)="","",VLOOKUP($A23,'détails investissements'!$A$26:$DE$43,AV$3-VLOOKUP($A23,'détails investissements'!$A$71:$B$88,2,FALSE)+1,FALSE)))</f>
        <v/>
      </c>
      <c r="AW23" s="45" t="str">
        <f>IF(AW$3-VLOOKUP($A23,'détails investissements'!$A$71:$B$88,2,FALSE)&lt;=0,"",IF(VLOOKUP($A23,'détails investissements'!$A$26:$DE$43,AW$3-VLOOKUP($A23,'détails investissements'!$A$71:$B$88,2,FALSE)+1,FALSE)="","",VLOOKUP($A23,'détails investissements'!$A$26:$DE$43,AW$3-VLOOKUP($A23,'détails investissements'!$A$71:$B$88,2,FALSE)+1,FALSE)))</f>
        <v/>
      </c>
      <c r="AX23" s="45" t="str">
        <f>IF(AX$3-VLOOKUP($A23,'détails investissements'!$A$71:$B$88,2,FALSE)&lt;=0,"",IF(VLOOKUP($A23,'détails investissements'!$A$26:$DE$43,AX$3-VLOOKUP($A23,'détails investissements'!$A$71:$B$88,2,FALSE)+1,FALSE)="","",VLOOKUP($A23,'détails investissements'!$A$26:$DE$43,AX$3-VLOOKUP($A23,'détails investissements'!$A$71:$B$88,2,FALSE)+1,FALSE)))</f>
        <v/>
      </c>
      <c r="AY23" s="45" t="str">
        <f>IF(AY$3-VLOOKUP($A23,'détails investissements'!$A$71:$B$88,2,FALSE)&lt;=0,"",IF(VLOOKUP($A23,'détails investissements'!$A$26:$DE$43,AY$3-VLOOKUP($A23,'détails investissements'!$A$71:$B$88,2,FALSE)+1,FALSE)="","",VLOOKUP($A23,'détails investissements'!$A$26:$DE$43,AY$3-VLOOKUP($A23,'détails investissements'!$A$71:$B$88,2,FALSE)+1,FALSE)))</f>
        <v/>
      </c>
      <c r="AZ23" s="45" t="str">
        <f>IF(AZ$3-VLOOKUP($A23,'détails investissements'!$A$71:$B$88,2,FALSE)&lt;=0,"",IF(VLOOKUP($A23,'détails investissements'!$A$26:$DE$43,AZ$3-VLOOKUP($A23,'détails investissements'!$A$71:$B$88,2,FALSE)+1,FALSE)="","",VLOOKUP($A23,'détails investissements'!$A$26:$DE$43,AZ$3-VLOOKUP($A23,'détails investissements'!$A$71:$B$88,2,FALSE)+1,FALSE)))</f>
        <v/>
      </c>
      <c r="BA23" s="45" t="str">
        <f>IF(BA$3-VLOOKUP($A23,'détails investissements'!$A$71:$B$88,2,FALSE)&lt;=0,"",IF(VLOOKUP($A23,'détails investissements'!$A$26:$DE$43,BA$3-VLOOKUP($A23,'détails investissements'!$A$71:$B$88,2,FALSE)+1,FALSE)="","",VLOOKUP($A23,'détails investissements'!$A$26:$DE$43,BA$3-VLOOKUP($A23,'détails investissements'!$A$71:$B$88,2,FALSE)+1,FALSE)))</f>
        <v/>
      </c>
      <c r="BB23" s="45" t="str">
        <f>IF(BB$3-VLOOKUP($A23,'détails investissements'!$A$71:$B$88,2,FALSE)&lt;=0,"",IF(VLOOKUP($A23,'détails investissements'!$A$26:$DE$43,BB$3-VLOOKUP($A23,'détails investissements'!$A$71:$B$88,2,FALSE)+1,FALSE)="","",VLOOKUP($A23,'détails investissements'!$A$26:$DE$43,BB$3-VLOOKUP($A23,'détails investissements'!$A$71:$B$88,2,FALSE)+1,FALSE)))</f>
        <v/>
      </c>
      <c r="BC23" s="45" t="str">
        <f>IF(BC$3-VLOOKUP($A23,'détails investissements'!$A$71:$B$88,2,FALSE)&lt;=0,"",IF(VLOOKUP($A23,'détails investissements'!$A$26:$DE$43,BC$3-VLOOKUP($A23,'détails investissements'!$A$71:$B$88,2,FALSE)+1,FALSE)="","",VLOOKUP($A23,'détails investissements'!$A$26:$DE$43,BC$3-VLOOKUP($A23,'détails investissements'!$A$71:$B$88,2,FALSE)+1,FALSE)))</f>
        <v/>
      </c>
      <c r="BD23" s="45" t="str">
        <f>IF(BD$3-VLOOKUP($A23,'détails investissements'!$A$71:$B$88,2,FALSE)&lt;=0,"",IF(VLOOKUP($A23,'détails investissements'!$A$26:$DE$43,BD$3-VLOOKUP($A23,'détails investissements'!$A$71:$B$88,2,FALSE)+1,FALSE)="","",VLOOKUP($A23,'détails investissements'!$A$26:$DE$43,BD$3-VLOOKUP($A23,'détails investissements'!$A$71:$B$88,2,FALSE)+1,FALSE)))</f>
        <v/>
      </c>
      <c r="BE23" s="45" t="str">
        <f>IF(BE$3-VLOOKUP($A23,'détails investissements'!$A$71:$B$88,2,FALSE)&lt;=0,"",IF(VLOOKUP($A23,'détails investissements'!$A$26:$DE$43,BE$3-VLOOKUP($A23,'détails investissements'!$A$71:$B$88,2,FALSE)+1,FALSE)="","",VLOOKUP($A23,'détails investissements'!$A$26:$DE$43,BE$3-VLOOKUP($A23,'détails investissements'!$A$71:$B$88,2,FALSE)+1,FALSE)))</f>
        <v/>
      </c>
      <c r="BF23" s="45" t="str">
        <f>IF(BF$3-VLOOKUP($A23,'détails investissements'!$A$71:$B$88,2,FALSE)&lt;=0,"",IF(VLOOKUP($A23,'détails investissements'!$A$26:$DE$43,BF$3-VLOOKUP($A23,'détails investissements'!$A$71:$B$88,2,FALSE)+1,FALSE)="","",VLOOKUP($A23,'détails investissements'!$A$26:$DE$43,BF$3-VLOOKUP($A23,'détails investissements'!$A$71:$B$88,2,FALSE)+1,FALSE)))</f>
        <v/>
      </c>
      <c r="BG23" s="45" t="str">
        <f>IF(BG$3-VLOOKUP($A23,'détails investissements'!$A$71:$B$88,2,FALSE)&lt;=0,"",IF(VLOOKUP($A23,'détails investissements'!$A$26:$DE$43,BG$3-VLOOKUP($A23,'détails investissements'!$A$71:$B$88,2,FALSE)+1,FALSE)="","",VLOOKUP($A23,'détails investissements'!$A$26:$DE$43,BG$3-VLOOKUP($A23,'détails investissements'!$A$71:$B$88,2,FALSE)+1,FALSE)))</f>
        <v/>
      </c>
      <c r="BH23" s="45" t="str">
        <f>IF(BH$3-VLOOKUP($A23,'détails investissements'!$A$71:$B$88,2,FALSE)&lt;=0,"",IF(VLOOKUP($A23,'détails investissements'!$A$26:$DE$43,BH$3-VLOOKUP($A23,'détails investissements'!$A$71:$B$88,2,FALSE)+1,FALSE)="","",VLOOKUP($A23,'détails investissements'!$A$26:$DE$43,BH$3-VLOOKUP($A23,'détails investissements'!$A$71:$B$88,2,FALSE)+1,FALSE)))</f>
        <v/>
      </c>
      <c r="BI23" s="45" t="str">
        <f>IF(BI$3-VLOOKUP($A23,'détails investissements'!$A$71:$B$88,2,FALSE)&lt;=0,"",IF(VLOOKUP($A23,'détails investissements'!$A$26:$DE$43,BI$3-VLOOKUP($A23,'détails investissements'!$A$71:$B$88,2,FALSE)+1,FALSE)="","",VLOOKUP($A23,'détails investissements'!$A$26:$DE$43,BI$3-VLOOKUP($A23,'détails investissements'!$A$71:$B$88,2,FALSE)+1,FALSE)))</f>
        <v/>
      </c>
      <c r="BJ23" s="45" t="str">
        <f>IF(BJ$3-VLOOKUP($A23,'détails investissements'!$A$71:$B$88,2,FALSE)&lt;=0,"",IF(VLOOKUP($A23,'détails investissements'!$A$26:$DE$43,BJ$3-VLOOKUP($A23,'détails investissements'!$A$71:$B$88,2,FALSE)+1,FALSE)="","",VLOOKUP($A23,'détails investissements'!$A$26:$DE$43,BJ$3-VLOOKUP($A23,'détails investissements'!$A$71:$B$88,2,FALSE)+1,FALSE)))</f>
        <v/>
      </c>
      <c r="BK23" s="45" t="str">
        <f>IF(BK$3-VLOOKUP($A23,'détails investissements'!$A$71:$B$88,2,FALSE)&lt;=0,"",IF(VLOOKUP($A23,'détails investissements'!$A$26:$DE$43,BK$3-VLOOKUP($A23,'détails investissements'!$A$71:$B$88,2,FALSE)+1,FALSE)="","",VLOOKUP($A23,'détails investissements'!$A$26:$DE$43,BK$3-VLOOKUP($A23,'détails investissements'!$A$71:$B$88,2,FALSE)+1,FALSE)))</f>
        <v/>
      </c>
      <c r="BL23" s="45" t="str">
        <f>IF(BL$3-VLOOKUP($A23,'détails investissements'!$A$71:$B$88,2,FALSE)&lt;=0,"",IF(VLOOKUP($A23,'détails investissements'!$A$26:$DE$43,BL$3-VLOOKUP($A23,'détails investissements'!$A$71:$B$88,2,FALSE)+1,FALSE)="","",VLOOKUP($A23,'détails investissements'!$A$26:$DE$43,BL$3-VLOOKUP($A23,'détails investissements'!$A$71:$B$88,2,FALSE)+1,FALSE)))</f>
        <v/>
      </c>
      <c r="BM23" s="45" t="str">
        <f>IF(BM$3-VLOOKUP($A23,'détails investissements'!$A$71:$B$88,2,FALSE)&lt;=0,"",IF(VLOOKUP($A23,'détails investissements'!$A$26:$DE$43,BM$3-VLOOKUP($A23,'détails investissements'!$A$71:$B$88,2,FALSE)+1,FALSE)="","",VLOOKUP($A23,'détails investissements'!$A$26:$DE$43,BM$3-VLOOKUP($A23,'détails investissements'!$A$71:$B$88,2,FALSE)+1,FALSE)))</f>
        <v/>
      </c>
      <c r="BN23" s="45" t="str">
        <f>IF(BN$3-VLOOKUP($A23,'détails investissements'!$A$71:$B$88,2,FALSE)&lt;=0,"",IF(VLOOKUP($A23,'détails investissements'!$A$26:$DE$43,BN$3-VLOOKUP($A23,'détails investissements'!$A$71:$B$88,2,FALSE)+1,FALSE)="","",VLOOKUP($A23,'détails investissements'!$A$26:$DE$43,BN$3-VLOOKUP($A23,'détails investissements'!$A$71:$B$88,2,FALSE)+1,FALSE)))</f>
        <v/>
      </c>
      <c r="BO23" s="45" t="str">
        <f>IF(BO$3-VLOOKUP($A23,'détails investissements'!$A$71:$B$88,2,FALSE)&lt;=0,"",IF(VLOOKUP($A23,'détails investissements'!$A$26:$DE$43,BO$3-VLOOKUP($A23,'détails investissements'!$A$71:$B$88,2,FALSE)+1,FALSE)="","",VLOOKUP($A23,'détails investissements'!$A$26:$DE$43,BO$3-VLOOKUP($A23,'détails investissements'!$A$71:$B$88,2,FALSE)+1,FALSE)))</f>
        <v/>
      </c>
      <c r="BP23" s="45" t="str">
        <f>IF(BP$3-VLOOKUP($A23,'détails investissements'!$A$71:$B$88,2,FALSE)&lt;=0,"",IF(VLOOKUP($A23,'détails investissements'!$A$26:$DE$43,BP$3-VLOOKUP($A23,'détails investissements'!$A$71:$B$88,2,FALSE)+1,FALSE)="","",VLOOKUP($A23,'détails investissements'!$A$26:$DE$43,BP$3-VLOOKUP($A23,'détails investissements'!$A$71:$B$88,2,FALSE)+1,FALSE)))</f>
        <v/>
      </c>
      <c r="BQ23" s="45" t="str">
        <f>IF(BQ$3-VLOOKUP($A23,'détails investissements'!$A$71:$B$88,2,FALSE)&lt;=0,"",IF(VLOOKUP($A23,'détails investissements'!$A$26:$DE$43,BQ$3-VLOOKUP($A23,'détails investissements'!$A$71:$B$88,2,FALSE)+1,FALSE)="","",VLOOKUP($A23,'détails investissements'!$A$26:$DE$43,BQ$3-VLOOKUP($A23,'détails investissements'!$A$71:$B$88,2,FALSE)+1,FALSE)))</f>
        <v/>
      </c>
      <c r="BR23" s="45" t="str">
        <f>IF(BR$3-VLOOKUP($A23,'détails investissements'!$A$71:$B$88,2,FALSE)&lt;=0,"",IF(VLOOKUP($A23,'détails investissements'!$A$26:$DE$43,BR$3-VLOOKUP($A23,'détails investissements'!$A$71:$B$88,2,FALSE)+1,FALSE)="","",VLOOKUP($A23,'détails investissements'!$A$26:$DE$43,BR$3-VLOOKUP($A23,'détails investissements'!$A$71:$B$88,2,FALSE)+1,FALSE)))</f>
        <v/>
      </c>
      <c r="BS23" s="45" t="str">
        <f>IF(BS$3-VLOOKUP($A23,'détails investissements'!$A$71:$B$88,2,FALSE)&lt;=0,"",IF(VLOOKUP($A23,'détails investissements'!$A$26:$DE$43,BS$3-VLOOKUP($A23,'détails investissements'!$A$71:$B$88,2,FALSE)+1,FALSE)="","",VLOOKUP($A23,'détails investissements'!$A$26:$DE$43,BS$3-VLOOKUP($A23,'détails investissements'!$A$71:$B$88,2,FALSE)+1,FALSE)))</f>
        <v/>
      </c>
      <c r="BT23" s="45" t="str">
        <f>IF(BT$3-VLOOKUP($A23,'détails investissements'!$A$71:$B$88,2,FALSE)&lt;=0,"",IF(VLOOKUP($A23,'détails investissements'!$A$26:$DE$43,BT$3-VLOOKUP($A23,'détails investissements'!$A$71:$B$88,2,FALSE)+1,FALSE)="","",VLOOKUP($A23,'détails investissements'!$A$26:$DE$43,BT$3-VLOOKUP($A23,'détails investissements'!$A$71:$B$88,2,FALSE)+1,FALSE)))</f>
        <v/>
      </c>
      <c r="BU23" s="45" t="str">
        <f>IF(BU$3-VLOOKUP($A23,'détails investissements'!$A$71:$B$88,2,FALSE)&lt;=0,"",IF(VLOOKUP($A23,'détails investissements'!$A$26:$DE$43,BU$3-VLOOKUP($A23,'détails investissements'!$A$71:$B$88,2,FALSE)+1,FALSE)="","",VLOOKUP($A23,'détails investissements'!$A$26:$DE$43,BU$3-VLOOKUP($A23,'détails investissements'!$A$71:$B$88,2,FALSE)+1,FALSE)))</f>
        <v/>
      </c>
      <c r="BV23" s="45" t="str">
        <f>IF(BV$3-VLOOKUP($A23,'détails investissements'!$A$71:$B$88,2,FALSE)&lt;=0,"",IF(VLOOKUP($A23,'détails investissements'!$A$26:$DE$43,BV$3-VLOOKUP($A23,'détails investissements'!$A$71:$B$88,2,FALSE)+1,FALSE)="","",VLOOKUP($A23,'détails investissements'!$A$26:$DE$43,BV$3-VLOOKUP($A23,'détails investissements'!$A$71:$B$88,2,FALSE)+1,FALSE)))</f>
        <v/>
      </c>
      <c r="BW23" s="45" t="str">
        <f>IF(BW$3-VLOOKUP($A23,'détails investissements'!$A$71:$B$88,2,FALSE)&lt;=0,"",IF(VLOOKUP($A23,'détails investissements'!$A$26:$DE$43,BW$3-VLOOKUP($A23,'détails investissements'!$A$71:$B$88,2,FALSE)+1,FALSE)="","",VLOOKUP($A23,'détails investissements'!$A$26:$DE$43,BW$3-VLOOKUP($A23,'détails investissements'!$A$71:$B$88,2,FALSE)+1,FALSE)))</f>
        <v/>
      </c>
      <c r="BX23" s="45" t="str">
        <f>IF(BX$3-VLOOKUP($A23,'détails investissements'!$A$71:$B$88,2,FALSE)&lt;=0,"",IF(VLOOKUP($A23,'détails investissements'!$A$26:$DE$43,BX$3-VLOOKUP($A23,'détails investissements'!$A$71:$B$88,2,FALSE)+1,FALSE)="","",VLOOKUP($A23,'détails investissements'!$A$26:$DE$43,BX$3-VLOOKUP($A23,'détails investissements'!$A$71:$B$88,2,FALSE)+1,FALSE)))</f>
        <v/>
      </c>
      <c r="BY23" s="45" t="str">
        <f>IF(BY$3-VLOOKUP($A23,'détails investissements'!$A$71:$B$88,2,FALSE)&lt;=0,"",IF(VLOOKUP($A23,'détails investissements'!$A$26:$DE$43,BY$3-VLOOKUP($A23,'détails investissements'!$A$71:$B$88,2,FALSE)+1,FALSE)="","",VLOOKUP($A23,'détails investissements'!$A$26:$DE$43,BY$3-VLOOKUP($A23,'détails investissements'!$A$71:$B$88,2,FALSE)+1,FALSE)))</f>
        <v/>
      </c>
      <c r="BZ23" s="45" t="str">
        <f>IF(BZ$3-VLOOKUP($A23,'détails investissements'!$A$71:$B$88,2,FALSE)&lt;=0,"",IF(VLOOKUP($A23,'détails investissements'!$A$26:$DE$43,BZ$3-VLOOKUP($A23,'détails investissements'!$A$71:$B$88,2,FALSE)+1,FALSE)="","",VLOOKUP($A23,'détails investissements'!$A$26:$DE$43,BZ$3-VLOOKUP($A23,'détails investissements'!$A$71:$B$88,2,FALSE)+1,FALSE)))</f>
        <v/>
      </c>
      <c r="CA23" s="45" t="str">
        <f>IF(CA$3-VLOOKUP($A23,'détails investissements'!$A$71:$B$88,2,FALSE)&lt;=0,"",IF(VLOOKUP($A23,'détails investissements'!$A$26:$DE$43,CA$3-VLOOKUP($A23,'détails investissements'!$A$71:$B$88,2,FALSE)+1,FALSE)="","",VLOOKUP($A23,'détails investissements'!$A$26:$DE$43,CA$3-VLOOKUP($A23,'détails investissements'!$A$71:$B$88,2,FALSE)+1,FALSE)))</f>
        <v/>
      </c>
      <c r="CB23" s="45" t="str">
        <f>IF(CB$3-VLOOKUP($A23,'détails investissements'!$A$71:$B$88,2,FALSE)&lt;=0,"",IF(VLOOKUP($A23,'détails investissements'!$A$26:$DE$43,CB$3-VLOOKUP($A23,'détails investissements'!$A$71:$B$88,2,FALSE)+1,FALSE)="","",VLOOKUP($A23,'détails investissements'!$A$26:$DE$43,CB$3-VLOOKUP($A23,'détails investissements'!$A$71:$B$88,2,FALSE)+1,FALSE)))</f>
        <v/>
      </c>
      <c r="CC23" s="45" t="str">
        <f>IF(CC$3-VLOOKUP($A23,'détails investissements'!$A$71:$B$88,2,FALSE)&lt;=0,"",IF(VLOOKUP($A23,'détails investissements'!$A$26:$DE$43,CC$3-VLOOKUP($A23,'détails investissements'!$A$71:$B$88,2,FALSE)+1,FALSE)="","",VLOOKUP($A23,'détails investissements'!$A$26:$DE$43,CC$3-VLOOKUP($A23,'détails investissements'!$A$71:$B$88,2,FALSE)+1,FALSE)))</f>
        <v/>
      </c>
      <c r="CD23" s="45" t="str">
        <f>IF(CD$3-VLOOKUP($A23,'détails investissements'!$A$71:$B$88,2,FALSE)&lt;=0,"",IF(VLOOKUP($A23,'détails investissements'!$A$26:$DE$43,CD$3-VLOOKUP($A23,'détails investissements'!$A$71:$B$88,2,FALSE)+1,FALSE)="","",VLOOKUP($A23,'détails investissements'!$A$26:$DE$43,CD$3-VLOOKUP($A23,'détails investissements'!$A$71:$B$88,2,FALSE)+1,FALSE)))</f>
        <v/>
      </c>
      <c r="CE23" s="45" t="str">
        <f>IF(CE$3-VLOOKUP($A23,'détails investissements'!$A$71:$B$88,2,FALSE)&lt;=0,"",IF(VLOOKUP($A23,'détails investissements'!$A$26:$DE$43,CE$3-VLOOKUP($A23,'détails investissements'!$A$71:$B$88,2,FALSE)+1,FALSE)="","",VLOOKUP($A23,'détails investissements'!$A$26:$DE$43,CE$3-VLOOKUP($A23,'détails investissements'!$A$71:$B$88,2,FALSE)+1,FALSE)))</f>
        <v/>
      </c>
      <c r="CF23" s="45" t="str">
        <f>IF(CF$3-VLOOKUP($A23,'détails investissements'!$A$71:$B$88,2,FALSE)&lt;=0,"",IF(VLOOKUP($A23,'détails investissements'!$A$26:$DE$43,CF$3-VLOOKUP($A23,'détails investissements'!$A$71:$B$88,2,FALSE)+1,FALSE)="","",VLOOKUP($A23,'détails investissements'!$A$26:$DE$43,CF$3-VLOOKUP($A23,'détails investissements'!$A$71:$B$88,2,FALSE)+1,FALSE)))</f>
        <v/>
      </c>
      <c r="CG23" s="45" t="str">
        <f>IF(CG$3-VLOOKUP($A23,'détails investissements'!$A$71:$B$88,2,FALSE)&lt;=0,"",IF(VLOOKUP($A23,'détails investissements'!$A$26:$DE$43,CG$3-VLOOKUP($A23,'détails investissements'!$A$71:$B$88,2,FALSE)+1,FALSE)="","",VLOOKUP($A23,'détails investissements'!$A$26:$DE$43,CG$3-VLOOKUP($A23,'détails investissements'!$A$71:$B$88,2,FALSE)+1,FALSE)))</f>
        <v/>
      </c>
      <c r="CH23" s="45" t="str">
        <f>IF(CH$3-VLOOKUP($A23,'détails investissements'!$A$71:$B$88,2,FALSE)&lt;=0,"",IF(VLOOKUP($A23,'détails investissements'!$A$26:$DE$43,CH$3-VLOOKUP($A23,'détails investissements'!$A$71:$B$88,2,FALSE)+1,FALSE)="","",VLOOKUP($A23,'détails investissements'!$A$26:$DE$43,CH$3-VLOOKUP($A23,'détails investissements'!$A$71:$B$88,2,FALSE)+1,FALSE)))</f>
        <v/>
      </c>
      <c r="CI23" s="45" t="str">
        <f>IF(CI$3-VLOOKUP($A23,'détails investissements'!$A$71:$B$88,2,FALSE)&lt;=0,"",IF(VLOOKUP($A23,'détails investissements'!$A$26:$DE$43,CI$3-VLOOKUP($A23,'détails investissements'!$A$71:$B$88,2,FALSE)+1,FALSE)="","",VLOOKUP($A23,'détails investissements'!$A$26:$DE$43,CI$3-VLOOKUP($A23,'détails investissements'!$A$71:$B$88,2,FALSE)+1,FALSE)))</f>
        <v/>
      </c>
      <c r="CJ23" s="45" t="str">
        <f>IF(CJ$3-VLOOKUP($A23,'détails investissements'!$A$71:$B$88,2,FALSE)&lt;=0,"",IF(VLOOKUP($A23,'détails investissements'!$A$26:$DE$43,CJ$3-VLOOKUP($A23,'détails investissements'!$A$71:$B$88,2,FALSE)+1,FALSE)="","",VLOOKUP($A23,'détails investissements'!$A$26:$DE$43,CJ$3-VLOOKUP($A23,'détails investissements'!$A$71:$B$88,2,FALSE)+1,FALSE)))</f>
        <v/>
      </c>
      <c r="CK23" s="45" t="str">
        <f>IF(CK$3-VLOOKUP($A23,'détails investissements'!$A$71:$B$88,2,FALSE)&lt;=0,"",IF(VLOOKUP($A23,'détails investissements'!$A$26:$DE$43,CK$3-VLOOKUP($A23,'détails investissements'!$A$71:$B$88,2,FALSE)+1,FALSE)="","",VLOOKUP($A23,'détails investissements'!$A$26:$DE$43,CK$3-VLOOKUP($A23,'détails investissements'!$A$71:$B$88,2,FALSE)+1,FALSE)))</f>
        <v/>
      </c>
      <c r="CL23" s="45" t="str">
        <f>IF(CL$3-VLOOKUP($A23,'détails investissements'!$A$71:$B$88,2,FALSE)&lt;=0,"",IF(VLOOKUP($A23,'détails investissements'!$A$26:$DE$43,CL$3-VLOOKUP($A23,'détails investissements'!$A$71:$B$88,2,FALSE)+1,FALSE)="","",VLOOKUP($A23,'détails investissements'!$A$26:$DE$43,CL$3-VLOOKUP($A23,'détails investissements'!$A$71:$B$88,2,FALSE)+1,FALSE)))</f>
        <v/>
      </c>
      <c r="CM23" s="45" t="str">
        <f>IF(CM$3-VLOOKUP($A23,'détails investissements'!$A$71:$B$88,2,FALSE)&lt;=0,"",IF(VLOOKUP($A23,'détails investissements'!$A$26:$DE$43,CM$3-VLOOKUP($A23,'détails investissements'!$A$71:$B$88,2,FALSE)+1,FALSE)="","",VLOOKUP($A23,'détails investissements'!$A$26:$DE$43,CM$3-VLOOKUP($A23,'détails investissements'!$A$71:$B$88,2,FALSE)+1,FALSE)))</f>
        <v/>
      </c>
      <c r="CN23" s="45" t="str">
        <f>IF(CN$3-VLOOKUP($A23,'détails investissements'!$A$71:$B$88,2,FALSE)&lt;=0,"",IF(VLOOKUP($A23,'détails investissements'!$A$26:$DE$43,CN$3-VLOOKUP($A23,'détails investissements'!$A$71:$B$88,2,FALSE)+1,FALSE)="","",VLOOKUP($A23,'détails investissements'!$A$26:$DE$43,CN$3-VLOOKUP($A23,'détails investissements'!$A$71:$B$88,2,FALSE)+1,FALSE)))</f>
        <v/>
      </c>
      <c r="CO23" s="45" t="str">
        <f>IF(CO$3-VLOOKUP($A23,'détails investissements'!$A$71:$B$88,2,FALSE)&lt;=0,"",IF(VLOOKUP($A23,'détails investissements'!$A$26:$DE$43,CO$3-VLOOKUP($A23,'détails investissements'!$A$71:$B$88,2,FALSE)+1,FALSE)="","",VLOOKUP($A23,'détails investissements'!$A$26:$DE$43,CO$3-VLOOKUP($A23,'détails investissements'!$A$71:$B$88,2,FALSE)+1,FALSE)))</f>
        <v/>
      </c>
      <c r="CP23" s="45" t="str">
        <f>IF(CP$3-VLOOKUP($A23,'détails investissements'!$A$71:$B$88,2,FALSE)&lt;=0,"",IF(VLOOKUP($A23,'détails investissements'!$A$26:$DE$43,CP$3-VLOOKUP($A23,'détails investissements'!$A$71:$B$88,2,FALSE)+1,FALSE)="","",VLOOKUP($A23,'détails investissements'!$A$26:$DE$43,CP$3-VLOOKUP($A23,'détails investissements'!$A$71:$B$88,2,FALSE)+1,FALSE)))</f>
        <v/>
      </c>
      <c r="CQ23" s="45" t="str">
        <f>IF(CQ$3-VLOOKUP($A23,'détails investissements'!$A$71:$B$88,2,FALSE)&lt;=0,"",IF(VLOOKUP($A23,'détails investissements'!$A$26:$DE$43,CQ$3-VLOOKUP($A23,'détails investissements'!$A$71:$B$88,2,FALSE)+1,FALSE)="","",VLOOKUP($A23,'détails investissements'!$A$26:$DE$43,CQ$3-VLOOKUP($A23,'détails investissements'!$A$71:$B$88,2,FALSE)+1,FALSE)))</f>
        <v/>
      </c>
      <c r="CR23" s="45" t="str">
        <f>IF(CR$3-VLOOKUP($A23,'détails investissements'!$A$71:$B$88,2,FALSE)&lt;=0,"",IF(VLOOKUP($A23,'détails investissements'!$A$26:$DE$43,CR$3-VLOOKUP($A23,'détails investissements'!$A$71:$B$88,2,FALSE)+1,FALSE)="","",VLOOKUP($A23,'détails investissements'!$A$26:$DE$43,CR$3-VLOOKUP($A23,'détails investissements'!$A$71:$B$88,2,FALSE)+1,FALSE)))</f>
        <v/>
      </c>
      <c r="CS23" s="45" t="str">
        <f>IF(CS$3-VLOOKUP($A23,'détails investissements'!$A$71:$B$88,2,FALSE)&lt;=0,"",IF(VLOOKUP($A23,'détails investissements'!$A$26:$DE$43,CS$3-VLOOKUP($A23,'détails investissements'!$A$71:$B$88,2,FALSE)+1,FALSE)="","",VLOOKUP($A23,'détails investissements'!$A$26:$DE$43,CS$3-VLOOKUP($A23,'détails investissements'!$A$71:$B$88,2,FALSE)+1,FALSE)))</f>
        <v/>
      </c>
      <c r="CT23" s="45" t="str">
        <f>IF(CT$3-VLOOKUP($A23,'détails investissements'!$A$71:$B$88,2,FALSE)&lt;=0,"",IF(VLOOKUP($A23,'détails investissements'!$A$26:$DE$43,CT$3-VLOOKUP($A23,'détails investissements'!$A$71:$B$88,2,FALSE)+1,FALSE)="","",VLOOKUP($A23,'détails investissements'!$A$26:$DE$43,CT$3-VLOOKUP($A23,'détails investissements'!$A$71:$B$88,2,FALSE)+1,FALSE)))</f>
        <v/>
      </c>
      <c r="CU23" s="45" t="str">
        <f>IF(CU$3-VLOOKUP($A23,'détails investissements'!$A$71:$B$88,2,FALSE)&lt;=0,"",IF(VLOOKUP($A23,'détails investissements'!$A$26:$DE$43,CU$3-VLOOKUP($A23,'détails investissements'!$A$71:$B$88,2,FALSE)+1,FALSE)="","",VLOOKUP($A23,'détails investissements'!$A$26:$DE$43,CU$3-VLOOKUP($A23,'détails investissements'!$A$71:$B$88,2,FALSE)+1,FALSE)))</f>
        <v/>
      </c>
      <c r="CV23" s="45" t="str">
        <f>IF(CV$3-VLOOKUP($A23,'détails investissements'!$A$71:$B$88,2,FALSE)&lt;=0,"",IF(VLOOKUP($A23,'détails investissements'!$A$26:$DE$43,CV$3-VLOOKUP($A23,'détails investissements'!$A$71:$B$88,2,FALSE)+1,FALSE)="","",VLOOKUP($A23,'détails investissements'!$A$26:$DE$43,CV$3-VLOOKUP($A23,'détails investissements'!$A$71:$B$88,2,FALSE)+1,FALSE)))</f>
        <v/>
      </c>
      <c r="CW23" s="45" t="str">
        <f>IF(CW$3-VLOOKUP($A23,'détails investissements'!$A$71:$B$88,2,FALSE)&lt;=0,"",IF(VLOOKUP($A23,'détails investissements'!$A$26:$DE$43,CW$3-VLOOKUP($A23,'détails investissements'!$A$71:$B$88,2,FALSE)+1,FALSE)="","",VLOOKUP($A23,'détails investissements'!$A$26:$DE$43,CW$3-VLOOKUP($A23,'détails investissements'!$A$71:$B$88,2,FALSE)+1,FALSE)))</f>
        <v/>
      </c>
      <c r="CX23" s="45" t="str">
        <f>IF(CX$3-VLOOKUP($A23,'détails investissements'!$A$71:$B$88,2,FALSE)&lt;=0,"",IF(VLOOKUP($A23,'détails investissements'!$A$26:$DE$43,CX$3-VLOOKUP($A23,'détails investissements'!$A$71:$B$88,2,FALSE)+1,FALSE)="","",VLOOKUP($A23,'détails investissements'!$A$26:$DE$43,CX$3-VLOOKUP($A23,'détails investissements'!$A$71:$B$88,2,FALSE)+1,FALSE)))</f>
        <v/>
      </c>
      <c r="CY23" s="45" t="str">
        <f>IF(CY$3-VLOOKUP($A23,'détails investissements'!$A$71:$B$88,2,FALSE)&lt;=0,"",IF(VLOOKUP($A23,'détails investissements'!$A$26:$DE$43,CY$3-VLOOKUP($A23,'détails investissements'!$A$71:$B$88,2,FALSE)+1,FALSE)="","",VLOOKUP($A23,'détails investissements'!$A$26:$DE$43,CY$3-VLOOKUP($A23,'détails investissements'!$A$71:$B$88,2,FALSE)+1,FALSE)))</f>
        <v/>
      </c>
      <c r="CZ23" s="45" t="str">
        <f>IF(CZ$3-VLOOKUP($A23,'détails investissements'!$A$71:$B$88,2,FALSE)&lt;=0,"",IF(VLOOKUP($A23,'détails investissements'!$A$26:$DE$43,CZ$3-VLOOKUP($A23,'détails investissements'!$A$71:$B$88,2,FALSE)+1,FALSE)="","",VLOOKUP($A23,'détails investissements'!$A$26:$DE$43,CZ$3-VLOOKUP($A23,'détails investissements'!$A$71:$B$88,2,FALSE)+1,FALSE)))</f>
        <v/>
      </c>
      <c r="DA23" s="45" t="str">
        <f>IF(DA$3-VLOOKUP($A23,'détails investissements'!$A$71:$B$88,2,FALSE)&lt;=0,"",IF(VLOOKUP($A23,'détails investissements'!$A$26:$DE$43,DA$3-VLOOKUP($A23,'détails investissements'!$A$71:$B$88,2,FALSE)+1,FALSE)="","",VLOOKUP($A23,'détails investissements'!$A$26:$DE$43,DA$3-VLOOKUP($A23,'détails investissements'!$A$71:$B$88,2,FALSE)+1,FALSE)))</f>
        <v/>
      </c>
      <c r="DB23" s="45" t="str">
        <f>IF(DB$3-VLOOKUP($A23,'détails investissements'!$A$71:$B$88,2,FALSE)&lt;=0,"",IF(VLOOKUP($A23,'détails investissements'!$A$26:$DE$43,DB$3-VLOOKUP($A23,'détails investissements'!$A$71:$B$88,2,FALSE)+1,FALSE)="","",VLOOKUP($A23,'détails investissements'!$A$26:$DE$43,DB$3-VLOOKUP($A23,'détails investissements'!$A$71:$B$88,2,FALSE)+1,FALSE)))</f>
        <v/>
      </c>
      <c r="DC23" s="45" t="str">
        <f>IF(DC$3-VLOOKUP($A23,'détails investissements'!$A$71:$B$88,2,FALSE)&lt;=0,"",IF(VLOOKUP($A23,'détails investissements'!$A$26:$DE$43,DC$3-VLOOKUP($A23,'détails investissements'!$A$71:$B$88,2,FALSE)+1,FALSE)="","",VLOOKUP($A23,'détails investissements'!$A$26:$DE$43,DC$3-VLOOKUP($A23,'détails investissements'!$A$71:$B$88,2,FALSE)+1,FALSE)))</f>
        <v/>
      </c>
      <c r="DD23" s="45" t="str">
        <f>IF(DD$3-VLOOKUP($A23,'détails investissements'!$A$71:$B$88,2,FALSE)&lt;=0,"",IF(VLOOKUP($A23,'détails investissements'!$A$26:$DE$43,DD$3-VLOOKUP($A23,'détails investissements'!$A$71:$B$88,2,FALSE)+1,FALSE)="","",VLOOKUP($A23,'détails investissements'!$A$26:$DE$43,DD$3-VLOOKUP($A23,'détails investissements'!$A$71:$B$88,2,FALSE)+1,FALSE)))</f>
        <v/>
      </c>
      <c r="DE23" s="45" t="str">
        <f>IF(DE$3-VLOOKUP($A23,'détails investissements'!$A$71:$B$88,2,FALSE)&lt;=0,"",IF(VLOOKUP($A23,'détails investissements'!$A$26:$DE$43,DE$3-VLOOKUP($A23,'détails investissements'!$A$71:$B$88,2,FALSE)+1,FALSE)="","",VLOOKUP($A23,'détails investissements'!$A$26:$DE$43,DE$3-VLOOKUP($A23,'détails investissements'!$A$71:$B$88,2,FALSE)+1,FALSE)))</f>
        <v/>
      </c>
      <c r="DF23" s="45" t="str">
        <f>IF(DF$3-VLOOKUP($A23,'détails investissements'!$A$71:$B$88,2,FALSE)&lt;=0,"",IF(VLOOKUP($A23,'détails investissements'!$A$26:$DE$43,DF$3-VLOOKUP($A23,'détails investissements'!$A$71:$B$88,2,FALSE)+1,FALSE)="","",VLOOKUP($A23,'détails investissements'!$A$26:$DE$43,DF$3-VLOOKUP($A23,'détails investissements'!$A$71:$B$88,2,FALSE)+1,FALSE)))</f>
        <v/>
      </c>
      <c r="DG23">
        <f t="shared" si="0"/>
        <v>1.0000000000000002</v>
      </c>
    </row>
    <row r="26" spans="1:111" ht="15.75" x14ac:dyDescent="0.25">
      <c r="A26" s="984" t="s">
        <v>1328</v>
      </c>
      <c r="C26" s="975">
        <f>C3</f>
        <v>1</v>
      </c>
      <c r="D26" s="975">
        <f t="shared" ref="D26:BO28" si="1">D3</f>
        <v>2</v>
      </c>
      <c r="E26" s="975">
        <f t="shared" si="1"/>
        <v>3</v>
      </c>
      <c r="F26" s="975">
        <f t="shared" si="1"/>
        <v>4</v>
      </c>
      <c r="G26" s="975">
        <f t="shared" si="1"/>
        <v>5</v>
      </c>
      <c r="H26" s="975">
        <f t="shared" si="1"/>
        <v>6</v>
      </c>
      <c r="I26" s="975">
        <f t="shared" si="1"/>
        <v>7</v>
      </c>
      <c r="J26" s="975">
        <f t="shared" si="1"/>
        <v>8</v>
      </c>
      <c r="K26" s="975">
        <f t="shared" si="1"/>
        <v>9</v>
      </c>
      <c r="L26" s="975">
        <f t="shared" si="1"/>
        <v>10</v>
      </c>
      <c r="M26" s="975">
        <f t="shared" si="1"/>
        <v>11</v>
      </c>
      <c r="N26" s="975">
        <f t="shared" si="1"/>
        <v>12</v>
      </c>
      <c r="O26" s="975">
        <f t="shared" si="1"/>
        <v>13</v>
      </c>
      <c r="P26" s="975">
        <f t="shared" si="1"/>
        <v>14</v>
      </c>
      <c r="Q26" s="975">
        <f t="shared" si="1"/>
        <v>15</v>
      </c>
      <c r="R26" s="975">
        <f t="shared" si="1"/>
        <v>16</v>
      </c>
      <c r="S26" s="975">
        <f t="shared" si="1"/>
        <v>17</v>
      </c>
      <c r="T26" s="975">
        <f t="shared" si="1"/>
        <v>18</v>
      </c>
      <c r="U26" s="975">
        <f t="shared" si="1"/>
        <v>19</v>
      </c>
      <c r="V26" s="975">
        <f t="shared" si="1"/>
        <v>20</v>
      </c>
      <c r="W26" s="975">
        <f t="shared" si="1"/>
        <v>21</v>
      </c>
      <c r="X26" s="975">
        <f t="shared" si="1"/>
        <v>22</v>
      </c>
      <c r="Y26" s="975">
        <f t="shared" si="1"/>
        <v>23</v>
      </c>
      <c r="Z26" s="975">
        <f t="shared" si="1"/>
        <v>24</v>
      </c>
      <c r="AA26" s="975">
        <f t="shared" si="1"/>
        <v>25</v>
      </c>
      <c r="AB26" s="975">
        <f t="shared" si="1"/>
        <v>26</v>
      </c>
      <c r="AC26" s="975">
        <f t="shared" si="1"/>
        <v>27</v>
      </c>
      <c r="AD26" s="975">
        <f t="shared" si="1"/>
        <v>28</v>
      </c>
      <c r="AE26" s="975">
        <f t="shared" si="1"/>
        <v>29</v>
      </c>
      <c r="AF26" s="975">
        <f t="shared" si="1"/>
        <v>30</v>
      </c>
      <c r="AG26" s="975">
        <f t="shared" si="1"/>
        <v>31</v>
      </c>
      <c r="AH26" s="975">
        <f t="shared" si="1"/>
        <v>32</v>
      </c>
      <c r="AI26" s="975">
        <f t="shared" si="1"/>
        <v>33</v>
      </c>
      <c r="AJ26" s="975">
        <f t="shared" si="1"/>
        <v>34</v>
      </c>
      <c r="AK26" s="975">
        <f t="shared" si="1"/>
        <v>35</v>
      </c>
      <c r="AL26" s="975">
        <f t="shared" si="1"/>
        <v>36</v>
      </c>
      <c r="AM26" s="975">
        <f t="shared" si="1"/>
        <v>37</v>
      </c>
      <c r="AN26" s="975">
        <f t="shared" si="1"/>
        <v>38</v>
      </c>
      <c r="AO26" s="975">
        <f t="shared" si="1"/>
        <v>39</v>
      </c>
      <c r="AP26" s="975">
        <f t="shared" si="1"/>
        <v>40</v>
      </c>
      <c r="AQ26" s="975">
        <f t="shared" si="1"/>
        <v>41</v>
      </c>
      <c r="AR26" s="975">
        <f t="shared" si="1"/>
        <v>42</v>
      </c>
      <c r="AS26" s="975">
        <f t="shared" si="1"/>
        <v>43</v>
      </c>
      <c r="AT26" s="975">
        <f t="shared" si="1"/>
        <v>44</v>
      </c>
      <c r="AU26" s="975">
        <f t="shared" si="1"/>
        <v>45</v>
      </c>
      <c r="AV26" s="975">
        <f t="shared" si="1"/>
        <v>46</v>
      </c>
      <c r="AW26" s="975">
        <f t="shared" si="1"/>
        <v>47</v>
      </c>
      <c r="AX26" s="975">
        <f t="shared" si="1"/>
        <v>48</v>
      </c>
      <c r="AY26" s="975">
        <f t="shared" si="1"/>
        <v>49</v>
      </c>
      <c r="AZ26" s="975">
        <f t="shared" si="1"/>
        <v>50</v>
      </c>
      <c r="BA26" s="975">
        <f t="shared" si="1"/>
        <v>51</v>
      </c>
      <c r="BB26" s="975">
        <f t="shared" si="1"/>
        <v>52</v>
      </c>
      <c r="BC26" s="975">
        <f t="shared" si="1"/>
        <v>53</v>
      </c>
      <c r="BD26" s="975">
        <f t="shared" si="1"/>
        <v>54</v>
      </c>
      <c r="BE26" s="975">
        <f t="shared" si="1"/>
        <v>55</v>
      </c>
      <c r="BF26" s="975">
        <f t="shared" si="1"/>
        <v>56</v>
      </c>
      <c r="BG26" s="975">
        <f t="shared" si="1"/>
        <v>57</v>
      </c>
      <c r="BH26" s="975">
        <f t="shared" si="1"/>
        <v>58</v>
      </c>
      <c r="BI26" s="975">
        <f t="shared" si="1"/>
        <v>59</v>
      </c>
      <c r="BJ26" s="975">
        <f t="shared" si="1"/>
        <v>60</v>
      </c>
      <c r="BK26" s="975">
        <f t="shared" si="1"/>
        <v>61</v>
      </c>
      <c r="BL26" s="975">
        <f t="shared" si="1"/>
        <v>62</v>
      </c>
      <c r="BM26" s="975">
        <f t="shared" si="1"/>
        <v>63</v>
      </c>
      <c r="BN26" s="975">
        <f t="shared" si="1"/>
        <v>64</v>
      </c>
      <c r="BO26" s="975">
        <f t="shared" si="1"/>
        <v>65</v>
      </c>
      <c r="BP26" s="975">
        <f t="shared" ref="BP26:DF28" si="2">BP3</f>
        <v>66</v>
      </c>
      <c r="BQ26" s="975">
        <f t="shared" si="2"/>
        <v>67</v>
      </c>
      <c r="BR26" s="975">
        <f t="shared" si="2"/>
        <v>68</v>
      </c>
      <c r="BS26" s="975">
        <f t="shared" si="2"/>
        <v>69</v>
      </c>
      <c r="BT26" s="975">
        <f t="shared" si="2"/>
        <v>70</v>
      </c>
      <c r="BU26" s="975">
        <f t="shared" si="2"/>
        <v>71</v>
      </c>
      <c r="BV26" s="975">
        <f t="shared" si="2"/>
        <v>72</v>
      </c>
      <c r="BW26" s="975">
        <f t="shared" si="2"/>
        <v>73</v>
      </c>
      <c r="BX26" s="975">
        <f t="shared" si="2"/>
        <v>74</v>
      </c>
      <c r="BY26" s="975">
        <f t="shared" si="2"/>
        <v>75</v>
      </c>
      <c r="BZ26" s="975">
        <f t="shared" si="2"/>
        <v>76</v>
      </c>
      <c r="CA26" s="975">
        <f t="shared" si="2"/>
        <v>77</v>
      </c>
      <c r="CB26" s="975">
        <f t="shared" si="2"/>
        <v>78</v>
      </c>
      <c r="CC26" s="975">
        <f t="shared" si="2"/>
        <v>79</v>
      </c>
      <c r="CD26" s="975">
        <f t="shared" si="2"/>
        <v>80</v>
      </c>
      <c r="CE26" s="975">
        <f t="shared" si="2"/>
        <v>81</v>
      </c>
      <c r="CF26" s="975">
        <f t="shared" si="2"/>
        <v>82</v>
      </c>
      <c r="CG26" s="975">
        <f t="shared" si="2"/>
        <v>83</v>
      </c>
      <c r="CH26" s="975">
        <f t="shared" si="2"/>
        <v>84</v>
      </c>
      <c r="CI26" s="975">
        <f t="shared" si="2"/>
        <v>85</v>
      </c>
      <c r="CJ26" s="975">
        <f t="shared" si="2"/>
        <v>86</v>
      </c>
      <c r="CK26" s="975">
        <f t="shared" si="2"/>
        <v>87</v>
      </c>
      <c r="CL26" s="975">
        <f t="shared" si="2"/>
        <v>88</v>
      </c>
      <c r="CM26" s="975">
        <f t="shared" si="2"/>
        <v>89</v>
      </c>
      <c r="CN26" s="975">
        <f t="shared" si="2"/>
        <v>90</v>
      </c>
      <c r="CO26" s="975">
        <f t="shared" si="2"/>
        <v>91</v>
      </c>
      <c r="CP26" s="975">
        <f t="shared" si="2"/>
        <v>92</v>
      </c>
      <c r="CQ26" s="975">
        <f t="shared" si="2"/>
        <v>93</v>
      </c>
      <c r="CR26" s="975">
        <f t="shared" si="2"/>
        <v>94</v>
      </c>
      <c r="CS26" s="975">
        <f t="shared" si="2"/>
        <v>95</v>
      </c>
      <c r="CT26" s="975">
        <f t="shared" si="2"/>
        <v>96</v>
      </c>
      <c r="CU26" s="975">
        <f t="shared" si="2"/>
        <v>97</v>
      </c>
      <c r="CV26" s="975">
        <f t="shared" si="2"/>
        <v>98</v>
      </c>
      <c r="CW26" s="975">
        <f t="shared" si="2"/>
        <v>99</v>
      </c>
      <c r="CX26" s="975">
        <f t="shared" si="2"/>
        <v>100</v>
      </c>
      <c r="CY26" s="975">
        <f t="shared" si="2"/>
        <v>101</v>
      </c>
      <c r="CZ26" s="975">
        <f t="shared" si="2"/>
        <v>102</v>
      </c>
      <c r="DA26" s="975">
        <f t="shared" si="2"/>
        <v>103</v>
      </c>
      <c r="DB26" s="975">
        <f t="shared" si="2"/>
        <v>104</v>
      </c>
      <c r="DC26" s="975">
        <f t="shared" si="2"/>
        <v>105</v>
      </c>
      <c r="DD26" s="975">
        <f t="shared" si="2"/>
        <v>106</v>
      </c>
      <c r="DE26" s="975">
        <f t="shared" si="2"/>
        <v>107</v>
      </c>
      <c r="DF26" s="975">
        <f t="shared" si="2"/>
        <v>108</v>
      </c>
    </row>
    <row r="27" spans="1:111" x14ac:dyDescent="0.2">
      <c r="C27" s="975" t="str">
        <f>C4</f>
        <v>janvier</v>
      </c>
      <c r="D27" s="975" t="str">
        <f t="shared" si="1"/>
        <v>février</v>
      </c>
      <c r="E27" s="975" t="str">
        <f t="shared" si="1"/>
        <v>mars</v>
      </c>
      <c r="F27" s="975" t="str">
        <f t="shared" si="1"/>
        <v>avril</v>
      </c>
      <c r="G27" s="975" t="str">
        <f t="shared" si="1"/>
        <v>mai</v>
      </c>
      <c r="H27" s="975" t="str">
        <f t="shared" si="1"/>
        <v>juin</v>
      </c>
      <c r="I27" s="975" t="str">
        <f t="shared" si="1"/>
        <v>juillet</v>
      </c>
      <c r="J27" s="975" t="str">
        <f t="shared" si="1"/>
        <v>août</v>
      </c>
      <c r="K27" s="975" t="str">
        <f t="shared" si="1"/>
        <v>septembre</v>
      </c>
      <c r="L27" s="975" t="str">
        <f t="shared" si="1"/>
        <v>octobre</v>
      </c>
      <c r="M27" s="975" t="str">
        <f t="shared" si="1"/>
        <v>novembre</v>
      </c>
      <c r="N27" s="975" t="str">
        <f t="shared" si="1"/>
        <v>décembre</v>
      </c>
      <c r="O27" s="975" t="str">
        <f t="shared" si="1"/>
        <v>janvier</v>
      </c>
      <c r="P27" s="975" t="str">
        <f t="shared" si="1"/>
        <v>février</v>
      </c>
      <c r="Q27" s="975" t="str">
        <f t="shared" si="1"/>
        <v>mars</v>
      </c>
      <c r="R27" s="975" t="str">
        <f t="shared" si="1"/>
        <v>avril</v>
      </c>
      <c r="S27" s="975" t="str">
        <f t="shared" si="1"/>
        <v>mai</v>
      </c>
      <c r="T27" s="975" t="str">
        <f t="shared" si="1"/>
        <v>juin</v>
      </c>
      <c r="U27" s="975" t="str">
        <f t="shared" si="1"/>
        <v>juillet</v>
      </c>
      <c r="V27" s="975" t="str">
        <f t="shared" si="1"/>
        <v>août</v>
      </c>
      <c r="W27" s="975" t="str">
        <f t="shared" si="1"/>
        <v>septembre</v>
      </c>
      <c r="X27" s="975" t="str">
        <f t="shared" si="1"/>
        <v>octobre</v>
      </c>
      <c r="Y27" s="975" t="str">
        <f t="shared" si="1"/>
        <v>novembre</v>
      </c>
      <c r="Z27" s="975" t="str">
        <f t="shared" si="1"/>
        <v>décembre</v>
      </c>
      <c r="AA27" s="975" t="str">
        <f t="shared" si="1"/>
        <v>janvier</v>
      </c>
      <c r="AB27" s="975" t="str">
        <f t="shared" si="1"/>
        <v>février</v>
      </c>
      <c r="AC27" s="975" t="str">
        <f t="shared" si="1"/>
        <v>mars</v>
      </c>
      <c r="AD27" s="975" t="str">
        <f t="shared" si="1"/>
        <v>avril</v>
      </c>
      <c r="AE27" s="975" t="str">
        <f t="shared" si="1"/>
        <v>mai</v>
      </c>
      <c r="AF27" s="975" t="str">
        <f t="shared" si="1"/>
        <v>juin</v>
      </c>
      <c r="AG27" s="975" t="str">
        <f t="shared" si="1"/>
        <v>juillet</v>
      </c>
      <c r="AH27" s="975" t="str">
        <f t="shared" si="1"/>
        <v>août</v>
      </c>
      <c r="AI27" s="975" t="str">
        <f t="shared" si="1"/>
        <v>septembre</v>
      </c>
      <c r="AJ27" s="975" t="str">
        <f t="shared" si="1"/>
        <v>octobre</v>
      </c>
      <c r="AK27" s="975" t="str">
        <f t="shared" si="1"/>
        <v>novembre</v>
      </c>
      <c r="AL27" s="975" t="str">
        <f t="shared" si="1"/>
        <v>décembre</v>
      </c>
      <c r="AM27" s="975" t="str">
        <f t="shared" si="1"/>
        <v>janvier</v>
      </c>
      <c r="AN27" s="975" t="str">
        <f t="shared" si="1"/>
        <v>février</v>
      </c>
      <c r="AO27" s="975" t="str">
        <f t="shared" si="1"/>
        <v>mars</v>
      </c>
      <c r="AP27" s="975" t="str">
        <f t="shared" si="1"/>
        <v>avril</v>
      </c>
      <c r="AQ27" s="975" t="str">
        <f t="shared" si="1"/>
        <v>mai</v>
      </c>
      <c r="AR27" s="975" t="str">
        <f t="shared" si="1"/>
        <v>juin</v>
      </c>
      <c r="AS27" s="975" t="str">
        <f t="shared" si="1"/>
        <v>juillet</v>
      </c>
      <c r="AT27" s="975" t="str">
        <f t="shared" si="1"/>
        <v>août</v>
      </c>
      <c r="AU27" s="975" t="str">
        <f t="shared" si="1"/>
        <v>septembre</v>
      </c>
      <c r="AV27" s="975" t="str">
        <f t="shared" si="1"/>
        <v>octobre</v>
      </c>
      <c r="AW27" s="975" t="str">
        <f t="shared" si="1"/>
        <v>novembre</v>
      </c>
      <c r="AX27" s="975" t="str">
        <f t="shared" si="1"/>
        <v>décembre</v>
      </c>
      <c r="AY27" s="975" t="str">
        <f t="shared" si="1"/>
        <v>janvier</v>
      </c>
      <c r="AZ27" s="975" t="str">
        <f t="shared" si="1"/>
        <v>février</v>
      </c>
      <c r="BA27" s="975" t="str">
        <f t="shared" si="1"/>
        <v>mars</v>
      </c>
      <c r="BB27" s="975" t="str">
        <f t="shared" si="1"/>
        <v>avril</v>
      </c>
      <c r="BC27" s="975" t="str">
        <f t="shared" si="1"/>
        <v>mai</v>
      </c>
      <c r="BD27" s="975" t="str">
        <f t="shared" si="1"/>
        <v>juin</v>
      </c>
      <c r="BE27" s="975" t="str">
        <f t="shared" si="1"/>
        <v>juillet</v>
      </c>
      <c r="BF27" s="975" t="str">
        <f t="shared" si="1"/>
        <v>août</v>
      </c>
      <c r="BG27" s="975" t="str">
        <f t="shared" si="1"/>
        <v>septembre</v>
      </c>
      <c r="BH27" s="975" t="str">
        <f t="shared" si="1"/>
        <v>octobre</v>
      </c>
      <c r="BI27" s="975" t="str">
        <f t="shared" si="1"/>
        <v>novembre</v>
      </c>
      <c r="BJ27" s="975" t="str">
        <f t="shared" si="1"/>
        <v>décembre</v>
      </c>
      <c r="BK27" s="975" t="str">
        <f t="shared" si="1"/>
        <v>janvier</v>
      </c>
      <c r="BL27" s="975" t="str">
        <f t="shared" si="1"/>
        <v>février</v>
      </c>
      <c r="BM27" s="975" t="str">
        <f t="shared" si="1"/>
        <v>mars</v>
      </c>
      <c r="BN27" s="975" t="str">
        <f t="shared" si="1"/>
        <v>avril</v>
      </c>
      <c r="BO27" s="975" t="str">
        <f t="shared" si="1"/>
        <v>mai</v>
      </c>
      <c r="BP27" s="975" t="str">
        <f t="shared" si="2"/>
        <v>juin</v>
      </c>
      <c r="BQ27" s="975" t="str">
        <f t="shared" si="2"/>
        <v>juillet</v>
      </c>
      <c r="BR27" s="975" t="str">
        <f t="shared" si="2"/>
        <v>août</v>
      </c>
      <c r="BS27" s="975" t="str">
        <f t="shared" si="2"/>
        <v>septembre</v>
      </c>
      <c r="BT27" s="975" t="str">
        <f t="shared" si="2"/>
        <v>octobre</v>
      </c>
      <c r="BU27" s="975" t="str">
        <f t="shared" si="2"/>
        <v>novembre</v>
      </c>
      <c r="BV27" s="975" t="str">
        <f t="shared" si="2"/>
        <v>décembre</v>
      </c>
      <c r="BW27" s="975" t="str">
        <f t="shared" si="2"/>
        <v>janvier</v>
      </c>
      <c r="BX27" s="975" t="str">
        <f t="shared" si="2"/>
        <v>février</v>
      </c>
      <c r="BY27" s="975" t="str">
        <f t="shared" si="2"/>
        <v>mars</v>
      </c>
      <c r="BZ27" s="975" t="str">
        <f t="shared" si="2"/>
        <v>avril</v>
      </c>
      <c r="CA27" s="975" t="str">
        <f t="shared" si="2"/>
        <v>mai</v>
      </c>
      <c r="CB27" s="975" t="str">
        <f t="shared" si="2"/>
        <v>juin</v>
      </c>
      <c r="CC27" s="975" t="str">
        <f t="shared" si="2"/>
        <v>juillet</v>
      </c>
      <c r="CD27" s="975" t="str">
        <f t="shared" si="2"/>
        <v>août</v>
      </c>
      <c r="CE27" s="975" t="str">
        <f t="shared" si="2"/>
        <v>septembre</v>
      </c>
      <c r="CF27" s="975" t="str">
        <f t="shared" si="2"/>
        <v>octobre</v>
      </c>
      <c r="CG27" s="975" t="str">
        <f t="shared" si="2"/>
        <v>novembre</v>
      </c>
      <c r="CH27" s="975" t="str">
        <f t="shared" si="2"/>
        <v>décembre</v>
      </c>
      <c r="CI27" s="975" t="str">
        <f t="shared" si="2"/>
        <v>janvier</v>
      </c>
      <c r="CJ27" s="975" t="str">
        <f t="shared" si="2"/>
        <v>février</v>
      </c>
      <c r="CK27" s="975" t="str">
        <f t="shared" si="2"/>
        <v>mars</v>
      </c>
      <c r="CL27" s="975" t="str">
        <f t="shared" si="2"/>
        <v>avril</v>
      </c>
      <c r="CM27" s="975" t="str">
        <f t="shared" si="2"/>
        <v>mai</v>
      </c>
      <c r="CN27" s="975" t="str">
        <f t="shared" si="2"/>
        <v>juin</v>
      </c>
      <c r="CO27" s="975" t="str">
        <f t="shared" si="2"/>
        <v>juillet</v>
      </c>
      <c r="CP27" s="975" t="str">
        <f t="shared" si="2"/>
        <v>août</v>
      </c>
      <c r="CQ27" s="975" t="str">
        <f t="shared" si="2"/>
        <v>septembre</v>
      </c>
      <c r="CR27" s="975" t="str">
        <f t="shared" si="2"/>
        <v>octobre</v>
      </c>
      <c r="CS27" s="975" t="str">
        <f t="shared" si="2"/>
        <v>novembre</v>
      </c>
      <c r="CT27" s="975" t="str">
        <f t="shared" si="2"/>
        <v>décembre</v>
      </c>
      <c r="CU27" s="975" t="str">
        <f t="shared" si="2"/>
        <v>janvier</v>
      </c>
      <c r="CV27" s="975" t="str">
        <f t="shared" si="2"/>
        <v>février</v>
      </c>
      <c r="CW27" s="975" t="str">
        <f t="shared" si="2"/>
        <v>mars</v>
      </c>
      <c r="CX27" s="975" t="str">
        <f t="shared" si="2"/>
        <v>avril</v>
      </c>
      <c r="CY27" s="975" t="str">
        <f t="shared" si="2"/>
        <v>mai</v>
      </c>
      <c r="CZ27" s="975" t="str">
        <f t="shared" si="2"/>
        <v>juin</v>
      </c>
      <c r="DA27" s="975" t="str">
        <f t="shared" si="2"/>
        <v>juillet</v>
      </c>
      <c r="DB27" s="975" t="str">
        <f t="shared" si="2"/>
        <v>août</v>
      </c>
      <c r="DC27" s="975" t="str">
        <f t="shared" si="2"/>
        <v>septembre</v>
      </c>
      <c r="DD27" s="975" t="str">
        <f t="shared" si="2"/>
        <v>octobre</v>
      </c>
      <c r="DE27" s="975" t="str">
        <f t="shared" si="2"/>
        <v>novembre</v>
      </c>
      <c r="DF27" s="975" t="str">
        <f t="shared" si="2"/>
        <v>décembre</v>
      </c>
    </row>
    <row r="28" spans="1:111" x14ac:dyDescent="0.2">
      <c r="C28" s="975">
        <f>C5</f>
        <v>2015</v>
      </c>
      <c r="D28" s="975">
        <f t="shared" si="1"/>
        <v>2015</v>
      </c>
      <c r="E28" s="975">
        <f t="shared" si="1"/>
        <v>2015</v>
      </c>
      <c r="F28" s="975">
        <f t="shared" si="1"/>
        <v>2015</v>
      </c>
      <c r="G28" s="975">
        <f t="shared" si="1"/>
        <v>2015</v>
      </c>
      <c r="H28" s="975">
        <f t="shared" si="1"/>
        <v>2015</v>
      </c>
      <c r="I28" s="975">
        <f t="shared" si="1"/>
        <v>2015</v>
      </c>
      <c r="J28" s="975">
        <f t="shared" si="1"/>
        <v>2015</v>
      </c>
      <c r="K28" s="975">
        <f t="shared" si="1"/>
        <v>2015</v>
      </c>
      <c r="L28" s="975">
        <f t="shared" si="1"/>
        <v>2015</v>
      </c>
      <c r="M28" s="975">
        <f t="shared" si="1"/>
        <v>2015</v>
      </c>
      <c r="N28" s="975">
        <f t="shared" si="1"/>
        <v>2015</v>
      </c>
      <c r="O28" s="975">
        <f t="shared" si="1"/>
        <v>2016</v>
      </c>
      <c r="P28" s="975">
        <f t="shared" si="1"/>
        <v>2016</v>
      </c>
      <c r="Q28" s="975">
        <f t="shared" si="1"/>
        <v>2016</v>
      </c>
      <c r="R28" s="975">
        <f t="shared" si="1"/>
        <v>2016</v>
      </c>
      <c r="S28" s="975">
        <f t="shared" si="1"/>
        <v>2016</v>
      </c>
      <c r="T28" s="975">
        <f t="shared" si="1"/>
        <v>2016</v>
      </c>
      <c r="U28" s="975">
        <f t="shared" si="1"/>
        <v>2016</v>
      </c>
      <c r="V28" s="975">
        <f t="shared" si="1"/>
        <v>2016</v>
      </c>
      <c r="W28" s="975">
        <f t="shared" si="1"/>
        <v>2016</v>
      </c>
      <c r="X28" s="975">
        <f t="shared" si="1"/>
        <v>2016</v>
      </c>
      <c r="Y28" s="975">
        <f t="shared" si="1"/>
        <v>2016</v>
      </c>
      <c r="Z28" s="975">
        <f t="shared" si="1"/>
        <v>2016</v>
      </c>
      <c r="AA28" s="975">
        <f t="shared" si="1"/>
        <v>2017</v>
      </c>
      <c r="AB28" s="975">
        <f t="shared" si="1"/>
        <v>2017</v>
      </c>
      <c r="AC28" s="975">
        <f t="shared" si="1"/>
        <v>2017</v>
      </c>
      <c r="AD28" s="975">
        <f t="shared" si="1"/>
        <v>2017</v>
      </c>
      <c r="AE28" s="975">
        <f t="shared" si="1"/>
        <v>2017</v>
      </c>
      <c r="AF28" s="975">
        <f t="shared" si="1"/>
        <v>2017</v>
      </c>
      <c r="AG28" s="975">
        <f t="shared" si="1"/>
        <v>2017</v>
      </c>
      <c r="AH28" s="975">
        <f t="shared" si="1"/>
        <v>2017</v>
      </c>
      <c r="AI28" s="975">
        <f t="shared" si="1"/>
        <v>2017</v>
      </c>
      <c r="AJ28" s="975">
        <f t="shared" si="1"/>
        <v>2017</v>
      </c>
      <c r="AK28" s="975">
        <f t="shared" si="1"/>
        <v>2017</v>
      </c>
      <c r="AL28" s="975">
        <f t="shared" si="1"/>
        <v>2017</v>
      </c>
      <c r="AM28" s="975">
        <f t="shared" si="1"/>
        <v>2018</v>
      </c>
      <c r="AN28" s="975">
        <f t="shared" si="1"/>
        <v>2018</v>
      </c>
      <c r="AO28" s="975">
        <f t="shared" si="1"/>
        <v>2018</v>
      </c>
      <c r="AP28" s="975">
        <f t="shared" si="1"/>
        <v>2018</v>
      </c>
      <c r="AQ28" s="975">
        <f t="shared" si="1"/>
        <v>2018</v>
      </c>
      <c r="AR28" s="975">
        <f t="shared" si="1"/>
        <v>2018</v>
      </c>
      <c r="AS28" s="975">
        <f t="shared" si="1"/>
        <v>2018</v>
      </c>
      <c r="AT28" s="975">
        <f t="shared" si="1"/>
        <v>2018</v>
      </c>
      <c r="AU28" s="975">
        <f t="shared" si="1"/>
        <v>2018</v>
      </c>
      <c r="AV28" s="975">
        <f t="shared" si="1"/>
        <v>2018</v>
      </c>
      <c r="AW28" s="975">
        <f t="shared" si="1"/>
        <v>2018</v>
      </c>
      <c r="AX28" s="975">
        <f t="shared" si="1"/>
        <v>2018</v>
      </c>
      <c r="AY28" s="975">
        <f t="shared" si="1"/>
        <v>2019</v>
      </c>
      <c r="AZ28" s="975">
        <f t="shared" si="1"/>
        <v>2019</v>
      </c>
      <c r="BA28" s="975">
        <f t="shared" si="1"/>
        <v>2019</v>
      </c>
      <c r="BB28" s="975">
        <f t="shared" si="1"/>
        <v>2019</v>
      </c>
      <c r="BC28" s="975">
        <f t="shared" si="1"/>
        <v>2019</v>
      </c>
      <c r="BD28" s="975">
        <f t="shared" si="1"/>
        <v>2019</v>
      </c>
      <c r="BE28" s="975">
        <f t="shared" si="1"/>
        <v>2019</v>
      </c>
      <c r="BF28" s="975">
        <f t="shared" si="1"/>
        <v>2019</v>
      </c>
      <c r="BG28" s="975">
        <f t="shared" si="1"/>
        <v>2019</v>
      </c>
      <c r="BH28" s="975">
        <f t="shared" si="1"/>
        <v>2019</v>
      </c>
      <c r="BI28" s="975">
        <f t="shared" si="1"/>
        <v>2019</v>
      </c>
      <c r="BJ28" s="975">
        <f t="shared" si="1"/>
        <v>2019</v>
      </c>
      <c r="BK28" s="975">
        <f t="shared" si="1"/>
        <v>2020</v>
      </c>
      <c r="BL28" s="975">
        <f t="shared" si="1"/>
        <v>2020</v>
      </c>
      <c r="BM28" s="975">
        <f t="shared" si="1"/>
        <v>2020</v>
      </c>
      <c r="BN28" s="975">
        <f t="shared" si="1"/>
        <v>2020</v>
      </c>
      <c r="BO28" s="975">
        <f t="shared" si="1"/>
        <v>2020</v>
      </c>
      <c r="BP28" s="975">
        <f t="shared" si="2"/>
        <v>2020</v>
      </c>
      <c r="BQ28" s="975">
        <f t="shared" si="2"/>
        <v>2020</v>
      </c>
      <c r="BR28" s="975">
        <f t="shared" si="2"/>
        <v>2020</v>
      </c>
      <c r="BS28" s="975">
        <f t="shared" si="2"/>
        <v>2020</v>
      </c>
      <c r="BT28" s="975">
        <f t="shared" si="2"/>
        <v>2020</v>
      </c>
      <c r="BU28" s="975">
        <f t="shared" si="2"/>
        <v>2020</v>
      </c>
      <c r="BV28" s="975">
        <f t="shared" si="2"/>
        <v>2020</v>
      </c>
      <c r="BW28" s="975">
        <f t="shared" si="2"/>
        <v>2021</v>
      </c>
      <c r="BX28" s="975">
        <f t="shared" si="2"/>
        <v>2021</v>
      </c>
      <c r="BY28" s="975">
        <f t="shared" si="2"/>
        <v>2021</v>
      </c>
      <c r="BZ28" s="975">
        <f t="shared" si="2"/>
        <v>2021</v>
      </c>
      <c r="CA28" s="975">
        <f t="shared" si="2"/>
        <v>2021</v>
      </c>
      <c r="CB28" s="975">
        <f t="shared" si="2"/>
        <v>2021</v>
      </c>
      <c r="CC28" s="975">
        <f t="shared" si="2"/>
        <v>2021</v>
      </c>
      <c r="CD28" s="975">
        <f t="shared" si="2"/>
        <v>2021</v>
      </c>
      <c r="CE28" s="975">
        <f t="shared" si="2"/>
        <v>2021</v>
      </c>
      <c r="CF28" s="975">
        <f t="shared" si="2"/>
        <v>2021</v>
      </c>
      <c r="CG28" s="975">
        <f t="shared" si="2"/>
        <v>2021</v>
      </c>
      <c r="CH28" s="975">
        <f t="shared" si="2"/>
        <v>2021</v>
      </c>
      <c r="CI28" s="975">
        <f t="shared" si="2"/>
        <v>2022</v>
      </c>
      <c r="CJ28" s="975">
        <f t="shared" si="2"/>
        <v>2022</v>
      </c>
      <c r="CK28" s="975">
        <f t="shared" si="2"/>
        <v>2022</v>
      </c>
      <c r="CL28" s="975">
        <f t="shared" si="2"/>
        <v>2022</v>
      </c>
      <c r="CM28" s="975">
        <f t="shared" si="2"/>
        <v>2022</v>
      </c>
      <c r="CN28" s="975">
        <f t="shared" si="2"/>
        <v>2022</v>
      </c>
      <c r="CO28" s="975">
        <f t="shared" si="2"/>
        <v>2022</v>
      </c>
      <c r="CP28" s="975">
        <f t="shared" si="2"/>
        <v>2022</v>
      </c>
      <c r="CQ28" s="975">
        <f t="shared" si="2"/>
        <v>2022</v>
      </c>
      <c r="CR28" s="975">
        <f t="shared" si="2"/>
        <v>2022</v>
      </c>
      <c r="CS28" s="975">
        <f t="shared" si="2"/>
        <v>2022</v>
      </c>
      <c r="CT28" s="975">
        <f t="shared" si="2"/>
        <v>2022</v>
      </c>
      <c r="CU28" s="975">
        <f t="shared" si="2"/>
        <v>2023</v>
      </c>
      <c r="CV28" s="975">
        <f t="shared" si="2"/>
        <v>2023</v>
      </c>
      <c r="CW28" s="975">
        <f t="shared" si="2"/>
        <v>2023</v>
      </c>
      <c r="CX28" s="975">
        <f t="shared" si="2"/>
        <v>2023</v>
      </c>
      <c r="CY28" s="975">
        <f t="shared" si="2"/>
        <v>2023</v>
      </c>
      <c r="CZ28" s="975">
        <f t="shared" si="2"/>
        <v>2023</v>
      </c>
      <c r="DA28" s="975">
        <f t="shared" si="2"/>
        <v>2023</v>
      </c>
      <c r="DB28" s="975">
        <f t="shared" si="2"/>
        <v>2023</v>
      </c>
      <c r="DC28" s="975">
        <f t="shared" si="2"/>
        <v>2023</v>
      </c>
      <c r="DD28" s="975">
        <f t="shared" si="2"/>
        <v>2023</v>
      </c>
      <c r="DE28" s="975">
        <f t="shared" si="2"/>
        <v>2023</v>
      </c>
      <c r="DF28" s="975">
        <f t="shared" si="2"/>
        <v>2023</v>
      </c>
    </row>
    <row r="29" spans="1:111" x14ac:dyDescent="0.2">
      <c r="A29" s="15" t="str">
        <f>A6</f>
        <v>Four PAMCHR :</v>
      </c>
      <c r="B29" s="16">
        <f>B6</f>
        <v>18.3</v>
      </c>
      <c r="C29" s="16">
        <f>IF(C6="",0,$B6*C6)</f>
        <v>2.7450000000000001</v>
      </c>
      <c r="D29" s="16">
        <f t="shared" ref="D29:BO33" si="3">IF(D6="",0,$B6*D6)</f>
        <v>0</v>
      </c>
      <c r="E29" s="16">
        <f t="shared" si="3"/>
        <v>1.83</v>
      </c>
      <c r="F29" s="16">
        <f t="shared" si="3"/>
        <v>0</v>
      </c>
      <c r="G29" s="16">
        <f t="shared" si="3"/>
        <v>0</v>
      </c>
      <c r="H29" s="16">
        <f t="shared" si="3"/>
        <v>0</v>
      </c>
      <c r="I29" s="16">
        <f t="shared" si="3"/>
        <v>0</v>
      </c>
      <c r="J29" s="16">
        <f t="shared" si="3"/>
        <v>0</v>
      </c>
      <c r="K29" s="16">
        <f t="shared" si="3"/>
        <v>0</v>
      </c>
      <c r="L29" s="16">
        <f t="shared" si="3"/>
        <v>0</v>
      </c>
      <c r="M29" s="16">
        <f t="shared" si="3"/>
        <v>0</v>
      </c>
      <c r="N29" s="16">
        <f t="shared" si="3"/>
        <v>0</v>
      </c>
      <c r="O29" s="16">
        <f t="shared" si="3"/>
        <v>0</v>
      </c>
      <c r="P29" s="16">
        <f t="shared" si="3"/>
        <v>3.66</v>
      </c>
      <c r="Q29" s="16">
        <f t="shared" si="3"/>
        <v>0</v>
      </c>
      <c r="R29" s="16">
        <f t="shared" si="3"/>
        <v>0</v>
      </c>
      <c r="S29" s="16">
        <f t="shared" si="3"/>
        <v>0</v>
      </c>
      <c r="T29" s="16">
        <f t="shared" si="3"/>
        <v>3.66</v>
      </c>
      <c r="U29" s="16">
        <f t="shared" si="3"/>
        <v>0</v>
      </c>
      <c r="V29" s="16">
        <f t="shared" si="3"/>
        <v>0</v>
      </c>
      <c r="W29" s="16">
        <f t="shared" si="3"/>
        <v>0</v>
      </c>
      <c r="X29" s="16">
        <f t="shared" si="3"/>
        <v>0</v>
      </c>
      <c r="Y29" s="16">
        <f t="shared" si="3"/>
        <v>0</v>
      </c>
      <c r="Z29" s="16">
        <f t="shared" si="3"/>
        <v>0</v>
      </c>
      <c r="AA29" s="16">
        <f t="shared" si="3"/>
        <v>0</v>
      </c>
      <c r="AB29" s="16">
        <f t="shared" si="3"/>
        <v>3.66</v>
      </c>
      <c r="AC29" s="16">
        <f t="shared" si="3"/>
        <v>0</v>
      </c>
      <c r="AD29" s="16">
        <f t="shared" si="3"/>
        <v>0</v>
      </c>
      <c r="AE29" s="16">
        <f t="shared" si="3"/>
        <v>1.83</v>
      </c>
      <c r="AF29" s="16">
        <f t="shared" si="3"/>
        <v>0</v>
      </c>
      <c r="AG29" s="16">
        <f t="shared" si="3"/>
        <v>0</v>
      </c>
      <c r="AH29" s="16">
        <f t="shared" si="3"/>
        <v>0</v>
      </c>
      <c r="AI29" s="16">
        <f t="shared" si="3"/>
        <v>0</v>
      </c>
      <c r="AJ29" s="16">
        <f t="shared" si="3"/>
        <v>0</v>
      </c>
      <c r="AK29" s="16">
        <f t="shared" si="3"/>
        <v>0</v>
      </c>
      <c r="AL29" s="16">
        <f t="shared" si="3"/>
        <v>0</v>
      </c>
      <c r="AM29" s="16">
        <f t="shared" si="3"/>
        <v>0</v>
      </c>
      <c r="AN29" s="16">
        <f t="shared" si="3"/>
        <v>0</v>
      </c>
      <c r="AO29" s="16">
        <f t="shared" si="3"/>
        <v>0</v>
      </c>
      <c r="AP29" s="16">
        <f t="shared" si="3"/>
        <v>0</v>
      </c>
      <c r="AQ29" s="16">
        <f t="shared" si="3"/>
        <v>0.91500000000000004</v>
      </c>
      <c r="AR29" s="16">
        <f t="shared" si="3"/>
        <v>0</v>
      </c>
      <c r="AS29" s="16">
        <f t="shared" si="3"/>
        <v>0</v>
      </c>
      <c r="AT29" s="16">
        <f t="shared" si="3"/>
        <v>0</v>
      </c>
      <c r="AU29" s="16">
        <f t="shared" si="3"/>
        <v>0</v>
      </c>
      <c r="AV29" s="16">
        <f t="shared" si="3"/>
        <v>0</v>
      </c>
      <c r="AW29" s="16">
        <f t="shared" si="3"/>
        <v>0</v>
      </c>
      <c r="AX29" s="16">
        <f t="shared" si="3"/>
        <v>0</v>
      </c>
      <c r="AY29" s="16">
        <f t="shared" si="3"/>
        <v>0</v>
      </c>
      <c r="AZ29" s="16">
        <f t="shared" si="3"/>
        <v>0</v>
      </c>
      <c r="BA29" s="16">
        <f t="shared" si="3"/>
        <v>0</v>
      </c>
      <c r="BB29" s="16">
        <f t="shared" si="3"/>
        <v>0</v>
      </c>
      <c r="BC29" s="16">
        <f t="shared" si="3"/>
        <v>0</v>
      </c>
      <c r="BD29" s="16">
        <f t="shared" si="3"/>
        <v>0</v>
      </c>
      <c r="BE29" s="16">
        <f t="shared" si="3"/>
        <v>0</v>
      </c>
      <c r="BF29" s="16">
        <f t="shared" si="3"/>
        <v>0</v>
      </c>
      <c r="BG29" s="16">
        <f t="shared" si="3"/>
        <v>0</v>
      </c>
      <c r="BH29" s="16">
        <f t="shared" si="3"/>
        <v>0</v>
      </c>
      <c r="BI29" s="16">
        <f t="shared" si="3"/>
        <v>0</v>
      </c>
      <c r="BJ29" s="16">
        <f t="shared" si="3"/>
        <v>0</v>
      </c>
      <c r="BK29" s="16">
        <f t="shared" si="3"/>
        <v>0</v>
      </c>
      <c r="BL29" s="16">
        <f t="shared" si="3"/>
        <v>0</v>
      </c>
      <c r="BM29" s="16">
        <f t="shared" si="3"/>
        <v>0</v>
      </c>
      <c r="BN29" s="16">
        <f t="shared" si="3"/>
        <v>0</v>
      </c>
      <c r="BO29" s="16">
        <f t="shared" si="3"/>
        <v>0</v>
      </c>
      <c r="BP29" s="16">
        <f t="shared" ref="BP29:DF35" si="4">IF(BP6="",0,$B6*BP6)</f>
        <v>0</v>
      </c>
      <c r="BQ29" s="16">
        <f t="shared" si="4"/>
        <v>0</v>
      </c>
      <c r="BR29" s="16">
        <f t="shared" si="4"/>
        <v>0</v>
      </c>
      <c r="BS29" s="16">
        <f t="shared" si="4"/>
        <v>0</v>
      </c>
      <c r="BT29" s="16">
        <f t="shared" si="4"/>
        <v>0</v>
      </c>
      <c r="BU29" s="16">
        <f t="shared" si="4"/>
        <v>0</v>
      </c>
      <c r="BV29" s="16">
        <f t="shared" si="4"/>
        <v>0</v>
      </c>
      <c r="BW29" s="16">
        <f t="shared" si="4"/>
        <v>0</v>
      </c>
      <c r="BX29" s="16">
        <f t="shared" si="4"/>
        <v>0</v>
      </c>
      <c r="BY29" s="16">
        <f t="shared" si="4"/>
        <v>0</v>
      </c>
      <c r="BZ29" s="16">
        <f t="shared" si="4"/>
        <v>0</v>
      </c>
      <c r="CA29" s="16">
        <f t="shared" si="4"/>
        <v>0</v>
      </c>
      <c r="CB29" s="16">
        <f t="shared" si="4"/>
        <v>0</v>
      </c>
      <c r="CC29" s="16">
        <f t="shared" si="4"/>
        <v>0</v>
      </c>
      <c r="CD29" s="16">
        <f t="shared" si="4"/>
        <v>0</v>
      </c>
      <c r="CE29" s="16">
        <f t="shared" si="4"/>
        <v>0</v>
      </c>
      <c r="CF29" s="16">
        <f t="shared" si="4"/>
        <v>0</v>
      </c>
      <c r="CG29" s="16">
        <f t="shared" si="4"/>
        <v>0</v>
      </c>
      <c r="CH29" s="16">
        <f t="shared" si="4"/>
        <v>0</v>
      </c>
      <c r="CI29" s="16">
        <f t="shared" si="4"/>
        <v>0</v>
      </c>
      <c r="CJ29" s="16">
        <f t="shared" si="4"/>
        <v>0</v>
      </c>
      <c r="CK29" s="16">
        <f t="shared" si="4"/>
        <v>0</v>
      </c>
      <c r="CL29" s="16">
        <f t="shared" si="4"/>
        <v>0</v>
      </c>
      <c r="CM29" s="16">
        <f t="shared" si="4"/>
        <v>0</v>
      </c>
      <c r="CN29" s="16">
        <f t="shared" si="4"/>
        <v>0</v>
      </c>
      <c r="CO29" s="16">
        <f t="shared" si="4"/>
        <v>0</v>
      </c>
      <c r="CP29" s="16">
        <f t="shared" si="4"/>
        <v>0</v>
      </c>
      <c r="CQ29" s="16">
        <f t="shared" si="4"/>
        <v>0</v>
      </c>
      <c r="CR29" s="16">
        <f t="shared" si="4"/>
        <v>0</v>
      </c>
      <c r="CS29" s="16">
        <f t="shared" si="4"/>
        <v>0</v>
      </c>
      <c r="CT29" s="16">
        <f t="shared" si="4"/>
        <v>0</v>
      </c>
      <c r="CU29" s="16">
        <f t="shared" si="4"/>
        <v>0</v>
      </c>
      <c r="CV29" s="16">
        <f t="shared" si="4"/>
        <v>0</v>
      </c>
      <c r="CW29" s="16">
        <f t="shared" si="4"/>
        <v>0</v>
      </c>
      <c r="CX29" s="16">
        <f t="shared" si="4"/>
        <v>0</v>
      </c>
      <c r="CY29" s="16">
        <f t="shared" si="4"/>
        <v>0</v>
      </c>
      <c r="CZ29" s="16">
        <f t="shared" si="4"/>
        <v>0</v>
      </c>
      <c r="DA29" s="16">
        <f t="shared" si="4"/>
        <v>0</v>
      </c>
      <c r="DB29" s="16">
        <f t="shared" si="4"/>
        <v>0</v>
      </c>
      <c r="DC29" s="16">
        <f t="shared" si="4"/>
        <v>0</v>
      </c>
      <c r="DD29" s="16">
        <f t="shared" si="4"/>
        <v>0</v>
      </c>
      <c r="DE29" s="16">
        <f t="shared" si="4"/>
        <v>0</v>
      </c>
      <c r="DF29" s="16">
        <f t="shared" si="4"/>
        <v>0</v>
      </c>
      <c r="DG29" s="23">
        <f t="shared" ref="DG29:DG46" si="5">SUM(C29:DF29)</f>
        <v>18.299999999999997</v>
      </c>
    </row>
    <row r="30" spans="1:111" x14ac:dyDescent="0.2">
      <c r="A30" s="15" t="str">
        <f t="shared" ref="A30:B45" si="6">A7</f>
        <v>Annexe four : outillage</v>
      </c>
      <c r="B30" s="16">
        <f t="shared" si="6"/>
        <v>0.4</v>
      </c>
      <c r="C30" s="16">
        <f t="shared" ref="C30:R45" si="7">IF(C7="",0,$B7*C7)</f>
        <v>0</v>
      </c>
      <c r="D30" s="16">
        <f t="shared" si="7"/>
        <v>0</v>
      </c>
      <c r="E30" s="16">
        <f t="shared" si="7"/>
        <v>0</v>
      </c>
      <c r="F30" s="16">
        <f t="shared" si="7"/>
        <v>0</v>
      </c>
      <c r="G30" s="16">
        <f t="shared" si="7"/>
        <v>0</v>
      </c>
      <c r="H30" s="16">
        <f t="shared" si="7"/>
        <v>0</v>
      </c>
      <c r="I30" s="16">
        <f t="shared" si="7"/>
        <v>0</v>
      </c>
      <c r="J30" s="16">
        <f t="shared" si="7"/>
        <v>0</v>
      </c>
      <c r="K30" s="16">
        <f t="shared" si="7"/>
        <v>0</v>
      </c>
      <c r="L30" s="16">
        <f t="shared" si="7"/>
        <v>0</v>
      </c>
      <c r="M30" s="16">
        <f t="shared" si="7"/>
        <v>0</v>
      </c>
      <c r="N30" s="16">
        <f t="shared" si="7"/>
        <v>0</v>
      </c>
      <c r="O30" s="16">
        <f t="shared" si="7"/>
        <v>0</v>
      </c>
      <c r="P30" s="16">
        <f t="shared" si="7"/>
        <v>0</v>
      </c>
      <c r="Q30" s="16">
        <f t="shared" si="7"/>
        <v>0</v>
      </c>
      <c r="R30" s="16">
        <f t="shared" si="7"/>
        <v>0.06</v>
      </c>
      <c r="S30" s="16">
        <f t="shared" si="3"/>
        <v>0</v>
      </c>
      <c r="T30" s="16">
        <f t="shared" si="3"/>
        <v>2.0000000000000004E-2</v>
      </c>
      <c r="U30" s="16">
        <f t="shared" si="3"/>
        <v>0</v>
      </c>
      <c r="V30" s="16">
        <f t="shared" si="3"/>
        <v>0</v>
      </c>
      <c r="W30" s="16">
        <f t="shared" si="3"/>
        <v>0</v>
      </c>
      <c r="X30" s="16">
        <f t="shared" si="3"/>
        <v>0.06</v>
      </c>
      <c r="Y30" s="16">
        <f t="shared" si="3"/>
        <v>0</v>
      </c>
      <c r="Z30" s="16">
        <f t="shared" si="3"/>
        <v>8.0000000000000016E-2</v>
      </c>
      <c r="AA30" s="16">
        <f t="shared" si="3"/>
        <v>0.1</v>
      </c>
      <c r="AB30" s="16">
        <f t="shared" si="3"/>
        <v>0</v>
      </c>
      <c r="AC30" s="16">
        <f t="shared" si="3"/>
        <v>0.06</v>
      </c>
      <c r="AD30" s="16">
        <f t="shared" si="3"/>
        <v>0</v>
      </c>
      <c r="AE30" s="16">
        <f t="shared" si="3"/>
        <v>0</v>
      </c>
      <c r="AF30" s="16">
        <f t="shared" si="3"/>
        <v>0</v>
      </c>
      <c r="AG30" s="16">
        <f t="shared" si="3"/>
        <v>0</v>
      </c>
      <c r="AH30" s="16">
        <f t="shared" si="3"/>
        <v>0</v>
      </c>
      <c r="AI30" s="16">
        <f t="shared" si="3"/>
        <v>0</v>
      </c>
      <c r="AJ30" s="16">
        <f t="shared" si="3"/>
        <v>0</v>
      </c>
      <c r="AK30" s="16">
        <f t="shared" si="3"/>
        <v>0</v>
      </c>
      <c r="AL30" s="16">
        <f t="shared" si="3"/>
        <v>0</v>
      </c>
      <c r="AM30" s="16">
        <f t="shared" si="3"/>
        <v>0</v>
      </c>
      <c r="AN30" s="16">
        <f t="shared" si="3"/>
        <v>0</v>
      </c>
      <c r="AO30" s="16">
        <f t="shared" si="3"/>
        <v>2.0000000000000004E-2</v>
      </c>
      <c r="AP30" s="16">
        <f t="shared" si="3"/>
        <v>0</v>
      </c>
      <c r="AQ30" s="16">
        <f t="shared" si="3"/>
        <v>0</v>
      </c>
      <c r="AR30" s="16">
        <f t="shared" si="3"/>
        <v>0</v>
      </c>
      <c r="AS30" s="16">
        <f t="shared" si="3"/>
        <v>0</v>
      </c>
      <c r="AT30" s="16">
        <f t="shared" si="3"/>
        <v>0</v>
      </c>
      <c r="AU30" s="16">
        <f t="shared" si="3"/>
        <v>0</v>
      </c>
      <c r="AV30" s="16">
        <f t="shared" si="3"/>
        <v>0</v>
      </c>
      <c r="AW30" s="16">
        <f t="shared" si="3"/>
        <v>0</v>
      </c>
      <c r="AX30" s="16">
        <f t="shared" si="3"/>
        <v>0</v>
      </c>
      <c r="AY30" s="16">
        <f t="shared" si="3"/>
        <v>0</v>
      </c>
      <c r="AZ30" s="16">
        <f t="shared" si="3"/>
        <v>0</v>
      </c>
      <c r="BA30" s="16">
        <f t="shared" si="3"/>
        <v>0</v>
      </c>
      <c r="BB30" s="16">
        <f t="shared" si="3"/>
        <v>0</v>
      </c>
      <c r="BC30" s="16">
        <f t="shared" si="3"/>
        <v>0</v>
      </c>
      <c r="BD30" s="16">
        <f t="shared" si="3"/>
        <v>0</v>
      </c>
      <c r="BE30" s="16">
        <f t="shared" si="3"/>
        <v>0</v>
      </c>
      <c r="BF30" s="16">
        <f t="shared" si="3"/>
        <v>0</v>
      </c>
      <c r="BG30" s="16">
        <f t="shared" si="3"/>
        <v>0</v>
      </c>
      <c r="BH30" s="16">
        <f t="shared" si="3"/>
        <v>0</v>
      </c>
      <c r="BI30" s="16">
        <f t="shared" si="3"/>
        <v>0</v>
      </c>
      <c r="BJ30" s="16">
        <f t="shared" si="3"/>
        <v>0</v>
      </c>
      <c r="BK30" s="16">
        <f t="shared" si="3"/>
        <v>0</v>
      </c>
      <c r="BL30" s="16">
        <f t="shared" si="3"/>
        <v>0</v>
      </c>
      <c r="BM30" s="16">
        <f t="shared" si="3"/>
        <v>0</v>
      </c>
      <c r="BN30" s="16">
        <f t="shared" si="3"/>
        <v>0</v>
      </c>
      <c r="BO30" s="16">
        <f t="shared" si="3"/>
        <v>0</v>
      </c>
      <c r="BP30" s="16">
        <f t="shared" si="4"/>
        <v>0</v>
      </c>
      <c r="BQ30" s="16">
        <f t="shared" si="4"/>
        <v>0</v>
      </c>
      <c r="BR30" s="16">
        <f t="shared" si="4"/>
        <v>0</v>
      </c>
      <c r="BS30" s="16">
        <f t="shared" si="4"/>
        <v>0</v>
      </c>
      <c r="BT30" s="16">
        <f t="shared" si="4"/>
        <v>0</v>
      </c>
      <c r="BU30" s="16">
        <f t="shared" si="4"/>
        <v>0</v>
      </c>
      <c r="BV30" s="16">
        <f t="shared" si="4"/>
        <v>0</v>
      </c>
      <c r="BW30" s="16">
        <f t="shared" si="4"/>
        <v>0</v>
      </c>
      <c r="BX30" s="16">
        <f t="shared" si="4"/>
        <v>0</v>
      </c>
      <c r="BY30" s="16">
        <f t="shared" si="4"/>
        <v>0</v>
      </c>
      <c r="BZ30" s="16">
        <f t="shared" si="4"/>
        <v>0</v>
      </c>
      <c r="CA30" s="16">
        <f t="shared" si="4"/>
        <v>0</v>
      </c>
      <c r="CB30" s="16">
        <f t="shared" si="4"/>
        <v>0</v>
      </c>
      <c r="CC30" s="16">
        <f t="shared" si="4"/>
        <v>0</v>
      </c>
      <c r="CD30" s="16">
        <f t="shared" si="4"/>
        <v>0</v>
      </c>
      <c r="CE30" s="16">
        <f t="shared" si="4"/>
        <v>0</v>
      </c>
      <c r="CF30" s="16">
        <f t="shared" si="4"/>
        <v>0</v>
      </c>
      <c r="CG30" s="16">
        <f t="shared" si="4"/>
        <v>0</v>
      </c>
      <c r="CH30" s="16">
        <f t="shared" si="4"/>
        <v>0</v>
      </c>
      <c r="CI30" s="16">
        <f t="shared" si="4"/>
        <v>0</v>
      </c>
      <c r="CJ30" s="16">
        <f t="shared" si="4"/>
        <v>0</v>
      </c>
      <c r="CK30" s="16">
        <f t="shared" si="4"/>
        <v>0</v>
      </c>
      <c r="CL30" s="16">
        <f t="shared" si="4"/>
        <v>0</v>
      </c>
      <c r="CM30" s="16">
        <f t="shared" si="4"/>
        <v>0</v>
      </c>
      <c r="CN30" s="16">
        <f t="shared" si="4"/>
        <v>0</v>
      </c>
      <c r="CO30" s="16">
        <f t="shared" si="4"/>
        <v>0</v>
      </c>
      <c r="CP30" s="16">
        <f t="shared" si="4"/>
        <v>0</v>
      </c>
      <c r="CQ30" s="16">
        <f t="shared" si="4"/>
        <v>0</v>
      </c>
      <c r="CR30" s="16">
        <f t="shared" si="4"/>
        <v>0</v>
      </c>
      <c r="CS30" s="16">
        <f t="shared" si="4"/>
        <v>0</v>
      </c>
      <c r="CT30" s="16">
        <f t="shared" si="4"/>
        <v>0</v>
      </c>
      <c r="CU30" s="16">
        <f t="shared" si="4"/>
        <v>0</v>
      </c>
      <c r="CV30" s="16">
        <f t="shared" si="4"/>
        <v>0</v>
      </c>
      <c r="CW30" s="16">
        <f t="shared" si="4"/>
        <v>0</v>
      </c>
      <c r="CX30" s="16">
        <f t="shared" si="4"/>
        <v>0</v>
      </c>
      <c r="CY30" s="16">
        <f t="shared" si="4"/>
        <v>0</v>
      </c>
      <c r="CZ30" s="16">
        <f t="shared" si="4"/>
        <v>0</v>
      </c>
      <c r="DA30" s="16">
        <f t="shared" si="4"/>
        <v>0</v>
      </c>
      <c r="DB30" s="16">
        <f t="shared" si="4"/>
        <v>0</v>
      </c>
      <c r="DC30" s="16">
        <f t="shared" si="4"/>
        <v>0</v>
      </c>
      <c r="DD30" s="16">
        <f t="shared" si="4"/>
        <v>0</v>
      </c>
      <c r="DE30" s="16">
        <f t="shared" si="4"/>
        <v>0</v>
      </c>
      <c r="DF30" s="16">
        <f t="shared" si="4"/>
        <v>0</v>
      </c>
      <c r="DG30" s="23">
        <f t="shared" si="5"/>
        <v>0.40000000000000008</v>
      </c>
    </row>
    <row r="31" spans="1:111" x14ac:dyDescent="0.2">
      <c r="A31" s="15" t="str">
        <f t="shared" si="6"/>
        <v>1er Four VAR :</v>
      </c>
      <c r="B31" s="16">
        <f t="shared" si="6"/>
        <v>2.6</v>
      </c>
      <c r="C31" s="16">
        <f t="shared" si="7"/>
        <v>0</v>
      </c>
      <c r="D31" s="16">
        <f t="shared" si="7"/>
        <v>0</v>
      </c>
      <c r="E31" s="16">
        <f t="shared" si="7"/>
        <v>0</v>
      </c>
      <c r="F31" s="16">
        <f t="shared" si="7"/>
        <v>0</v>
      </c>
      <c r="G31" s="16">
        <f t="shared" si="7"/>
        <v>0</v>
      </c>
      <c r="H31" s="16">
        <f t="shared" si="7"/>
        <v>0</v>
      </c>
      <c r="I31" s="16">
        <f t="shared" si="7"/>
        <v>0</v>
      </c>
      <c r="J31" s="16">
        <f t="shared" si="7"/>
        <v>0</v>
      </c>
      <c r="K31" s="16">
        <f t="shared" si="7"/>
        <v>0</v>
      </c>
      <c r="L31" s="16">
        <f t="shared" si="7"/>
        <v>0</v>
      </c>
      <c r="M31" s="16">
        <f t="shared" si="7"/>
        <v>0.39</v>
      </c>
      <c r="N31" s="16">
        <f t="shared" si="7"/>
        <v>0</v>
      </c>
      <c r="O31" s="16">
        <f t="shared" si="7"/>
        <v>0.26</v>
      </c>
      <c r="P31" s="16">
        <f t="shared" si="7"/>
        <v>0</v>
      </c>
      <c r="Q31" s="16">
        <f t="shared" si="7"/>
        <v>0</v>
      </c>
      <c r="R31" s="16">
        <f t="shared" si="7"/>
        <v>0</v>
      </c>
      <c r="S31" s="16">
        <f t="shared" si="3"/>
        <v>0</v>
      </c>
      <c r="T31" s="16">
        <f t="shared" si="3"/>
        <v>0</v>
      </c>
      <c r="U31" s="16">
        <f t="shared" si="3"/>
        <v>0</v>
      </c>
      <c r="V31" s="16">
        <f t="shared" si="3"/>
        <v>0.52</v>
      </c>
      <c r="W31" s="16">
        <f t="shared" si="3"/>
        <v>0</v>
      </c>
      <c r="X31" s="16">
        <f t="shared" si="3"/>
        <v>0.52</v>
      </c>
      <c r="Y31" s="16">
        <f t="shared" si="3"/>
        <v>0</v>
      </c>
      <c r="Z31" s="16">
        <f t="shared" si="3"/>
        <v>0</v>
      </c>
      <c r="AA31" s="16">
        <f t="shared" si="3"/>
        <v>0</v>
      </c>
      <c r="AB31" s="16">
        <f t="shared" si="3"/>
        <v>0</v>
      </c>
      <c r="AC31" s="16">
        <f t="shared" si="3"/>
        <v>0.52</v>
      </c>
      <c r="AD31" s="16">
        <f t="shared" si="3"/>
        <v>0</v>
      </c>
      <c r="AE31" s="16">
        <f t="shared" si="3"/>
        <v>0</v>
      </c>
      <c r="AF31" s="16">
        <f t="shared" si="3"/>
        <v>0.26</v>
      </c>
      <c r="AG31" s="16">
        <f t="shared" si="3"/>
        <v>0</v>
      </c>
      <c r="AH31" s="16">
        <f t="shared" si="3"/>
        <v>0</v>
      </c>
      <c r="AI31" s="16">
        <f t="shared" si="3"/>
        <v>0</v>
      </c>
      <c r="AJ31" s="16">
        <f t="shared" si="3"/>
        <v>0</v>
      </c>
      <c r="AK31" s="16">
        <f t="shared" si="3"/>
        <v>0</v>
      </c>
      <c r="AL31" s="16">
        <f t="shared" si="3"/>
        <v>0</v>
      </c>
      <c r="AM31" s="16">
        <f t="shared" si="3"/>
        <v>0</v>
      </c>
      <c r="AN31" s="16">
        <f t="shared" si="3"/>
        <v>0</v>
      </c>
      <c r="AO31" s="16">
        <f t="shared" si="3"/>
        <v>0</v>
      </c>
      <c r="AP31" s="16">
        <f t="shared" si="3"/>
        <v>0</v>
      </c>
      <c r="AQ31" s="16">
        <f t="shared" si="3"/>
        <v>0</v>
      </c>
      <c r="AR31" s="16">
        <f t="shared" si="3"/>
        <v>0.13</v>
      </c>
      <c r="AS31" s="16">
        <f t="shared" si="3"/>
        <v>0</v>
      </c>
      <c r="AT31" s="16">
        <f t="shared" si="3"/>
        <v>0</v>
      </c>
      <c r="AU31" s="16">
        <f t="shared" si="3"/>
        <v>0</v>
      </c>
      <c r="AV31" s="16">
        <f t="shared" si="3"/>
        <v>0</v>
      </c>
      <c r="AW31" s="16">
        <f t="shared" si="3"/>
        <v>0</v>
      </c>
      <c r="AX31" s="16">
        <f t="shared" si="3"/>
        <v>0</v>
      </c>
      <c r="AY31" s="16">
        <f t="shared" si="3"/>
        <v>0</v>
      </c>
      <c r="AZ31" s="16">
        <f t="shared" si="3"/>
        <v>0</v>
      </c>
      <c r="BA31" s="16">
        <f t="shared" si="3"/>
        <v>0</v>
      </c>
      <c r="BB31" s="16">
        <f t="shared" si="3"/>
        <v>0</v>
      </c>
      <c r="BC31" s="16">
        <f t="shared" si="3"/>
        <v>0</v>
      </c>
      <c r="BD31" s="16">
        <f t="shared" si="3"/>
        <v>0</v>
      </c>
      <c r="BE31" s="16">
        <f t="shared" si="3"/>
        <v>0</v>
      </c>
      <c r="BF31" s="16">
        <f t="shared" si="3"/>
        <v>0</v>
      </c>
      <c r="BG31" s="16">
        <f t="shared" si="3"/>
        <v>0</v>
      </c>
      <c r="BH31" s="16">
        <f t="shared" si="3"/>
        <v>0</v>
      </c>
      <c r="BI31" s="16">
        <f t="shared" si="3"/>
        <v>0</v>
      </c>
      <c r="BJ31" s="16">
        <f t="shared" si="3"/>
        <v>0</v>
      </c>
      <c r="BK31" s="16">
        <f t="shared" si="3"/>
        <v>0</v>
      </c>
      <c r="BL31" s="16">
        <f t="shared" si="3"/>
        <v>0</v>
      </c>
      <c r="BM31" s="16">
        <f t="shared" si="3"/>
        <v>0</v>
      </c>
      <c r="BN31" s="16">
        <f t="shared" si="3"/>
        <v>0</v>
      </c>
      <c r="BO31" s="16">
        <f t="shared" si="3"/>
        <v>0</v>
      </c>
      <c r="BP31" s="16">
        <f t="shared" si="4"/>
        <v>0</v>
      </c>
      <c r="BQ31" s="16">
        <f t="shared" si="4"/>
        <v>0</v>
      </c>
      <c r="BR31" s="16">
        <f t="shared" si="4"/>
        <v>0</v>
      </c>
      <c r="BS31" s="16">
        <f t="shared" si="4"/>
        <v>0</v>
      </c>
      <c r="BT31" s="16">
        <f t="shared" si="4"/>
        <v>0</v>
      </c>
      <c r="BU31" s="16">
        <f t="shared" si="4"/>
        <v>0</v>
      </c>
      <c r="BV31" s="16">
        <f t="shared" si="4"/>
        <v>0</v>
      </c>
      <c r="BW31" s="16">
        <f t="shared" si="4"/>
        <v>0</v>
      </c>
      <c r="BX31" s="16">
        <f t="shared" si="4"/>
        <v>0</v>
      </c>
      <c r="BY31" s="16">
        <f t="shared" si="4"/>
        <v>0</v>
      </c>
      <c r="BZ31" s="16">
        <f t="shared" si="4"/>
        <v>0</v>
      </c>
      <c r="CA31" s="16">
        <f t="shared" si="4"/>
        <v>0</v>
      </c>
      <c r="CB31" s="16">
        <f t="shared" si="4"/>
        <v>0</v>
      </c>
      <c r="CC31" s="16">
        <f t="shared" si="4"/>
        <v>0</v>
      </c>
      <c r="CD31" s="16">
        <f t="shared" si="4"/>
        <v>0</v>
      </c>
      <c r="CE31" s="16">
        <f t="shared" si="4"/>
        <v>0</v>
      </c>
      <c r="CF31" s="16">
        <f t="shared" si="4"/>
        <v>0</v>
      </c>
      <c r="CG31" s="16">
        <f t="shared" si="4"/>
        <v>0</v>
      </c>
      <c r="CH31" s="16">
        <f t="shared" si="4"/>
        <v>0</v>
      </c>
      <c r="CI31" s="16">
        <f t="shared" si="4"/>
        <v>0</v>
      </c>
      <c r="CJ31" s="16">
        <f t="shared" si="4"/>
        <v>0</v>
      </c>
      <c r="CK31" s="16">
        <f t="shared" si="4"/>
        <v>0</v>
      </c>
      <c r="CL31" s="16">
        <f t="shared" si="4"/>
        <v>0</v>
      </c>
      <c r="CM31" s="16">
        <f t="shared" si="4"/>
        <v>0</v>
      </c>
      <c r="CN31" s="16">
        <f t="shared" si="4"/>
        <v>0</v>
      </c>
      <c r="CO31" s="16">
        <f t="shared" si="4"/>
        <v>0</v>
      </c>
      <c r="CP31" s="16">
        <f t="shared" si="4"/>
        <v>0</v>
      </c>
      <c r="CQ31" s="16">
        <f t="shared" si="4"/>
        <v>0</v>
      </c>
      <c r="CR31" s="16">
        <f t="shared" si="4"/>
        <v>0</v>
      </c>
      <c r="CS31" s="16">
        <f t="shared" si="4"/>
        <v>0</v>
      </c>
      <c r="CT31" s="16">
        <f t="shared" si="4"/>
        <v>0</v>
      </c>
      <c r="CU31" s="16">
        <f t="shared" si="4"/>
        <v>0</v>
      </c>
      <c r="CV31" s="16">
        <f t="shared" si="4"/>
        <v>0</v>
      </c>
      <c r="CW31" s="16">
        <f t="shared" si="4"/>
        <v>0</v>
      </c>
      <c r="CX31" s="16">
        <f t="shared" si="4"/>
        <v>0</v>
      </c>
      <c r="CY31" s="16">
        <f t="shared" si="4"/>
        <v>0</v>
      </c>
      <c r="CZ31" s="16">
        <f t="shared" si="4"/>
        <v>0</v>
      </c>
      <c r="DA31" s="16">
        <f t="shared" si="4"/>
        <v>0</v>
      </c>
      <c r="DB31" s="16">
        <f t="shared" si="4"/>
        <v>0</v>
      </c>
      <c r="DC31" s="16">
        <f t="shared" si="4"/>
        <v>0</v>
      </c>
      <c r="DD31" s="16">
        <f t="shared" si="4"/>
        <v>0</v>
      </c>
      <c r="DE31" s="16">
        <f t="shared" si="4"/>
        <v>0</v>
      </c>
      <c r="DF31" s="16">
        <f t="shared" si="4"/>
        <v>0</v>
      </c>
      <c r="DG31" s="23">
        <f t="shared" si="5"/>
        <v>2.5999999999999996</v>
      </c>
    </row>
    <row r="32" spans="1:111" x14ac:dyDescent="0.2">
      <c r="A32" s="15" t="str">
        <f t="shared" si="6"/>
        <v>2ème four VAR :</v>
      </c>
      <c r="B32" s="16">
        <f t="shared" si="6"/>
        <v>2.6</v>
      </c>
      <c r="C32" s="16">
        <f t="shared" si="7"/>
        <v>0</v>
      </c>
      <c r="D32" s="16">
        <f t="shared" si="3"/>
        <v>0</v>
      </c>
      <c r="E32" s="16">
        <f t="shared" si="3"/>
        <v>0</v>
      </c>
      <c r="F32" s="16">
        <f t="shared" si="3"/>
        <v>0</v>
      </c>
      <c r="G32" s="16">
        <f t="shared" si="3"/>
        <v>0</v>
      </c>
      <c r="H32" s="16">
        <f t="shared" si="3"/>
        <v>0</v>
      </c>
      <c r="I32" s="16">
        <f t="shared" si="3"/>
        <v>0</v>
      </c>
      <c r="J32" s="16">
        <f t="shared" si="3"/>
        <v>0</v>
      </c>
      <c r="K32" s="16">
        <f t="shared" si="3"/>
        <v>0</v>
      </c>
      <c r="L32" s="16">
        <f t="shared" si="3"/>
        <v>0</v>
      </c>
      <c r="M32" s="16">
        <f t="shared" si="3"/>
        <v>0</v>
      </c>
      <c r="N32" s="16">
        <f t="shared" si="3"/>
        <v>0</v>
      </c>
      <c r="O32" s="16">
        <f t="shared" si="3"/>
        <v>0</v>
      </c>
      <c r="P32" s="16">
        <f t="shared" si="3"/>
        <v>0</v>
      </c>
      <c r="Q32" s="16">
        <f t="shared" si="3"/>
        <v>0</v>
      </c>
      <c r="R32" s="16">
        <f t="shared" si="3"/>
        <v>0</v>
      </c>
      <c r="S32" s="16">
        <f t="shared" si="3"/>
        <v>0</v>
      </c>
      <c r="T32" s="16">
        <f t="shared" si="3"/>
        <v>0</v>
      </c>
      <c r="U32" s="16">
        <f t="shared" si="3"/>
        <v>0</v>
      </c>
      <c r="V32" s="16">
        <f t="shared" si="3"/>
        <v>0</v>
      </c>
      <c r="W32" s="16">
        <f t="shared" si="3"/>
        <v>0</v>
      </c>
      <c r="X32" s="16">
        <f t="shared" si="3"/>
        <v>0</v>
      </c>
      <c r="Y32" s="16">
        <f t="shared" si="3"/>
        <v>0</v>
      </c>
      <c r="Z32" s="16">
        <f t="shared" si="3"/>
        <v>0</v>
      </c>
      <c r="AA32" s="16">
        <f t="shared" si="3"/>
        <v>0</v>
      </c>
      <c r="AB32" s="16">
        <f t="shared" si="3"/>
        <v>0</v>
      </c>
      <c r="AC32" s="16">
        <f t="shared" si="3"/>
        <v>0</v>
      </c>
      <c r="AD32" s="16">
        <f t="shared" si="3"/>
        <v>0</v>
      </c>
      <c r="AE32" s="16">
        <f t="shared" si="3"/>
        <v>0</v>
      </c>
      <c r="AF32" s="16">
        <f t="shared" si="3"/>
        <v>0</v>
      </c>
      <c r="AG32" s="16">
        <f t="shared" si="3"/>
        <v>0</v>
      </c>
      <c r="AH32" s="16">
        <f t="shared" si="3"/>
        <v>0</v>
      </c>
      <c r="AI32" s="16">
        <f t="shared" si="3"/>
        <v>0</v>
      </c>
      <c r="AJ32" s="16">
        <f t="shared" si="3"/>
        <v>0</v>
      </c>
      <c r="AK32" s="16">
        <f t="shared" si="3"/>
        <v>0</v>
      </c>
      <c r="AL32" s="16">
        <f t="shared" si="3"/>
        <v>0</v>
      </c>
      <c r="AM32" s="16">
        <f t="shared" si="3"/>
        <v>0</v>
      </c>
      <c r="AN32" s="16">
        <f t="shared" si="3"/>
        <v>0</v>
      </c>
      <c r="AO32" s="16">
        <f t="shared" si="3"/>
        <v>0</v>
      </c>
      <c r="AP32" s="16">
        <f t="shared" si="3"/>
        <v>0</v>
      </c>
      <c r="AQ32" s="16">
        <f t="shared" si="3"/>
        <v>0</v>
      </c>
      <c r="AR32" s="16">
        <f t="shared" si="3"/>
        <v>0</v>
      </c>
      <c r="AS32" s="16">
        <f t="shared" si="3"/>
        <v>0</v>
      </c>
      <c r="AT32" s="16">
        <f t="shared" si="3"/>
        <v>0</v>
      </c>
      <c r="AU32" s="16">
        <f t="shared" si="3"/>
        <v>0</v>
      </c>
      <c r="AV32" s="16">
        <f t="shared" si="3"/>
        <v>0.39</v>
      </c>
      <c r="AW32" s="16">
        <f t="shared" si="3"/>
        <v>0</v>
      </c>
      <c r="AX32" s="16">
        <f t="shared" si="3"/>
        <v>0.26</v>
      </c>
      <c r="AY32" s="16">
        <f t="shared" si="3"/>
        <v>0</v>
      </c>
      <c r="AZ32" s="16">
        <f t="shared" si="3"/>
        <v>0</v>
      </c>
      <c r="BA32" s="16">
        <f t="shared" si="3"/>
        <v>0</v>
      </c>
      <c r="BB32" s="16">
        <f t="shared" si="3"/>
        <v>0</v>
      </c>
      <c r="BC32" s="16">
        <f t="shared" si="3"/>
        <v>0</v>
      </c>
      <c r="BD32" s="16">
        <f t="shared" si="3"/>
        <v>0</v>
      </c>
      <c r="BE32" s="16">
        <f t="shared" si="3"/>
        <v>0.52</v>
      </c>
      <c r="BF32" s="16">
        <f t="shared" si="3"/>
        <v>0</v>
      </c>
      <c r="BG32" s="16">
        <f t="shared" si="3"/>
        <v>0.52</v>
      </c>
      <c r="BH32" s="16">
        <f t="shared" si="3"/>
        <v>0</v>
      </c>
      <c r="BI32" s="16">
        <f t="shared" si="3"/>
        <v>0</v>
      </c>
      <c r="BJ32" s="16">
        <f t="shared" si="3"/>
        <v>0</v>
      </c>
      <c r="BK32" s="16">
        <f t="shared" si="3"/>
        <v>0</v>
      </c>
      <c r="BL32" s="16">
        <f t="shared" si="3"/>
        <v>0.52</v>
      </c>
      <c r="BM32" s="16">
        <f t="shared" si="3"/>
        <v>0</v>
      </c>
      <c r="BN32" s="16">
        <f t="shared" si="3"/>
        <v>0</v>
      </c>
      <c r="BO32" s="16">
        <f t="shared" si="3"/>
        <v>0.26</v>
      </c>
      <c r="BP32" s="16">
        <f t="shared" si="4"/>
        <v>0</v>
      </c>
      <c r="BQ32" s="16">
        <f t="shared" si="4"/>
        <v>0</v>
      </c>
      <c r="BR32" s="16">
        <f t="shared" si="4"/>
        <v>0</v>
      </c>
      <c r="BS32" s="16">
        <f t="shared" si="4"/>
        <v>0</v>
      </c>
      <c r="BT32" s="16">
        <f t="shared" si="4"/>
        <v>0</v>
      </c>
      <c r="BU32" s="16">
        <f t="shared" si="4"/>
        <v>0</v>
      </c>
      <c r="BV32" s="16">
        <f t="shared" si="4"/>
        <v>0</v>
      </c>
      <c r="BW32" s="16">
        <f t="shared" si="4"/>
        <v>0</v>
      </c>
      <c r="BX32" s="16">
        <f t="shared" si="4"/>
        <v>0</v>
      </c>
      <c r="BY32" s="16">
        <f t="shared" si="4"/>
        <v>0</v>
      </c>
      <c r="BZ32" s="16">
        <f t="shared" si="4"/>
        <v>0</v>
      </c>
      <c r="CA32" s="16">
        <f t="shared" si="4"/>
        <v>0.13</v>
      </c>
      <c r="CB32" s="16">
        <f t="shared" si="4"/>
        <v>0</v>
      </c>
      <c r="CC32" s="16">
        <f t="shared" si="4"/>
        <v>0</v>
      </c>
      <c r="CD32" s="16">
        <f t="shared" si="4"/>
        <v>0</v>
      </c>
      <c r="CE32" s="16">
        <f t="shared" si="4"/>
        <v>0</v>
      </c>
      <c r="CF32" s="16">
        <f t="shared" si="4"/>
        <v>0</v>
      </c>
      <c r="CG32" s="16">
        <f t="shared" si="4"/>
        <v>0</v>
      </c>
      <c r="CH32" s="16">
        <f t="shared" si="4"/>
        <v>0</v>
      </c>
      <c r="CI32" s="16">
        <f t="shared" si="4"/>
        <v>0</v>
      </c>
      <c r="CJ32" s="16">
        <f t="shared" si="4"/>
        <v>0</v>
      </c>
      <c r="CK32" s="16">
        <f t="shared" si="4"/>
        <v>0</v>
      </c>
      <c r="CL32" s="16">
        <f t="shared" si="4"/>
        <v>0</v>
      </c>
      <c r="CM32" s="16">
        <f t="shared" si="4"/>
        <v>0</v>
      </c>
      <c r="CN32" s="16">
        <f t="shared" si="4"/>
        <v>0</v>
      </c>
      <c r="CO32" s="16">
        <f t="shared" si="4"/>
        <v>0</v>
      </c>
      <c r="CP32" s="16">
        <f t="shared" si="4"/>
        <v>0</v>
      </c>
      <c r="CQ32" s="16">
        <f t="shared" si="4"/>
        <v>0</v>
      </c>
      <c r="CR32" s="16">
        <f t="shared" si="4"/>
        <v>0</v>
      </c>
      <c r="CS32" s="16">
        <f t="shared" si="4"/>
        <v>0</v>
      </c>
      <c r="CT32" s="16">
        <f t="shared" si="4"/>
        <v>0</v>
      </c>
      <c r="CU32" s="16">
        <f t="shared" si="4"/>
        <v>0</v>
      </c>
      <c r="CV32" s="16">
        <f t="shared" si="4"/>
        <v>0</v>
      </c>
      <c r="CW32" s="16">
        <f t="shared" si="4"/>
        <v>0</v>
      </c>
      <c r="CX32" s="16">
        <f t="shared" si="4"/>
        <v>0</v>
      </c>
      <c r="CY32" s="16">
        <f t="shared" si="4"/>
        <v>0</v>
      </c>
      <c r="CZ32" s="16">
        <f t="shared" si="4"/>
        <v>0</v>
      </c>
      <c r="DA32" s="16">
        <f t="shared" si="4"/>
        <v>0</v>
      </c>
      <c r="DB32" s="16">
        <f t="shared" si="4"/>
        <v>0</v>
      </c>
      <c r="DC32" s="16">
        <f t="shared" si="4"/>
        <v>0</v>
      </c>
      <c r="DD32" s="16">
        <f t="shared" si="4"/>
        <v>0</v>
      </c>
      <c r="DE32" s="16">
        <f t="shared" si="4"/>
        <v>0</v>
      </c>
      <c r="DF32" s="16">
        <f t="shared" si="4"/>
        <v>0</v>
      </c>
      <c r="DG32" s="23">
        <f t="shared" si="5"/>
        <v>2.5999999999999996</v>
      </c>
    </row>
    <row r="33" spans="1:111" x14ac:dyDescent="0.2">
      <c r="A33" s="15" t="str">
        <f t="shared" si="6"/>
        <v>Annexe VAR : nettoyage haute pression</v>
      </c>
      <c r="B33" s="16">
        <f t="shared" si="6"/>
        <v>0.28999999999999998</v>
      </c>
      <c r="C33" s="16">
        <f t="shared" si="7"/>
        <v>0</v>
      </c>
      <c r="D33" s="16">
        <f t="shared" si="3"/>
        <v>0</v>
      </c>
      <c r="E33" s="16">
        <f t="shared" si="3"/>
        <v>0</v>
      </c>
      <c r="F33" s="16">
        <f t="shared" si="3"/>
        <v>0</v>
      </c>
      <c r="G33" s="16">
        <f t="shared" si="3"/>
        <v>0</v>
      </c>
      <c r="H33" s="16">
        <f t="shared" si="3"/>
        <v>0</v>
      </c>
      <c r="I33" s="16">
        <f t="shared" si="3"/>
        <v>0</v>
      </c>
      <c r="J33" s="16">
        <f t="shared" si="3"/>
        <v>0</v>
      </c>
      <c r="K33" s="16">
        <f t="shared" si="3"/>
        <v>0</v>
      </c>
      <c r="L33" s="16">
        <f t="shared" si="3"/>
        <v>0</v>
      </c>
      <c r="M33" s="16">
        <f t="shared" si="3"/>
        <v>0</v>
      </c>
      <c r="N33" s="16">
        <f t="shared" si="3"/>
        <v>0</v>
      </c>
      <c r="O33" s="16">
        <f t="shared" si="3"/>
        <v>0</v>
      </c>
      <c r="P33" s="16">
        <f t="shared" si="3"/>
        <v>0</v>
      </c>
      <c r="Q33" s="16">
        <f t="shared" si="3"/>
        <v>0</v>
      </c>
      <c r="R33" s="16">
        <f t="shared" si="3"/>
        <v>4.3499999999999997E-2</v>
      </c>
      <c r="S33" s="16">
        <f t="shared" si="3"/>
        <v>1.4499999999999999E-2</v>
      </c>
      <c r="T33" s="16">
        <f t="shared" si="3"/>
        <v>0</v>
      </c>
      <c r="U33" s="16">
        <f t="shared" si="3"/>
        <v>0</v>
      </c>
      <c r="V33" s="16">
        <f t="shared" si="3"/>
        <v>0</v>
      </c>
      <c r="W33" s="16">
        <f t="shared" si="3"/>
        <v>0</v>
      </c>
      <c r="X33" s="16">
        <f t="shared" si="3"/>
        <v>0</v>
      </c>
      <c r="Y33" s="16">
        <f t="shared" si="3"/>
        <v>0</v>
      </c>
      <c r="Z33" s="16">
        <f t="shared" si="3"/>
        <v>4.3499999999999997E-2</v>
      </c>
      <c r="AA33" s="16">
        <f t="shared" si="3"/>
        <v>5.7999999999999996E-2</v>
      </c>
      <c r="AB33" s="16">
        <f t="shared" si="3"/>
        <v>7.2499999999999995E-2</v>
      </c>
      <c r="AC33" s="16">
        <f t="shared" si="3"/>
        <v>0</v>
      </c>
      <c r="AD33" s="16">
        <f t="shared" si="3"/>
        <v>4.3499999999999997E-2</v>
      </c>
      <c r="AE33" s="16">
        <f t="shared" si="3"/>
        <v>0</v>
      </c>
      <c r="AF33" s="16">
        <f t="shared" si="3"/>
        <v>0</v>
      </c>
      <c r="AG33" s="16">
        <f t="shared" ref="AG33:BO33" si="8">IF(AG10="",0,$B10*AG10)</f>
        <v>0</v>
      </c>
      <c r="AH33" s="16">
        <f t="shared" si="8"/>
        <v>0</v>
      </c>
      <c r="AI33" s="16">
        <f t="shared" si="8"/>
        <v>0</v>
      </c>
      <c r="AJ33" s="16">
        <f t="shared" si="8"/>
        <v>0</v>
      </c>
      <c r="AK33" s="16">
        <f t="shared" si="8"/>
        <v>0</v>
      </c>
      <c r="AL33" s="16">
        <f t="shared" si="8"/>
        <v>0</v>
      </c>
      <c r="AM33" s="16">
        <f t="shared" si="8"/>
        <v>0</v>
      </c>
      <c r="AN33" s="16">
        <f t="shared" si="8"/>
        <v>0</v>
      </c>
      <c r="AO33" s="16">
        <f t="shared" si="8"/>
        <v>0</v>
      </c>
      <c r="AP33" s="16">
        <f t="shared" si="8"/>
        <v>1.4499999999999999E-2</v>
      </c>
      <c r="AQ33" s="16">
        <f t="shared" si="8"/>
        <v>0</v>
      </c>
      <c r="AR33" s="16">
        <f t="shared" si="8"/>
        <v>0</v>
      </c>
      <c r="AS33" s="16">
        <f t="shared" si="8"/>
        <v>0</v>
      </c>
      <c r="AT33" s="16">
        <f t="shared" si="8"/>
        <v>0</v>
      </c>
      <c r="AU33" s="16">
        <f t="shared" si="8"/>
        <v>0</v>
      </c>
      <c r="AV33" s="16">
        <f t="shared" si="8"/>
        <v>0</v>
      </c>
      <c r="AW33" s="16">
        <f t="shared" si="8"/>
        <v>0</v>
      </c>
      <c r="AX33" s="16">
        <f t="shared" si="8"/>
        <v>0</v>
      </c>
      <c r="AY33" s="16">
        <f t="shared" si="8"/>
        <v>0</v>
      </c>
      <c r="AZ33" s="16">
        <f t="shared" si="8"/>
        <v>0</v>
      </c>
      <c r="BA33" s="16">
        <f t="shared" si="8"/>
        <v>0</v>
      </c>
      <c r="BB33" s="16">
        <f t="shared" si="8"/>
        <v>0</v>
      </c>
      <c r="BC33" s="16">
        <f t="shared" si="8"/>
        <v>0</v>
      </c>
      <c r="BD33" s="16">
        <f t="shared" si="8"/>
        <v>0</v>
      </c>
      <c r="BE33" s="16">
        <f t="shared" si="8"/>
        <v>0</v>
      </c>
      <c r="BF33" s="16">
        <f t="shared" si="8"/>
        <v>0</v>
      </c>
      <c r="BG33" s="16">
        <f t="shared" si="8"/>
        <v>0</v>
      </c>
      <c r="BH33" s="16">
        <f t="shared" si="8"/>
        <v>0</v>
      </c>
      <c r="BI33" s="16">
        <f t="shared" si="8"/>
        <v>0</v>
      </c>
      <c r="BJ33" s="16">
        <f t="shared" si="8"/>
        <v>0</v>
      </c>
      <c r="BK33" s="16">
        <f t="shared" si="8"/>
        <v>0</v>
      </c>
      <c r="BL33" s="16">
        <f t="shared" si="8"/>
        <v>0</v>
      </c>
      <c r="BM33" s="16">
        <f t="shared" si="8"/>
        <v>0</v>
      </c>
      <c r="BN33" s="16">
        <f t="shared" si="8"/>
        <v>0</v>
      </c>
      <c r="BO33" s="16">
        <f t="shared" si="8"/>
        <v>0</v>
      </c>
      <c r="BP33" s="16">
        <f t="shared" si="4"/>
        <v>0</v>
      </c>
      <c r="BQ33" s="16">
        <f t="shared" si="4"/>
        <v>0</v>
      </c>
      <c r="BR33" s="16">
        <f t="shared" si="4"/>
        <v>0</v>
      </c>
      <c r="BS33" s="16">
        <f t="shared" si="4"/>
        <v>0</v>
      </c>
      <c r="BT33" s="16">
        <f t="shared" si="4"/>
        <v>0</v>
      </c>
      <c r="BU33" s="16">
        <f t="shared" si="4"/>
        <v>0</v>
      </c>
      <c r="BV33" s="16">
        <f t="shared" si="4"/>
        <v>0</v>
      </c>
      <c r="BW33" s="16">
        <f t="shared" si="4"/>
        <v>0</v>
      </c>
      <c r="BX33" s="16">
        <f t="shared" si="4"/>
        <v>0</v>
      </c>
      <c r="BY33" s="16">
        <f t="shared" si="4"/>
        <v>0</v>
      </c>
      <c r="BZ33" s="16">
        <f t="shared" si="4"/>
        <v>0</v>
      </c>
      <c r="CA33" s="16">
        <f t="shared" si="4"/>
        <v>0</v>
      </c>
      <c r="CB33" s="16">
        <f t="shared" si="4"/>
        <v>0</v>
      </c>
      <c r="CC33" s="16">
        <f t="shared" si="4"/>
        <v>0</v>
      </c>
      <c r="CD33" s="16">
        <f t="shared" si="4"/>
        <v>0</v>
      </c>
      <c r="CE33" s="16">
        <f t="shared" si="4"/>
        <v>0</v>
      </c>
      <c r="CF33" s="16">
        <f t="shared" si="4"/>
        <v>0</v>
      </c>
      <c r="CG33" s="16">
        <f t="shared" si="4"/>
        <v>0</v>
      </c>
      <c r="CH33" s="16">
        <f t="shared" si="4"/>
        <v>0</v>
      </c>
      <c r="CI33" s="16">
        <f t="shared" si="4"/>
        <v>0</v>
      </c>
      <c r="CJ33" s="16">
        <f t="shared" si="4"/>
        <v>0</v>
      </c>
      <c r="CK33" s="16">
        <f t="shared" si="4"/>
        <v>0</v>
      </c>
      <c r="CL33" s="16">
        <f t="shared" si="4"/>
        <v>0</v>
      </c>
      <c r="CM33" s="16">
        <f t="shared" si="4"/>
        <v>0</v>
      </c>
      <c r="CN33" s="16">
        <f t="shared" si="4"/>
        <v>0</v>
      </c>
      <c r="CO33" s="16">
        <f t="shared" si="4"/>
        <v>0</v>
      </c>
      <c r="CP33" s="16">
        <f t="shared" si="4"/>
        <v>0</v>
      </c>
      <c r="CQ33" s="16">
        <f t="shared" si="4"/>
        <v>0</v>
      </c>
      <c r="CR33" s="16">
        <f t="shared" si="4"/>
        <v>0</v>
      </c>
      <c r="CS33" s="16">
        <f t="shared" si="4"/>
        <v>0</v>
      </c>
      <c r="CT33" s="16">
        <f t="shared" si="4"/>
        <v>0</v>
      </c>
      <c r="CU33" s="16">
        <f t="shared" si="4"/>
        <v>0</v>
      </c>
      <c r="CV33" s="16">
        <f t="shared" si="4"/>
        <v>0</v>
      </c>
      <c r="CW33" s="16">
        <f t="shared" si="4"/>
        <v>0</v>
      </c>
      <c r="CX33" s="16">
        <f t="shared" si="4"/>
        <v>0</v>
      </c>
      <c r="CY33" s="16">
        <f t="shared" si="4"/>
        <v>0</v>
      </c>
      <c r="CZ33" s="16">
        <f t="shared" si="4"/>
        <v>0</v>
      </c>
      <c r="DA33" s="16">
        <f t="shared" si="4"/>
        <v>0</v>
      </c>
      <c r="DB33" s="16">
        <f t="shared" si="4"/>
        <v>0</v>
      </c>
      <c r="DC33" s="16">
        <f t="shared" si="4"/>
        <v>0</v>
      </c>
      <c r="DD33" s="16">
        <f t="shared" si="4"/>
        <v>0</v>
      </c>
      <c r="DE33" s="16">
        <f t="shared" si="4"/>
        <v>0</v>
      </c>
      <c r="DF33" s="16">
        <f t="shared" si="4"/>
        <v>0</v>
      </c>
      <c r="DG33" s="23">
        <f t="shared" si="5"/>
        <v>0.28999999999999998</v>
      </c>
    </row>
    <row r="34" spans="1:111" x14ac:dyDescent="0.2">
      <c r="A34" s="15" t="str">
        <f t="shared" si="6"/>
        <v>Annexe VAR : outillage (scie)</v>
      </c>
      <c r="B34" s="16">
        <f t="shared" si="6"/>
        <v>0.3</v>
      </c>
      <c r="C34" s="16">
        <f t="shared" si="7"/>
        <v>0</v>
      </c>
      <c r="D34" s="16">
        <f t="shared" si="7"/>
        <v>0</v>
      </c>
      <c r="E34" s="16">
        <f t="shared" si="7"/>
        <v>0</v>
      </c>
      <c r="F34" s="16">
        <f t="shared" si="7"/>
        <v>0</v>
      </c>
      <c r="G34" s="16">
        <f t="shared" si="7"/>
        <v>0</v>
      </c>
      <c r="H34" s="16">
        <f t="shared" si="7"/>
        <v>0</v>
      </c>
      <c r="I34" s="16">
        <f t="shared" si="7"/>
        <v>0</v>
      </c>
      <c r="J34" s="16">
        <f t="shared" si="7"/>
        <v>0</v>
      </c>
      <c r="K34" s="16">
        <f t="shared" si="7"/>
        <v>0</v>
      </c>
      <c r="L34" s="16">
        <f t="shared" si="7"/>
        <v>0</v>
      </c>
      <c r="M34" s="16">
        <f t="shared" si="7"/>
        <v>0</v>
      </c>
      <c r="N34" s="16">
        <f t="shared" si="7"/>
        <v>0</v>
      </c>
      <c r="O34" s="16">
        <f t="shared" si="7"/>
        <v>0</v>
      </c>
      <c r="P34" s="16">
        <f t="shared" si="7"/>
        <v>0</v>
      </c>
      <c r="Q34" s="16">
        <f t="shared" si="7"/>
        <v>0</v>
      </c>
      <c r="R34" s="16">
        <f t="shared" si="7"/>
        <v>0</v>
      </c>
      <c r="S34" s="16">
        <f t="shared" ref="S34:CD38" si="9">IF(S11="",0,$B11*S11)</f>
        <v>0</v>
      </c>
      <c r="T34" s="16">
        <f t="shared" si="9"/>
        <v>0</v>
      </c>
      <c r="U34" s="16">
        <f t="shared" si="9"/>
        <v>4.4999999999999998E-2</v>
      </c>
      <c r="V34" s="16">
        <f t="shared" si="9"/>
        <v>1.4999999999999999E-2</v>
      </c>
      <c r="W34" s="16">
        <f t="shared" si="9"/>
        <v>0</v>
      </c>
      <c r="X34" s="16">
        <f t="shared" si="9"/>
        <v>0</v>
      </c>
      <c r="Y34" s="16">
        <f t="shared" si="9"/>
        <v>0</v>
      </c>
      <c r="Z34" s="16">
        <f t="shared" si="9"/>
        <v>4.4999999999999998E-2</v>
      </c>
      <c r="AA34" s="16">
        <f t="shared" si="9"/>
        <v>0.06</v>
      </c>
      <c r="AB34" s="16">
        <f t="shared" si="9"/>
        <v>7.4999999999999997E-2</v>
      </c>
      <c r="AC34" s="16">
        <f t="shared" si="9"/>
        <v>0</v>
      </c>
      <c r="AD34" s="16">
        <f t="shared" si="9"/>
        <v>4.4999999999999998E-2</v>
      </c>
      <c r="AE34" s="16">
        <f t="shared" si="9"/>
        <v>0</v>
      </c>
      <c r="AF34" s="16">
        <f t="shared" si="9"/>
        <v>0</v>
      </c>
      <c r="AG34" s="16">
        <f t="shared" si="9"/>
        <v>0</v>
      </c>
      <c r="AH34" s="16">
        <f t="shared" si="9"/>
        <v>0</v>
      </c>
      <c r="AI34" s="16">
        <f t="shared" si="9"/>
        <v>0</v>
      </c>
      <c r="AJ34" s="16">
        <f t="shared" si="9"/>
        <v>0</v>
      </c>
      <c r="AK34" s="16">
        <f t="shared" si="9"/>
        <v>0</v>
      </c>
      <c r="AL34" s="16">
        <f t="shared" si="9"/>
        <v>0</v>
      </c>
      <c r="AM34" s="16">
        <f t="shared" si="9"/>
        <v>0</v>
      </c>
      <c r="AN34" s="16">
        <f t="shared" si="9"/>
        <v>0</v>
      </c>
      <c r="AO34" s="16">
        <f t="shared" si="9"/>
        <v>0</v>
      </c>
      <c r="AP34" s="16">
        <f t="shared" si="9"/>
        <v>1.4999999999999999E-2</v>
      </c>
      <c r="AQ34" s="16">
        <f t="shared" si="9"/>
        <v>0</v>
      </c>
      <c r="AR34" s="16">
        <f t="shared" si="9"/>
        <v>0</v>
      </c>
      <c r="AS34" s="16">
        <f t="shared" si="9"/>
        <v>0</v>
      </c>
      <c r="AT34" s="16">
        <f t="shared" si="9"/>
        <v>0</v>
      </c>
      <c r="AU34" s="16">
        <f t="shared" si="9"/>
        <v>0</v>
      </c>
      <c r="AV34" s="16">
        <f t="shared" si="9"/>
        <v>0</v>
      </c>
      <c r="AW34" s="16">
        <f t="shared" si="9"/>
        <v>0</v>
      </c>
      <c r="AX34" s="16">
        <f t="shared" si="9"/>
        <v>0</v>
      </c>
      <c r="AY34" s="16">
        <f t="shared" si="9"/>
        <v>0</v>
      </c>
      <c r="AZ34" s="16">
        <f t="shared" si="9"/>
        <v>0</v>
      </c>
      <c r="BA34" s="16">
        <f t="shared" si="9"/>
        <v>0</v>
      </c>
      <c r="BB34" s="16">
        <f t="shared" si="9"/>
        <v>0</v>
      </c>
      <c r="BC34" s="16">
        <f t="shared" si="9"/>
        <v>0</v>
      </c>
      <c r="BD34" s="16">
        <f t="shared" si="9"/>
        <v>0</v>
      </c>
      <c r="BE34" s="16">
        <f t="shared" si="9"/>
        <v>0</v>
      </c>
      <c r="BF34" s="16">
        <f t="shared" si="9"/>
        <v>0</v>
      </c>
      <c r="BG34" s="16">
        <f t="shared" si="9"/>
        <v>0</v>
      </c>
      <c r="BH34" s="16">
        <f t="shared" si="9"/>
        <v>0</v>
      </c>
      <c r="BI34" s="16">
        <f t="shared" si="9"/>
        <v>0</v>
      </c>
      <c r="BJ34" s="16">
        <f t="shared" si="9"/>
        <v>0</v>
      </c>
      <c r="BK34" s="16">
        <f t="shared" si="9"/>
        <v>0</v>
      </c>
      <c r="BL34" s="16">
        <f t="shared" si="9"/>
        <v>0</v>
      </c>
      <c r="BM34" s="16">
        <f t="shared" si="9"/>
        <v>0</v>
      </c>
      <c r="BN34" s="16">
        <f t="shared" si="9"/>
        <v>0</v>
      </c>
      <c r="BO34" s="16">
        <f t="shared" ref="BO34:CR34" si="10">IF(BO11="",0,$B11*BO11)</f>
        <v>0</v>
      </c>
      <c r="BP34" s="16">
        <f t="shared" si="10"/>
        <v>0</v>
      </c>
      <c r="BQ34" s="16">
        <f t="shared" si="10"/>
        <v>0</v>
      </c>
      <c r="BR34" s="16">
        <f t="shared" si="10"/>
        <v>0</v>
      </c>
      <c r="BS34" s="16">
        <f t="shared" si="10"/>
        <v>0</v>
      </c>
      <c r="BT34" s="16">
        <f t="shared" si="10"/>
        <v>0</v>
      </c>
      <c r="BU34" s="16">
        <f t="shared" si="10"/>
        <v>0</v>
      </c>
      <c r="BV34" s="16">
        <f t="shared" si="10"/>
        <v>0</v>
      </c>
      <c r="BW34" s="16">
        <f t="shared" si="10"/>
        <v>0</v>
      </c>
      <c r="BX34" s="16">
        <f t="shared" si="10"/>
        <v>0</v>
      </c>
      <c r="BY34" s="16">
        <f t="shared" si="10"/>
        <v>0</v>
      </c>
      <c r="BZ34" s="16">
        <f t="shared" si="10"/>
        <v>0</v>
      </c>
      <c r="CA34" s="16">
        <f t="shared" si="10"/>
        <v>0</v>
      </c>
      <c r="CB34" s="16">
        <f t="shared" si="10"/>
        <v>0</v>
      </c>
      <c r="CC34" s="16">
        <f t="shared" si="10"/>
        <v>0</v>
      </c>
      <c r="CD34" s="16">
        <f t="shared" si="10"/>
        <v>0</v>
      </c>
      <c r="CE34" s="16">
        <f t="shared" si="10"/>
        <v>0</v>
      </c>
      <c r="CF34" s="16">
        <f t="shared" si="10"/>
        <v>0</v>
      </c>
      <c r="CG34" s="16">
        <f t="shared" si="10"/>
        <v>0</v>
      </c>
      <c r="CH34" s="16">
        <f t="shared" si="10"/>
        <v>0</v>
      </c>
      <c r="CI34" s="16">
        <f t="shared" si="10"/>
        <v>0</v>
      </c>
      <c r="CJ34" s="16">
        <f t="shared" si="10"/>
        <v>0</v>
      </c>
      <c r="CK34" s="16">
        <f t="shared" si="10"/>
        <v>0</v>
      </c>
      <c r="CL34" s="16">
        <f t="shared" si="10"/>
        <v>0</v>
      </c>
      <c r="CM34" s="16">
        <f t="shared" si="10"/>
        <v>0</v>
      </c>
      <c r="CN34" s="16">
        <f t="shared" si="10"/>
        <v>0</v>
      </c>
      <c r="CO34" s="16">
        <f t="shared" si="10"/>
        <v>0</v>
      </c>
      <c r="CP34" s="16">
        <f t="shared" si="10"/>
        <v>0</v>
      </c>
      <c r="CQ34" s="16">
        <f t="shared" si="10"/>
        <v>0</v>
      </c>
      <c r="CR34" s="16">
        <f t="shared" si="10"/>
        <v>0</v>
      </c>
      <c r="CS34" s="16">
        <f t="shared" si="4"/>
        <v>0</v>
      </c>
      <c r="CT34" s="16">
        <f t="shared" si="4"/>
        <v>0</v>
      </c>
      <c r="CU34" s="16">
        <f t="shared" si="4"/>
        <v>0</v>
      </c>
      <c r="CV34" s="16">
        <f t="shared" si="4"/>
        <v>0</v>
      </c>
      <c r="CW34" s="16">
        <f t="shared" si="4"/>
        <v>0</v>
      </c>
      <c r="CX34" s="16">
        <f t="shared" si="4"/>
        <v>0</v>
      </c>
      <c r="CY34" s="16">
        <f t="shared" si="4"/>
        <v>0</v>
      </c>
      <c r="CZ34" s="16">
        <f t="shared" si="4"/>
        <v>0</v>
      </c>
      <c r="DA34" s="16">
        <f t="shared" si="4"/>
        <v>0</v>
      </c>
      <c r="DB34" s="16">
        <f t="shared" si="4"/>
        <v>0</v>
      </c>
      <c r="DC34" s="16">
        <f t="shared" si="4"/>
        <v>0</v>
      </c>
      <c r="DD34" s="16">
        <f t="shared" si="4"/>
        <v>0</v>
      </c>
      <c r="DE34" s="16">
        <f t="shared" si="4"/>
        <v>0</v>
      </c>
      <c r="DF34" s="16">
        <f t="shared" si="4"/>
        <v>0</v>
      </c>
      <c r="DG34" s="23">
        <f t="shared" si="5"/>
        <v>0.3</v>
      </c>
    </row>
    <row r="35" spans="1:111" x14ac:dyDescent="0.2">
      <c r="A35" s="15" t="str">
        <f t="shared" si="6"/>
        <v>Retourneur à lingot</v>
      </c>
      <c r="B35" s="16">
        <f t="shared" si="6"/>
        <v>0.14000000000000001</v>
      </c>
      <c r="C35" s="16">
        <f t="shared" si="7"/>
        <v>0</v>
      </c>
      <c r="D35" s="16">
        <f t="shared" si="7"/>
        <v>0</v>
      </c>
      <c r="E35" s="16">
        <f t="shared" si="7"/>
        <v>0</v>
      </c>
      <c r="F35" s="16">
        <f t="shared" si="7"/>
        <v>0</v>
      </c>
      <c r="G35" s="16">
        <f t="shared" si="7"/>
        <v>0</v>
      </c>
      <c r="H35" s="16">
        <f t="shared" si="7"/>
        <v>0</v>
      </c>
      <c r="I35" s="16">
        <f t="shared" si="7"/>
        <v>0</v>
      </c>
      <c r="J35" s="16">
        <f t="shared" si="7"/>
        <v>0</v>
      </c>
      <c r="K35" s="16">
        <f t="shared" si="7"/>
        <v>0</v>
      </c>
      <c r="L35" s="16">
        <f t="shared" si="7"/>
        <v>0</v>
      </c>
      <c r="M35" s="16">
        <f t="shared" si="7"/>
        <v>0</v>
      </c>
      <c r="N35" s="16">
        <f t="shared" si="7"/>
        <v>0</v>
      </c>
      <c r="O35" s="16">
        <f t="shared" si="7"/>
        <v>0</v>
      </c>
      <c r="P35" s="16">
        <f t="shared" si="7"/>
        <v>0</v>
      </c>
      <c r="Q35" s="16">
        <f t="shared" si="7"/>
        <v>0</v>
      </c>
      <c r="R35" s="16">
        <f t="shared" si="7"/>
        <v>0</v>
      </c>
      <c r="S35" s="16">
        <f t="shared" si="9"/>
        <v>2.1000000000000001E-2</v>
      </c>
      <c r="T35" s="16">
        <f t="shared" si="9"/>
        <v>7.000000000000001E-3</v>
      </c>
      <c r="U35" s="16">
        <f t="shared" si="9"/>
        <v>0</v>
      </c>
      <c r="V35" s="16">
        <f t="shared" si="9"/>
        <v>0</v>
      </c>
      <c r="W35" s="16">
        <f t="shared" si="9"/>
        <v>0</v>
      </c>
      <c r="X35" s="16">
        <f t="shared" si="9"/>
        <v>0</v>
      </c>
      <c r="Y35" s="16">
        <f t="shared" si="9"/>
        <v>2.1000000000000001E-2</v>
      </c>
      <c r="Z35" s="16">
        <f t="shared" si="9"/>
        <v>0</v>
      </c>
      <c r="AA35" s="16">
        <f t="shared" si="9"/>
        <v>2.8000000000000004E-2</v>
      </c>
      <c r="AB35" s="16">
        <f t="shared" si="9"/>
        <v>3.5000000000000003E-2</v>
      </c>
      <c r="AC35" s="16">
        <f t="shared" si="9"/>
        <v>0</v>
      </c>
      <c r="AD35" s="16">
        <f t="shared" si="9"/>
        <v>2.1000000000000001E-2</v>
      </c>
      <c r="AE35" s="16">
        <f t="shared" si="9"/>
        <v>0</v>
      </c>
      <c r="AF35" s="16">
        <f t="shared" si="9"/>
        <v>0</v>
      </c>
      <c r="AG35" s="16">
        <f t="shared" si="9"/>
        <v>0</v>
      </c>
      <c r="AH35" s="16">
        <f t="shared" si="9"/>
        <v>0</v>
      </c>
      <c r="AI35" s="16">
        <f t="shared" si="9"/>
        <v>0</v>
      </c>
      <c r="AJ35" s="16">
        <f t="shared" si="9"/>
        <v>0</v>
      </c>
      <c r="AK35" s="16">
        <f t="shared" si="9"/>
        <v>0</v>
      </c>
      <c r="AL35" s="16">
        <f t="shared" si="9"/>
        <v>0</v>
      </c>
      <c r="AM35" s="16">
        <f t="shared" si="9"/>
        <v>0</v>
      </c>
      <c r="AN35" s="16">
        <f t="shared" si="9"/>
        <v>0</v>
      </c>
      <c r="AO35" s="16">
        <f t="shared" si="9"/>
        <v>0</v>
      </c>
      <c r="AP35" s="16">
        <f t="shared" si="9"/>
        <v>7.000000000000001E-3</v>
      </c>
      <c r="AQ35" s="16">
        <f t="shared" si="9"/>
        <v>0</v>
      </c>
      <c r="AR35" s="16">
        <f t="shared" si="9"/>
        <v>0</v>
      </c>
      <c r="AS35" s="16">
        <f t="shared" si="9"/>
        <v>0</v>
      </c>
      <c r="AT35" s="16">
        <f t="shared" si="9"/>
        <v>0</v>
      </c>
      <c r="AU35" s="16">
        <f t="shared" si="9"/>
        <v>0</v>
      </c>
      <c r="AV35" s="16">
        <f t="shared" si="9"/>
        <v>0</v>
      </c>
      <c r="AW35" s="16">
        <f t="shared" si="9"/>
        <v>0</v>
      </c>
      <c r="AX35" s="16">
        <f t="shared" si="9"/>
        <v>0</v>
      </c>
      <c r="AY35" s="16">
        <f t="shared" si="9"/>
        <v>0</v>
      </c>
      <c r="AZ35" s="16">
        <f t="shared" si="9"/>
        <v>0</v>
      </c>
      <c r="BA35" s="16">
        <f t="shared" si="9"/>
        <v>0</v>
      </c>
      <c r="BB35" s="16">
        <f t="shared" si="9"/>
        <v>0</v>
      </c>
      <c r="BC35" s="16">
        <f t="shared" si="9"/>
        <v>0</v>
      </c>
      <c r="BD35" s="16">
        <f t="shared" si="9"/>
        <v>0</v>
      </c>
      <c r="BE35" s="16">
        <f t="shared" si="9"/>
        <v>0</v>
      </c>
      <c r="BF35" s="16">
        <f t="shared" si="9"/>
        <v>0</v>
      </c>
      <c r="BG35" s="16">
        <f t="shared" si="9"/>
        <v>0</v>
      </c>
      <c r="BH35" s="16">
        <f t="shared" si="9"/>
        <v>0</v>
      </c>
      <c r="BI35" s="16">
        <f t="shared" si="9"/>
        <v>0</v>
      </c>
      <c r="BJ35" s="16">
        <f t="shared" si="9"/>
        <v>0</v>
      </c>
      <c r="BK35" s="16">
        <f t="shared" si="9"/>
        <v>0</v>
      </c>
      <c r="BL35" s="16">
        <f t="shared" si="9"/>
        <v>0</v>
      </c>
      <c r="BM35" s="16">
        <f t="shared" si="9"/>
        <v>0</v>
      </c>
      <c r="BN35" s="16">
        <f t="shared" si="9"/>
        <v>0</v>
      </c>
      <c r="BO35" s="16">
        <f t="shared" si="9"/>
        <v>0</v>
      </c>
      <c r="BP35" s="16">
        <f t="shared" si="4"/>
        <v>0</v>
      </c>
      <c r="BQ35" s="16">
        <f t="shared" si="4"/>
        <v>0</v>
      </c>
      <c r="BR35" s="16">
        <f t="shared" si="4"/>
        <v>0</v>
      </c>
      <c r="BS35" s="16">
        <f t="shared" si="4"/>
        <v>0</v>
      </c>
      <c r="BT35" s="16">
        <f t="shared" si="4"/>
        <v>0</v>
      </c>
      <c r="BU35" s="16">
        <f t="shared" si="4"/>
        <v>0</v>
      </c>
      <c r="BV35" s="16">
        <f t="shared" si="4"/>
        <v>0</v>
      </c>
      <c r="BW35" s="16">
        <f t="shared" si="4"/>
        <v>0</v>
      </c>
      <c r="BX35" s="16">
        <f t="shared" si="4"/>
        <v>0</v>
      </c>
      <c r="BY35" s="16">
        <f t="shared" si="4"/>
        <v>0</v>
      </c>
      <c r="BZ35" s="16">
        <f t="shared" si="4"/>
        <v>0</v>
      </c>
      <c r="CA35" s="16">
        <f t="shared" si="4"/>
        <v>0</v>
      </c>
      <c r="CB35" s="16">
        <f t="shared" si="4"/>
        <v>0</v>
      </c>
      <c r="CC35" s="16">
        <f t="shared" si="4"/>
        <v>0</v>
      </c>
      <c r="CD35" s="16">
        <f t="shared" si="4"/>
        <v>0</v>
      </c>
      <c r="CE35" s="16">
        <f t="shared" si="4"/>
        <v>0</v>
      </c>
      <c r="CF35" s="16">
        <f t="shared" si="4"/>
        <v>0</v>
      </c>
      <c r="CG35" s="16">
        <f t="shared" si="4"/>
        <v>0</v>
      </c>
      <c r="CH35" s="16">
        <f t="shared" si="4"/>
        <v>0</v>
      </c>
      <c r="CI35" s="16">
        <f t="shared" si="4"/>
        <v>0</v>
      </c>
      <c r="CJ35" s="16">
        <f t="shared" si="4"/>
        <v>0</v>
      </c>
      <c r="CK35" s="16">
        <f t="shared" si="4"/>
        <v>0</v>
      </c>
      <c r="CL35" s="16">
        <f t="shared" si="4"/>
        <v>0</v>
      </c>
      <c r="CM35" s="16">
        <f t="shared" si="4"/>
        <v>0</v>
      </c>
      <c r="CN35" s="16">
        <f t="shared" si="4"/>
        <v>0</v>
      </c>
      <c r="CO35" s="16">
        <f t="shared" si="4"/>
        <v>0</v>
      </c>
      <c r="CP35" s="16">
        <f t="shared" ref="CP35:DF35" si="11">IF(CP12="",0,$B12*CP12)</f>
        <v>0</v>
      </c>
      <c r="CQ35" s="16">
        <f t="shared" si="11"/>
        <v>0</v>
      </c>
      <c r="CR35" s="16">
        <f t="shared" si="11"/>
        <v>0</v>
      </c>
      <c r="CS35" s="16">
        <f t="shared" si="11"/>
        <v>0</v>
      </c>
      <c r="CT35" s="16">
        <f t="shared" si="11"/>
        <v>0</v>
      </c>
      <c r="CU35" s="16">
        <f t="shared" si="11"/>
        <v>0</v>
      </c>
      <c r="CV35" s="16">
        <f t="shared" si="11"/>
        <v>0</v>
      </c>
      <c r="CW35" s="16">
        <f t="shared" si="11"/>
        <v>0</v>
      </c>
      <c r="CX35" s="16">
        <f t="shared" si="11"/>
        <v>0</v>
      </c>
      <c r="CY35" s="16">
        <f t="shared" si="11"/>
        <v>0</v>
      </c>
      <c r="CZ35" s="16">
        <f t="shared" si="11"/>
        <v>0</v>
      </c>
      <c r="DA35" s="16">
        <f t="shared" si="11"/>
        <v>0</v>
      </c>
      <c r="DB35" s="16">
        <f t="shared" si="11"/>
        <v>0</v>
      </c>
      <c r="DC35" s="16">
        <f t="shared" si="11"/>
        <v>0</v>
      </c>
      <c r="DD35" s="16">
        <f t="shared" si="11"/>
        <v>0</v>
      </c>
      <c r="DE35" s="16">
        <f t="shared" si="11"/>
        <v>0</v>
      </c>
      <c r="DF35" s="16">
        <f t="shared" si="11"/>
        <v>0</v>
      </c>
      <c r="DG35" s="23">
        <f t="shared" si="5"/>
        <v>0.14000000000000001</v>
      </c>
    </row>
    <row r="36" spans="1:111" x14ac:dyDescent="0.2">
      <c r="A36" s="15" t="str">
        <f t="shared" si="6"/>
        <v>Unité de pesage et briquetage :</v>
      </c>
      <c r="B36" s="16">
        <f t="shared" si="6"/>
        <v>2.95</v>
      </c>
      <c r="C36" s="16">
        <f t="shared" si="7"/>
        <v>0</v>
      </c>
      <c r="D36" s="16">
        <f t="shared" si="7"/>
        <v>0</v>
      </c>
      <c r="E36" s="16">
        <f t="shared" si="7"/>
        <v>0</v>
      </c>
      <c r="F36" s="16">
        <f t="shared" si="7"/>
        <v>0</v>
      </c>
      <c r="G36" s="16">
        <f t="shared" si="7"/>
        <v>0</v>
      </c>
      <c r="H36" s="16">
        <f t="shared" si="7"/>
        <v>0</v>
      </c>
      <c r="I36" s="16">
        <f t="shared" si="7"/>
        <v>0</v>
      </c>
      <c r="J36" s="16">
        <f t="shared" si="7"/>
        <v>0</v>
      </c>
      <c r="K36" s="16">
        <f t="shared" si="7"/>
        <v>0</v>
      </c>
      <c r="L36" s="16">
        <f t="shared" si="7"/>
        <v>0</v>
      </c>
      <c r="M36" s="16">
        <f t="shared" si="7"/>
        <v>0</v>
      </c>
      <c r="N36" s="16">
        <f t="shared" si="7"/>
        <v>0</v>
      </c>
      <c r="O36" s="16">
        <f t="shared" si="7"/>
        <v>0.4425</v>
      </c>
      <c r="P36" s="16">
        <f t="shared" si="7"/>
        <v>0</v>
      </c>
      <c r="Q36" s="16">
        <f t="shared" si="7"/>
        <v>0.29500000000000004</v>
      </c>
      <c r="R36" s="16">
        <f t="shared" si="7"/>
        <v>0</v>
      </c>
      <c r="S36" s="16">
        <f t="shared" si="9"/>
        <v>0</v>
      </c>
      <c r="T36" s="16">
        <f t="shared" si="9"/>
        <v>0</v>
      </c>
      <c r="U36" s="16">
        <f t="shared" si="9"/>
        <v>0.59000000000000008</v>
      </c>
      <c r="V36" s="16">
        <f t="shared" si="9"/>
        <v>0</v>
      </c>
      <c r="W36" s="16">
        <f t="shared" si="9"/>
        <v>0.4425</v>
      </c>
      <c r="X36" s="16">
        <f t="shared" si="9"/>
        <v>0</v>
      </c>
      <c r="Y36" s="16">
        <f t="shared" si="9"/>
        <v>0.59000000000000008</v>
      </c>
      <c r="Z36" s="16">
        <f t="shared" si="9"/>
        <v>0</v>
      </c>
      <c r="AA36" s="16">
        <f t="shared" si="9"/>
        <v>0.4425</v>
      </c>
      <c r="AB36" s="16">
        <f t="shared" si="9"/>
        <v>0</v>
      </c>
      <c r="AC36" s="16">
        <f t="shared" si="9"/>
        <v>0</v>
      </c>
      <c r="AD36" s="16">
        <f t="shared" si="9"/>
        <v>0</v>
      </c>
      <c r="AE36" s="16">
        <f t="shared" si="9"/>
        <v>0</v>
      </c>
      <c r="AF36" s="16">
        <f t="shared" si="9"/>
        <v>0</v>
      </c>
      <c r="AG36" s="16">
        <f t="shared" si="9"/>
        <v>0</v>
      </c>
      <c r="AH36" s="16">
        <f t="shared" si="9"/>
        <v>0</v>
      </c>
      <c r="AI36" s="16">
        <f t="shared" si="9"/>
        <v>0</v>
      </c>
      <c r="AJ36" s="16">
        <f t="shared" si="9"/>
        <v>0</v>
      </c>
      <c r="AK36" s="16">
        <f t="shared" si="9"/>
        <v>0</v>
      </c>
      <c r="AL36" s="16">
        <f t="shared" si="9"/>
        <v>0</v>
      </c>
      <c r="AM36" s="16">
        <f t="shared" si="9"/>
        <v>0.14750000000000002</v>
      </c>
      <c r="AN36" s="16">
        <f t="shared" si="9"/>
        <v>0</v>
      </c>
      <c r="AO36" s="16">
        <f t="shared" si="9"/>
        <v>0</v>
      </c>
      <c r="AP36" s="16">
        <f t="shared" si="9"/>
        <v>0</v>
      </c>
      <c r="AQ36" s="16">
        <f t="shared" si="9"/>
        <v>0</v>
      </c>
      <c r="AR36" s="16">
        <f t="shared" si="9"/>
        <v>0</v>
      </c>
      <c r="AS36" s="16">
        <f t="shared" si="9"/>
        <v>0</v>
      </c>
      <c r="AT36" s="16">
        <f t="shared" si="9"/>
        <v>0</v>
      </c>
      <c r="AU36" s="16">
        <f t="shared" si="9"/>
        <v>0</v>
      </c>
      <c r="AV36" s="16">
        <f t="shared" si="9"/>
        <v>0</v>
      </c>
      <c r="AW36" s="16">
        <f t="shared" si="9"/>
        <v>0</v>
      </c>
      <c r="AX36" s="16">
        <f t="shared" si="9"/>
        <v>0</v>
      </c>
      <c r="AY36" s="16">
        <f t="shared" si="9"/>
        <v>0</v>
      </c>
      <c r="AZ36" s="16">
        <f t="shared" si="9"/>
        <v>0</v>
      </c>
      <c r="BA36" s="16">
        <f t="shared" si="9"/>
        <v>0</v>
      </c>
      <c r="BB36" s="16">
        <f t="shared" si="9"/>
        <v>0</v>
      </c>
      <c r="BC36" s="16">
        <f t="shared" si="9"/>
        <v>0</v>
      </c>
      <c r="BD36" s="16">
        <f t="shared" si="9"/>
        <v>0</v>
      </c>
      <c r="BE36" s="16">
        <f t="shared" si="9"/>
        <v>0</v>
      </c>
      <c r="BF36" s="16">
        <f t="shared" si="9"/>
        <v>0</v>
      </c>
      <c r="BG36" s="16">
        <f t="shared" si="9"/>
        <v>0</v>
      </c>
      <c r="BH36" s="16">
        <f t="shared" si="9"/>
        <v>0</v>
      </c>
      <c r="BI36" s="16">
        <f t="shared" si="9"/>
        <v>0</v>
      </c>
      <c r="BJ36" s="16">
        <f t="shared" si="9"/>
        <v>0</v>
      </c>
      <c r="BK36" s="16">
        <f t="shared" si="9"/>
        <v>0</v>
      </c>
      <c r="BL36" s="16">
        <f t="shared" si="9"/>
        <v>0</v>
      </c>
      <c r="BM36" s="16">
        <f t="shared" si="9"/>
        <v>0</v>
      </c>
      <c r="BN36" s="16">
        <f t="shared" si="9"/>
        <v>0</v>
      </c>
      <c r="BO36" s="16">
        <f t="shared" si="9"/>
        <v>0</v>
      </c>
      <c r="BP36" s="16">
        <f t="shared" si="9"/>
        <v>0</v>
      </c>
      <c r="BQ36" s="16">
        <f t="shared" si="9"/>
        <v>0</v>
      </c>
      <c r="BR36" s="16">
        <f t="shared" si="9"/>
        <v>0</v>
      </c>
      <c r="BS36" s="16">
        <f t="shared" si="9"/>
        <v>0</v>
      </c>
      <c r="BT36" s="16">
        <f t="shared" si="9"/>
        <v>0</v>
      </c>
      <c r="BU36" s="16">
        <f t="shared" si="9"/>
        <v>0</v>
      </c>
      <c r="BV36" s="16">
        <f t="shared" si="9"/>
        <v>0</v>
      </c>
      <c r="BW36" s="16">
        <f t="shared" si="9"/>
        <v>0</v>
      </c>
      <c r="BX36" s="16">
        <f t="shared" si="9"/>
        <v>0</v>
      </c>
      <c r="BY36" s="16">
        <f t="shared" si="9"/>
        <v>0</v>
      </c>
      <c r="BZ36" s="16">
        <f t="shared" si="9"/>
        <v>0</v>
      </c>
      <c r="CA36" s="16">
        <f t="shared" si="9"/>
        <v>0</v>
      </c>
      <c r="CB36" s="16">
        <f t="shared" si="9"/>
        <v>0</v>
      </c>
      <c r="CC36" s="16">
        <f t="shared" si="9"/>
        <v>0</v>
      </c>
      <c r="CD36" s="16">
        <f t="shared" si="9"/>
        <v>0</v>
      </c>
      <c r="CE36" s="16">
        <f t="shared" ref="BP36:DF37" si="12">IF(CE13="",0,$B13*CE13)</f>
        <v>0</v>
      </c>
      <c r="CF36" s="16">
        <f t="shared" si="12"/>
        <v>0</v>
      </c>
      <c r="CG36" s="16">
        <f t="shared" si="12"/>
        <v>0</v>
      </c>
      <c r="CH36" s="16">
        <f t="shared" si="12"/>
        <v>0</v>
      </c>
      <c r="CI36" s="16">
        <f t="shared" si="12"/>
        <v>0</v>
      </c>
      <c r="CJ36" s="16">
        <f t="shared" si="12"/>
        <v>0</v>
      </c>
      <c r="CK36" s="16">
        <f t="shared" si="12"/>
        <v>0</v>
      </c>
      <c r="CL36" s="16">
        <f t="shared" si="12"/>
        <v>0</v>
      </c>
      <c r="CM36" s="16">
        <f t="shared" si="12"/>
        <v>0</v>
      </c>
      <c r="CN36" s="16">
        <f t="shared" si="12"/>
        <v>0</v>
      </c>
      <c r="CO36" s="16">
        <f t="shared" si="12"/>
        <v>0</v>
      </c>
      <c r="CP36" s="16">
        <f t="shared" si="12"/>
        <v>0</v>
      </c>
      <c r="CQ36" s="16">
        <f t="shared" si="12"/>
        <v>0</v>
      </c>
      <c r="CR36" s="16">
        <f t="shared" si="12"/>
        <v>0</v>
      </c>
      <c r="CS36" s="16">
        <f t="shared" si="12"/>
        <v>0</v>
      </c>
      <c r="CT36" s="16">
        <f t="shared" si="12"/>
        <v>0</v>
      </c>
      <c r="CU36" s="16">
        <f t="shared" si="12"/>
        <v>0</v>
      </c>
      <c r="CV36" s="16">
        <f t="shared" si="12"/>
        <v>0</v>
      </c>
      <c r="CW36" s="16">
        <f t="shared" si="12"/>
        <v>0</v>
      </c>
      <c r="CX36" s="16">
        <f t="shared" si="12"/>
        <v>0</v>
      </c>
      <c r="CY36" s="16">
        <f t="shared" si="12"/>
        <v>0</v>
      </c>
      <c r="CZ36" s="16">
        <f t="shared" si="12"/>
        <v>0</v>
      </c>
      <c r="DA36" s="16">
        <f t="shared" si="12"/>
        <v>0</v>
      </c>
      <c r="DB36" s="16">
        <f t="shared" si="12"/>
        <v>0</v>
      </c>
      <c r="DC36" s="16">
        <f t="shared" si="12"/>
        <v>0</v>
      </c>
      <c r="DD36" s="16">
        <f t="shared" si="12"/>
        <v>0</v>
      </c>
      <c r="DE36" s="16">
        <f t="shared" si="12"/>
        <v>0</v>
      </c>
      <c r="DF36" s="16">
        <f t="shared" si="12"/>
        <v>0</v>
      </c>
      <c r="DG36" s="23">
        <f t="shared" si="5"/>
        <v>2.95</v>
      </c>
    </row>
    <row r="37" spans="1:111" x14ac:dyDescent="0.2">
      <c r="A37" s="15" t="str">
        <f t="shared" si="6"/>
        <v>Equipement prépa chutes et parachèvement :</v>
      </c>
      <c r="B37" s="16">
        <f t="shared" si="6"/>
        <v>1.7</v>
      </c>
      <c r="C37" s="16">
        <f t="shared" si="7"/>
        <v>0</v>
      </c>
      <c r="D37" s="16">
        <f t="shared" si="7"/>
        <v>0</v>
      </c>
      <c r="E37" s="16">
        <f t="shared" si="7"/>
        <v>0</v>
      </c>
      <c r="F37" s="16">
        <f t="shared" si="7"/>
        <v>0</v>
      </c>
      <c r="G37" s="16">
        <f t="shared" si="7"/>
        <v>0</v>
      </c>
      <c r="H37" s="16">
        <f t="shared" si="7"/>
        <v>0</v>
      </c>
      <c r="I37" s="16">
        <f t="shared" si="7"/>
        <v>0</v>
      </c>
      <c r="J37" s="16">
        <f t="shared" si="7"/>
        <v>0</v>
      </c>
      <c r="K37" s="16">
        <f t="shared" si="7"/>
        <v>0</v>
      </c>
      <c r="L37" s="16">
        <f t="shared" si="7"/>
        <v>0</v>
      </c>
      <c r="M37" s="16">
        <f t="shared" si="7"/>
        <v>0</v>
      </c>
      <c r="N37" s="16">
        <f t="shared" si="7"/>
        <v>0</v>
      </c>
      <c r="O37" s="16">
        <f t="shared" si="7"/>
        <v>0.255</v>
      </c>
      <c r="P37" s="16">
        <f t="shared" si="7"/>
        <v>0</v>
      </c>
      <c r="Q37" s="16">
        <f t="shared" si="7"/>
        <v>8.5000000000000006E-2</v>
      </c>
      <c r="R37" s="16">
        <f t="shared" si="7"/>
        <v>0</v>
      </c>
      <c r="S37" s="16">
        <f t="shared" si="9"/>
        <v>0</v>
      </c>
      <c r="T37" s="16">
        <f t="shared" si="9"/>
        <v>0</v>
      </c>
      <c r="U37" s="16">
        <f t="shared" si="9"/>
        <v>0</v>
      </c>
      <c r="V37" s="16">
        <f t="shared" si="9"/>
        <v>0.255</v>
      </c>
      <c r="W37" s="16">
        <f t="shared" si="9"/>
        <v>0</v>
      </c>
      <c r="X37" s="16">
        <f t="shared" si="9"/>
        <v>0.34</v>
      </c>
      <c r="Y37" s="16">
        <f t="shared" si="9"/>
        <v>0</v>
      </c>
      <c r="Z37" s="16">
        <f t="shared" si="9"/>
        <v>0.42499999999999999</v>
      </c>
      <c r="AA37" s="16">
        <f t="shared" si="9"/>
        <v>0</v>
      </c>
      <c r="AB37" s="16">
        <f t="shared" si="9"/>
        <v>0.255</v>
      </c>
      <c r="AC37" s="16">
        <f t="shared" si="9"/>
        <v>0</v>
      </c>
      <c r="AD37" s="16">
        <f t="shared" si="9"/>
        <v>0</v>
      </c>
      <c r="AE37" s="16">
        <f t="shared" si="9"/>
        <v>0</v>
      </c>
      <c r="AF37" s="16">
        <f t="shared" si="9"/>
        <v>0</v>
      </c>
      <c r="AG37" s="16">
        <f t="shared" si="9"/>
        <v>0</v>
      </c>
      <c r="AH37" s="16">
        <f t="shared" si="9"/>
        <v>0</v>
      </c>
      <c r="AI37" s="16">
        <f t="shared" si="9"/>
        <v>0</v>
      </c>
      <c r="AJ37" s="16">
        <f t="shared" si="9"/>
        <v>0</v>
      </c>
      <c r="AK37" s="16">
        <f t="shared" si="9"/>
        <v>0</v>
      </c>
      <c r="AL37" s="16">
        <f t="shared" si="9"/>
        <v>0</v>
      </c>
      <c r="AM37" s="16">
        <f t="shared" si="9"/>
        <v>0</v>
      </c>
      <c r="AN37" s="16">
        <f t="shared" si="9"/>
        <v>8.5000000000000006E-2</v>
      </c>
      <c r="AO37" s="16">
        <f t="shared" si="9"/>
        <v>0</v>
      </c>
      <c r="AP37" s="16">
        <f t="shared" si="9"/>
        <v>0</v>
      </c>
      <c r="AQ37" s="16">
        <f t="shared" si="9"/>
        <v>0</v>
      </c>
      <c r="AR37" s="16">
        <f t="shared" si="9"/>
        <v>0</v>
      </c>
      <c r="AS37" s="16">
        <f t="shared" si="9"/>
        <v>0</v>
      </c>
      <c r="AT37" s="16">
        <f t="shared" si="9"/>
        <v>0</v>
      </c>
      <c r="AU37" s="16">
        <f t="shared" si="9"/>
        <v>0</v>
      </c>
      <c r="AV37" s="16">
        <f t="shared" si="9"/>
        <v>0</v>
      </c>
      <c r="AW37" s="16">
        <f t="shared" si="9"/>
        <v>0</v>
      </c>
      <c r="AX37" s="16">
        <f t="shared" si="9"/>
        <v>0</v>
      </c>
      <c r="AY37" s="16">
        <f t="shared" si="9"/>
        <v>0</v>
      </c>
      <c r="AZ37" s="16">
        <f t="shared" si="9"/>
        <v>0</v>
      </c>
      <c r="BA37" s="16">
        <f t="shared" si="9"/>
        <v>0</v>
      </c>
      <c r="BB37" s="16">
        <f t="shared" si="9"/>
        <v>0</v>
      </c>
      <c r="BC37" s="16">
        <f t="shared" si="9"/>
        <v>0</v>
      </c>
      <c r="BD37" s="16">
        <f t="shared" si="9"/>
        <v>0</v>
      </c>
      <c r="BE37" s="16">
        <f t="shared" si="9"/>
        <v>0</v>
      </c>
      <c r="BF37" s="16">
        <f t="shared" si="9"/>
        <v>0</v>
      </c>
      <c r="BG37" s="16">
        <f t="shared" si="9"/>
        <v>0</v>
      </c>
      <c r="BH37" s="16">
        <f t="shared" si="9"/>
        <v>0</v>
      </c>
      <c r="BI37" s="16">
        <f t="shared" si="9"/>
        <v>0</v>
      </c>
      <c r="BJ37" s="16">
        <f t="shared" si="9"/>
        <v>0</v>
      </c>
      <c r="BK37" s="16">
        <f t="shared" si="9"/>
        <v>0</v>
      </c>
      <c r="BL37" s="16">
        <f t="shared" si="9"/>
        <v>0</v>
      </c>
      <c r="BM37" s="16">
        <f t="shared" si="9"/>
        <v>0</v>
      </c>
      <c r="BN37" s="16">
        <f t="shared" si="9"/>
        <v>0</v>
      </c>
      <c r="BO37" s="16">
        <f t="shared" si="9"/>
        <v>0</v>
      </c>
      <c r="BP37" s="16">
        <f t="shared" si="12"/>
        <v>0</v>
      </c>
      <c r="BQ37" s="16">
        <f t="shared" si="12"/>
        <v>0</v>
      </c>
      <c r="BR37" s="16">
        <f t="shared" si="12"/>
        <v>0</v>
      </c>
      <c r="BS37" s="16">
        <f t="shared" si="12"/>
        <v>0</v>
      </c>
      <c r="BT37" s="16">
        <f t="shared" si="12"/>
        <v>0</v>
      </c>
      <c r="BU37" s="16">
        <f t="shared" si="12"/>
        <v>0</v>
      </c>
      <c r="BV37" s="16">
        <f t="shared" si="12"/>
        <v>0</v>
      </c>
      <c r="BW37" s="16">
        <f t="shared" si="12"/>
        <v>0</v>
      </c>
      <c r="BX37" s="16">
        <f t="shared" si="12"/>
        <v>0</v>
      </c>
      <c r="BY37" s="16">
        <f t="shared" si="12"/>
        <v>0</v>
      </c>
      <c r="BZ37" s="16">
        <f t="shared" si="12"/>
        <v>0</v>
      </c>
      <c r="CA37" s="16">
        <f t="shared" si="12"/>
        <v>0</v>
      </c>
      <c r="CB37" s="16">
        <f t="shared" si="12"/>
        <v>0</v>
      </c>
      <c r="CC37" s="16">
        <f t="shared" si="12"/>
        <v>0</v>
      </c>
      <c r="CD37" s="16">
        <f t="shared" si="12"/>
        <v>0</v>
      </c>
      <c r="CE37" s="16">
        <f t="shared" si="12"/>
        <v>0</v>
      </c>
      <c r="CF37" s="16">
        <f t="shared" si="12"/>
        <v>0</v>
      </c>
      <c r="CG37" s="16">
        <f t="shared" si="12"/>
        <v>0</v>
      </c>
      <c r="CH37" s="16">
        <f t="shared" si="12"/>
        <v>0</v>
      </c>
      <c r="CI37" s="16">
        <f t="shared" si="12"/>
        <v>0</v>
      </c>
      <c r="CJ37" s="16">
        <f t="shared" si="12"/>
        <v>0</v>
      </c>
      <c r="CK37" s="16">
        <f t="shared" si="12"/>
        <v>0</v>
      </c>
      <c r="CL37" s="16">
        <f t="shared" si="12"/>
        <v>0</v>
      </c>
      <c r="CM37" s="16">
        <f t="shared" si="12"/>
        <v>0</v>
      </c>
      <c r="CN37" s="16">
        <f t="shared" si="12"/>
        <v>0</v>
      </c>
      <c r="CO37" s="16">
        <f t="shared" si="12"/>
        <v>0</v>
      </c>
      <c r="CP37" s="16">
        <f t="shared" si="12"/>
        <v>0</v>
      </c>
      <c r="CQ37" s="16">
        <f t="shared" si="12"/>
        <v>0</v>
      </c>
      <c r="CR37" s="16">
        <f t="shared" si="12"/>
        <v>0</v>
      </c>
      <c r="CS37" s="16">
        <f t="shared" si="12"/>
        <v>0</v>
      </c>
      <c r="CT37" s="16">
        <f t="shared" si="12"/>
        <v>0</v>
      </c>
      <c r="CU37" s="16">
        <f t="shared" si="12"/>
        <v>0</v>
      </c>
      <c r="CV37" s="16">
        <f t="shared" si="12"/>
        <v>0</v>
      </c>
      <c r="CW37" s="16">
        <f t="shared" si="12"/>
        <v>0</v>
      </c>
      <c r="CX37" s="16">
        <f t="shared" si="12"/>
        <v>0</v>
      </c>
      <c r="CY37" s="16">
        <f t="shared" si="12"/>
        <v>0</v>
      </c>
      <c r="CZ37" s="16">
        <f t="shared" si="12"/>
        <v>0</v>
      </c>
      <c r="DA37" s="16">
        <f t="shared" si="12"/>
        <v>0</v>
      </c>
      <c r="DB37" s="16">
        <f t="shared" si="12"/>
        <v>0</v>
      </c>
      <c r="DC37" s="16">
        <f t="shared" si="12"/>
        <v>0</v>
      </c>
      <c r="DD37" s="16">
        <f t="shared" si="12"/>
        <v>0</v>
      </c>
      <c r="DE37" s="16">
        <f t="shared" si="12"/>
        <v>0</v>
      </c>
      <c r="DF37" s="16">
        <f t="shared" si="12"/>
        <v>0</v>
      </c>
      <c r="DG37" s="23">
        <f t="shared" si="5"/>
        <v>1.7000000000000002</v>
      </c>
    </row>
    <row r="38" spans="1:111" x14ac:dyDescent="0.2">
      <c r="A38" s="15" t="str">
        <f t="shared" si="6"/>
        <v>Terrain (Avril 2014)</v>
      </c>
      <c r="B38" s="23">
        <f t="shared" si="6"/>
        <v>0.43</v>
      </c>
      <c r="C38" s="16">
        <f t="shared" si="7"/>
        <v>0.43</v>
      </c>
      <c r="D38" s="16">
        <f t="shared" si="7"/>
        <v>0</v>
      </c>
      <c r="E38" s="16">
        <f t="shared" si="7"/>
        <v>0</v>
      </c>
      <c r="F38" s="16">
        <f t="shared" si="7"/>
        <v>0</v>
      </c>
      <c r="G38" s="16">
        <f t="shared" si="7"/>
        <v>0</v>
      </c>
      <c r="H38" s="16">
        <f t="shared" si="7"/>
        <v>0</v>
      </c>
      <c r="I38" s="16">
        <f t="shared" si="7"/>
        <v>0</v>
      </c>
      <c r="J38" s="16">
        <f t="shared" si="7"/>
        <v>0</v>
      </c>
      <c r="K38" s="16">
        <f t="shared" si="7"/>
        <v>0</v>
      </c>
      <c r="L38" s="16">
        <f t="shared" si="7"/>
        <v>0</v>
      </c>
      <c r="M38" s="16">
        <f t="shared" si="7"/>
        <v>0</v>
      </c>
      <c r="N38" s="16">
        <f t="shared" si="7"/>
        <v>0</v>
      </c>
      <c r="O38" s="16">
        <f t="shared" si="7"/>
        <v>0</v>
      </c>
      <c r="P38" s="16">
        <f t="shared" si="7"/>
        <v>0</v>
      </c>
      <c r="Q38" s="16">
        <f t="shared" si="7"/>
        <v>0</v>
      </c>
      <c r="R38" s="16">
        <f t="shared" si="7"/>
        <v>0</v>
      </c>
      <c r="S38" s="16">
        <f t="shared" si="9"/>
        <v>0</v>
      </c>
      <c r="T38" s="16">
        <f t="shared" si="9"/>
        <v>0</v>
      </c>
      <c r="U38" s="16">
        <f t="shared" si="9"/>
        <v>0</v>
      </c>
      <c r="V38" s="16">
        <f t="shared" si="9"/>
        <v>0</v>
      </c>
      <c r="W38" s="16">
        <f t="shared" si="9"/>
        <v>0</v>
      </c>
      <c r="X38" s="16">
        <f t="shared" si="9"/>
        <v>0</v>
      </c>
      <c r="Y38" s="16">
        <f t="shared" si="9"/>
        <v>0</v>
      </c>
      <c r="Z38" s="16">
        <f t="shared" si="9"/>
        <v>0</v>
      </c>
      <c r="AA38" s="16">
        <f t="shared" si="9"/>
        <v>0</v>
      </c>
      <c r="AB38" s="16">
        <f t="shared" si="9"/>
        <v>0</v>
      </c>
      <c r="AC38" s="16">
        <f t="shared" si="9"/>
        <v>0</v>
      </c>
      <c r="AD38" s="16">
        <f t="shared" si="9"/>
        <v>0</v>
      </c>
      <c r="AE38" s="16">
        <f t="shared" si="9"/>
        <v>0</v>
      </c>
      <c r="AF38" s="16">
        <f t="shared" si="9"/>
        <v>0</v>
      </c>
      <c r="AG38" s="16">
        <f t="shared" si="9"/>
        <v>0</v>
      </c>
      <c r="AH38" s="16">
        <f t="shared" si="9"/>
        <v>0</v>
      </c>
      <c r="AI38" s="16">
        <f t="shared" si="9"/>
        <v>0</v>
      </c>
      <c r="AJ38" s="16">
        <f t="shared" si="9"/>
        <v>0</v>
      </c>
      <c r="AK38" s="16">
        <f t="shared" si="9"/>
        <v>0</v>
      </c>
      <c r="AL38" s="16">
        <f t="shared" si="9"/>
        <v>0</v>
      </c>
      <c r="AM38" s="16">
        <f t="shared" si="9"/>
        <v>0</v>
      </c>
      <c r="AN38" s="16">
        <f t="shared" si="9"/>
        <v>0</v>
      </c>
      <c r="AO38" s="16">
        <f t="shared" si="9"/>
        <v>0</v>
      </c>
      <c r="AP38" s="16">
        <f t="shared" si="9"/>
        <v>0</v>
      </c>
      <c r="AQ38" s="16">
        <f t="shared" si="9"/>
        <v>0</v>
      </c>
      <c r="AR38" s="16">
        <f t="shared" si="9"/>
        <v>0</v>
      </c>
      <c r="AS38" s="16">
        <f t="shared" si="9"/>
        <v>0</v>
      </c>
      <c r="AT38" s="16">
        <f t="shared" si="9"/>
        <v>0</v>
      </c>
      <c r="AU38" s="16">
        <f t="shared" si="9"/>
        <v>0</v>
      </c>
      <c r="AV38" s="16">
        <f t="shared" si="9"/>
        <v>0</v>
      </c>
      <c r="AW38" s="16">
        <f t="shared" si="9"/>
        <v>0</v>
      </c>
      <c r="AX38" s="16">
        <f t="shared" si="9"/>
        <v>0</v>
      </c>
      <c r="AY38" s="16">
        <f t="shared" si="9"/>
        <v>0</v>
      </c>
      <c r="AZ38" s="16">
        <f t="shared" si="9"/>
        <v>0</v>
      </c>
      <c r="BA38" s="16">
        <f t="shared" si="9"/>
        <v>0</v>
      </c>
      <c r="BB38" s="16">
        <f t="shared" si="9"/>
        <v>0</v>
      </c>
      <c r="BC38" s="16">
        <f t="shared" si="9"/>
        <v>0</v>
      </c>
      <c r="BD38" s="16">
        <f t="shared" si="9"/>
        <v>0</v>
      </c>
      <c r="BE38" s="16">
        <f t="shared" si="9"/>
        <v>0</v>
      </c>
      <c r="BF38" s="16">
        <f t="shared" si="9"/>
        <v>0</v>
      </c>
      <c r="BG38" s="16">
        <f t="shared" si="9"/>
        <v>0</v>
      </c>
      <c r="BH38" s="16">
        <f t="shared" si="9"/>
        <v>0</v>
      </c>
      <c r="BI38" s="16">
        <f t="shared" si="9"/>
        <v>0</v>
      </c>
      <c r="BJ38" s="16">
        <f t="shared" si="9"/>
        <v>0</v>
      </c>
      <c r="BK38" s="16">
        <f t="shared" si="9"/>
        <v>0</v>
      </c>
      <c r="BL38" s="16">
        <f t="shared" ref="BL38:DF44" si="13">IF(BL15="",0,$B15*BL15)</f>
        <v>0</v>
      </c>
      <c r="BM38" s="16">
        <f t="shared" si="13"/>
        <v>0</v>
      </c>
      <c r="BN38" s="16">
        <f t="shared" si="13"/>
        <v>0</v>
      </c>
      <c r="BO38" s="16">
        <f t="shared" si="13"/>
        <v>0</v>
      </c>
      <c r="BP38" s="16">
        <f t="shared" si="13"/>
        <v>0</v>
      </c>
      <c r="BQ38" s="16">
        <f t="shared" si="13"/>
        <v>0</v>
      </c>
      <c r="BR38" s="16">
        <f t="shared" si="13"/>
        <v>0</v>
      </c>
      <c r="BS38" s="16">
        <f t="shared" si="13"/>
        <v>0</v>
      </c>
      <c r="BT38" s="16">
        <f t="shared" si="13"/>
        <v>0</v>
      </c>
      <c r="BU38" s="16">
        <f t="shared" si="13"/>
        <v>0</v>
      </c>
      <c r="BV38" s="16">
        <f t="shared" si="13"/>
        <v>0</v>
      </c>
      <c r="BW38" s="16">
        <f t="shared" si="13"/>
        <v>0</v>
      </c>
      <c r="BX38" s="16">
        <f t="shared" si="13"/>
        <v>0</v>
      </c>
      <c r="BY38" s="16">
        <f t="shared" si="13"/>
        <v>0</v>
      </c>
      <c r="BZ38" s="16">
        <f t="shared" si="13"/>
        <v>0</v>
      </c>
      <c r="CA38" s="16">
        <f t="shared" si="13"/>
        <v>0</v>
      </c>
      <c r="CB38" s="16">
        <f t="shared" si="13"/>
        <v>0</v>
      </c>
      <c r="CC38" s="16">
        <f t="shared" si="13"/>
        <v>0</v>
      </c>
      <c r="CD38" s="16">
        <f t="shared" si="13"/>
        <v>0</v>
      </c>
      <c r="CE38" s="16">
        <f t="shared" si="13"/>
        <v>0</v>
      </c>
      <c r="CF38" s="16">
        <f t="shared" si="13"/>
        <v>0</v>
      </c>
      <c r="CG38" s="16">
        <f t="shared" si="13"/>
        <v>0</v>
      </c>
      <c r="CH38" s="16">
        <f t="shared" si="13"/>
        <v>0</v>
      </c>
      <c r="CI38" s="16">
        <f t="shared" si="13"/>
        <v>0</v>
      </c>
      <c r="CJ38" s="16">
        <f t="shared" si="13"/>
        <v>0</v>
      </c>
      <c r="CK38" s="16">
        <f t="shared" si="13"/>
        <v>0</v>
      </c>
      <c r="CL38" s="16">
        <f t="shared" si="13"/>
        <v>0</v>
      </c>
      <c r="CM38" s="16">
        <f t="shared" si="13"/>
        <v>0</v>
      </c>
      <c r="CN38" s="16">
        <f t="shared" si="13"/>
        <v>0</v>
      </c>
      <c r="CO38" s="16">
        <f t="shared" si="13"/>
        <v>0</v>
      </c>
      <c r="CP38" s="16">
        <f t="shared" si="13"/>
        <v>0</v>
      </c>
      <c r="CQ38" s="16">
        <f t="shared" si="13"/>
        <v>0</v>
      </c>
      <c r="CR38" s="16">
        <f t="shared" si="13"/>
        <v>0</v>
      </c>
      <c r="CS38" s="16">
        <f t="shared" si="13"/>
        <v>0</v>
      </c>
      <c r="CT38" s="16">
        <f t="shared" si="13"/>
        <v>0</v>
      </c>
      <c r="CU38" s="16">
        <f t="shared" si="13"/>
        <v>0</v>
      </c>
      <c r="CV38" s="16">
        <f t="shared" si="13"/>
        <v>0</v>
      </c>
      <c r="CW38" s="16">
        <f t="shared" si="13"/>
        <v>0</v>
      </c>
      <c r="CX38" s="16">
        <f t="shared" si="13"/>
        <v>0</v>
      </c>
      <c r="CY38" s="16">
        <f t="shared" si="13"/>
        <v>0</v>
      </c>
      <c r="CZ38" s="16">
        <f t="shared" si="13"/>
        <v>0</v>
      </c>
      <c r="DA38" s="16">
        <f t="shared" si="13"/>
        <v>0</v>
      </c>
      <c r="DB38" s="16">
        <f t="shared" si="13"/>
        <v>0</v>
      </c>
      <c r="DC38" s="16">
        <f t="shared" si="13"/>
        <v>0</v>
      </c>
      <c r="DD38" s="16">
        <f t="shared" si="13"/>
        <v>0</v>
      </c>
      <c r="DE38" s="16">
        <f t="shared" si="13"/>
        <v>0</v>
      </c>
      <c r="DF38" s="16">
        <f t="shared" si="13"/>
        <v>0</v>
      </c>
      <c r="DG38" s="23">
        <f t="shared" si="5"/>
        <v>0.43</v>
      </c>
    </row>
    <row r="39" spans="1:111" x14ac:dyDescent="0.2">
      <c r="A39" s="15" t="str">
        <f t="shared" si="6"/>
        <v>SI + MES</v>
      </c>
      <c r="B39" s="23">
        <f t="shared" si="6"/>
        <v>1.4</v>
      </c>
      <c r="C39" s="16">
        <f t="shared" si="7"/>
        <v>0</v>
      </c>
      <c r="D39" s="16">
        <f t="shared" si="7"/>
        <v>0</v>
      </c>
      <c r="E39" s="16">
        <f t="shared" si="7"/>
        <v>0</v>
      </c>
      <c r="F39" s="16">
        <f t="shared" si="7"/>
        <v>0</v>
      </c>
      <c r="G39" s="16">
        <f t="shared" si="7"/>
        <v>0</v>
      </c>
      <c r="H39" s="16">
        <f t="shared" si="7"/>
        <v>0</v>
      </c>
      <c r="I39" s="16">
        <f t="shared" si="7"/>
        <v>0</v>
      </c>
      <c r="J39" s="16">
        <f t="shared" si="7"/>
        <v>0</v>
      </c>
      <c r="K39" s="16">
        <f t="shared" si="7"/>
        <v>0.21</v>
      </c>
      <c r="L39" s="16">
        <f t="shared" si="7"/>
        <v>0</v>
      </c>
      <c r="M39" s="16">
        <f t="shared" si="7"/>
        <v>0</v>
      </c>
      <c r="N39" s="16">
        <f t="shared" si="7"/>
        <v>0.13999999999999999</v>
      </c>
      <c r="O39" s="16">
        <f t="shared" si="7"/>
        <v>0</v>
      </c>
      <c r="P39" s="16">
        <f t="shared" si="7"/>
        <v>0</v>
      </c>
      <c r="Q39" s="16">
        <f t="shared" si="7"/>
        <v>0.27999999999999997</v>
      </c>
      <c r="R39" s="16">
        <f t="shared" si="7"/>
        <v>0</v>
      </c>
      <c r="S39" s="16">
        <f t="shared" ref="S39:CD43" si="14">IF(S16="",0,$B16*S16)</f>
        <v>0</v>
      </c>
      <c r="T39" s="16">
        <f t="shared" si="14"/>
        <v>0.27999999999999997</v>
      </c>
      <c r="U39" s="16">
        <f t="shared" si="14"/>
        <v>0</v>
      </c>
      <c r="V39" s="16">
        <f t="shared" si="14"/>
        <v>0</v>
      </c>
      <c r="W39" s="16">
        <f t="shared" si="14"/>
        <v>0.27999999999999997</v>
      </c>
      <c r="X39" s="16">
        <f t="shared" si="14"/>
        <v>0</v>
      </c>
      <c r="Y39" s="16">
        <f t="shared" si="14"/>
        <v>0.13999999999999999</v>
      </c>
      <c r="Z39" s="16">
        <f t="shared" si="14"/>
        <v>0</v>
      </c>
      <c r="AA39" s="16">
        <f t="shared" si="14"/>
        <v>0</v>
      </c>
      <c r="AB39" s="16">
        <f t="shared" si="14"/>
        <v>0</v>
      </c>
      <c r="AC39" s="16">
        <f t="shared" si="14"/>
        <v>0</v>
      </c>
      <c r="AD39" s="16">
        <f t="shared" si="14"/>
        <v>0</v>
      </c>
      <c r="AE39" s="16">
        <f t="shared" si="14"/>
        <v>0</v>
      </c>
      <c r="AF39" s="16">
        <f t="shared" si="14"/>
        <v>0</v>
      </c>
      <c r="AG39" s="16">
        <f t="shared" si="14"/>
        <v>0</v>
      </c>
      <c r="AH39" s="16">
        <f t="shared" si="14"/>
        <v>0</v>
      </c>
      <c r="AI39" s="16">
        <f t="shared" si="14"/>
        <v>0</v>
      </c>
      <c r="AJ39" s="16">
        <f t="shared" si="14"/>
        <v>0</v>
      </c>
      <c r="AK39" s="16">
        <f t="shared" si="14"/>
        <v>6.9999999999999993E-2</v>
      </c>
      <c r="AL39" s="16">
        <f t="shared" si="14"/>
        <v>0</v>
      </c>
      <c r="AM39" s="16">
        <f t="shared" si="14"/>
        <v>0</v>
      </c>
      <c r="AN39" s="16">
        <f t="shared" si="14"/>
        <v>0</v>
      </c>
      <c r="AO39" s="16">
        <f t="shared" si="14"/>
        <v>0</v>
      </c>
      <c r="AP39" s="16">
        <f t="shared" si="14"/>
        <v>0</v>
      </c>
      <c r="AQ39" s="16">
        <f t="shared" si="14"/>
        <v>0</v>
      </c>
      <c r="AR39" s="16">
        <f t="shared" si="14"/>
        <v>0</v>
      </c>
      <c r="AS39" s="16">
        <f t="shared" si="14"/>
        <v>0</v>
      </c>
      <c r="AT39" s="16">
        <f t="shared" si="14"/>
        <v>0</v>
      </c>
      <c r="AU39" s="16">
        <f t="shared" si="14"/>
        <v>0</v>
      </c>
      <c r="AV39" s="16">
        <f t="shared" si="14"/>
        <v>0</v>
      </c>
      <c r="AW39" s="16">
        <f t="shared" si="14"/>
        <v>0</v>
      </c>
      <c r="AX39" s="16">
        <f t="shared" si="14"/>
        <v>0</v>
      </c>
      <c r="AY39" s="16">
        <f t="shared" si="14"/>
        <v>0</v>
      </c>
      <c r="AZ39" s="16">
        <f t="shared" si="14"/>
        <v>0</v>
      </c>
      <c r="BA39" s="16">
        <f t="shared" si="14"/>
        <v>0</v>
      </c>
      <c r="BB39" s="16">
        <f t="shared" si="14"/>
        <v>0</v>
      </c>
      <c r="BC39" s="16">
        <f t="shared" si="14"/>
        <v>0</v>
      </c>
      <c r="BD39" s="16">
        <f t="shared" si="14"/>
        <v>0</v>
      </c>
      <c r="BE39" s="16">
        <f t="shared" si="14"/>
        <v>0</v>
      </c>
      <c r="BF39" s="16">
        <f t="shared" si="14"/>
        <v>0</v>
      </c>
      <c r="BG39" s="16">
        <f t="shared" si="14"/>
        <v>0</v>
      </c>
      <c r="BH39" s="16">
        <f t="shared" si="14"/>
        <v>0</v>
      </c>
      <c r="BI39" s="16">
        <f t="shared" si="14"/>
        <v>0</v>
      </c>
      <c r="BJ39" s="16">
        <f t="shared" si="14"/>
        <v>0</v>
      </c>
      <c r="BK39" s="16">
        <f t="shared" si="14"/>
        <v>0</v>
      </c>
      <c r="BL39" s="16">
        <f t="shared" si="14"/>
        <v>0</v>
      </c>
      <c r="BM39" s="16">
        <f t="shared" si="14"/>
        <v>0</v>
      </c>
      <c r="BN39" s="16">
        <f t="shared" si="14"/>
        <v>0</v>
      </c>
      <c r="BO39" s="16">
        <f t="shared" si="14"/>
        <v>0</v>
      </c>
      <c r="BP39" s="16">
        <f t="shared" si="13"/>
        <v>0</v>
      </c>
      <c r="BQ39" s="16">
        <f t="shared" si="13"/>
        <v>0</v>
      </c>
      <c r="BR39" s="16">
        <f t="shared" si="13"/>
        <v>0</v>
      </c>
      <c r="BS39" s="16">
        <f t="shared" si="13"/>
        <v>0</v>
      </c>
      <c r="BT39" s="16">
        <f t="shared" si="13"/>
        <v>0</v>
      </c>
      <c r="BU39" s="16">
        <f t="shared" si="13"/>
        <v>0</v>
      </c>
      <c r="BV39" s="16">
        <f t="shared" si="13"/>
        <v>0</v>
      </c>
      <c r="BW39" s="16">
        <f t="shared" si="13"/>
        <v>0</v>
      </c>
      <c r="BX39" s="16">
        <f t="shared" si="13"/>
        <v>0</v>
      </c>
      <c r="BY39" s="16">
        <f t="shared" si="13"/>
        <v>0</v>
      </c>
      <c r="BZ39" s="16">
        <f t="shared" si="13"/>
        <v>0</v>
      </c>
      <c r="CA39" s="16">
        <f t="shared" si="13"/>
        <v>0</v>
      </c>
      <c r="CB39" s="16">
        <f t="shared" si="13"/>
        <v>0</v>
      </c>
      <c r="CC39" s="16">
        <f t="shared" si="13"/>
        <v>0</v>
      </c>
      <c r="CD39" s="16">
        <f t="shared" si="13"/>
        <v>0</v>
      </c>
      <c r="CE39" s="16">
        <f t="shared" si="13"/>
        <v>0</v>
      </c>
      <c r="CF39" s="16">
        <f t="shared" si="13"/>
        <v>0</v>
      </c>
      <c r="CG39" s="16">
        <f t="shared" si="13"/>
        <v>0</v>
      </c>
      <c r="CH39" s="16">
        <f t="shared" si="13"/>
        <v>0</v>
      </c>
      <c r="CI39" s="16">
        <f t="shared" si="13"/>
        <v>0</v>
      </c>
      <c r="CJ39" s="16">
        <f t="shared" si="13"/>
        <v>0</v>
      </c>
      <c r="CK39" s="16">
        <f t="shared" si="13"/>
        <v>0</v>
      </c>
      <c r="CL39" s="16">
        <f t="shared" si="13"/>
        <v>0</v>
      </c>
      <c r="CM39" s="16">
        <f t="shared" si="13"/>
        <v>0</v>
      </c>
      <c r="CN39" s="16">
        <f t="shared" si="13"/>
        <v>0</v>
      </c>
      <c r="CO39" s="16">
        <f t="shared" si="13"/>
        <v>0</v>
      </c>
      <c r="CP39" s="16">
        <f t="shared" si="13"/>
        <v>0</v>
      </c>
      <c r="CQ39" s="16">
        <f t="shared" si="13"/>
        <v>0</v>
      </c>
      <c r="CR39" s="16">
        <f t="shared" si="13"/>
        <v>0</v>
      </c>
      <c r="CS39" s="16">
        <f t="shared" si="13"/>
        <v>0</v>
      </c>
      <c r="CT39" s="16">
        <f t="shared" si="13"/>
        <v>0</v>
      </c>
      <c r="CU39" s="16">
        <f t="shared" si="13"/>
        <v>0</v>
      </c>
      <c r="CV39" s="16">
        <f t="shared" si="13"/>
        <v>0</v>
      </c>
      <c r="CW39" s="16">
        <f t="shared" si="13"/>
        <v>0</v>
      </c>
      <c r="CX39" s="16">
        <f t="shared" si="13"/>
        <v>0</v>
      </c>
      <c r="CY39" s="16">
        <f t="shared" si="13"/>
        <v>0</v>
      </c>
      <c r="CZ39" s="16">
        <f t="shared" si="13"/>
        <v>0</v>
      </c>
      <c r="DA39" s="16">
        <f t="shared" si="13"/>
        <v>0</v>
      </c>
      <c r="DB39" s="16">
        <f t="shared" si="13"/>
        <v>0</v>
      </c>
      <c r="DC39" s="16">
        <f t="shared" si="13"/>
        <v>0</v>
      </c>
      <c r="DD39" s="16">
        <f t="shared" si="13"/>
        <v>0</v>
      </c>
      <c r="DE39" s="16">
        <f t="shared" si="13"/>
        <v>0</v>
      </c>
      <c r="DF39" s="16">
        <f t="shared" si="13"/>
        <v>0</v>
      </c>
      <c r="DG39" s="23">
        <f t="shared" si="5"/>
        <v>1.4</v>
      </c>
    </row>
    <row r="40" spans="1:111" x14ac:dyDescent="0.2">
      <c r="A40" s="15" t="str">
        <f t="shared" si="6"/>
        <v>Batiment (charpente, GCs, bureaux)</v>
      </c>
      <c r="B40" s="23">
        <f t="shared" si="6"/>
        <v>9</v>
      </c>
      <c r="C40" s="16">
        <f t="shared" si="7"/>
        <v>0</v>
      </c>
      <c r="D40" s="16">
        <f t="shared" si="7"/>
        <v>0</v>
      </c>
      <c r="E40" s="16">
        <f t="shared" si="7"/>
        <v>0.9</v>
      </c>
      <c r="F40" s="16">
        <f t="shared" si="7"/>
        <v>0</v>
      </c>
      <c r="G40" s="16">
        <f t="shared" si="7"/>
        <v>0.45</v>
      </c>
      <c r="H40" s="16">
        <f t="shared" si="7"/>
        <v>0</v>
      </c>
      <c r="I40" s="16">
        <f t="shared" si="7"/>
        <v>0</v>
      </c>
      <c r="J40" s="16">
        <f t="shared" si="7"/>
        <v>0</v>
      </c>
      <c r="K40" s="16">
        <f t="shared" si="7"/>
        <v>0</v>
      </c>
      <c r="L40" s="16">
        <f t="shared" si="7"/>
        <v>1.8</v>
      </c>
      <c r="M40" s="16">
        <f t="shared" si="7"/>
        <v>0</v>
      </c>
      <c r="N40" s="16">
        <f t="shared" si="7"/>
        <v>0</v>
      </c>
      <c r="O40" s="16">
        <f t="shared" si="7"/>
        <v>0</v>
      </c>
      <c r="P40" s="16">
        <f t="shared" si="7"/>
        <v>2.25</v>
      </c>
      <c r="Q40" s="16">
        <f t="shared" si="7"/>
        <v>0</v>
      </c>
      <c r="R40" s="16">
        <f t="shared" si="7"/>
        <v>0</v>
      </c>
      <c r="S40" s="16">
        <f t="shared" si="14"/>
        <v>0</v>
      </c>
      <c r="T40" s="16">
        <f t="shared" si="14"/>
        <v>2.6999999999999997</v>
      </c>
      <c r="U40" s="16">
        <f t="shared" si="14"/>
        <v>0</v>
      </c>
      <c r="V40" s="16">
        <f t="shared" si="14"/>
        <v>0</v>
      </c>
      <c r="W40" s="16">
        <f t="shared" si="14"/>
        <v>0</v>
      </c>
      <c r="X40" s="16">
        <f t="shared" si="14"/>
        <v>0</v>
      </c>
      <c r="Y40" s="16">
        <f t="shared" si="14"/>
        <v>0.9</v>
      </c>
      <c r="Z40" s="16">
        <f t="shared" si="14"/>
        <v>0</v>
      </c>
      <c r="AA40" s="16">
        <f t="shared" si="14"/>
        <v>0</v>
      </c>
      <c r="AB40" s="16">
        <f t="shared" si="14"/>
        <v>0</v>
      </c>
      <c r="AC40" s="16">
        <f t="shared" si="14"/>
        <v>0</v>
      </c>
      <c r="AD40" s="16">
        <f t="shared" si="14"/>
        <v>0</v>
      </c>
      <c r="AE40" s="16">
        <f t="shared" si="14"/>
        <v>0</v>
      </c>
      <c r="AF40" s="16">
        <f t="shared" si="14"/>
        <v>0</v>
      </c>
      <c r="AG40" s="16">
        <f t="shared" si="14"/>
        <v>0</v>
      </c>
      <c r="AH40" s="16">
        <f t="shared" si="14"/>
        <v>0</v>
      </c>
      <c r="AI40" s="16">
        <f t="shared" si="14"/>
        <v>0</v>
      </c>
      <c r="AJ40" s="16">
        <f t="shared" si="14"/>
        <v>0</v>
      </c>
      <c r="AK40" s="16">
        <f t="shared" si="14"/>
        <v>0</v>
      </c>
      <c r="AL40" s="16">
        <f t="shared" si="14"/>
        <v>0</v>
      </c>
      <c r="AM40" s="16">
        <f t="shared" si="14"/>
        <v>0</v>
      </c>
      <c r="AN40" s="16">
        <f t="shared" si="14"/>
        <v>0</v>
      </c>
      <c r="AO40" s="16">
        <f t="shared" si="14"/>
        <v>0</v>
      </c>
      <c r="AP40" s="16">
        <f t="shared" si="14"/>
        <v>0</v>
      </c>
      <c r="AQ40" s="16">
        <f t="shared" si="14"/>
        <v>0</v>
      </c>
      <c r="AR40" s="16">
        <f t="shared" si="14"/>
        <v>0</v>
      </c>
      <c r="AS40" s="16">
        <f t="shared" si="14"/>
        <v>0</v>
      </c>
      <c r="AT40" s="16">
        <f t="shared" si="14"/>
        <v>0</v>
      </c>
      <c r="AU40" s="16">
        <f t="shared" si="14"/>
        <v>0</v>
      </c>
      <c r="AV40" s="16">
        <f t="shared" si="14"/>
        <v>0</v>
      </c>
      <c r="AW40" s="16">
        <f t="shared" si="14"/>
        <v>0</v>
      </c>
      <c r="AX40" s="16">
        <f t="shared" si="14"/>
        <v>0</v>
      </c>
      <c r="AY40" s="16">
        <f t="shared" si="14"/>
        <v>0</v>
      </c>
      <c r="AZ40" s="16">
        <f t="shared" si="14"/>
        <v>0</v>
      </c>
      <c r="BA40" s="16">
        <f t="shared" si="14"/>
        <v>0</v>
      </c>
      <c r="BB40" s="16">
        <f t="shared" si="14"/>
        <v>0</v>
      </c>
      <c r="BC40" s="16">
        <f t="shared" si="14"/>
        <v>0</v>
      </c>
      <c r="BD40" s="16">
        <f t="shared" si="14"/>
        <v>0</v>
      </c>
      <c r="BE40" s="16">
        <f t="shared" si="14"/>
        <v>0</v>
      </c>
      <c r="BF40" s="16">
        <f t="shared" si="14"/>
        <v>0</v>
      </c>
      <c r="BG40" s="16">
        <f t="shared" si="14"/>
        <v>0</v>
      </c>
      <c r="BH40" s="16">
        <f t="shared" si="14"/>
        <v>0</v>
      </c>
      <c r="BI40" s="16">
        <f t="shared" si="14"/>
        <v>0</v>
      </c>
      <c r="BJ40" s="16">
        <f t="shared" si="14"/>
        <v>0</v>
      </c>
      <c r="BK40" s="16">
        <f t="shared" si="14"/>
        <v>0</v>
      </c>
      <c r="BL40" s="16">
        <f t="shared" si="14"/>
        <v>0</v>
      </c>
      <c r="BM40" s="16">
        <f t="shared" si="14"/>
        <v>0</v>
      </c>
      <c r="BN40" s="16">
        <f t="shared" si="14"/>
        <v>0</v>
      </c>
      <c r="BO40" s="16">
        <f t="shared" si="14"/>
        <v>0</v>
      </c>
      <c r="BP40" s="16">
        <f t="shared" si="13"/>
        <v>0</v>
      </c>
      <c r="BQ40" s="16">
        <f t="shared" si="13"/>
        <v>0</v>
      </c>
      <c r="BR40" s="16">
        <f t="shared" si="13"/>
        <v>0</v>
      </c>
      <c r="BS40" s="16">
        <f t="shared" si="13"/>
        <v>0</v>
      </c>
      <c r="BT40" s="16">
        <f t="shared" si="13"/>
        <v>0</v>
      </c>
      <c r="BU40" s="16">
        <f t="shared" si="13"/>
        <v>0</v>
      </c>
      <c r="BV40" s="16">
        <f t="shared" si="13"/>
        <v>0</v>
      </c>
      <c r="BW40" s="16">
        <f t="shared" si="13"/>
        <v>0</v>
      </c>
      <c r="BX40" s="16">
        <f t="shared" si="13"/>
        <v>0</v>
      </c>
      <c r="BY40" s="16">
        <f t="shared" si="13"/>
        <v>0</v>
      </c>
      <c r="BZ40" s="16">
        <f t="shared" si="13"/>
        <v>0</v>
      </c>
      <c r="CA40" s="16">
        <f t="shared" si="13"/>
        <v>0</v>
      </c>
      <c r="CB40" s="16">
        <f t="shared" si="13"/>
        <v>0</v>
      </c>
      <c r="CC40" s="16">
        <f t="shared" si="13"/>
        <v>0</v>
      </c>
      <c r="CD40" s="16">
        <f t="shared" si="13"/>
        <v>0</v>
      </c>
      <c r="CE40" s="16">
        <f t="shared" si="13"/>
        <v>0</v>
      </c>
      <c r="CF40" s="16">
        <f t="shared" si="13"/>
        <v>0</v>
      </c>
      <c r="CG40" s="16">
        <f t="shared" si="13"/>
        <v>0</v>
      </c>
      <c r="CH40" s="16">
        <f t="shared" si="13"/>
        <v>0</v>
      </c>
      <c r="CI40" s="16">
        <f t="shared" si="13"/>
        <v>0</v>
      </c>
      <c r="CJ40" s="16">
        <f t="shared" si="13"/>
        <v>0</v>
      </c>
      <c r="CK40" s="16">
        <f t="shared" si="13"/>
        <v>0</v>
      </c>
      <c r="CL40" s="16">
        <f t="shared" si="13"/>
        <v>0</v>
      </c>
      <c r="CM40" s="16">
        <f t="shared" si="13"/>
        <v>0</v>
      </c>
      <c r="CN40" s="16">
        <f t="shared" si="13"/>
        <v>0</v>
      </c>
      <c r="CO40" s="16">
        <f t="shared" si="13"/>
        <v>0</v>
      </c>
      <c r="CP40" s="16">
        <f t="shared" si="13"/>
        <v>0</v>
      </c>
      <c r="CQ40" s="16">
        <f t="shared" si="13"/>
        <v>0</v>
      </c>
      <c r="CR40" s="16">
        <f t="shared" si="13"/>
        <v>0</v>
      </c>
      <c r="CS40" s="16">
        <f t="shared" si="13"/>
        <v>0</v>
      </c>
      <c r="CT40" s="16">
        <f t="shared" si="13"/>
        <v>0</v>
      </c>
      <c r="CU40" s="16">
        <f t="shared" si="13"/>
        <v>0</v>
      </c>
      <c r="CV40" s="16">
        <f t="shared" si="13"/>
        <v>0</v>
      </c>
      <c r="CW40" s="16">
        <f t="shared" si="13"/>
        <v>0</v>
      </c>
      <c r="CX40" s="16">
        <f t="shared" si="13"/>
        <v>0</v>
      </c>
      <c r="CY40" s="16">
        <f t="shared" si="13"/>
        <v>0</v>
      </c>
      <c r="CZ40" s="16">
        <f t="shared" si="13"/>
        <v>0</v>
      </c>
      <c r="DA40" s="16">
        <f t="shared" si="13"/>
        <v>0</v>
      </c>
      <c r="DB40" s="16">
        <f t="shared" si="13"/>
        <v>0</v>
      </c>
      <c r="DC40" s="16">
        <f t="shared" si="13"/>
        <v>0</v>
      </c>
      <c r="DD40" s="16">
        <f t="shared" si="13"/>
        <v>0</v>
      </c>
      <c r="DE40" s="16">
        <f t="shared" si="13"/>
        <v>0</v>
      </c>
      <c r="DF40" s="16">
        <f t="shared" si="13"/>
        <v>0</v>
      </c>
      <c r="DG40" s="23">
        <f t="shared" si="5"/>
        <v>9</v>
      </c>
    </row>
    <row r="41" spans="1:111" x14ac:dyDescent="0.2">
      <c r="A41" s="15" t="str">
        <f t="shared" si="6"/>
        <v>Ponts (1 pour EB, 1 pour VAR, 2 prépa)</v>
      </c>
      <c r="B41" s="23">
        <f t="shared" si="6"/>
        <v>0.45</v>
      </c>
      <c r="C41" s="16">
        <f t="shared" si="7"/>
        <v>0</v>
      </c>
      <c r="D41" s="16">
        <f t="shared" si="7"/>
        <v>0</v>
      </c>
      <c r="E41" s="16">
        <f t="shared" si="7"/>
        <v>0</v>
      </c>
      <c r="F41" s="16">
        <f t="shared" si="7"/>
        <v>0</v>
      </c>
      <c r="G41" s="16">
        <f t="shared" si="7"/>
        <v>0</v>
      </c>
      <c r="H41" s="16">
        <f t="shared" si="7"/>
        <v>0</v>
      </c>
      <c r="I41" s="16">
        <f t="shared" si="7"/>
        <v>0</v>
      </c>
      <c r="J41" s="16">
        <f t="shared" si="7"/>
        <v>0</v>
      </c>
      <c r="K41" s="16">
        <f t="shared" si="7"/>
        <v>6.7500000000000004E-2</v>
      </c>
      <c r="L41" s="16">
        <f t="shared" si="7"/>
        <v>2.2500000000000003E-2</v>
      </c>
      <c r="M41" s="16">
        <f t="shared" si="7"/>
        <v>0</v>
      </c>
      <c r="N41" s="16">
        <f t="shared" si="7"/>
        <v>0</v>
      </c>
      <c r="O41" s="16">
        <f t="shared" si="7"/>
        <v>0</v>
      </c>
      <c r="P41" s="16">
        <f t="shared" si="7"/>
        <v>0</v>
      </c>
      <c r="Q41" s="16">
        <f t="shared" si="7"/>
        <v>6.7500000000000004E-2</v>
      </c>
      <c r="R41" s="16">
        <f t="shared" si="7"/>
        <v>0</v>
      </c>
      <c r="S41" s="16">
        <f t="shared" si="14"/>
        <v>9.0000000000000011E-2</v>
      </c>
      <c r="T41" s="16">
        <f t="shared" si="14"/>
        <v>0.1125</v>
      </c>
      <c r="U41" s="16">
        <f t="shared" si="14"/>
        <v>0</v>
      </c>
      <c r="V41" s="16">
        <f t="shared" si="14"/>
        <v>6.7500000000000004E-2</v>
      </c>
      <c r="W41" s="16">
        <f t="shared" si="14"/>
        <v>0</v>
      </c>
      <c r="X41" s="16">
        <f t="shared" si="14"/>
        <v>0</v>
      </c>
      <c r="Y41" s="16">
        <f t="shared" si="14"/>
        <v>0</v>
      </c>
      <c r="Z41" s="16">
        <f t="shared" si="14"/>
        <v>0</v>
      </c>
      <c r="AA41" s="16">
        <f t="shared" si="14"/>
        <v>0</v>
      </c>
      <c r="AB41" s="16">
        <f t="shared" si="14"/>
        <v>0</v>
      </c>
      <c r="AC41" s="16">
        <f t="shared" si="14"/>
        <v>0</v>
      </c>
      <c r="AD41" s="16">
        <f t="shared" si="14"/>
        <v>0</v>
      </c>
      <c r="AE41" s="16">
        <f t="shared" si="14"/>
        <v>0</v>
      </c>
      <c r="AF41" s="16">
        <f t="shared" si="14"/>
        <v>0</v>
      </c>
      <c r="AG41" s="16">
        <f t="shared" si="14"/>
        <v>0</v>
      </c>
      <c r="AH41" s="16">
        <f t="shared" si="14"/>
        <v>2.2500000000000003E-2</v>
      </c>
      <c r="AI41" s="16">
        <f t="shared" si="14"/>
        <v>0</v>
      </c>
      <c r="AJ41" s="16">
        <f t="shared" si="14"/>
        <v>0</v>
      </c>
      <c r="AK41" s="16">
        <f t="shared" si="14"/>
        <v>0</v>
      </c>
      <c r="AL41" s="16">
        <f t="shared" si="14"/>
        <v>0</v>
      </c>
      <c r="AM41" s="16">
        <f t="shared" si="14"/>
        <v>0</v>
      </c>
      <c r="AN41" s="16">
        <f t="shared" si="14"/>
        <v>0</v>
      </c>
      <c r="AO41" s="16">
        <f t="shared" si="14"/>
        <v>0</v>
      </c>
      <c r="AP41" s="16">
        <f t="shared" si="14"/>
        <v>0</v>
      </c>
      <c r="AQ41" s="16">
        <f t="shared" si="14"/>
        <v>0</v>
      </c>
      <c r="AR41" s="16">
        <f t="shared" si="14"/>
        <v>0</v>
      </c>
      <c r="AS41" s="16">
        <f t="shared" si="14"/>
        <v>0</v>
      </c>
      <c r="AT41" s="16">
        <f t="shared" si="14"/>
        <v>0</v>
      </c>
      <c r="AU41" s="16">
        <f t="shared" si="14"/>
        <v>0</v>
      </c>
      <c r="AV41" s="16">
        <f t="shared" si="14"/>
        <v>0</v>
      </c>
      <c r="AW41" s="16">
        <f t="shared" si="14"/>
        <v>0</v>
      </c>
      <c r="AX41" s="16">
        <f t="shared" si="14"/>
        <v>0</v>
      </c>
      <c r="AY41" s="16">
        <f t="shared" si="14"/>
        <v>0</v>
      </c>
      <c r="AZ41" s="16">
        <f t="shared" si="14"/>
        <v>0</v>
      </c>
      <c r="BA41" s="16">
        <f t="shared" si="14"/>
        <v>0</v>
      </c>
      <c r="BB41" s="16">
        <f t="shared" si="14"/>
        <v>0</v>
      </c>
      <c r="BC41" s="16">
        <f t="shared" si="14"/>
        <v>0</v>
      </c>
      <c r="BD41" s="16">
        <f t="shared" si="14"/>
        <v>0</v>
      </c>
      <c r="BE41" s="16">
        <f t="shared" si="14"/>
        <v>0</v>
      </c>
      <c r="BF41" s="16">
        <f t="shared" si="14"/>
        <v>0</v>
      </c>
      <c r="BG41" s="16">
        <f t="shared" si="14"/>
        <v>0</v>
      </c>
      <c r="BH41" s="16">
        <f t="shared" si="14"/>
        <v>0</v>
      </c>
      <c r="BI41" s="16">
        <f t="shared" si="14"/>
        <v>0</v>
      </c>
      <c r="BJ41" s="16">
        <f t="shared" si="14"/>
        <v>0</v>
      </c>
      <c r="BK41" s="16">
        <f t="shared" si="14"/>
        <v>0</v>
      </c>
      <c r="BL41" s="16">
        <f t="shared" si="14"/>
        <v>0</v>
      </c>
      <c r="BM41" s="16">
        <f t="shared" si="14"/>
        <v>0</v>
      </c>
      <c r="BN41" s="16">
        <f t="shared" si="14"/>
        <v>0</v>
      </c>
      <c r="BO41" s="16">
        <f t="shared" si="14"/>
        <v>0</v>
      </c>
      <c r="BP41" s="16">
        <f t="shared" si="13"/>
        <v>0</v>
      </c>
      <c r="BQ41" s="16">
        <f t="shared" si="13"/>
        <v>0</v>
      </c>
      <c r="BR41" s="16">
        <f t="shared" si="13"/>
        <v>0</v>
      </c>
      <c r="BS41" s="16">
        <f t="shared" si="13"/>
        <v>0</v>
      </c>
      <c r="BT41" s="16">
        <f t="shared" si="13"/>
        <v>0</v>
      </c>
      <c r="BU41" s="16">
        <f t="shared" si="13"/>
        <v>0</v>
      </c>
      <c r="BV41" s="16">
        <f t="shared" si="13"/>
        <v>0</v>
      </c>
      <c r="BW41" s="16">
        <f t="shared" si="13"/>
        <v>0</v>
      </c>
      <c r="BX41" s="16">
        <f t="shared" si="13"/>
        <v>0</v>
      </c>
      <c r="BY41" s="16">
        <f t="shared" si="13"/>
        <v>0</v>
      </c>
      <c r="BZ41" s="16">
        <f t="shared" si="13"/>
        <v>0</v>
      </c>
      <c r="CA41" s="16">
        <f t="shared" si="13"/>
        <v>0</v>
      </c>
      <c r="CB41" s="16">
        <f t="shared" si="13"/>
        <v>0</v>
      </c>
      <c r="CC41" s="16">
        <f t="shared" si="13"/>
        <v>0</v>
      </c>
      <c r="CD41" s="16">
        <f t="shared" si="13"/>
        <v>0</v>
      </c>
      <c r="CE41" s="16">
        <f t="shared" si="13"/>
        <v>0</v>
      </c>
      <c r="CF41" s="16">
        <f t="shared" si="13"/>
        <v>0</v>
      </c>
      <c r="CG41" s="16">
        <f t="shared" si="13"/>
        <v>0</v>
      </c>
      <c r="CH41" s="16">
        <f t="shared" si="13"/>
        <v>0</v>
      </c>
      <c r="CI41" s="16">
        <f t="shared" si="13"/>
        <v>0</v>
      </c>
      <c r="CJ41" s="16">
        <f t="shared" si="13"/>
        <v>0</v>
      </c>
      <c r="CK41" s="16">
        <f t="shared" si="13"/>
        <v>0</v>
      </c>
      <c r="CL41" s="16">
        <f t="shared" si="13"/>
        <v>0</v>
      </c>
      <c r="CM41" s="16">
        <f t="shared" si="13"/>
        <v>0</v>
      </c>
      <c r="CN41" s="16">
        <f t="shared" si="13"/>
        <v>0</v>
      </c>
      <c r="CO41" s="16">
        <f t="shared" si="13"/>
        <v>0</v>
      </c>
      <c r="CP41" s="16">
        <f t="shared" si="13"/>
        <v>0</v>
      </c>
      <c r="CQ41" s="16">
        <f t="shared" si="13"/>
        <v>0</v>
      </c>
      <c r="CR41" s="16">
        <f t="shared" si="13"/>
        <v>0</v>
      </c>
      <c r="CS41" s="16">
        <f t="shared" si="13"/>
        <v>0</v>
      </c>
      <c r="CT41" s="16">
        <f t="shared" si="13"/>
        <v>0</v>
      </c>
      <c r="CU41" s="16">
        <f t="shared" si="13"/>
        <v>0</v>
      </c>
      <c r="CV41" s="16">
        <f t="shared" si="13"/>
        <v>0</v>
      </c>
      <c r="CW41" s="16">
        <f t="shared" si="13"/>
        <v>0</v>
      </c>
      <c r="CX41" s="16">
        <f t="shared" si="13"/>
        <v>0</v>
      </c>
      <c r="CY41" s="16">
        <f t="shared" si="13"/>
        <v>0</v>
      </c>
      <c r="CZ41" s="16">
        <f t="shared" si="13"/>
        <v>0</v>
      </c>
      <c r="DA41" s="16">
        <f t="shared" si="13"/>
        <v>0</v>
      </c>
      <c r="DB41" s="16">
        <f t="shared" si="13"/>
        <v>0</v>
      </c>
      <c r="DC41" s="16">
        <f t="shared" si="13"/>
        <v>0</v>
      </c>
      <c r="DD41" s="16">
        <f t="shared" si="13"/>
        <v>0</v>
      </c>
      <c r="DE41" s="16">
        <f t="shared" si="13"/>
        <v>0</v>
      </c>
      <c r="DF41" s="16">
        <f t="shared" si="13"/>
        <v>0</v>
      </c>
      <c r="DG41" s="23">
        <f t="shared" si="5"/>
        <v>0.45000000000000007</v>
      </c>
    </row>
    <row r="42" spans="1:111" x14ac:dyDescent="0.2">
      <c r="A42" s="15" t="str">
        <f t="shared" si="6"/>
        <v>Electricité (poste en aout 2015 et 1,2 M€)</v>
      </c>
      <c r="B42" s="16">
        <f t="shared" si="6"/>
        <v>1.1399999999999999</v>
      </c>
      <c r="C42" s="16">
        <f t="shared" si="7"/>
        <v>0</v>
      </c>
      <c r="D42" s="16">
        <f t="shared" si="7"/>
        <v>0</v>
      </c>
      <c r="E42" s="16">
        <f t="shared" si="7"/>
        <v>0</v>
      </c>
      <c r="F42" s="16">
        <f t="shared" si="7"/>
        <v>0</v>
      </c>
      <c r="G42" s="16">
        <f t="shared" si="7"/>
        <v>0</v>
      </c>
      <c r="H42" s="16">
        <f t="shared" si="7"/>
        <v>0</v>
      </c>
      <c r="I42" s="16">
        <f t="shared" si="7"/>
        <v>0</v>
      </c>
      <c r="J42" s="16">
        <f t="shared" si="7"/>
        <v>0</v>
      </c>
      <c r="K42" s="16">
        <f t="shared" si="7"/>
        <v>0</v>
      </c>
      <c r="L42" s="16">
        <f t="shared" si="7"/>
        <v>0.17099999999999999</v>
      </c>
      <c r="M42" s="16">
        <f t="shared" si="7"/>
        <v>5.6999999999999995E-2</v>
      </c>
      <c r="N42" s="16">
        <f t="shared" si="7"/>
        <v>0</v>
      </c>
      <c r="O42" s="16">
        <f t="shared" si="7"/>
        <v>0</v>
      </c>
      <c r="P42" s="16">
        <f t="shared" si="7"/>
        <v>0</v>
      </c>
      <c r="Q42" s="16">
        <f t="shared" si="7"/>
        <v>0</v>
      </c>
      <c r="R42" s="16">
        <f t="shared" si="7"/>
        <v>0.17099999999999999</v>
      </c>
      <c r="S42" s="16">
        <f t="shared" si="14"/>
        <v>0</v>
      </c>
      <c r="T42" s="16">
        <f t="shared" si="14"/>
        <v>0</v>
      </c>
      <c r="U42" s="16">
        <f t="shared" si="14"/>
        <v>0.22799999999999998</v>
      </c>
      <c r="V42" s="16">
        <f t="shared" si="14"/>
        <v>0</v>
      </c>
      <c r="W42" s="16">
        <f t="shared" si="14"/>
        <v>0.28499999999999998</v>
      </c>
      <c r="X42" s="16">
        <f t="shared" si="14"/>
        <v>0</v>
      </c>
      <c r="Y42" s="16">
        <f t="shared" si="14"/>
        <v>0.17099999999999999</v>
      </c>
      <c r="Z42" s="16">
        <f t="shared" si="14"/>
        <v>0</v>
      </c>
      <c r="AA42" s="16">
        <f t="shared" si="14"/>
        <v>0</v>
      </c>
      <c r="AB42" s="16">
        <f t="shared" si="14"/>
        <v>0</v>
      </c>
      <c r="AC42" s="16">
        <f t="shared" si="14"/>
        <v>0</v>
      </c>
      <c r="AD42" s="16">
        <f t="shared" si="14"/>
        <v>0</v>
      </c>
      <c r="AE42" s="16">
        <f t="shared" si="14"/>
        <v>0</v>
      </c>
      <c r="AF42" s="16">
        <f t="shared" si="14"/>
        <v>0</v>
      </c>
      <c r="AG42" s="16">
        <f t="shared" si="14"/>
        <v>0</v>
      </c>
      <c r="AH42" s="16">
        <f t="shared" si="14"/>
        <v>0</v>
      </c>
      <c r="AI42" s="16">
        <f t="shared" si="14"/>
        <v>0</v>
      </c>
      <c r="AJ42" s="16">
        <f t="shared" si="14"/>
        <v>0</v>
      </c>
      <c r="AK42" s="16">
        <f t="shared" si="14"/>
        <v>5.6999999999999995E-2</v>
      </c>
      <c r="AL42" s="16">
        <f t="shared" si="14"/>
        <v>0</v>
      </c>
      <c r="AM42" s="16">
        <f t="shared" si="14"/>
        <v>0</v>
      </c>
      <c r="AN42" s="16">
        <f t="shared" si="14"/>
        <v>0</v>
      </c>
      <c r="AO42" s="16">
        <f t="shared" si="14"/>
        <v>0</v>
      </c>
      <c r="AP42" s="16">
        <f t="shared" si="14"/>
        <v>0</v>
      </c>
      <c r="AQ42" s="16">
        <f t="shared" si="14"/>
        <v>0</v>
      </c>
      <c r="AR42" s="16">
        <f t="shared" si="14"/>
        <v>0</v>
      </c>
      <c r="AS42" s="16">
        <f t="shared" si="14"/>
        <v>0</v>
      </c>
      <c r="AT42" s="16">
        <f t="shared" si="14"/>
        <v>0</v>
      </c>
      <c r="AU42" s="16">
        <f t="shared" si="14"/>
        <v>0</v>
      </c>
      <c r="AV42" s="16">
        <f t="shared" si="14"/>
        <v>0</v>
      </c>
      <c r="AW42" s="16">
        <f t="shared" si="14"/>
        <v>0</v>
      </c>
      <c r="AX42" s="16">
        <f t="shared" si="14"/>
        <v>0</v>
      </c>
      <c r="AY42" s="16">
        <f t="shared" si="14"/>
        <v>0</v>
      </c>
      <c r="AZ42" s="16">
        <f t="shared" si="14"/>
        <v>0</v>
      </c>
      <c r="BA42" s="16">
        <f t="shared" si="14"/>
        <v>0</v>
      </c>
      <c r="BB42" s="16">
        <f t="shared" si="14"/>
        <v>0</v>
      </c>
      <c r="BC42" s="16">
        <f t="shared" si="14"/>
        <v>0</v>
      </c>
      <c r="BD42" s="16">
        <f t="shared" si="14"/>
        <v>0</v>
      </c>
      <c r="BE42" s="16">
        <f t="shared" si="14"/>
        <v>0</v>
      </c>
      <c r="BF42" s="16">
        <f t="shared" si="14"/>
        <v>0</v>
      </c>
      <c r="BG42" s="16">
        <f t="shared" si="14"/>
        <v>0</v>
      </c>
      <c r="BH42" s="16">
        <f t="shared" si="14"/>
        <v>0</v>
      </c>
      <c r="BI42" s="16">
        <f t="shared" si="14"/>
        <v>0</v>
      </c>
      <c r="BJ42" s="16">
        <f t="shared" si="14"/>
        <v>0</v>
      </c>
      <c r="BK42" s="16">
        <f t="shared" si="14"/>
        <v>0</v>
      </c>
      <c r="BL42" s="16">
        <f t="shared" si="14"/>
        <v>0</v>
      </c>
      <c r="BM42" s="16">
        <f t="shared" si="14"/>
        <v>0</v>
      </c>
      <c r="BN42" s="16">
        <f t="shared" si="14"/>
        <v>0</v>
      </c>
      <c r="BO42" s="16">
        <f t="shared" si="14"/>
        <v>0</v>
      </c>
      <c r="BP42" s="16">
        <f t="shared" si="14"/>
        <v>0</v>
      </c>
      <c r="BQ42" s="16">
        <f t="shared" si="14"/>
        <v>0</v>
      </c>
      <c r="BR42" s="16">
        <f t="shared" si="14"/>
        <v>0</v>
      </c>
      <c r="BS42" s="16">
        <f t="shared" si="14"/>
        <v>0</v>
      </c>
      <c r="BT42" s="16">
        <f t="shared" si="14"/>
        <v>0</v>
      </c>
      <c r="BU42" s="16">
        <f t="shared" si="14"/>
        <v>0</v>
      </c>
      <c r="BV42" s="16">
        <f t="shared" si="14"/>
        <v>0</v>
      </c>
      <c r="BW42" s="16">
        <f t="shared" si="14"/>
        <v>0</v>
      </c>
      <c r="BX42" s="16">
        <f t="shared" si="14"/>
        <v>0</v>
      </c>
      <c r="BY42" s="16">
        <f t="shared" si="14"/>
        <v>0</v>
      </c>
      <c r="BZ42" s="16">
        <f t="shared" si="14"/>
        <v>0</v>
      </c>
      <c r="CA42" s="16">
        <f t="shared" si="14"/>
        <v>0</v>
      </c>
      <c r="CB42" s="16">
        <f t="shared" si="14"/>
        <v>0</v>
      </c>
      <c r="CC42" s="16">
        <f t="shared" si="14"/>
        <v>0</v>
      </c>
      <c r="CD42" s="16">
        <f t="shared" si="14"/>
        <v>0</v>
      </c>
      <c r="CE42" s="16">
        <f t="shared" si="13"/>
        <v>0</v>
      </c>
      <c r="CF42" s="16">
        <f t="shared" si="13"/>
        <v>0</v>
      </c>
      <c r="CG42" s="16">
        <f t="shared" si="13"/>
        <v>0</v>
      </c>
      <c r="CH42" s="16">
        <f t="shared" si="13"/>
        <v>0</v>
      </c>
      <c r="CI42" s="16">
        <f t="shared" si="13"/>
        <v>0</v>
      </c>
      <c r="CJ42" s="16">
        <f t="shared" si="13"/>
        <v>0</v>
      </c>
      <c r="CK42" s="16">
        <f t="shared" si="13"/>
        <v>0</v>
      </c>
      <c r="CL42" s="16">
        <f t="shared" si="13"/>
        <v>0</v>
      </c>
      <c r="CM42" s="16">
        <f t="shared" si="13"/>
        <v>0</v>
      </c>
      <c r="CN42" s="16">
        <f t="shared" si="13"/>
        <v>0</v>
      </c>
      <c r="CO42" s="16">
        <f t="shared" si="13"/>
        <v>0</v>
      </c>
      <c r="CP42" s="16">
        <f t="shared" si="13"/>
        <v>0</v>
      </c>
      <c r="CQ42" s="16">
        <f t="shared" si="13"/>
        <v>0</v>
      </c>
      <c r="CR42" s="16">
        <f t="shared" si="13"/>
        <v>0</v>
      </c>
      <c r="CS42" s="16">
        <f t="shared" si="13"/>
        <v>0</v>
      </c>
      <c r="CT42" s="16">
        <f t="shared" si="13"/>
        <v>0</v>
      </c>
      <c r="CU42" s="16">
        <f t="shared" si="13"/>
        <v>0</v>
      </c>
      <c r="CV42" s="16">
        <f t="shared" si="13"/>
        <v>0</v>
      </c>
      <c r="CW42" s="16">
        <f t="shared" si="13"/>
        <v>0</v>
      </c>
      <c r="CX42" s="16">
        <f t="shared" si="13"/>
        <v>0</v>
      </c>
      <c r="CY42" s="16">
        <f t="shared" si="13"/>
        <v>0</v>
      </c>
      <c r="CZ42" s="16">
        <f t="shared" si="13"/>
        <v>0</v>
      </c>
      <c r="DA42" s="16">
        <f t="shared" si="13"/>
        <v>0</v>
      </c>
      <c r="DB42" s="16">
        <f t="shared" si="13"/>
        <v>0</v>
      </c>
      <c r="DC42" s="16">
        <f t="shared" si="13"/>
        <v>0</v>
      </c>
      <c r="DD42" s="16">
        <f t="shared" si="13"/>
        <v>0</v>
      </c>
      <c r="DE42" s="16">
        <f t="shared" si="13"/>
        <v>0</v>
      </c>
      <c r="DF42" s="16">
        <f t="shared" si="13"/>
        <v>0</v>
      </c>
      <c r="DG42" s="23">
        <f t="shared" si="5"/>
        <v>1.1399999999999999</v>
      </c>
    </row>
    <row r="43" spans="1:111" x14ac:dyDescent="0.2">
      <c r="A43" s="15" t="str">
        <f t="shared" si="6"/>
        <v>Autre Electricité et utilités</v>
      </c>
      <c r="B43" s="16">
        <f t="shared" si="6"/>
        <v>4.16</v>
      </c>
      <c r="C43" s="16">
        <f t="shared" si="7"/>
        <v>0</v>
      </c>
      <c r="D43" s="16">
        <f t="shared" si="7"/>
        <v>0</v>
      </c>
      <c r="E43" s="16">
        <f t="shared" si="7"/>
        <v>0</v>
      </c>
      <c r="F43" s="16">
        <f t="shared" si="7"/>
        <v>0</v>
      </c>
      <c r="G43" s="16">
        <f t="shared" si="7"/>
        <v>0</v>
      </c>
      <c r="H43" s="16">
        <f t="shared" si="7"/>
        <v>0</v>
      </c>
      <c r="I43" s="16">
        <f t="shared" si="7"/>
        <v>0</v>
      </c>
      <c r="J43" s="16">
        <f t="shared" si="7"/>
        <v>0</v>
      </c>
      <c r="K43" s="16">
        <f t="shared" si="7"/>
        <v>0</v>
      </c>
      <c r="L43" s="16">
        <f t="shared" si="7"/>
        <v>0.624</v>
      </c>
      <c r="M43" s="16">
        <f t="shared" si="7"/>
        <v>0.41600000000000004</v>
      </c>
      <c r="N43" s="16">
        <f t="shared" si="7"/>
        <v>0</v>
      </c>
      <c r="O43" s="16">
        <f t="shared" si="7"/>
        <v>0</v>
      </c>
      <c r="P43" s="16">
        <f t="shared" si="7"/>
        <v>0.83200000000000007</v>
      </c>
      <c r="Q43" s="16">
        <f t="shared" si="7"/>
        <v>0.83200000000000007</v>
      </c>
      <c r="R43" s="16">
        <f t="shared" si="7"/>
        <v>0</v>
      </c>
      <c r="S43" s="16">
        <f t="shared" si="14"/>
        <v>0</v>
      </c>
      <c r="T43" s="16">
        <f t="shared" si="14"/>
        <v>0.83200000000000007</v>
      </c>
      <c r="U43" s="16">
        <f t="shared" si="14"/>
        <v>0</v>
      </c>
      <c r="V43" s="16">
        <f t="shared" si="14"/>
        <v>0</v>
      </c>
      <c r="W43" s="16">
        <f t="shared" si="14"/>
        <v>0</v>
      </c>
      <c r="X43" s="16">
        <f t="shared" si="14"/>
        <v>0.41600000000000004</v>
      </c>
      <c r="Y43" s="16">
        <f t="shared" si="14"/>
        <v>0</v>
      </c>
      <c r="Z43" s="16">
        <f t="shared" si="14"/>
        <v>0</v>
      </c>
      <c r="AA43" s="16">
        <f t="shared" si="14"/>
        <v>0</v>
      </c>
      <c r="AB43" s="16">
        <f t="shared" si="14"/>
        <v>0</v>
      </c>
      <c r="AC43" s="16">
        <f t="shared" si="14"/>
        <v>0</v>
      </c>
      <c r="AD43" s="16">
        <f t="shared" si="14"/>
        <v>0.20800000000000002</v>
      </c>
      <c r="AE43" s="16">
        <f t="shared" si="14"/>
        <v>0</v>
      </c>
      <c r="AF43" s="16">
        <f t="shared" si="14"/>
        <v>0</v>
      </c>
      <c r="AG43" s="16">
        <f t="shared" si="14"/>
        <v>0</v>
      </c>
      <c r="AH43" s="16">
        <f t="shared" si="14"/>
        <v>0</v>
      </c>
      <c r="AI43" s="16">
        <f t="shared" si="14"/>
        <v>0</v>
      </c>
      <c r="AJ43" s="16">
        <f t="shared" si="14"/>
        <v>0</v>
      </c>
      <c r="AK43" s="16">
        <f t="shared" si="14"/>
        <v>0</v>
      </c>
      <c r="AL43" s="16">
        <f t="shared" si="14"/>
        <v>0</v>
      </c>
      <c r="AM43" s="16">
        <f t="shared" si="14"/>
        <v>0</v>
      </c>
      <c r="AN43" s="16">
        <f t="shared" si="14"/>
        <v>0</v>
      </c>
      <c r="AO43" s="16">
        <f t="shared" si="14"/>
        <v>0</v>
      </c>
      <c r="AP43" s="16">
        <f t="shared" si="14"/>
        <v>0</v>
      </c>
      <c r="AQ43" s="16">
        <f t="shared" si="14"/>
        <v>0</v>
      </c>
      <c r="AR43" s="16">
        <f t="shared" si="14"/>
        <v>0</v>
      </c>
      <c r="AS43" s="16">
        <f t="shared" si="14"/>
        <v>0</v>
      </c>
      <c r="AT43" s="16">
        <f t="shared" si="14"/>
        <v>0</v>
      </c>
      <c r="AU43" s="16">
        <f t="shared" si="14"/>
        <v>0</v>
      </c>
      <c r="AV43" s="16">
        <f t="shared" si="14"/>
        <v>0</v>
      </c>
      <c r="AW43" s="16">
        <f t="shared" si="14"/>
        <v>0</v>
      </c>
      <c r="AX43" s="16">
        <f t="shared" si="14"/>
        <v>0</v>
      </c>
      <c r="AY43" s="16">
        <f t="shared" si="14"/>
        <v>0</v>
      </c>
      <c r="AZ43" s="16">
        <f t="shared" si="14"/>
        <v>0</v>
      </c>
      <c r="BA43" s="16">
        <f t="shared" si="14"/>
        <v>0</v>
      </c>
      <c r="BB43" s="16">
        <f t="shared" si="14"/>
        <v>0</v>
      </c>
      <c r="BC43" s="16">
        <f t="shared" si="14"/>
        <v>0</v>
      </c>
      <c r="BD43" s="16">
        <f t="shared" si="14"/>
        <v>0</v>
      </c>
      <c r="BE43" s="16">
        <f t="shared" si="14"/>
        <v>0</v>
      </c>
      <c r="BF43" s="16">
        <f t="shared" si="14"/>
        <v>0</v>
      </c>
      <c r="BG43" s="16">
        <f t="shared" si="14"/>
        <v>0</v>
      </c>
      <c r="BH43" s="16">
        <f t="shared" si="14"/>
        <v>0</v>
      </c>
      <c r="BI43" s="16">
        <f t="shared" si="14"/>
        <v>0</v>
      </c>
      <c r="BJ43" s="16">
        <f t="shared" si="14"/>
        <v>0</v>
      </c>
      <c r="BK43" s="16">
        <f>IF(BK20="",0,$B20*BK20)</f>
        <v>0</v>
      </c>
      <c r="BL43" s="16">
        <f>IF(BL20="",0,$B20*BL20)</f>
        <v>0</v>
      </c>
      <c r="BM43" s="16">
        <f>IF(BM20="",0,$B20*BM20)</f>
        <v>0</v>
      </c>
      <c r="BN43" s="16">
        <f>IF(BN20="",0,$B20*BN20)</f>
        <v>0</v>
      </c>
      <c r="BO43" s="16">
        <f>IF(BO20="",0,$B20*BO20)</f>
        <v>0</v>
      </c>
      <c r="BP43" s="16">
        <f t="shared" si="13"/>
        <v>0</v>
      </c>
      <c r="BQ43" s="16">
        <f t="shared" si="13"/>
        <v>0</v>
      </c>
      <c r="BR43" s="16">
        <f t="shared" si="13"/>
        <v>0</v>
      </c>
      <c r="BS43" s="16">
        <f t="shared" si="13"/>
        <v>0</v>
      </c>
      <c r="BT43" s="16">
        <f t="shared" si="13"/>
        <v>0</v>
      </c>
      <c r="BU43" s="16">
        <f t="shared" si="13"/>
        <v>0</v>
      </c>
      <c r="BV43" s="16">
        <f t="shared" si="13"/>
        <v>0</v>
      </c>
      <c r="BW43" s="16">
        <f t="shared" si="13"/>
        <v>0</v>
      </c>
      <c r="BX43" s="16">
        <f t="shared" si="13"/>
        <v>0</v>
      </c>
      <c r="BY43" s="16">
        <f t="shared" si="13"/>
        <v>0</v>
      </c>
      <c r="BZ43" s="16">
        <f t="shared" si="13"/>
        <v>0</v>
      </c>
      <c r="CA43" s="16">
        <f t="shared" si="13"/>
        <v>0</v>
      </c>
      <c r="CB43" s="16">
        <f t="shared" si="13"/>
        <v>0</v>
      </c>
      <c r="CC43" s="16">
        <f t="shared" si="13"/>
        <v>0</v>
      </c>
      <c r="CD43" s="16">
        <f t="shared" si="13"/>
        <v>0</v>
      </c>
      <c r="CE43" s="16">
        <f t="shared" si="13"/>
        <v>0</v>
      </c>
      <c r="CF43" s="16">
        <f t="shared" si="13"/>
        <v>0</v>
      </c>
      <c r="CG43" s="16">
        <f t="shared" si="13"/>
        <v>0</v>
      </c>
      <c r="CH43" s="16">
        <f t="shared" si="13"/>
        <v>0</v>
      </c>
      <c r="CI43" s="16">
        <f t="shared" si="13"/>
        <v>0</v>
      </c>
      <c r="CJ43" s="16">
        <f t="shared" si="13"/>
        <v>0</v>
      </c>
      <c r="CK43" s="16">
        <f t="shared" si="13"/>
        <v>0</v>
      </c>
      <c r="CL43" s="16">
        <f t="shared" si="13"/>
        <v>0</v>
      </c>
      <c r="CM43" s="16">
        <f t="shared" si="13"/>
        <v>0</v>
      </c>
      <c r="CN43" s="16">
        <f t="shared" si="13"/>
        <v>0</v>
      </c>
      <c r="CO43" s="16">
        <f t="shared" si="13"/>
        <v>0</v>
      </c>
      <c r="CP43" s="16">
        <f t="shared" si="13"/>
        <v>0</v>
      </c>
      <c r="CQ43" s="16">
        <f t="shared" si="13"/>
        <v>0</v>
      </c>
      <c r="CR43" s="16">
        <f t="shared" si="13"/>
        <v>0</v>
      </c>
      <c r="CS43" s="16">
        <f t="shared" si="13"/>
        <v>0</v>
      </c>
      <c r="CT43" s="16">
        <f t="shared" si="13"/>
        <v>0</v>
      </c>
      <c r="CU43" s="16">
        <f t="shared" si="13"/>
        <v>0</v>
      </c>
      <c r="CV43" s="16">
        <f t="shared" si="13"/>
        <v>0</v>
      </c>
      <c r="CW43" s="16">
        <f t="shared" si="13"/>
        <v>0</v>
      </c>
      <c r="CX43" s="16">
        <f t="shared" si="13"/>
        <v>0</v>
      </c>
      <c r="CY43" s="16">
        <f t="shared" si="13"/>
        <v>0</v>
      </c>
      <c r="CZ43" s="16">
        <f t="shared" si="13"/>
        <v>0</v>
      </c>
      <c r="DA43" s="16">
        <f t="shared" si="13"/>
        <v>0</v>
      </c>
      <c r="DB43" s="16">
        <f t="shared" si="13"/>
        <v>0</v>
      </c>
      <c r="DC43" s="16">
        <f t="shared" si="13"/>
        <v>0</v>
      </c>
      <c r="DD43" s="16">
        <f t="shared" si="13"/>
        <v>0</v>
      </c>
      <c r="DE43" s="16">
        <f t="shared" si="13"/>
        <v>0</v>
      </c>
      <c r="DF43" s="16">
        <f t="shared" si="13"/>
        <v>0</v>
      </c>
      <c r="DG43" s="23">
        <f t="shared" si="5"/>
        <v>4.16</v>
      </c>
    </row>
    <row r="44" spans="1:111" x14ac:dyDescent="0.2">
      <c r="A44" s="15" t="str">
        <f t="shared" si="6"/>
        <v>VRD</v>
      </c>
      <c r="B44" s="16">
        <f t="shared" si="6"/>
        <v>1.9</v>
      </c>
      <c r="C44" s="16">
        <f t="shared" si="7"/>
        <v>0.19</v>
      </c>
      <c r="D44" s="16">
        <f t="shared" si="7"/>
        <v>0</v>
      </c>
      <c r="E44" s="16">
        <f t="shared" si="7"/>
        <v>0.19</v>
      </c>
      <c r="F44" s="16">
        <f t="shared" si="7"/>
        <v>0</v>
      </c>
      <c r="G44" s="16">
        <f t="shared" si="7"/>
        <v>0.19</v>
      </c>
      <c r="H44" s="16">
        <f t="shared" si="7"/>
        <v>0</v>
      </c>
      <c r="I44" s="16">
        <f t="shared" si="7"/>
        <v>0.28499999999999998</v>
      </c>
      <c r="J44" s="16">
        <f t="shared" si="7"/>
        <v>0</v>
      </c>
      <c r="K44" s="16">
        <f t="shared" si="7"/>
        <v>0.19</v>
      </c>
      <c r="L44" s="16">
        <f t="shared" si="7"/>
        <v>0</v>
      </c>
      <c r="M44" s="16">
        <f t="shared" si="7"/>
        <v>0.19</v>
      </c>
      <c r="N44" s="16">
        <f t="shared" si="7"/>
        <v>0</v>
      </c>
      <c r="O44" s="16">
        <f t="shared" si="7"/>
        <v>0</v>
      </c>
      <c r="P44" s="16">
        <f t="shared" si="7"/>
        <v>0.19</v>
      </c>
      <c r="Q44" s="16">
        <f t="shared" si="7"/>
        <v>0</v>
      </c>
      <c r="R44" s="16">
        <f t="shared" si="7"/>
        <v>0</v>
      </c>
      <c r="S44" s="16">
        <f t="shared" ref="S44:CD46" si="15">IF(S21="",0,$B21*S21)</f>
        <v>0.19</v>
      </c>
      <c r="T44" s="16">
        <f t="shared" si="15"/>
        <v>0</v>
      </c>
      <c r="U44" s="16">
        <f t="shared" si="15"/>
        <v>0</v>
      </c>
      <c r="V44" s="16">
        <f t="shared" si="15"/>
        <v>0.19</v>
      </c>
      <c r="W44" s="16">
        <f t="shared" si="15"/>
        <v>0</v>
      </c>
      <c r="X44" s="16">
        <f t="shared" si="15"/>
        <v>0</v>
      </c>
      <c r="Y44" s="16">
        <f t="shared" si="15"/>
        <v>9.5000000000000001E-2</v>
      </c>
      <c r="Z44" s="16">
        <f t="shared" si="15"/>
        <v>0</v>
      </c>
      <c r="AA44" s="16">
        <f t="shared" si="15"/>
        <v>0</v>
      </c>
      <c r="AB44" s="16">
        <f t="shared" si="15"/>
        <v>0</v>
      </c>
      <c r="AC44" s="16">
        <f t="shared" si="15"/>
        <v>0</v>
      </c>
      <c r="AD44" s="16">
        <f t="shared" si="15"/>
        <v>0</v>
      </c>
      <c r="AE44" s="16">
        <f t="shared" si="15"/>
        <v>0</v>
      </c>
      <c r="AF44" s="16">
        <f t="shared" si="15"/>
        <v>0</v>
      </c>
      <c r="AG44" s="16">
        <f t="shared" si="15"/>
        <v>0</v>
      </c>
      <c r="AH44" s="16">
        <f t="shared" si="15"/>
        <v>0</v>
      </c>
      <c r="AI44" s="16">
        <f t="shared" si="15"/>
        <v>0</v>
      </c>
      <c r="AJ44" s="16">
        <f t="shared" si="15"/>
        <v>0</v>
      </c>
      <c r="AK44" s="16">
        <f t="shared" si="15"/>
        <v>0</v>
      </c>
      <c r="AL44" s="16">
        <f t="shared" si="15"/>
        <v>0</v>
      </c>
      <c r="AM44" s="16">
        <f t="shared" si="15"/>
        <v>0</v>
      </c>
      <c r="AN44" s="16">
        <f t="shared" si="15"/>
        <v>0</v>
      </c>
      <c r="AO44" s="16">
        <f t="shared" si="15"/>
        <v>0</v>
      </c>
      <c r="AP44" s="16">
        <f t="shared" si="15"/>
        <v>0</v>
      </c>
      <c r="AQ44" s="16">
        <f t="shared" si="15"/>
        <v>0</v>
      </c>
      <c r="AR44" s="16">
        <f t="shared" si="15"/>
        <v>0</v>
      </c>
      <c r="AS44" s="16">
        <f t="shared" si="15"/>
        <v>0</v>
      </c>
      <c r="AT44" s="16">
        <f t="shared" si="15"/>
        <v>0</v>
      </c>
      <c r="AU44" s="16">
        <f t="shared" si="15"/>
        <v>0</v>
      </c>
      <c r="AV44" s="16">
        <f t="shared" si="15"/>
        <v>0</v>
      </c>
      <c r="AW44" s="16">
        <f t="shared" si="15"/>
        <v>0</v>
      </c>
      <c r="AX44" s="16">
        <f t="shared" si="15"/>
        <v>0</v>
      </c>
      <c r="AY44" s="16">
        <f t="shared" si="15"/>
        <v>0</v>
      </c>
      <c r="AZ44" s="16">
        <f t="shared" si="15"/>
        <v>0</v>
      </c>
      <c r="BA44" s="16">
        <f t="shared" si="15"/>
        <v>0</v>
      </c>
      <c r="BB44" s="16">
        <f t="shared" si="15"/>
        <v>0</v>
      </c>
      <c r="BC44" s="16">
        <f t="shared" si="15"/>
        <v>0</v>
      </c>
      <c r="BD44" s="16">
        <f t="shared" si="15"/>
        <v>0</v>
      </c>
      <c r="BE44" s="16">
        <f t="shared" si="15"/>
        <v>0</v>
      </c>
      <c r="BF44" s="16">
        <f t="shared" si="15"/>
        <v>0</v>
      </c>
      <c r="BG44" s="16">
        <f t="shared" si="15"/>
        <v>0</v>
      </c>
      <c r="BH44" s="16">
        <f t="shared" si="15"/>
        <v>0</v>
      </c>
      <c r="BI44" s="16">
        <f t="shared" si="15"/>
        <v>0</v>
      </c>
      <c r="BJ44" s="16">
        <f t="shared" si="15"/>
        <v>0</v>
      </c>
      <c r="BK44" s="16">
        <f t="shared" si="15"/>
        <v>0</v>
      </c>
      <c r="BL44" s="16">
        <f t="shared" si="15"/>
        <v>0</v>
      </c>
      <c r="BM44" s="16">
        <f t="shared" si="15"/>
        <v>0</v>
      </c>
      <c r="BN44" s="16">
        <f t="shared" si="15"/>
        <v>0</v>
      </c>
      <c r="BO44" s="16">
        <f t="shared" si="15"/>
        <v>0</v>
      </c>
      <c r="BP44" s="16">
        <f t="shared" si="13"/>
        <v>0</v>
      </c>
      <c r="BQ44" s="16">
        <f t="shared" si="13"/>
        <v>0</v>
      </c>
      <c r="BR44" s="16">
        <f t="shared" si="13"/>
        <v>0</v>
      </c>
      <c r="BS44" s="16">
        <f t="shared" si="13"/>
        <v>0</v>
      </c>
      <c r="BT44" s="16">
        <f t="shared" si="13"/>
        <v>0</v>
      </c>
      <c r="BU44" s="16">
        <f t="shared" si="13"/>
        <v>0</v>
      </c>
      <c r="BV44" s="16">
        <f t="shared" si="13"/>
        <v>0</v>
      </c>
      <c r="BW44" s="16">
        <f t="shared" si="13"/>
        <v>0</v>
      </c>
      <c r="BX44" s="16">
        <f t="shared" ref="BP44:DF46" si="16">IF(BX21="",0,$B21*BX21)</f>
        <v>0</v>
      </c>
      <c r="BY44" s="16">
        <f t="shared" si="16"/>
        <v>0</v>
      </c>
      <c r="BZ44" s="16">
        <f t="shared" si="16"/>
        <v>0</v>
      </c>
      <c r="CA44" s="16">
        <f t="shared" si="16"/>
        <v>0</v>
      </c>
      <c r="CB44" s="16">
        <f t="shared" si="16"/>
        <v>0</v>
      </c>
      <c r="CC44" s="16">
        <f t="shared" si="16"/>
        <v>0</v>
      </c>
      <c r="CD44" s="16">
        <f t="shared" si="16"/>
        <v>0</v>
      </c>
      <c r="CE44" s="16">
        <f t="shared" si="16"/>
        <v>0</v>
      </c>
      <c r="CF44" s="16">
        <f t="shared" si="16"/>
        <v>0</v>
      </c>
      <c r="CG44" s="16">
        <f t="shared" si="16"/>
        <v>0</v>
      </c>
      <c r="CH44" s="16">
        <f t="shared" si="16"/>
        <v>0</v>
      </c>
      <c r="CI44" s="16">
        <f t="shared" si="16"/>
        <v>0</v>
      </c>
      <c r="CJ44" s="16">
        <f t="shared" si="16"/>
        <v>0</v>
      </c>
      <c r="CK44" s="16">
        <f t="shared" si="16"/>
        <v>0</v>
      </c>
      <c r="CL44" s="16">
        <f t="shared" si="16"/>
        <v>0</v>
      </c>
      <c r="CM44" s="16">
        <f t="shared" si="16"/>
        <v>0</v>
      </c>
      <c r="CN44" s="16">
        <f t="shared" si="16"/>
        <v>0</v>
      </c>
      <c r="CO44" s="16">
        <f t="shared" si="16"/>
        <v>0</v>
      </c>
      <c r="CP44" s="16">
        <f t="shared" si="16"/>
        <v>0</v>
      </c>
      <c r="CQ44" s="16">
        <f t="shared" si="16"/>
        <v>0</v>
      </c>
      <c r="CR44" s="16">
        <f t="shared" si="16"/>
        <v>0</v>
      </c>
      <c r="CS44" s="16">
        <f t="shared" si="16"/>
        <v>0</v>
      </c>
      <c r="CT44" s="16">
        <f t="shared" si="16"/>
        <v>0</v>
      </c>
      <c r="CU44" s="16">
        <f t="shared" si="16"/>
        <v>0</v>
      </c>
      <c r="CV44" s="16">
        <f t="shared" si="16"/>
        <v>0</v>
      </c>
      <c r="CW44" s="16">
        <f t="shared" si="16"/>
        <v>0</v>
      </c>
      <c r="CX44" s="16">
        <f t="shared" si="16"/>
        <v>0</v>
      </c>
      <c r="CY44" s="16">
        <f t="shared" si="16"/>
        <v>0</v>
      </c>
      <c r="CZ44" s="16">
        <f t="shared" si="16"/>
        <v>0</v>
      </c>
      <c r="DA44" s="16">
        <f t="shared" si="16"/>
        <v>0</v>
      </c>
      <c r="DB44" s="16">
        <f t="shared" si="16"/>
        <v>0</v>
      </c>
      <c r="DC44" s="16">
        <f t="shared" si="16"/>
        <v>0</v>
      </c>
      <c r="DD44" s="16">
        <f t="shared" si="16"/>
        <v>0</v>
      </c>
      <c r="DE44" s="16">
        <f t="shared" si="16"/>
        <v>0</v>
      </c>
      <c r="DF44" s="16">
        <f t="shared" si="16"/>
        <v>0</v>
      </c>
      <c r="DG44" s="23">
        <f t="shared" si="5"/>
        <v>1.8999999999999997</v>
      </c>
    </row>
    <row r="45" spans="1:111" x14ac:dyDescent="0.2">
      <c r="A45" s="15" t="str">
        <f t="shared" si="6"/>
        <v>Projet</v>
      </c>
      <c r="B45" s="16">
        <f t="shared" si="6"/>
        <v>4.9000000000000004</v>
      </c>
      <c r="C45" s="16">
        <f t="shared" si="7"/>
        <v>1.1025</v>
      </c>
      <c r="D45" s="16">
        <f t="shared" si="7"/>
        <v>0.12250000000000001</v>
      </c>
      <c r="E45" s="16">
        <f t="shared" si="7"/>
        <v>0.12250000000000001</v>
      </c>
      <c r="F45" s="16">
        <f t="shared" si="7"/>
        <v>0.12250000000000001</v>
      </c>
      <c r="G45" s="16">
        <f t="shared" si="7"/>
        <v>0.12250000000000001</v>
      </c>
      <c r="H45" s="16">
        <f t="shared" si="7"/>
        <v>0.12250000000000001</v>
      </c>
      <c r="I45" s="16">
        <f t="shared" si="7"/>
        <v>0.12250000000000001</v>
      </c>
      <c r="J45" s="16">
        <f t="shared" si="7"/>
        <v>0.12250000000000001</v>
      </c>
      <c r="K45" s="16">
        <f t="shared" si="7"/>
        <v>0.12250000000000001</v>
      </c>
      <c r="L45" s="16">
        <f t="shared" si="7"/>
        <v>0.12250000000000001</v>
      </c>
      <c r="M45" s="16">
        <f t="shared" si="7"/>
        <v>0.12250000000000001</v>
      </c>
      <c r="N45" s="16">
        <f t="shared" si="7"/>
        <v>0.12250000000000001</v>
      </c>
      <c r="O45" s="16">
        <f t="shared" si="7"/>
        <v>0.12250000000000001</v>
      </c>
      <c r="P45" s="16">
        <f t="shared" si="7"/>
        <v>0.12250000000000001</v>
      </c>
      <c r="Q45" s="16">
        <f t="shared" si="7"/>
        <v>0.12250000000000001</v>
      </c>
      <c r="R45" s="16">
        <f t="shared" si="7"/>
        <v>0.12250000000000001</v>
      </c>
      <c r="S45" s="16">
        <f t="shared" si="15"/>
        <v>0.12250000000000001</v>
      </c>
      <c r="T45" s="16">
        <f t="shared" si="15"/>
        <v>0.12250000000000001</v>
      </c>
      <c r="U45" s="16">
        <f t="shared" si="15"/>
        <v>0.12250000000000001</v>
      </c>
      <c r="V45" s="16">
        <f t="shared" si="15"/>
        <v>0.12250000000000001</v>
      </c>
      <c r="W45" s="16">
        <f t="shared" si="15"/>
        <v>0.12250000000000001</v>
      </c>
      <c r="X45" s="16">
        <f t="shared" si="15"/>
        <v>0.12250000000000001</v>
      </c>
      <c r="Y45" s="16">
        <f t="shared" si="15"/>
        <v>0.12250000000000001</v>
      </c>
      <c r="Z45" s="16">
        <f t="shared" si="15"/>
        <v>0.12250000000000001</v>
      </c>
      <c r="AA45" s="16">
        <f t="shared" si="15"/>
        <v>0.12250000000000001</v>
      </c>
      <c r="AB45" s="16">
        <f t="shared" si="15"/>
        <v>0.12250000000000001</v>
      </c>
      <c r="AC45" s="16">
        <f t="shared" si="15"/>
        <v>0.12250000000000001</v>
      </c>
      <c r="AD45" s="16">
        <f t="shared" si="15"/>
        <v>0.12250000000000001</v>
      </c>
      <c r="AE45" s="16">
        <f t="shared" si="15"/>
        <v>0.12250000000000001</v>
      </c>
      <c r="AF45" s="16">
        <f t="shared" si="15"/>
        <v>0.12250000000000001</v>
      </c>
      <c r="AG45" s="16">
        <f t="shared" si="15"/>
        <v>0.12250000000000001</v>
      </c>
      <c r="AH45" s="16">
        <f t="shared" si="15"/>
        <v>0.12250000000000001</v>
      </c>
      <c r="AI45" s="16">
        <f t="shared" si="15"/>
        <v>0</v>
      </c>
      <c r="AJ45" s="16">
        <f t="shared" si="15"/>
        <v>0</v>
      </c>
      <c r="AK45" s="16">
        <f t="shared" si="15"/>
        <v>0</v>
      </c>
      <c r="AL45" s="16">
        <f t="shared" si="15"/>
        <v>0</v>
      </c>
      <c r="AM45" s="16">
        <f t="shared" si="15"/>
        <v>0</v>
      </c>
      <c r="AN45" s="16">
        <f t="shared" si="15"/>
        <v>0</v>
      </c>
      <c r="AO45" s="16">
        <f t="shared" si="15"/>
        <v>0</v>
      </c>
      <c r="AP45" s="16">
        <f t="shared" si="15"/>
        <v>0</v>
      </c>
      <c r="AQ45" s="16">
        <f t="shared" si="15"/>
        <v>0</v>
      </c>
      <c r="AR45" s="16">
        <f t="shared" si="15"/>
        <v>0</v>
      </c>
      <c r="AS45" s="16">
        <f t="shared" si="15"/>
        <v>0</v>
      </c>
      <c r="AT45" s="16">
        <f t="shared" si="15"/>
        <v>0</v>
      </c>
      <c r="AU45" s="16">
        <f t="shared" si="15"/>
        <v>0</v>
      </c>
      <c r="AV45" s="16">
        <f t="shared" si="15"/>
        <v>0</v>
      </c>
      <c r="AW45" s="16">
        <f t="shared" si="15"/>
        <v>0</v>
      </c>
      <c r="AX45" s="16">
        <f t="shared" si="15"/>
        <v>0</v>
      </c>
      <c r="AY45" s="16">
        <f t="shared" si="15"/>
        <v>0</v>
      </c>
      <c r="AZ45" s="16">
        <f t="shared" si="15"/>
        <v>0</v>
      </c>
      <c r="BA45" s="16">
        <f t="shared" si="15"/>
        <v>0</v>
      </c>
      <c r="BB45" s="16">
        <f t="shared" si="15"/>
        <v>0</v>
      </c>
      <c r="BC45" s="16">
        <f t="shared" si="15"/>
        <v>0</v>
      </c>
      <c r="BD45" s="16">
        <f t="shared" si="15"/>
        <v>0</v>
      </c>
      <c r="BE45" s="16">
        <f t="shared" si="15"/>
        <v>0</v>
      </c>
      <c r="BF45" s="16">
        <f t="shared" si="15"/>
        <v>0</v>
      </c>
      <c r="BG45" s="16">
        <f t="shared" si="15"/>
        <v>0</v>
      </c>
      <c r="BH45" s="16">
        <f t="shared" si="15"/>
        <v>0</v>
      </c>
      <c r="BI45" s="16">
        <f t="shared" si="15"/>
        <v>0</v>
      </c>
      <c r="BJ45" s="16">
        <f t="shared" si="15"/>
        <v>0</v>
      </c>
      <c r="BK45" s="16">
        <f t="shared" si="15"/>
        <v>0</v>
      </c>
      <c r="BL45" s="16">
        <f t="shared" si="15"/>
        <v>0</v>
      </c>
      <c r="BM45" s="16">
        <f t="shared" si="15"/>
        <v>0</v>
      </c>
      <c r="BN45" s="16">
        <f t="shared" si="15"/>
        <v>0</v>
      </c>
      <c r="BO45" s="16">
        <f t="shared" si="15"/>
        <v>0</v>
      </c>
      <c r="BP45" s="16">
        <f t="shared" si="16"/>
        <v>0</v>
      </c>
      <c r="BQ45" s="16">
        <f t="shared" si="16"/>
        <v>0</v>
      </c>
      <c r="BR45" s="16">
        <f t="shared" si="16"/>
        <v>0</v>
      </c>
      <c r="BS45" s="16">
        <f t="shared" si="16"/>
        <v>0</v>
      </c>
      <c r="BT45" s="16">
        <f t="shared" si="16"/>
        <v>0</v>
      </c>
      <c r="BU45" s="16">
        <f t="shared" si="16"/>
        <v>0</v>
      </c>
      <c r="BV45" s="16">
        <f t="shared" si="16"/>
        <v>0</v>
      </c>
      <c r="BW45" s="16">
        <f t="shared" si="16"/>
        <v>0</v>
      </c>
      <c r="BX45" s="16">
        <f t="shared" si="16"/>
        <v>0</v>
      </c>
      <c r="BY45" s="16">
        <f t="shared" si="16"/>
        <v>0</v>
      </c>
      <c r="BZ45" s="16">
        <f t="shared" si="16"/>
        <v>0</v>
      </c>
      <c r="CA45" s="16">
        <f t="shared" si="16"/>
        <v>0</v>
      </c>
      <c r="CB45" s="16">
        <f t="shared" si="16"/>
        <v>0</v>
      </c>
      <c r="CC45" s="16">
        <f t="shared" si="16"/>
        <v>0</v>
      </c>
      <c r="CD45" s="16">
        <f t="shared" si="16"/>
        <v>0</v>
      </c>
      <c r="CE45" s="16">
        <f t="shared" si="16"/>
        <v>0</v>
      </c>
      <c r="CF45" s="16">
        <f t="shared" si="16"/>
        <v>0</v>
      </c>
      <c r="CG45" s="16">
        <f t="shared" si="16"/>
        <v>0</v>
      </c>
      <c r="CH45" s="16">
        <f t="shared" si="16"/>
        <v>0</v>
      </c>
      <c r="CI45" s="16">
        <f t="shared" si="16"/>
        <v>0</v>
      </c>
      <c r="CJ45" s="16">
        <f t="shared" si="16"/>
        <v>0</v>
      </c>
      <c r="CK45" s="16">
        <f t="shared" si="16"/>
        <v>0</v>
      </c>
      <c r="CL45" s="16">
        <f t="shared" si="16"/>
        <v>0</v>
      </c>
      <c r="CM45" s="16">
        <f t="shared" si="16"/>
        <v>0</v>
      </c>
      <c r="CN45" s="16">
        <f t="shared" si="16"/>
        <v>0</v>
      </c>
      <c r="CO45" s="16">
        <f t="shared" si="16"/>
        <v>0</v>
      </c>
      <c r="CP45" s="16">
        <f t="shared" si="16"/>
        <v>0</v>
      </c>
      <c r="CQ45" s="16">
        <f t="shared" si="16"/>
        <v>0</v>
      </c>
      <c r="CR45" s="16">
        <f t="shared" si="16"/>
        <v>0</v>
      </c>
      <c r="CS45" s="16">
        <f t="shared" si="16"/>
        <v>0</v>
      </c>
      <c r="CT45" s="16">
        <f t="shared" si="16"/>
        <v>0</v>
      </c>
      <c r="CU45" s="16">
        <f t="shared" si="16"/>
        <v>0</v>
      </c>
      <c r="CV45" s="16">
        <f t="shared" si="16"/>
        <v>0</v>
      </c>
      <c r="CW45" s="16">
        <f t="shared" si="16"/>
        <v>0</v>
      </c>
      <c r="CX45" s="16">
        <f t="shared" si="16"/>
        <v>0</v>
      </c>
      <c r="CY45" s="16">
        <f t="shared" si="16"/>
        <v>0</v>
      </c>
      <c r="CZ45" s="16">
        <f t="shared" si="16"/>
        <v>0</v>
      </c>
      <c r="DA45" s="16">
        <f t="shared" si="16"/>
        <v>0</v>
      </c>
      <c r="DB45" s="16">
        <f t="shared" si="16"/>
        <v>0</v>
      </c>
      <c r="DC45" s="16">
        <f t="shared" si="16"/>
        <v>0</v>
      </c>
      <c r="DD45" s="16">
        <f t="shared" si="16"/>
        <v>0</v>
      </c>
      <c r="DE45" s="16">
        <f t="shared" si="16"/>
        <v>0</v>
      </c>
      <c r="DF45" s="16">
        <f t="shared" si="16"/>
        <v>0</v>
      </c>
      <c r="DG45" s="23">
        <f t="shared" si="5"/>
        <v>4.8999999999999986</v>
      </c>
    </row>
    <row r="46" spans="1:111" x14ac:dyDescent="0.2">
      <c r="A46" s="15" t="str">
        <f>A23</f>
        <v>DNR</v>
      </c>
      <c r="B46" s="16">
        <f>B23</f>
        <v>4</v>
      </c>
      <c r="C46" s="16">
        <f t="shared" ref="C46:BN46" si="17">IF(C23="",0,$B23*C23)</f>
        <v>0</v>
      </c>
      <c r="D46" s="16">
        <f t="shared" si="17"/>
        <v>0</v>
      </c>
      <c r="E46" s="16">
        <f t="shared" si="17"/>
        <v>0</v>
      </c>
      <c r="F46" s="16">
        <f t="shared" si="17"/>
        <v>0.2</v>
      </c>
      <c r="G46" s="16">
        <f t="shared" si="17"/>
        <v>0</v>
      </c>
      <c r="H46" s="16">
        <f t="shared" si="17"/>
        <v>0</v>
      </c>
      <c r="I46" s="16">
        <f t="shared" si="17"/>
        <v>0</v>
      </c>
      <c r="J46" s="16">
        <f t="shared" si="17"/>
        <v>0.2</v>
      </c>
      <c r="K46" s="16">
        <f t="shared" si="17"/>
        <v>0</v>
      </c>
      <c r="L46" s="16">
        <f t="shared" si="17"/>
        <v>0</v>
      </c>
      <c r="M46" s="16">
        <f t="shared" si="17"/>
        <v>0</v>
      </c>
      <c r="N46" s="16">
        <f t="shared" si="17"/>
        <v>0.2</v>
      </c>
      <c r="O46" s="16">
        <f t="shared" si="17"/>
        <v>0.2</v>
      </c>
      <c r="P46" s="16">
        <f t="shared" si="17"/>
        <v>0.2</v>
      </c>
      <c r="Q46" s="16">
        <f t="shared" si="17"/>
        <v>0.2</v>
      </c>
      <c r="R46" s="16">
        <f t="shared" si="17"/>
        <v>0.2</v>
      </c>
      <c r="S46" s="16">
        <f t="shared" si="17"/>
        <v>0.2</v>
      </c>
      <c r="T46" s="16">
        <f t="shared" si="17"/>
        <v>0.2</v>
      </c>
      <c r="U46" s="16">
        <f t="shared" si="17"/>
        <v>0.2</v>
      </c>
      <c r="V46" s="16">
        <f t="shared" si="17"/>
        <v>0.2</v>
      </c>
      <c r="W46" s="16">
        <f t="shared" si="17"/>
        <v>0.2</v>
      </c>
      <c r="X46" s="16">
        <f t="shared" si="17"/>
        <v>0.2</v>
      </c>
      <c r="Y46" s="16">
        <f t="shared" si="17"/>
        <v>0.2</v>
      </c>
      <c r="Z46" s="16">
        <f t="shared" si="17"/>
        <v>0.2</v>
      </c>
      <c r="AA46" s="16">
        <f t="shared" si="17"/>
        <v>0.2</v>
      </c>
      <c r="AB46" s="16">
        <f t="shared" si="17"/>
        <v>0.2</v>
      </c>
      <c r="AC46" s="16">
        <f t="shared" si="17"/>
        <v>0</v>
      </c>
      <c r="AD46" s="16">
        <f t="shared" si="17"/>
        <v>0.2</v>
      </c>
      <c r="AE46" s="16">
        <f t="shared" si="17"/>
        <v>0.2</v>
      </c>
      <c r="AF46" s="16">
        <f t="shared" si="17"/>
        <v>0</v>
      </c>
      <c r="AG46" s="16">
        <f t="shared" si="17"/>
        <v>0.2</v>
      </c>
      <c r="AH46" s="16">
        <f t="shared" si="17"/>
        <v>0</v>
      </c>
      <c r="AI46" s="16">
        <f t="shared" si="17"/>
        <v>0</v>
      </c>
      <c r="AJ46" s="16">
        <f t="shared" si="17"/>
        <v>0</v>
      </c>
      <c r="AK46" s="16">
        <f t="shared" si="17"/>
        <v>0</v>
      </c>
      <c r="AL46" s="16">
        <f t="shared" si="17"/>
        <v>0</v>
      </c>
      <c r="AM46" s="16">
        <f t="shared" si="17"/>
        <v>0</v>
      </c>
      <c r="AN46" s="16">
        <f t="shared" si="17"/>
        <v>0</v>
      </c>
      <c r="AO46" s="16">
        <f t="shared" si="17"/>
        <v>0</v>
      </c>
      <c r="AP46" s="16">
        <f t="shared" si="17"/>
        <v>0</v>
      </c>
      <c r="AQ46" s="16">
        <f t="shared" si="17"/>
        <v>0</v>
      </c>
      <c r="AR46" s="16">
        <f t="shared" si="17"/>
        <v>0</v>
      </c>
      <c r="AS46" s="16">
        <f t="shared" si="17"/>
        <v>0</v>
      </c>
      <c r="AT46" s="16">
        <f t="shared" si="17"/>
        <v>0</v>
      </c>
      <c r="AU46" s="16">
        <f t="shared" si="17"/>
        <v>0</v>
      </c>
      <c r="AV46" s="16">
        <f t="shared" si="17"/>
        <v>0</v>
      </c>
      <c r="AW46" s="16">
        <f t="shared" si="17"/>
        <v>0</v>
      </c>
      <c r="AX46" s="16">
        <f t="shared" si="17"/>
        <v>0</v>
      </c>
      <c r="AY46" s="16">
        <f t="shared" si="17"/>
        <v>0</v>
      </c>
      <c r="AZ46" s="16">
        <f t="shared" si="17"/>
        <v>0</v>
      </c>
      <c r="BA46" s="16">
        <f t="shared" si="17"/>
        <v>0</v>
      </c>
      <c r="BB46" s="16">
        <f t="shared" si="17"/>
        <v>0</v>
      </c>
      <c r="BC46" s="16">
        <f t="shared" si="17"/>
        <v>0</v>
      </c>
      <c r="BD46" s="16">
        <f t="shared" si="17"/>
        <v>0</v>
      </c>
      <c r="BE46" s="16">
        <f t="shared" si="17"/>
        <v>0</v>
      </c>
      <c r="BF46" s="16">
        <f t="shared" si="17"/>
        <v>0</v>
      </c>
      <c r="BG46" s="16">
        <f t="shared" si="17"/>
        <v>0</v>
      </c>
      <c r="BH46" s="16">
        <f t="shared" si="17"/>
        <v>0</v>
      </c>
      <c r="BI46" s="16">
        <f t="shared" si="17"/>
        <v>0</v>
      </c>
      <c r="BJ46" s="16">
        <f t="shared" si="17"/>
        <v>0</v>
      </c>
      <c r="BK46" s="16">
        <f t="shared" si="17"/>
        <v>0</v>
      </c>
      <c r="BL46" s="16">
        <f t="shared" si="17"/>
        <v>0</v>
      </c>
      <c r="BM46" s="16">
        <f t="shared" si="17"/>
        <v>0</v>
      </c>
      <c r="BN46" s="16">
        <f t="shared" si="17"/>
        <v>0</v>
      </c>
      <c r="BO46" s="16">
        <f t="shared" si="15"/>
        <v>0</v>
      </c>
      <c r="BP46" s="16">
        <f t="shared" si="15"/>
        <v>0</v>
      </c>
      <c r="BQ46" s="16">
        <f t="shared" si="15"/>
        <v>0</v>
      </c>
      <c r="BR46" s="16">
        <f t="shared" si="15"/>
        <v>0</v>
      </c>
      <c r="BS46" s="16">
        <f t="shared" si="15"/>
        <v>0</v>
      </c>
      <c r="BT46" s="16">
        <f t="shared" si="15"/>
        <v>0</v>
      </c>
      <c r="BU46" s="16">
        <f t="shared" si="15"/>
        <v>0</v>
      </c>
      <c r="BV46" s="16">
        <f t="shared" si="15"/>
        <v>0</v>
      </c>
      <c r="BW46" s="16">
        <f t="shared" si="15"/>
        <v>0</v>
      </c>
      <c r="BX46" s="16">
        <f t="shared" si="15"/>
        <v>0</v>
      </c>
      <c r="BY46" s="16">
        <f t="shared" si="15"/>
        <v>0</v>
      </c>
      <c r="BZ46" s="16">
        <f t="shared" si="15"/>
        <v>0</v>
      </c>
      <c r="CA46" s="16">
        <f t="shared" si="15"/>
        <v>0</v>
      </c>
      <c r="CB46" s="16">
        <f t="shared" si="15"/>
        <v>0</v>
      </c>
      <c r="CC46" s="16">
        <f t="shared" si="15"/>
        <v>0</v>
      </c>
      <c r="CD46" s="16">
        <f t="shared" si="15"/>
        <v>0</v>
      </c>
      <c r="CE46" s="16">
        <f t="shared" si="16"/>
        <v>0</v>
      </c>
      <c r="CF46" s="16">
        <f t="shared" si="16"/>
        <v>0</v>
      </c>
      <c r="CG46" s="16">
        <f t="shared" si="16"/>
        <v>0</v>
      </c>
      <c r="CH46" s="16">
        <f t="shared" si="16"/>
        <v>0</v>
      </c>
      <c r="CI46" s="16">
        <f t="shared" si="16"/>
        <v>0</v>
      </c>
      <c r="CJ46" s="16">
        <f t="shared" si="16"/>
        <v>0</v>
      </c>
      <c r="CK46" s="16">
        <f t="shared" si="16"/>
        <v>0</v>
      </c>
      <c r="CL46" s="16">
        <f t="shared" si="16"/>
        <v>0</v>
      </c>
      <c r="CM46" s="16">
        <f t="shared" si="16"/>
        <v>0</v>
      </c>
      <c r="CN46" s="16">
        <f t="shared" si="16"/>
        <v>0</v>
      </c>
      <c r="CO46" s="16">
        <f t="shared" si="16"/>
        <v>0</v>
      </c>
      <c r="CP46" s="16">
        <f t="shared" si="16"/>
        <v>0</v>
      </c>
      <c r="CQ46" s="16">
        <f t="shared" si="16"/>
        <v>0</v>
      </c>
      <c r="CR46" s="16">
        <f t="shared" si="16"/>
        <v>0</v>
      </c>
      <c r="CS46" s="16">
        <f t="shared" si="16"/>
        <v>0</v>
      </c>
      <c r="CT46" s="16">
        <f t="shared" si="16"/>
        <v>0</v>
      </c>
      <c r="CU46" s="16">
        <f t="shared" si="16"/>
        <v>0</v>
      </c>
      <c r="CV46" s="16">
        <f t="shared" si="16"/>
        <v>0</v>
      </c>
      <c r="CW46" s="16">
        <f t="shared" si="16"/>
        <v>0</v>
      </c>
      <c r="CX46" s="16">
        <f t="shared" si="16"/>
        <v>0</v>
      </c>
      <c r="CY46" s="16">
        <f t="shared" si="16"/>
        <v>0</v>
      </c>
      <c r="CZ46" s="16">
        <f t="shared" si="16"/>
        <v>0</v>
      </c>
      <c r="DA46" s="16">
        <f t="shared" si="16"/>
        <v>0</v>
      </c>
      <c r="DB46" s="16">
        <f t="shared" si="16"/>
        <v>0</v>
      </c>
      <c r="DC46" s="16">
        <f t="shared" si="16"/>
        <v>0</v>
      </c>
      <c r="DD46" s="16">
        <f t="shared" si="16"/>
        <v>0</v>
      </c>
      <c r="DE46" s="16">
        <f t="shared" si="16"/>
        <v>0</v>
      </c>
      <c r="DF46" s="16">
        <f t="shared" si="16"/>
        <v>0</v>
      </c>
      <c r="DG46" s="23">
        <f t="shared" si="5"/>
        <v>4.0000000000000009</v>
      </c>
    </row>
    <row r="47" spans="1:111" x14ac:dyDescent="0.2">
      <c r="B47" s="23">
        <f>SUM(B29:B46)</f>
        <v>56.66</v>
      </c>
      <c r="C47" s="38">
        <f>SUM(C29:C46)</f>
        <v>4.4675000000000002</v>
      </c>
      <c r="D47" s="38">
        <f t="shared" ref="D47:BO47" si="18">SUM(D29:D46)</f>
        <v>0.12250000000000001</v>
      </c>
      <c r="E47" s="38">
        <f t="shared" si="18"/>
        <v>3.0425</v>
      </c>
      <c r="F47" s="38">
        <f t="shared" si="18"/>
        <v>0.32250000000000001</v>
      </c>
      <c r="G47" s="38">
        <f t="shared" si="18"/>
        <v>0.76250000000000007</v>
      </c>
      <c r="H47" s="38">
        <f t="shared" si="18"/>
        <v>0.12250000000000001</v>
      </c>
      <c r="I47" s="38">
        <f t="shared" si="18"/>
        <v>0.40749999999999997</v>
      </c>
      <c r="J47" s="38">
        <f t="shared" si="18"/>
        <v>0.32250000000000001</v>
      </c>
      <c r="K47" s="38">
        <f t="shared" si="18"/>
        <v>0.59</v>
      </c>
      <c r="L47" s="38">
        <f t="shared" si="18"/>
        <v>2.74</v>
      </c>
      <c r="M47" s="38">
        <f t="shared" si="18"/>
        <v>1.1755</v>
      </c>
      <c r="N47" s="38">
        <f t="shared" si="18"/>
        <v>0.46250000000000002</v>
      </c>
      <c r="O47" s="38">
        <f t="shared" si="18"/>
        <v>1.28</v>
      </c>
      <c r="P47" s="38">
        <f t="shared" si="18"/>
        <v>7.2545000000000002</v>
      </c>
      <c r="Q47" s="38">
        <f t="shared" si="18"/>
        <v>1.8820000000000001</v>
      </c>
      <c r="R47" s="38">
        <f t="shared" si="18"/>
        <v>0.59699999999999998</v>
      </c>
      <c r="S47" s="38">
        <f t="shared" si="18"/>
        <v>0.63800000000000001</v>
      </c>
      <c r="T47" s="38">
        <f t="shared" si="18"/>
        <v>7.9339999999999993</v>
      </c>
      <c r="U47" s="38">
        <f t="shared" si="18"/>
        <v>1.1855000000000002</v>
      </c>
      <c r="V47" s="38">
        <f t="shared" si="18"/>
        <v>1.37</v>
      </c>
      <c r="W47" s="38">
        <f t="shared" si="18"/>
        <v>1.3299999999999998</v>
      </c>
      <c r="X47" s="38">
        <f t="shared" si="18"/>
        <v>1.6585000000000003</v>
      </c>
      <c r="Y47" s="38">
        <f t="shared" si="18"/>
        <v>2.2395000000000005</v>
      </c>
      <c r="Z47" s="38">
        <f t="shared" si="18"/>
        <v>0.91600000000000015</v>
      </c>
      <c r="AA47" s="38">
        <f t="shared" si="18"/>
        <v>1.0110000000000001</v>
      </c>
      <c r="AB47" s="38">
        <f t="shared" si="18"/>
        <v>4.42</v>
      </c>
      <c r="AC47" s="38">
        <f t="shared" si="18"/>
        <v>0.70250000000000012</v>
      </c>
      <c r="AD47" s="38">
        <f t="shared" si="18"/>
        <v>0.64</v>
      </c>
      <c r="AE47" s="38">
        <f t="shared" si="18"/>
        <v>2.1525000000000003</v>
      </c>
      <c r="AF47" s="38">
        <f t="shared" si="18"/>
        <v>0.38250000000000001</v>
      </c>
      <c r="AG47" s="38">
        <f t="shared" si="18"/>
        <v>0.32250000000000001</v>
      </c>
      <c r="AH47" s="38">
        <f t="shared" si="18"/>
        <v>0.14500000000000002</v>
      </c>
      <c r="AI47" s="38">
        <f t="shared" si="18"/>
        <v>0</v>
      </c>
      <c r="AJ47" s="38">
        <f t="shared" si="18"/>
        <v>0</v>
      </c>
      <c r="AK47" s="38">
        <f t="shared" si="18"/>
        <v>0.127</v>
      </c>
      <c r="AL47" s="38">
        <f t="shared" si="18"/>
        <v>0</v>
      </c>
      <c r="AM47" s="38">
        <f t="shared" si="18"/>
        <v>0.14750000000000002</v>
      </c>
      <c r="AN47" s="38">
        <f t="shared" si="18"/>
        <v>8.5000000000000006E-2</v>
      </c>
      <c r="AO47" s="38">
        <f t="shared" si="18"/>
        <v>2.0000000000000004E-2</v>
      </c>
      <c r="AP47" s="38">
        <f t="shared" si="18"/>
        <v>3.6499999999999998E-2</v>
      </c>
      <c r="AQ47" s="38">
        <f t="shared" si="18"/>
        <v>0.91500000000000004</v>
      </c>
      <c r="AR47" s="38">
        <f t="shared" si="18"/>
        <v>0.13</v>
      </c>
      <c r="AS47" s="38">
        <f t="shared" si="18"/>
        <v>0</v>
      </c>
      <c r="AT47" s="38">
        <f t="shared" si="18"/>
        <v>0</v>
      </c>
      <c r="AU47" s="38">
        <f t="shared" si="18"/>
        <v>0</v>
      </c>
      <c r="AV47" s="38">
        <f t="shared" si="18"/>
        <v>0.39</v>
      </c>
      <c r="AW47" s="38">
        <f t="shared" si="18"/>
        <v>0</v>
      </c>
      <c r="AX47" s="38">
        <f t="shared" si="18"/>
        <v>0.26</v>
      </c>
      <c r="AY47" s="38">
        <f t="shared" si="18"/>
        <v>0</v>
      </c>
      <c r="AZ47" s="38">
        <f t="shared" si="18"/>
        <v>0</v>
      </c>
      <c r="BA47" s="38">
        <f t="shared" si="18"/>
        <v>0</v>
      </c>
      <c r="BB47" s="38">
        <f t="shared" si="18"/>
        <v>0</v>
      </c>
      <c r="BC47" s="38">
        <f t="shared" si="18"/>
        <v>0</v>
      </c>
      <c r="BD47" s="38">
        <f t="shared" si="18"/>
        <v>0</v>
      </c>
      <c r="BE47" s="38">
        <f t="shared" si="18"/>
        <v>0.52</v>
      </c>
      <c r="BF47" s="38">
        <f t="shared" si="18"/>
        <v>0</v>
      </c>
      <c r="BG47" s="38">
        <f t="shared" si="18"/>
        <v>0.52</v>
      </c>
      <c r="BH47" s="38">
        <f t="shared" si="18"/>
        <v>0</v>
      </c>
      <c r="BI47" s="38">
        <f t="shared" si="18"/>
        <v>0</v>
      </c>
      <c r="BJ47" s="38">
        <f t="shared" si="18"/>
        <v>0</v>
      </c>
      <c r="BK47" s="38">
        <f t="shared" si="18"/>
        <v>0</v>
      </c>
      <c r="BL47" s="38">
        <f t="shared" si="18"/>
        <v>0.52</v>
      </c>
      <c r="BM47" s="38">
        <f t="shared" si="18"/>
        <v>0</v>
      </c>
      <c r="BN47" s="38">
        <f t="shared" si="18"/>
        <v>0</v>
      </c>
      <c r="BO47" s="38">
        <f t="shared" si="18"/>
        <v>0.26</v>
      </c>
      <c r="BP47" s="38">
        <f t="shared" ref="BP47:DF47" si="19">SUM(BP29:BP46)</f>
        <v>0</v>
      </c>
      <c r="BQ47" s="38">
        <f t="shared" si="19"/>
        <v>0</v>
      </c>
      <c r="BR47" s="38">
        <f t="shared" si="19"/>
        <v>0</v>
      </c>
      <c r="BS47" s="38">
        <f t="shared" si="19"/>
        <v>0</v>
      </c>
      <c r="BT47" s="38">
        <f t="shared" si="19"/>
        <v>0</v>
      </c>
      <c r="BU47" s="38">
        <f t="shared" si="19"/>
        <v>0</v>
      </c>
      <c r="BV47" s="38">
        <f t="shared" si="19"/>
        <v>0</v>
      </c>
      <c r="BW47" s="38">
        <f t="shared" si="19"/>
        <v>0</v>
      </c>
      <c r="BX47" s="38">
        <f t="shared" si="19"/>
        <v>0</v>
      </c>
      <c r="BY47" s="38">
        <f t="shared" si="19"/>
        <v>0</v>
      </c>
      <c r="BZ47" s="38">
        <f t="shared" si="19"/>
        <v>0</v>
      </c>
      <c r="CA47" s="38">
        <f t="shared" si="19"/>
        <v>0.13</v>
      </c>
      <c r="CB47" s="38">
        <f t="shared" si="19"/>
        <v>0</v>
      </c>
      <c r="CC47" s="38">
        <f t="shared" si="19"/>
        <v>0</v>
      </c>
      <c r="CD47" s="38">
        <f t="shared" si="19"/>
        <v>0</v>
      </c>
      <c r="CE47" s="38">
        <f t="shared" si="19"/>
        <v>0</v>
      </c>
      <c r="CF47" s="38">
        <f t="shared" si="19"/>
        <v>0</v>
      </c>
      <c r="CG47" s="38">
        <f t="shared" si="19"/>
        <v>0</v>
      </c>
      <c r="CH47" s="38">
        <f t="shared" si="19"/>
        <v>0</v>
      </c>
      <c r="CI47" s="38">
        <f t="shared" si="19"/>
        <v>0</v>
      </c>
      <c r="CJ47" s="38">
        <f t="shared" si="19"/>
        <v>0</v>
      </c>
      <c r="CK47" s="38">
        <f t="shared" si="19"/>
        <v>0</v>
      </c>
      <c r="CL47" s="38">
        <f t="shared" si="19"/>
        <v>0</v>
      </c>
      <c r="CM47" s="38">
        <f t="shared" si="19"/>
        <v>0</v>
      </c>
      <c r="CN47" s="38">
        <f t="shared" si="19"/>
        <v>0</v>
      </c>
      <c r="CO47" s="38">
        <f t="shared" si="19"/>
        <v>0</v>
      </c>
      <c r="CP47" s="38">
        <f t="shared" si="19"/>
        <v>0</v>
      </c>
      <c r="CQ47" s="38">
        <f t="shared" si="19"/>
        <v>0</v>
      </c>
      <c r="CR47" s="38">
        <f t="shared" si="19"/>
        <v>0</v>
      </c>
      <c r="CS47" s="38">
        <f t="shared" si="19"/>
        <v>0</v>
      </c>
      <c r="CT47" s="38">
        <f t="shared" si="19"/>
        <v>0</v>
      </c>
      <c r="CU47" s="38">
        <f t="shared" si="19"/>
        <v>0</v>
      </c>
      <c r="CV47" s="38">
        <f t="shared" si="19"/>
        <v>0</v>
      </c>
      <c r="CW47" s="38">
        <f t="shared" si="19"/>
        <v>0</v>
      </c>
      <c r="CX47" s="38">
        <f t="shared" si="19"/>
        <v>0</v>
      </c>
      <c r="CY47" s="38">
        <f t="shared" si="19"/>
        <v>0</v>
      </c>
      <c r="CZ47" s="38">
        <f t="shared" si="19"/>
        <v>0</v>
      </c>
      <c r="DA47" s="38">
        <f t="shared" si="19"/>
        <v>0</v>
      </c>
      <c r="DB47" s="38">
        <f t="shared" si="19"/>
        <v>0</v>
      </c>
      <c r="DC47" s="38">
        <f t="shared" si="19"/>
        <v>0</v>
      </c>
      <c r="DD47" s="38">
        <f t="shared" si="19"/>
        <v>0</v>
      </c>
      <c r="DE47" s="38">
        <f t="shared" si="19"/>
        <v>0</v>
      </c>
      <c r="DF47" s="38">
        <f t="shared" si="19"/>
        <v>0</v>
      </c>
      <c r="DG47" s="23">
        <f>SUM(C47:DF47)</f>
        <v>56.660000000000018</v>
      </c>
    </row>
    <row r="48" spans="1:111" ht="12.75" customHeight="1" x14ac:dyDescent="0.2"/>
    <row r="49" spans="1:110" ht="12.75" hidden="1" customHeight="1" x14ac:dyDescent="0.2"/>
    <row r="50" spans="1:110" ht="12.75" hidden="1" customHeight="1" x14ac:dyDescent="0.25">
      <c r="A50" s="984" t="s">
        <v>1329</v>
      </c>
      <c r="C50" s="975">
        <f>C26</f>
        <v>1</v>
      </c>
      <c r="D50" s="975">
        <f t="shared" ref="D50:BO52" si="20">D26</f>
        <v>2</v>
      </c>
      <c r="E50" s="975">
        <f t="shared" si="20"/>
        <v>3</v>
      </c>
      <c r="F50" s="975">
        <f t="shared" si="20"/>
        <v>4</v>
      </c>
      <c r="G50" s="975">
        <f t="shared" si="20"/>
        <v>5</v>
      </c>
      <c r="H50" s="975">
        <f t="shared" si="20"/>
        <v>6</v>
      </c>
      <c r="I50" s="975">
        <f t="shared" si="20"/>
        <v>7</v>
      </c>
      <c r="J50" s="975">
        <f t="shared" si="20"/>
        <v>8</v>
      </c>
      <c r="K50" s="975">
        <f t="shared" si="20"/>
        <v>9</v>
      </c>
      <c r="L50" s="975">
        <f t="shared" si="20"/>
        <v>10</v>
      </c>
      <c r="M50" s="975">
        <f t="shared" si="20"/>
        <v>11</v>
      </c>
      <c r="N50" s="975">
        <f t="shared" si="20"/>
        <v>12</v>
      </c>
      <c r="O50" s="975">
        <f t="shared" si="20"/>
        <v>13</v>
      </c>
      <c r="P50" s="975">
        <f t="shared" si="20"/>
        <v>14</v>
      </c>
      <c r="Q50" s="975">
        <f t="shared" si="20"/>
        <v>15</v>
      </c>
      <c r="R50" s="975">
        <f t="shared" si="20"/>
        <v>16</v>
      </c>
      <c r="S50" s="975">
        <f t="shared" si="20"/>
        <v>17</v>
      </c>
      <c r="T50" s="975">
        <f t="shared" si="20"/>
        <v>18</v>
      </c>
      <c r="U50" s="975">
        <f t="shared" si="20"/>
        <v>19</v>
      </c>
      <c r="V50" s="975">
        <f t="shared" si="20"/>
        <v>20</v>
      </c>
      <c r="W50" s="975">
        <f t="shared" si="20"/>
        <v>21</v>
      </c>
      <c r="X50" s="975">
        <f t="shared" si="20"/>
        <v>22</v>
      </c>
      <c r="Y50" s="975">
        <f t="shared" si="20"/>
        <v>23</v>
      </c>
      <c r="Z50" s="975">
        <f t="shared" si="20"/>
        <v>24</v>
      </c>
      <c r="AA50" s="975">
        <f t="shared" si="20"/>
        <v>25</v>
      </c>
      <c r="AB50" s="975">
        <f t="shared" si="20"/>
        <v>26</v>
      </c>
      <c r="AC50" s="975">
        <f t="shared" si="20"/>
        <v>27</v>
      </c>
      <c r="AD50" s="975">
        <f t="shared" si="20"/>
        <v>28</v>
      </c>
      <c r="AE50" s="975">
        <f t="shared" si="20"/>
        <v>29</v>
      </c>
      <c r="AF50" s="975">
        <f t="shared" si="20"/>
        <v>30</v>
      </c>
      <c r="AG50" s="975">
        <f t="shared" si="20"/>
        <v>31</v>
      </c>
      <c r="AH50" s="975">
        <f t="shared" si="20"/>
        <v>32</v>
      </c>
      <c r="AI50" s="975">
        <f t="shared" si="20"/>
        <v>33</v>
      </c>
      <c r="AJ50" s="975">
        <f t="shared" si="20"/>
        <v>34</v>
      </c>
      <c r="AK50" s="975">
        <f t="shared" si="20"/>
        <v>35</v>
      </c>
      <c r="AL50" s="975">
        <f t="shared" si="20"/>
        <v>36</v>
      </c>
      <c r="AM50" s="975">
        <f t="shared" si="20"/>
        <v>37</v>
      </c>
      <c r="AN50" s="975">
        <f t="shared" si="20"/>
        <v>38</v>
      </c>
      <c r="AO50" s="975">
        <f t="shared" si="20"/>
        <v>39</v>
      </c>
      <c r="AP50" s="975">
        <f t="shared" si="20"/>
        <v>40</v>
      </c>
      <c r="AQ50" s="975">
        <f t="shared" si="20"/>
        <v>41</v>
      </c>
      <c r="AR50" s="975">
        <f t="shared" si="20"/>
        <v>42</v>
      </c>
      <c r="AS50" s="975">
        <f t="shared" si="20"/>
        <v>43</v>
      </c>
      <c r="AT50" s="975">
        <f t="shared" si="20"/>
        <v>44</v>
      </c>
      <c r="AU50" s="975">
        <f t="shared" si="20"/>
        <v>45</v>
      </c>
      <c r="AV50" s="975">
        <f t="shared" si="20"/>
        <v>46</v>
      </c>
      <c r="AW50" s="975">
        <f t="shared" si="20"/>
        <v>47</v>
      </c>
      <c r="AX50" s="975">
        <f t="shared" si="20"/>
        <v>48</v>
      </c>
      <c r="AY50" s="975">
        <f t="shared" si="20"/>
        <v>49</v>
      </c>
      <c r="AZ50" s="975">
        <f t="shared" si="20"/>
        <v>50</v>
      </c>
      <c r="BA50" s="975">
        <f t="shared" si="20"/>
        <v>51</v>
      </c>
      <c r="BB50" s="975">
        <f t="shared" si="20"/>
        <v>52</v>
      </c>
      <c r="BC50" s="975">
        <f t="shared" si="20"/>
        <v>53</v>
      </c>
      <c r="BD50" s="975">
        <f t="shared" si="20"/>
        <v>54</v>
      </c>
      <c r="BE50" s="975">
        <f t="shared" si="20"/>
        <v>55</v>
      </c>
      <c r="BF50" s="975">
        <f t="shared" si="20"/>
        <v>56</v>
      </c>
      <c r="BG50" s="975">
        <f t="shared" si="20"/>
        <v>57</v>
      </c>
      <c r="BH50" s="975">
        <f t="shared" si="20"/>
        <v>58</v>
      </c>
      <c r="BI50" s="975">
        <f t="shared" si="20"/>
        <v>59</v>
      </c>
      <c r="BJ50" s="975">
        <f t="shared" si="20"/>
        <v>60</v>
      </c>
      <c r="BK50" s="975">
        <f t="shared" si="20"/>
        <v>61</v>
      </c>
      <c r="BL50" s="975">
        <f t="shared" si="20"/>
        <v>62</v>
      </c>
      <c r="BM50" s="975">
        <f t="shared" si="20"/>
        <v>63</v>
      </c>
      <c r="BN50" s="975">
        <f t="shared" si="20"/>
        <v>64</v>
      </c>
      <c r="BO50" s="975">
        <f t="shared" si="20"/>
        <v>65</v>
      </c>
      <c r="BP50" s="975">
        <f t="shared" ref="BP50:DF52" si="21">BP26</f>
        <v>66</v>
      </c>
      <c r="BQ50" s="975">
        <f t="shared" si="21"/>
        <v>67</v>
      </c>
      <c r="BR50" s="975">
        <f t="shared" si="21"/>
        <v>68</v>
      </c>
      <c r="BS50" s="975">
        <f t="shared" si="21"/>
        <v>69</v>
      </c>
      <c r="BT50" s="975">
        <f t="shared" si="21"/>
        <v>70</v>
      </c>
      <c r="BU50" s="975">
        <f t="shared" si="21"/>
        <v>71</v>
      </c>
      <c r="BV50" s="975">
        <f t="shared" si="21"/>
        <v>72</v>
      </c>
      <c r="BW50" s="975">
        <f t="shared" si="21"/>
        <v>73</v>
      </c>
      <c r="BX50" s="975">
        <f t="shared" si="21"/>
        <v>74</v>
      </c>
      <c r="BY50" s="975">
        <f t="shared" si="21"/>
        <v>75</v>
      </c>
      <c r="BZ50" s="975">
        <f t="shared" si="21"/>
        <v>76</v>
      </c>
      <c r="CA50" s="975">
        <f t="shared" si="21"/>
        <v>77</v>
      </c>
      <c r="CB50" s="975">
        <f t="shared" si="21"/>
        <v>78</v>
      </c>
      <c r="CC50" s="975">
        <f t="shared" si="21"/>
        <v>79</v>
      </c>
      <c r="CD50" s="975">
        <f t="shared" si="21"/>
        <v>80</v>
      </c>
      <c r="CE50" s="975">
        <f t="shared" si="21"/>
        <v>81</v>
      </c>
      <c r="CF50" s="975">
        <f t="shared" si="21"/>
        <v>82</v>
      </c>
      <c r="CG50" s="975">
        <f t="shared" si="21"/>
        <v>83</v>
      </c>
      <c r="CH50" s="975">
        <f t="shared" si="21"/>
        <v>84</v>
      </c>
      <c r="CI50" s="975">
        <f t="shared" si="21"/>
        <v>85</v>
      </c>
      <c r="CJ50" s="975">
        <f t="shared" si="21"/>
        <v>86</v>
      </c>
      <c r="CK50" s="975">
        <f t="shared" si="21"/>
        <v>87</v>
      </c>
      <c r="CL50" s="975">
        <f t="shared" si="21"/>
        <v>88</v>
      </c>
      <c r="CM50" s="975">
        <f t="shared" si="21"/>
        <v>89</v>
      </c>
      <c r="CN50" s="975">
        <f t="shared" si="21"/>
        <v>90</v>
      </c>
      <c r="CO50" s="975">
        <f t="shared" si="21"/>
        <v>91</v>
      </c>
      <c r="CP50" s="975">
        <f t="shared" si="21"/>
        <v>92</v>
      </c>
      <c r="CQ50" s="975">
        <f t="shared" si="21"/>
        <v>93</v>
      </c>
      <c r="CR50" s="975">
        <f t="shared" si="21"/>
        <v>94</v>
      </c>
      <c r="CS50" s="975">
        <f t="shared" si="21"/>
        <v>95</v>
      </c>
      <c r="CT50" s="975">
        <f t="shared" si="21"/>
        <v>96</v>
      </c>
      <c r="CU50" s="975">
        <f t="shared" si="21"/>
        <v>97</v>
      </c>
      <c r="CV50" s="975">
        <f t="shared" si="21"/>
        <v>98</v>
      </c>
      <c r="CW50" s="975">
        <f t="shared" si="21"/>
        <v>99</v>
      </c>
      <c r="CX50" s="975">
        <f t="shared" si="21"/>
        <v>100</v>
      </c>
      <c r="CY50" s="975">
        <f t="shared" si="21"/>
        <v>101</v>
      </c>
      <c r="CZ50" s="975">
        <f t="shared" si="21"/>
        <v>102</v>
      </c>
      <c r="DA50" s="975">
        <f t="shared" si="21"/>
        <v>103</v>
      </c>
      <c r="DB50" s="975">
        <f t="shared" si="21"/>
        <v>104</v>
      </c>
      <c r="DC50" s="975">
        <f t="shared" si="21"/>
        <v>105</v>
      </c>
      <c r="DD50" s="975">
        <f t="shared" si="21"/>
        <v>106</v>
      </c>
      <c r="DE50" s="975">
        <f t="shared" si="21"/>
        <v>107</v>
      </c>
      <c r="DF50" s="975">
        <f t="shared" si="21"/>
        <v>108</v>
      </c>
    </row>
    <row r="51" spans="1:110" ht="12.75" hidden="1" customHeight="1" x14ac:dyDescent="0.2">
      <c r="C51" s="975" t="str">
        <f t="shared" ref="C51:R52" si="22">C27</f>
        <v>janvier</v>
      </c>
      <c r="D51" s="975" t="str">
        <f t="shared" si="22"/>
        <v>février</v>
      </c>
      <c r="E51" s="975" t="str">
        <f t="shared" si="22"/>
        <v>mars</v>
      </c>
      <c r="F51" s="975" t="str">
        <f t="shared" si="22"/>
        <v>avril</v>
      </c>
      <c r="G51" s="975" t="str">
        <f t="shared" si="22"/>
        <v>mai</v>
      </c>
      <c r="H51" s="975" t="str">
        <f t="shared" si="22"/>
        <v>juin</v>
      </c>
      <c r="I51" s="975" t="str">
        <f t="shared" si="22"/>
        <v>juillet</v>
      </c>
      <c r="J51" s="975" t="str">
        <f t="shared" si="22"/>
        <v>août</v>
      </c>
      <c r="K51" s="975" t="str">
        <f t="shared" si="22"/>
        <v>septembre</v>
      </c>
      <c r="L51" s="975" t="str">
        <f t="shared" si="22"/>
        <v>octobre</v>
      </c>
      <c r="M51" s="975" t="str">
        <f t="shared" si="22"/>
        <v>novembre</v>
      </c>
      <c r="N51" s="975" t="str">
        <f t="shared" si="22"/>
        <v>décembre</v>
      </c>
      <c r="O51" s="975" t="str">
        <f t="shared" si="22"/>
        <v>janvier</v>
      </c>
      <c r="P51" s="975" t="str">
        <f t="shared" si="22"/>
        <v>février</v>
      </c>
      <c r="Q51" s="975" t="str">
        <f t="shared" si="22"/>
        <v>mars</v>
      </c>
      <c r="R51" s="975" t="str">
        <f t="shared" si="22"/>
        <v>avril</v>
      </c>
      <c r="S51" s="975" t="str">
        <f t="shared" si="20"/>
        <v>mai</v>
      </c>
      <c r="T51" s="975" t="str">
        <f t="shared" si="20"/>
        <v>juin</v>
      </c>
      <c r="U51" s="975" t="str">
        <f t="shared" si="20"/>
        <v>juillet</v>
      </c>
      <c r="V51" s="975" t="str">
        <f t="shared" si="20"/>
        <v>août</v>
      </c>
      <c r="W51" s="975" t="str">
        <f t="shared" si="20"/>
        <v>septembre</v>
      </c>
      <c r="X51" s="975" t="str">
        <f t="shared" si="20"/>
        <v>octobre</v>
      </c>
      <c r="Y51" s="975" t="str">
        <f t="shared" si="20"/>
        <v>novembre</v>
      </c>
      <c r="Z51" s="975" t="str">
        <f t="shared" si="20"/>
        <v>décembre</v>
      </c>
      <c r="AA51" s="975" t="str">
        <f t="shared" si="20"/>
        <v>janvier</v>
      </c>
      <c r="AB51" s="975" t="str">
        <f t="shared" si="20"/>
        <v>février</v>
      </c>
      <c r="AC51" s="975" t="str">
        <f t="shared" si="20"/>
        <v>mars</v>
      </c>
      <c r="AD51" s="975" t="str">
        <f t="shared" si="20"/>
        <v>avril</v>
      </c>
      <c r="AE51" s="975" t="str">
        <f t="shared" si="20"/>
        <v>mai</v>
      </c>
      <c r="AF51" s="975" t="str">
        <f t="shared" si="20"/>
        <v>juin</v>
      </c>
      <c r="AG51" s="975" t="str">
        <f t="shared" si="20"/>
        <v>juillet</v>
      </c>
      <c r="AH51" s="975" t="str">
        <f t="shared" si="20"/>
        <v>août</v>
      </c>
      <c r="AI51" s="975" t="str">
        <f t="shared" si="20"/>
        <v>septembre</v>
      </c>
      <c r="AJ51" s="975" t="str">
        <f t="shared" si="20"/>
        <v>octobre</v>
      </c>
      <c r="AK51" s="975" t="str">
        <f t="shared" si="20"/>
        <v>novembre</v>
      </c>
      <c r="AL51" s="975" t="str">
        <f t="shared" si="20"/>
        <v>décembre</v>
      </c>
      <c r="AM51" s="975" t="str">
        <f t="shared" si="20"/>
        <v>janvier</v>
      </c>
      <c r="AN51" s="975" t="str">
        <f t="shared" si="20"/>
        <v>février</v>
      </c>
      <c r="AO51" s="975" t="str">
        <f t="shared" si="20"/>
        <v>mars</v>
      </c>
      <c r="AP51" s="975" t="str">
        <f t="shared" si="20"/>
        <v>avril</v>
      </c>
      <c r="AQ51" s="975" t="str">
        <f t="shared" si="20"/>
        <v>mai</v>
      </c>
      <c r="AR51" s="975" t="str">
        <f t="shared" si="20"/>
        <v>juin</v>
      </c>
      <c r="AS51" s="975" t="str">
        <f t="shared" si="20"/>
        <v>juillet</v>
      </c>
      <c r="AT51" s="975" t="str">
        <f t="shared" si="20"/>
        <v>août</v>
      </c>
      <c r="AU51" s="975" t="str">
        <f t="shared" si="20"/>
        <v>septembre</v>
      </c>
      <c r="AV51" s="975" t="str">
        <f t="shared" si="20"/>
        <v>octobre</v>
      </c>
      <c r="AW51" s="975" t="str">
        <f t="shared" si="20"/>
        <v>novembre</v>
      </c>
      <c r="AX51" s="975" t="str">
        <f t="shared" si="20"/>
        <v>décembre</v>
      </c>
      <c r="AY51" s="975" t="str">
        <f t="shared" si="20"/>
        <v>janvier</v>
      </c>
      <c r="AZ51" s="975" t="str">
        <f t="shared" si="20"/>
        <v>février</v>
      </c>
      <c r="BA51" s="975" t="str">
        <f t="shared" si="20"/>
        <v>mars</v>
      </c>
      <c r="BB51" s="975" t="str">
        <f t="shared" si="20"/>
        <v>avril</v>
      </c>
      <c r="BC51" s="975" t="str">
        <f t="shared" si="20"/>
        <v>mai</v>
      </c>
      <c r="BD51" s="975" t="str">
        <f t="shared" si="20"/>
        <v>juin</v>
      </c>
      <c r="BE51" s="975" t="str">
        <f t="shared" si="20"/>
        <v>juillet</v>
      </c>
      <c r="BF51" s="975" t="str">
        <f t="shared" si="20"/>
        <v>août</v>
      </c>
      <c r="BG51" s="975" t="str">
        <f t="shared" si="20"/>
        <v>septembre</v>
      </c>
      <c r="BH51" s="975" t="str">
        <f t="shared" si="20"/>
        <v>octobre</v>
      </c>
      <c r="BI51" s="975" t="str">
        <f t="shared" si="20"/>
        <v>novembre</v>
      </c>
      <c r="BJ51" s="975" t="str">
        <f t="shared" si="20"/>
        <v>décembre</v>
      </c>
      <c r="BK51" s="975" t="str">
        <f t="shared" si="20"/>
        <v>janvier</v>
      </c>
      <c r="BL51" s="975" t="str">
        <f t="shared" si="20"/>
        <v>février</v>
      </c>
      <c r="BM51" s="975" t="str">
        <f t="shared" si="20"/>
        <v>mars</v>
      </c>
      <c r="BN51" s="975" t="str">
        <f t="shared" si="20"/>
        <v>avril</v>
      </c>
      <c r="BO51" s="975" t="str">
        <f t="shared" si="20"/>
        <v>mai</v>
      </c>
      <c r="BP51" s="975" t="str">
        <f t="shared" si="21"/>
        <v>juin</v>
      </c>
      <c r="BQ51" s="975" t="str">
        <f t="shared" si="21"/>
        <v>juillet</v>
      </c>
      <c r="BR51" s="975" t="str">
        <f t="shared" si="21"/>
        <v>août</v>
      </c>
      <c r="BS51" s="975" t="str">
        <f t="shared" si="21"/>
        <v>septembre</v>
      </c>
      <c r="BT51" s="975" t="str">
        <f t="shared" si="21"/>
        <v>octobre</v>
      </c>
      <c r="BU51" s="975" t="str">
        <f t="shared" si="21"/>
        <v>novembre</v>
      </c>
      <c r="BV51" s="975" t="str">
        <f t="shared" si="21"/>
        <v>décembre</v>
      </c>
      <c r="BW51" s="975" t="str">
        <f t="shared" si="21"/>
        <v>janvier</v>
      </c>
      <c r="BX51" s="975" t="str">
        <f t="shared" si="21"/>
        <v>février</v>
      </c>
      <c r="BY51" s="975" t="str">
        <f t="shared" si="21"/>
        <v>mars</v>
      </c>
      <c r="BZ51" s="975" t="str">
        <f t="shared" si="21"/>
        <v>avril</v>
      </c>
      <c r="CA51" s="975" t="str">
        <f t="shared" si="21"/>
        <v>mai</v>
      </c>
      <c r="CB51" s="975" t="str">
        <f t="shared" si="21"/>
        <v>juin</v>
      </c>
      <c r="CC51" s="975" t="str">
        <f t="shared" si="21"/>
        <v>juillet</v>
      </c>
      <c r="CD51" s="975" t="str">
        <f t="shared" si="21"/>
        <v>août</v>
      </c>
      <c r="CE51" s="975" t="str">
        <f t="shared" si="21"/>
        <v>septembre</v>
      </c>
      <c r="CF51" s="975" t="str">
        <f t="shared" si="21"/>
        <v>octobre</v>
      </c>
      <c r="CG51" s="975" t="str">
        <f t="shared" si="21"/>
        <v>novembre</v>
      </c>
      <c r="CH51" s="975" t="str">
        <f t="shared" si="21"/>
        <v>décembre</v>
      </c>
      <c r="CI51" s="975" t="str">
        <f t="shared" si="21"/>
        <v>janvier</v>
      </c>
      <c r="CJ51" s="975" t="str">
        <f t="shared" si="21"/>
        <v>février</v>
      </c>
      <c r="CK51" s="975" t="str">
        <f t="shared" si="21"/>
        <v>mars</v>
      </c>
      <c r="CL51" s="975" t="str">
        <f t="shared" si="21"/>
        <v>avril</v>
      </c>
      <c r="CM51" s="975" t="str">
        <f t="shared" si="21"/>
        <v>mai</v>
      </c>
      <c r="CN51" s="975" t="str">
        <f t="shared" si="21"/>
        <v>juin</v>
      </c>
      <c r="CO51" s="975" t="str">
        <f t="shared" si="21"/>
        <v>juillet</v>
      </c>
      <c r="CP51" s="975" t="str">
        <f t="shared" si="21"/>
        <v>août</v>
      </c>
      <c r="CQ51" s="975" t="str">
        <f t="shared" si="21"/>
        <v>septembre</v>
      </c>
      <c r="CR51" s="975" t="str">
        <f t="shared" si="21"/>
        <v>octobre</v>
      </c>
      <c r="CS51" s="975" t="str">
        <f t="shared" si="21"/>
        <v>novembre</v>
      </c>
      <c r="CT51" s="975" t="str">
        <f t="shared" si="21"/>
        <v>décembre</v>
      </c>
      <c r="CU51" s="975" t="str">
        <f t="shared" si="21"/>
        <v>janvier</v>
      </c>
      <c r="CV51" s="975" t="str">
        <f t="shared" si="21"/>
        <v>février</v>
      </c>
      <c r="CW51" s="975" t="str">
        <f t="shared" si="21"/>
        <v>mars</v>
      </c>
      <c r="CX51" s="975" t="str">
        <f t="shared" si="21"/>
        <v>avril</v>
      </c>
      <c r="CY51" s="975" t="str">
        <f t="shared" si="21"/>
        <v>mai</v>
      </c>
      <c r="CZ51" s="975" t="str">
        <f t="shared" si="21"/>
        <v>juin</v>
      </c>
      <c r="DA51" s="975" t="str">
        <f t="shared" si="21"/>
        <v>juillet</v>
      </c>
      <c r="DB51" s="975" t="str">
        <f t="shared" si="21"/>
        <v>août</v>
      </c>
      <c r="DC51" s="975" t="str">
        <f t="shared" si="21"/>
        <v>septembre</v>
      </c>
      <c r="DD51" s="975" t="str">
        <f t="shared" si="21"/>
        <v>octobre</v>
      </c>
      <c r="DE51" s="975" t="str">
        <f t="shared" si="21"/>
        <v>novembre</v>
      </c>
      <c r="DF51" s="975" t="str">
        <f t="shared" si="21"/>
        <v>décembre</v>
      </c>
    </row>
    <row r="52" spans="1:110" ht="12.75" hidden="1" customHeight="1" x14ac:dyDescent="0.2">
      <c r="B52" s="43" t="s">
        <v>755</v>
      </c>
      <c r="C52" s="975">
        <f t="shared" si="22"/>
        <v>2015</v>
      </c>
      <c r="D52" s="975">
        <f t="shared" si="22"/>
        <v>2015</v>
      </c>
      <c r="E52" s="975">
        <f t="shared" si="22"/>
        <v>2015</v>
      </c>
      <c r="F52" s="975">
        <f t="shared" si="22"/>
        <v>2015</v>
      </c>
      <c r="G52" s="975">
        <f t="shared" si="22"/>
        <v>2015</v>
      </c>
      <c r="H52" s="975">
        <f t="shared" si="22"/>
        <v>2015</v>
      </c>
      <c r="I52" s="975">
        <f t="shared" si="22"/>
        <v>2015</v>
      </c>
      <c r="J52" s="975">
        <f t="shared" si="22"/>
        <v>2015</v>
      </c>
      <c r="K52" s="975">
        <f t="shared" si="22"/>
        <v>2015</v>
      </c>
      <c r="L52" s="975">
        <f t="shared" si="22"/>
        <v>2015</v>
      </c>
      <c r="M52" s="975">
        <f t="shared" si="22"/>
        <v>2015</v>
      </c>
      <c r="N52" s="975">
        <f t="shared" si="22"/>
        <v>2015</v>
      </c>
      <c r="O52" s="975">
        <f t="shared" si="22"/>
        <v>2016</v>
      </c>
      <c r="P52" s="975">
        <f t="shared" si="22"/>
        <v>2016</v>
      </c>
      <c r="Q52" s="975">
        <f t="shared" si="22"/>
        <v>2016</v>
      </c>
      <c r="R52" s="975">
        <f t="shared" si="22"/>
        <v>2016</v>
      </c>
      <c r="S52" s="975">
        <f t="shared" si="20"/>
        <v>2016</v>
      </c>
      <c r="T52" s="975">
        <f t="shared" si="20"/>
        <v>2016</v>
      </c>
      <c r="U52" s="975">
        <f t="shared" si="20"/>
        <v>2016</v>
      </c>
      <c r="V52" s="975">
        <f t="shared" si="20"/>
        <v>2016</v>
      </c>
      <c r="W52" s="975">
        <f t="shared" si="20"/>
        <v>2016</v>
      </c>
      <c r="X52" s="975">
        <f t="shared" si="20"/>
        <v>2016</v>
      </c>
      <c r="Y52" s="975">
        <f t="shared" si="20"/>
        <v>2016</v>
      </c>
      <c r="Z52" s="975">
        <f t="shared" si="20"/>
        <v>2016</v>
      </c>
      <c r="AA52" s="975">
        <f t="shared" si="20"/>
        <v>2017</v>
      </c>
      <c r="AB52" s="975">
        <f t="shared" si="20"/>
        <v>2017</v>
      </c>
      <c r="AC52" s="975">
        <f t="shared" si="20"/>
        <v>2017</v>
      </c>
      <c r="AD52" s="975">
        <f t="shared" si="20"/>
        <v>2017</v>
      </c>
      <c r="AE52" s="975">
        <f t="shared" si="20"/>
        <v>2017</v>
      </c>
      <c r="AF52" s="975">
        <f t="shared" si="20"/>
        <v>2017</v>
      </c>
      <c r="AG52" s="975">
        <f t="shared" si="20"/>
        <v>2017</v>
      </c>
      <c r="AH52" s="975">
        <f t="shared" si="20"/>
        <v>2017</v>
      </c>
      <c r="AI52" s="975">
        <f t="shared" si="20"/>
        <v>2017</v>
      </c>
      <c r="AJ52" s="975">
        <f t="shared" si="20"/>
        <v>2017</v>
      </c>
      <c r="AK52" s="975">
        <f t="shared" si="20"/>
        <v>2017</v>
      </c>
      <c r="AL52" s="975">
        <f t="shared" si="20"/>
        <v>2017</v>
      </c>
      <c r="AM52" s="975">
        <f t="shared" si="20"/>
        <v>2018</v>
      </c>
      <c r="AN52" s="975">
        <f t="shared" si="20"/>
        <v>2018</v>
      </c>
      <c r="AO52" s="975">
        <f t="shared" si="20"/>
        <v>2018</v>
      </c>
      <c r="AP52" s="975">
        <f t="shared" si="20"/>
        <v>2018</v>
      </c>
      <c r="AQ52" s="975">
        <f t="shared" si="20"/>
        <v>2018</v>
      </c>
      <c r="AR52" s="975">
        <f t="shared" si="20"/>
        <v>2018</v>
      </c>
      <c r="AS52" s="975">
        <f t="shared" si="20"/>
        <v>2018</v>
      </c>
      <c r="AT52" s="975">
        <f t="shared" si="20"/>
        <v>2018</v>
      </c>
      <c r="AU52" s="975">
        <f t="shared" si="20"/>
        <v>2018</v>
      </c>
      <c r="AV52" s="975">
        <f t="shared" si="20"/>
        <v>2018</v>
      </c>
      <c r="AW52" s="975">
        <f t="shared" si="20"/>
        <v>2018</v>
      </c>
      <c r="AX52" s="975">
        <f t="shared" si="20"/>
        <v>2018</v>
      </c>
      <c r="AY52" s="975">
        <f t="shared" si="20"/>
        <v>2019</v>
      </c>
      <c r="AZ52" s="975">
        <f t="shared" si="20"/>
        <v>2019</v>
      </c>
      <c r="BA52" s="975">
        <f t="shared" si="20"/>
        <v>2019</v>
      </c>
      <c r="BB52" s="975">
        <f t="shared" si="20"/>
        <v>2019</v>
      </c>
      <c r="BC52" s="975">
        <f t="shared" si="20"/>
        <v>2019</v>
      </c>
      <c r="BD52" s="975">
        <f t="shared" si="20"/>
        <v>2019</v>
      </c>
      <c r="BE52" s="975">
        <f t="shared" si="20"/>
        <v>2019</v>
      </c>
      <c r="BF52" s="975">
        <f t="shared" si="20"/>
        <v>2019</v>
      </c>
      <c r="BG52" s="975">
        <f t="shared" si="20"/>
        <v>2019</v>
      </c>
      <c r="BH52" s="975">
        <f t="shared" si="20"/>
        <v>2019</v>
      </c>
      <c r="BI52" s="975">
        <f t="shared" si="20"/>
        <v>2019</v>
      </c>
      <c r="BJ52" s="975">
        <f t="shared" si="20"/>
        <v>2019</v>
      </c>
      <c r="BK52" s="975">
        <f t="shared" si="20"/>
        <v>2020</v>
      </c>
      <c r="BL52" s="975">
        <f t="shared" si="20"/>
        <v>2020</v>
      </c>
      <c r="BM52" s="975">
        <f t="shared" si="20"/>
        <v>2020</v>
      </c>
      <c r="BN52" s="975">
        <f t="shared" si="20"/>
        <v>2020</v>
      </c>
      <c r="BO52" s="975">
        <f t="shared" si="20"/>
        <v>2020</v>
      </c>
      <c r="BP52" s="975">
        <f t="shared" si="21"/>
        <v>2020</v>
      </c>
      <c r="BQ52" s="975">
        <f t="shared" si="21"/>
        <v>2020</v>
      </c>
      <c r="BR52" s="975">
        <f t="shared" si="21"/>
        <v>2020</v>
      </c>
      <c r="BS52" s="975">
        <f t="shared" si="21"/>
        <v>2020</v>
      </c>
      <c r="BT52" s="975">
        <f t="shared" si="21"/>
        <v>2020</v>
      </c>
      <c r="BU52" s="975">
        <f t="shared" si="21"/>
        <v>2020</v>
      </c>
      <c r="BV52" s="975">
        <f t="shared" si="21"/>
        <v>2020</v>
      </c>
      <c r="BW52" s="975">
        <f t="shared" si="21"/>
        <v>2021</v>
      </c>
      <c r="BX52" s="975">
        <f t="shared" si="21"/>
        <v>2021</v>
      </c>
      <c r="BY52" s="975">
        <f t="shared" si="21"/>
        <v>2021</v>
      </c>
      <c r="BZ52" s="975">
        <f t="shared" si="21"/>
        <v>2021</v>
      </c>
      <c r="CA52" s="975">
        <f t="shared" si="21"/>
        <v>2021</v>
      </c>
      <c r="CB52" s="975">
        <f t="shared" si="21"/>
        <v>2021</v>
      </c>
      <c r="CC52" s="975">
        <f t="shared" si="21"/>
        <v>2021</v>
      </c>
      <c r="CD52" s="975">
        <f t="shared" si="21"/>
        <v>2021</v>
      </c>
      <c r="CE52" s="975">
        <f t="shared" si="21"/>
        <v>2021</v>
      </c>
      <c r="CF52" s="975">
        <f t="shared" si="21"/>
        <v>2021</v>
      </c>
      <c r="CG52" s="975">
        <f t="shared" si="21"/>
        <v>2021</v>
      </c>
      <c r="CH52" s="975">
        <f t="shared" si="21"/>
        <v>2021</v>
      </c>
      <c r="CI52" s="975">
        <f t="shared" si="21"/>
        <v>2022</v>
      </c>
      <c r="CJ52" s="975">
        <f t="shared" si="21"/>
        <v>2022</v>
      </c>
      <c r="CK52" s="975">
        <f t="shared" si="21"/>
        <v>2022</v>
      </c>
      <c r="CL52" s="975">
        <f t="shared" si="21"/>
        <v>2022</v>
      </c>
      <c r="CM52" s="975">
        <f t="shared" si="21"/>
        <v>2022</v>
      </c>
      <c r="CN52" s="975">
        <f t="shared" si="21"/>
        <v>2022</v>
      </c>
      <c r="CO52" s="975">
        <f t="shared" si="21"/>
        <v>2022</v>
      </c>
      <c r="CP52" s="975">
        <f t="shared" si="21"/>
        <v>2022</v>
      </c>
      <c r="CQ52" s="975">
        <f t="shared" si="21"/>
        <v>2022</v>
      </c>
      <c r="CR52" s="975">
        <f t="shared" si="21"/>
        <v>2022</v>
      </c>
      <c r="CS52" s="975">
        <f t="shared" si="21"/>
        <v>2022</v>
      </c>
      <c r="CT52" s="975">
        <f t="shared" si="21"/>
        <v>2022</v>
      </c>
      <c r="CU52" s="975">
        <f t="shared" si="21"/>
        <v>2023</v>
      </c>
      <c r="CV52" s="975">
        <f t="shared" si="21"/>
        <v>2023</v>
      </c>
      <c r="CW52" s="975">
        <f t="shared" si="21"/>
        <v>2023</v>
      </c>
      <c r="CX52" s="975">
        <f t="shared" si="21"/>
        <v>2023</v>
      </c>
      <c r="CY52" s="975">
        <f t="shared" si="21"/>
        <v>2023</v>
      </c>
      <c r="CZ52" s="975">
        <f t="shared" si="21"/>
        <v>2023</v>
      </c>
      <c r="DA52" s="975">
        <f t="shared" si="21"/>
        <v>2023</v>
      </c>
      <c r="DB52" s="975">
        <f t="shared" si="21"/>
        <v>2023</v>
      </c>
      <c r="DC52" s="975">
        <f t="shared" si="21"/>
        <v>2023</v>
      </c>
      <c r="DD52" s="975">
        <f t="shared" si="21"/>
        <v>2023</v>
      </c>
      <c r="DE52" s="975">
        <f t="shared" si="21"/>
        <v>2023</v>
      </c>
      <c r="DF52" s="975">
        <f t="shared" si="21"/>
        <v>2023</v>
      </c>
    </row>
    <row r="53" spans="1:110" ht="12.75" hidden="1" customHeight="1" x14ac:dyDescent="0.2">
      <c r="A53" s="15" t="str">
        <f>A29</f>
        <v>Four PAMCHR :</v>
      </c>
      <c r="B53" s="16">
        <f>B29</f>
        <v>18.3</v>
      </c>
      <c r="C53" s="16">
        <f>IF(C29=0,0,1)</f>
        <v>1</v>
      </c>
      <c r="D53" s="16">
        <f t="shared" ref="D53:D70" si="23">IF(C53=1,2,IF(C53=0,IF(D29=0,0,1),2))</f>
        <v>2</v>
      </c>
      <c r="E53" s="16">
        <f t="shared" ref="E53:BP57" si="24">IF(D53=1,2,IF(D53=0,IF(E29=0,0,1),2))</f>
        <v>2</v>
      </c>
      <c r="F53" s="16">
        <f t="shared" si="24"/>
        <v>2</v>
      </c>
      <c r="G53" s="16">
        <f t="shared" si="24"/>
        <v>2</v>
      </c>
      <c r="H53" s="16">
        <f t="shared" si="24"/>
        <v>2</v>
      </c>
      <c r="I53" s="16">
        <f t="shared" si="24"/>
        <v>2</v>
      </c>
      <c r="J53" s="16">
        <f t="shared" si="24"/>
        <v>2</v>
      </c>
      <c r="K53" s="16">
        <f t="shared" si="24"/>
        <v>2</v>
      </c>
      <c r="L53" s="16">
        <f t="shared" si="24"/>
        <v>2</v>
      </c>
      <c r="M53" s="16">
        <f t="shared" si="24"/>
        <v>2</v>
      </c>
      <c r="N53" s="16">
        <f t="shared" si="24"/>
        <v>2</v>
      </c>
      <c r="O53" s="16">
        <f t="shared" si="24"/>
        <v>2</v>
      </c>
      <c r="P53" s="16">
        <f t="shared" si="24"/>
        <v>2</v>
      </c>
      <c r="Q53" s="16">
        <f t="shared" si="24"/>
        <v>2</v>
      </c>
      <c r="R53" s="16">
        <f t="shared" si="24"/>
        <v>2</v>
      </c>
      <c r="S53" s="16">
        <f t="shared" si="24"/>
        <v>2</v>
      </c>
      <c r="T53" s="16">
        <f t="shared" si="24"/>
        <v>2</v>
      </c>
      <c r="U53" s="16">
        <f t="shared" si="24"/>
        <v>2</v>
      </c>
      <c r="V53" s="16">
        <f t="shared" si="24"/>
        <v>2</v>
      </c>
      <c r="W53" s="16">
        <f t="shared" si="24"/>
        <v>2</v>
      </c>
      <c r="X53" s="16">
        <f t="shared" si="24"/>
        <v>2</v>
      </c>
      <c r="Y53" s="16">
        <f t="shared" si="24"/>
        <v>2</v>
      </c>
      <c r="Z53" s="16">
        <f t="shared" si="24"/>
        <v>2</v>
      </c>
      <c r="AA53" s="16">
        <f t="shared" si="24"/>
        <v>2</v>
      </c>
      <c r="AB53" s="16">
        <f t="shared" si="24"/>
        <v>2</v>
      </c>
      <c r="AC53" s="16">
        <f t="shared" si="24"/>
        <v>2</v>
      </c>
      <c r="AD53" s="16">
        <f t="shared" si="24"/>
        <v>2</v>
      </c>
      <c r="AE53" s="16">
        <f t="shared" si="24"/>
        <v>2</v>
      </c>
      <c r="AF53" s="16">
        <f t="shared" si="24"/>
        <v>2</v>
      </c>
      <c r="AG53" s="16">
        <f t="shared" si="24"/>
        <v>2</v>
      </c>
      <c r="AH53" s="16">
        <f t="shared" si="24"/>
        <v>2</v>
      </c>
      <c r="AI53" s="16">
        <f t="shared" si="24"/>
        <v>2</v>
      </c>
      <c r="AJ53" s="16">
        <f t="shared" si="24"/>
        <v>2</v>
      </c>
      <c r="AK53" s="16">
        <f t="shared" si="24"/>
        <v>2</v>
      </c>
      <c r="AL53" s="16">
        <f t="shared" si="24"/>
        <v>2</v>
      </c>
      <c r="AM53" s="16">
        <f t="shared" si="24"/>
        <v>2</v>
      </c>
      <c r="AN53" s="16">
        <f t="shared" si="24"/>
        <v>2</v>
      </c>
      <c r="AO53" s="16">
        <f t="shared" si="24"/>
        <v>2</v>
      </c>
      <c r="AP53" s="16">
        <f t="shared" si="24"/>
        <v>2</v>
      </c>
      <c r="AQ53" s="16">
        <f t="shared" si="24"/>
        <v>2</v>
      </c>
      <c r="AR53" s="16">
        <f t="shared" si="24"/>
        <v>2</v>
      </c>
      <c r="AS53" s="16">
        <f t="shared" si="24"/>
        <v>2</v>
      </c>
      <c r="AT53" s="16">
        <f t="shared" si="24"/>
        <v>2</v>
      </c>
      <c r="AU53" s="16">
        <f t="shared" si="24"/>
        <v>2</v>
      </c>
      <c r="AV53" s="16">
        <f t="shared" si="24"/>
        <v>2</v>
      </c>
      <c r="AW53" s="16">
        <f t="shared" si="24"/>
        <v>2</v>
      </c>
      <c r="AX53" s="16">
        <f t="shared" si="24"/>
        <v>2</v>
      </c>
      <c r="AY53" s="16">
        <f t="shared" si="24"/>
        <v>2</v>
      </c>
      <c r="AZ53" s="16">
        <f t="shared" si="24"/>
        <v>2</v>
      </c>
      <c r="BA53" s="16">
        <f t="shared" si="24"/>
        <v>2</v>
      </c>
      <c r="BB53" s="16">
        <f t="shared" si="24"/>
        <v>2</v>
      </c>
      <c r="BC53" s="16">
        <f t="shared" si="24"/>
        <v>2</v>
      </c>
      <c r="BD53" s="16">
        <f t="shared" si="24"/>
        <v>2</v>
      </c>
      <c r="BE53" s="16">
        <f t="shared" si="24"/>
        <v>2</v>
      </c>
      <c r="BF53" s="16">
        <f t="shared" si="24"/>
        <v>2</v>
      </c>
      <c r="BG53" s="16">
        <f t="shared" si="24"/>
        <v>2</v>
      </c>
      <c r="BH53" s="16">
        <f t="shared" si="24"/>
        <v>2</v>
      </c>
      <c r="BI53" s="16">
        <f t="shared" si="24"/>
        <v>2</v>
      </c>
      <c r="BJ53" s="16">
        <f t="shared" si="24"/>
        <v>2</v>
      </c>
      <c r="BK53" s="16">
        <f t="shared" si="24"/>
        <v>2</v>
      </c>
      <c r="BL53" s="16">
        <f t="shared" si="24"/>
        <v>2</v>
      </c>
      <c r="BM53" s="16">
        <f t="shared" si="24"/>
        <v>2</v>
      </c>
      <c r="BN53" s="16">
        <f t="shared" si="24"/>
        <v>2</v>
      </c>
      <c r="BO53" s="16">
        <f t="shared" si="24"/>
        <v>2</v>
      </c>
      <c r="BP53" s="16">
        <f t="shared" si="24"/>
        <v>2</v>
      </c>
      <c r="BQ53" s="16">
        <f t="shared" ref="BQ53:DF59" si="25">IF(BP53=1,2,IF(BP53=0,IF(BQ29=0,0,1),2))</f>
        <v>2</v>
      </c>
      <c r="BR53" s="16">
        <f t="shared" si="25"/>
        <v>2</v>
      </c>
      <c r="BS53" s="16">
        <f t="shared" si="25"/>
        <v>2</v>
      </c>
      <c r="BT53" s="16">
        <f t="shared" si="25"/>
        <v>2</v>
      </c>
      <c r="BU53" s="16">
        <f t="shared" si="25"/>
        <v>2</v>
      </c>
      <c r="BV53" s="16">
        <f t="shared" si="25"/>
        <v>2</v>
      </c>
      <c r="BW53" s="16">
        <f t="shared" si="25"/>
        <v>2</v>
      </c>
      <c r="BX53" s="16">
        <f t="shared" si="25"/>
        <v>2</v>
      </c>
      <c r="BY53" s="16">
        <f t="shared" si="25"/>
        <v>2</v>
      </c>
      <c r="BZ53" s="16">
        <f t="shared" si="25"/>
        <v>2</v>
      </c>
      <c r="CA53" s="16">
        <f t="shared" si="25"/>
        <v>2</v>
      </c>
      <c r="CB53" s="16">
        <f t="shared" si="25"/>
        <v>2</v>
      </c>
      <c r="CC53" s="16">
        <f t="shared" si="25"/>
        <v>2</v>
      </c>
      <c r="CD53" s="16">
        <f t="shared" si="25"/>
        <v>2</v>
      </c>
      <c r="CE53" s="16">
        <f t="shared" si="25"/>
        <v>2</v>
      </c>
      <c r="CF53" s="16">
        <f t="shared" si="25"/>
        <v>2</v>
      </c>
      <c r="CG53" s="16">
        <f t="shared" si="25"/>
        <v>2</v>
      </c>
      <c r="CH53" s="16">
        <f t="shared" si="25"/>
        <v>2</v>
      </c>
      <c r="CI53" s="16">
        <f t="shared" si="25"/>
        <v>2</v>
      </c>
      <c r="CJ53" s="16">
        <f t="shared" si="25"/>
        <v>2</v>
      </c>
      <c r="CK53" s="16">
        <f t="shared" si="25"/>
        <v>2</v>
      </c>
      <c r="CL53" s="16">
        <f t="shared" si="25"/>
        <v>2</v>
      </c>
      <c r="CM53" s="16">
        <f t="shared" si="25"/>
        <v>2</v>
      </c>
      <c r="CN53" s="16">
        <f t="shared" si="25"/>
        <v>2</v>
      </c>
      <c r="CO53" s="16">
        <f t="shared" si="25"/>
        <v>2</v>
      </c>
      <c r="CP53" s="16">
        <f t="shared" si="25"/>
        <v>2</v>
      </c>
      <c r="CQ53" s="16">
        <f t="shared" si="25"/>
        <v>2</v>
      </c>
      <c r="CR53" s="16">
        <f t="shared" si="25"/>
        <v>2</v>
      </c>
      <c r="CS53" s="16">
        <f t="shared" si="25"/>
        <v>2</v>
      </c>
      <c r="CT53" s="16">
        <f t="shared" si="25"/>
        <v>2</v>
      </c>
      <c r="CU53" s="16">
        <f t="shared" si="25"/>
        <v>2</v>
      </c>
      <c r="CV53" s="16">
        <f t="shared" si="25"/>
        <v>2</v>
      </c>
      <c r="CW53" s="16">
        <f t="shared" si="25"/>
        <v>2</v>
      </c>
      <c r="CX53" s="16">
        <f t="shared" si="25"/>
        <v>2</v>
      </c>
      <c r="CY53" s="16">
        <f t="shared" si="25"/>
        <v>2</v>
      </c>
      <c r="CZ53" s="16">
        <f t="shared" si="25"/>
        <v>2</v>
      </c>
      <c r="DA53" s="16">
        <f t="shared" si="25"/>
        <v>2</v>
      </c>
      <c r="DB53" s="16">
        <f t="shared" si="25"/>
        <v>2</v>
      </c>
      <c r="DC53" s="16">
        <f t="shared" si="25"/>
        <v>2</v>
      </c>
      <c r="DD53" s="16">
        <f t="shared" si="25"/>
        <v>2</v>
      </c>
      <c r="DE53" s="16">
        <f t="shared" si="25"/>
        <v>2</v>
      </c>
      <c r="DF53" s="16">
        <f t="shared" si="25"/>
        <v>2</v>
      </c>
    </row>
    <row r="54" spans="1:110" ht="12.75" hidden="1" customHeight="1" x14ac:dyDescent="0.2">
      <c r="A54" s="15" t="str">
        <f t="shared" ref="A54:B69" si="26">A30</f>
        <v>Annexe four : outillage</v>
      </c>
      <c r="B54" s="16">
        <f t="shared" si="26"/>
        <v>0.4</v>
      </c>
      <c r="C54" s="16">
        <f t="shared" ref="C54:C70" si="27">IF(C30=0,0,1)</f>
        <v>0</v>
      </c>
      <c r="D54" s="16">
        <f t="shared" si="23"/>
        <v>0</v>
      </c>
      <c r="E54" s="16">
        <f t="shared" ref="E54:S54" si="28">IF(D54=1,2,IF(D54=0,IF(E30=0,0,1),2))</f>
        <v>0</v>
      </c>
      <c r="F54" s="16">
        <f t="shared" si="28"/>
        <v>0</v>
      </c>
      <c r="G54" s="16">
        <f t="shared" si="28"/>
        <v>0</v>
      </c>
      <c r="H54" s="16">
        <f t="shared" si="28"/>
        <v>0</v>
      </c>
      <c r="I54" s="16">
        <f t="shared" si="28"/>
        <v>0</v>
      </c>
      <c r="J54" s="16">
        <f t="shared" si="28"/>
        <v>0</v>
      </c>
      <c r="K54" s="16">
        <f t="shared" si="28"/>
        <v>0</v>
      </c>
      <c r="L54" s="16">
        <f t="shared" si="28"/>
        <v>0</v>
      </c>
      <c r="M54" s="16">
        <f t="shared" si="28"/>
        <v>0</v>
      </c>
      <c r="N54" s="16">
        <f t="shared" si="28"/>
        <v>0</v>
      </c>
      <c r="O54" s="16">
        <f t="shared" si="28"/>
        <v>0</v>
      </c>
      <c r="P54" s="16">
        <f t="shared" si="28"/>
        <v>0</v>
      </c>
      <c r="Q54" s="16">
        <f t="shared" si="28"/>
        <v>0</v>
      </c>
      <c r="R54" s="16">
        <f t="shared" si="28"/>
        <v>1</v>
      </c>
      <c r="S54" s="16">
        <f t="shared" si="28"/>
        <v>2</v>
      </c>
      <c r="T54" s="16">
        <f t="shared" si="24"/>
        <v>2</v>
      </c>
      <c r="U54" s="16">
        <f t="shared" si="24"/>
        <v>2</v>
      </c>
      <c r="V54" s="16">
        <f t="shared" si="24"/>
        <v>2</v>
      </c>
      <c r="W54" s="16">
        <f t="shared" si="24"/>
        <v>2</v>
      </c>
      <c r="X54" s="16">
        <f t="shared" si="24"/>
        <v>2</v>
      </c>
      <c r="Y54" s="16">
        <f t="shared" si="24"/>
        <v>2</v>
      </c>
      <c r="Z54" s="16">
        <f t="shared" si="24"/>
        <v>2</v>
      </c>
      <c r="AA54" s="16">
        <f t="shared" si="24"/>
        <v>2</v>
      </c>
      <c r="AB54" s="16">
        <f t="shared" si="24"/>
        <v>2</v>
      </c>
      <c r="AC54" s="16">
        <f t="shared" si="24"/>
        <v>2</v>
      </c>
      <c r="AD54" s="16">
        <f t="shared" si="24"/>
        <v>2</v>
      </c>
      <c r="AE54" s="16">
        <f t="shared" si="24"/>
        <v>2</v>
      </c>
      <c r="AF54" s="16">
        <f t="shared" si="24"/>
        <v>2</v>
      </c>
      <c r="AG54" s="16">
        <f t="shared" si="24"/>
        <v>2</v>
      </c>
      <c r="AH54" s="16">
        <f t="shared" si="24"/>
        <v>2</v>
      </c>
      <c r="AI54" s="16">
        <f t="shared" si="24"/>
        <v>2</v>
      </c>
      <c r="AJ54" s="16">
        <f t="shared" si="24"/>
        <v>2</v>
      </c>
      <c r="AK54" s="16">
        <f t="shared" si="24"/>
        <v>2</v>
      </c>
      <c r="AL54" s="16">
        <f t="shared" si="24"/>
        <v>2</v>
      </c>
      <c r="AM54" s="16">
        <f t="shared" si="24"/>
        <v>2</v>
      </c>
      <c r="AN54" s="16">
        <f t="shared" si="24"/>
        <v>2</v>
      </c>
      <c r="AO54" s="16">
        <f t="shared" si="24"/>
        <v>2</v>
      </c>
      <c r="AP54" s="16">
        <f t="shared" si="24"/>
        <v>2</v>
      </c>
      <c r="AQ54" s="16">
        <f t="shared" si="24"/>
        <v>2</v>
      </c>
      <c r="AR54" s="16">
        <f t="shared" si="24"/>
        <v>2</v>
      </c>
      <c r="AS54" s="16">
        <f t="shared" si="24"/>
        <v>2</v>
      </c>
      <c r="AT54" s="16">
        <f t="shared" si="24"/>
        <v>2</v>
      </c>
      <c r="AU54" s="16">
        <f t="shared" si="24"/>
        <v>2</v>
      </c>
      <c r="AV54" s="16">
        <f t="shared" si="24"/>
        <v>2</v>
      </c>
      <c r="AW54" s="16">
        <f t="shared" si="24"/>
        <v>2</v>
      </c>
      <c r="AX54" s="16">
        <f t="shared" si="24"/>
        <v>2</v>
      </c>
      <c r="AY54" s="16">
        <f t="shared" si="24"/>
        <v>2</v>
      </c>
      <c r="AZ54" s="16">
        <f t="shared" si="24"/>
        <v>2</v>
      </c>
      <c r="BA54" s="16">
        <f t="shared" si="24"/>
        <v>2</v>
      </c>
      <c r="BB54" s="16">
        <f t="shared" si="24"/>
        <v>2</v>
      </c>
      <c r="BC54" s="16">
        <f t="shared" si="24"/>
        <v>2</v>
      </c>
      <c r="BD54" s="16">
        <f t="shared" si="24"/>
        <v>2</v>
      </c>
      <c r="BE54" s="16">
        <f t="shared" si="24"/>
        <v>2</v>
      </c>
      <c r="BF54" s="16">
        <f t="shared" si="24"/>
        <v>2</v>
      </c>
      <c r="BG54" s="16">
        <f t="shared" si="24"/>
        <v>2</v>
      </c>
      <c r="BH54" s="16">
        <f t="shared" si="24"/>
        <v>2</v>
      </c>
      <c r="BI54" s="16">
        <f t="shared" si="24"/>
        <v>2</v>
      </c>
      <c r="BJ54" s="16">
        <f t="shared" si="24"/>
        <v>2</v>
      </c>
      <c r="BK54" s="16">
        <f t="shared" si="24"/>
        <v>2</v>
      </c>
      <c r="BL54" s="16">
        <f t="shared" si="24"/>
        <v>2</v>
      </c>
      <c r="BM54" s="16">
        <f t="shared" si="24"/>
        <v>2</v>
      </c>
      <c r="BN54" s="16">
        <f t="shared" si="24"/>
        <v>2</v>
      </c>
      <c r="BO54" s="16">
        <f t="shared" si="24"/>
        <v>2</v>
      </c>
      <c r="BP54" s="16">
        <f t="shared" si="24"/>
        <v>2</v>
      </c>
      <c r="BQ54" s="16">
        <f t="shared" si="25"/>
        <v>2</v>
      </c>
      <c r="BR54" s="16">
        <f t="shared" si="25"/>
        <v>2</v>
      </c>
      <c r="BS54" s="16">
        <f t="shared" si="25"/>
        <v>2</v>
      </c>
      <c r="BT54" s="16">
        <f t="shared" si="25"/>
        <v>2</v>
      </c>
      <c r="BU54" s="16">
        <f t="shared" si="25"/>
        <v>2</v>
      </c>
      <c r="BV54" s="16">
        <f t="shared" si="25"/>
        <v>2</v>
      </c>
      <c r="BW54" s="16">
        <f t="shared" si="25"/>
        <v>2</v>
      </c>
      <c r="BX54" s="16">
        <f t="shared" si="25"/>
        <v>2</v>
      </c>
      <c r="BY54" s="16">
        <f t="shared" si="25"/>
        <v>2</v>
      </c>
      <c r="BZ54" s="16">
        <f t="shared" si="25"/>
        <v>2</v>
      </c>
      <c r="CA54" s="16">
        <f t="shared" si="25"/>
        <v>2</v>
      </c>
      <c r="CB54" s="16">
        <f t="shared" si="25"/>
        <v>2</v>
      </c>
      <c r="CC54" s="16">
        <f t="shared" si="25"/>
        <v>2</v>
      </c>
      <c r="CD54" s="16">
        <f t="shared" si="25"/>
        <v>2</v>
      </c>
      <c r="CE54" s="16">
        <f t="shared" si="25"/>
        <v>2</v>
      </c>
      <c r="CF54" s="16">
        <f t="shared" si="25"/>
        <v>2</v>
      </c>
      <c r="CG54" s="16">
        <f t="shared" si="25"/>
        <v>2</v>
      </c>
      <c r="CH54" s="16">
        <f t="shared" si="25"/>
        <v>2</v>
      </c>
      <c r="CI54" s="16">
        <f t="shared" si="25"/>
        <v>2</v>
      </c>
      <c r="CJ54" s="16">
        <f t="shared" si="25"/>
        <v>2</v>
      </c>
      <c r="CK54" s="16">
        <f t="shared" si="25"/>
        <v>2</v>
      </c>
      <c r="CL54" s="16">
        <f t="shared" si="25"/>
        <v>2</v>
      </c>
      <c r="CM54" s="16">
        <f t="shared" si="25"/>
        <v>2</v>
      </c>
      <c r="CN54" s="16">
        <f t="shared" si="25"/>
        <v>2</v>
      </c>
      <c r="CO54" s="16">
        <f t="shared" si="25"/>
        <v>2</v>
      </c>
      <c r="CP54" s="16">
        <f t="shared" si="25"/>
        <v>2</v>
      </c>
      <c r="CQ54" s="16">
        <f t="shared" si="25"/>
        <v>2</v>
      </c>
      <c r="CR54" s="16">
        <f t="shared" si="25"/>
        <v>2</v>
      </c>
      <c r="CS54" s="16">
        <f t="shared" si="25"/>
        <v>2</v>
      </c>
      <c r="CT54" s="16">
        <f t="shared" si="25"/>
        <v>2</v>
      </c>
      <c r="CU54" s="16">
        <f t="shared" si="25"/>
        <v>2</v>
      </c>
      <c r="CV54" s="16">
        <f t="shared" si="25"/>
        <v>2</v>
      </c>
      <c r="CW54" s="16">
        <f t="shared" si="25"/>
        <v>2</v>
      </c>
      <c r="CX54" s="16">
        <f t="shared" si="25"/>
        <v>2</v>
      </c>
      <c r="CY54" s="16">
        <f t="shared" si="25"/>
        <v>2</v>
      </c>
      <c r="CZ54" s="16">
        <f t="shared" si="25"/>
        <v>2</v>
      </c>
      <c r="DA54" s="16">
        <f t="shared" si="25"/>
        <v>2</v>
      </c>
      <c r="DB54" s="16">
        <f t="shared" si="25"/>
        <v>2</v>
      </c>
      <c r="DC54" s="16">
        <f t="shared" si="25"/>
        <v>2</v>
      </c>
      <c r="DD54" s="16">
        <f t="shared" si="25"/>
        <v>2</v>
      </c>
      <c r="DE54" s="16">
        <f t="shared" si="25"/>
        <v>2</v>
      </c>
      <c r="DF54" s="16">
        <f t="shared" si="25"/>
        <v>2</v>
      </c>
    </row>
    <row r="55" spans="1:110" ht="12.75" hidden="1" customHeight="1" x14ac:dyDescent="0.2">
      <c r="A55" s="15" t="str">
        <f t="shared" si="26"/>
        <v>1er Four VAR :</v>
      </c>
      <c r="B55" s="16">
        <f t="shared" si="26"/>
        <v>2.6</v>
      </c>
      <c r="C55" s="16">
        <f t="shared" si="27"/>
        <v>0</v>
      </c>
      <c r="D55" s="16">
        <f t="shared" si="23"/>
        <v>0</v>
      </c>
      <c r="E55" s="16">
        <f t="shared" ref="E55:S55" si="29">IF(D55=1,2,IF(D55=0,IF(E31=0,0,1),2))</f>
        <v>0</v>
      </c>
      <c r="F55" s="16">
        <f t="shared" si="29"/>
        <v>0</v>
      </c>
      <c r="G55" s="16">
        <f t="shared" si="29"/>
        <v>0</v>
      </c>
      <c r="H55" s="16">
        <f t="shared" si="29"/>
        <v>0</v>
      </c>
      <c r="I55" s="16">
        <f t="shared" si="29"/>
        <v>0</v>
      </c>
      <c r="J55" s="16">
        <f t="shared" si="29"/>
        <v>0</v>
      </c>
      <c r="K55" s="16">
        <f t="shared" si="29"/>
        <v>0</v>
      </c>
      <c r="L55" s="16">
        <f t="shared" si="29"/>
        <v>0</v>
      </c>
      <c r="M55" s="16">
        <f t="shared" si="29"/>
        <v>1</v>
      </c>
      <c r="N55" s="16">
        <f t="shared" si="29"/>
        <v>2</v>
      </c>
      <c r="O55" s="16">
        <f t="shared" si="29"/>
        <v>2</v>
      </c>
      <c r="P55" s="16">
        <f t="shared" si="29"/>
        <v>2</v>
      </c>
      <c r="Q55" s="16">
        <f t="shared" si="29"/>
        <v>2</v>
      </c>
      <c r="R55" s="16">
        <f t="shared" si="29"/>
        <v>2</v>
      </c>
      <c r="S55" s="16">
        <f t="shared" si="29"/>
        <v>2</v>
      </c>
      <c r="T55" s="16">
        <f t="shared" si="24"/>
        <v>2</v>
      </c>
      <c r="U55" s="16">
        <f t="shared" si="24"/>
        <v>2</v>
      </c>
      <c r="V55" s="16">
        <f t="shared" si="24"/>
        <v>2</v>
      </c>
      <c r="W55" s="16">
        <f t="shared" si="24"/>
        <v>2</v>
      </c>
      <c r="X55" s="16">
        <f t="shared" si="24"/>
        <v>2</v>
      </c>
      <c r="Y55" s="16">
        <f t="shared" si="24"/>
        <v>2</v>
      </c>
      <c r="Z55" s="16">
        <f t="shared" si="24"/>
        <v>2</v>
      </c>
      <c r="AA55" s="16">
        <f t="shared" si="24"/>
        <v>2</v>
      </c>
      <c r="AB55" s="16">
        <f t="shared" si="24"/>
        <v>2</v>
      </c>
      <c r="AC55" s="16">
        <f t="shared" si="24"/>
        <v>2</v>
      </c>
      <c r="AD55" s="16">
        <f t="shared" si="24"/>
        <v>2</v>
      </c>
      <c r="AE55" s="16">
        <f t="shared" si="24"/>
        <v>2</v>
      </c>
      <c r="AF55" s="16">
        <f t="shared" si="24"/>
        <v>2</v>
      </c>
      <c r="AG55" s="16">
        <f t="shared" si="24"/>
        <v>2</v>
      </c>
      <c r="AH55" s="16">
        <f t="shared" si="24"/>
        <v>2</v>
      </c>
      <c r="AI55" s="16">
        <f t="shared" si="24"/>
        <v>2</v>
      </c>
      <c r="AJ55" s="16">
        <f t="shared" si="24"/>
        <v>2</v>
      </c>
      <c r="AK55" s="16">
        <f t="shared" si="24"/>
        <v>2</v>
      </c>
      <c r="AL55" s="16">
        <f t="shared" si="24"/>
        <v>2</v>
      </c>
      <c r="AM55" s="16">
        <f t="shared" si="24"/>
        <v>2</v>
      </c>
      <c r="AN55" s="16">
        <f t="shared" si="24"/>
        <v>2</v>
      </c>
      <c r="AO55" s="16">
        <f t="shared" si="24"/>
        <v>2</v>
      </c>
      <c r="AP55" s="16">
        <f t="shared" si="24"/>
        <v>2</v>
      </c>
      <c r="AQ55" s="16">
        <f t="shared" si="24"/>
        <v>2</v>
      </c>
      <c r="AR55" s="16">
        <f t="shared" si="24"/>
        <v>2</v>
      </c>
      <c r="AS55" s="16">
        <f t="shared" si="24"/>
        <v>2</v>
      </c>
      <c r="AT55" s="16">
        <f t="shared" si="24"/>
        <v>2</v>
      </c>
      <c r="AU55" s="16">
        <f t="shared" si="24"/>
        <v>2</v>
      </c>
      <c r="AV55" s="16">
        <f t="shared" si="24"/>
        <v>2</v>
      </c>
      <c r="AW55" s="16">
        <f t="shared" si="24"/>
        <v>2</v>
      </c>
      <c r="AX55" s="16">
        <f t="shared" si="24"/>
        <v>2</v>
      </c>
      <c r="AY55" s="16">
        <f t="shared" si="24"/>
        <v>2</v>
      </c>
      <c r="AZ55" s="16">
        <f t="shared" si="24"/>
        <v>2</v>
      </c>
      <c r="BA55" s="16">
        <f t="shared" si="24"/>
        <v>2</v>
      </c>
      <c r="BB55" s="16">
        <f t="shared" si="24"/>
        <v>2</v>
      </c>
      <c r="BC55" s="16">
        <f t="shared" si="24"/>
        <v>2</v>
      </c>
      <c r="BD55" s="16">
        <f t="shared" si="24"/>
        <v>2</v>
      </c>
      <c r="BE55" s="16">
        <f t="shared" si="24"/>
        <v>2</v>
      </c>
      <c r="BF55" s="16">
        <f t="shared" si="24"/>
        <v>2</v>
      </c>
      <c r="BG55" s="16">
        <f t="shared" si="24"/>
        <v>2</v>
      </c>
      <c r="BH55" s="16">
        <f t="shared" si="24"/>
        <v>2</v>
      </c>
      <c r="BI55" s="16">
        <f t="shared" si="24"/>
        <v>2</v>
      </c>
      <c r="BJ55" s="16">
        <f t="shared" si="24"/>
        <v>2</v>
      </c>
      <c r="BK55" s="16">
        <f t="shared" si="24"/>
        <v>2</v>
      </c>
      <c r="BL55" s="16">
        <f t="shared" si="24"/>
        <v>2</v>
      </c>
      <c r="BM55" s="16">
        <f t="shared" si="24"/>
        <v>2</v>
      </c>
      <c r="BN55" s="16">
        <f t="shared" si="24"/>
        <v>2</v>
      </c>
      <c r="BO55" s="16">
        <f t="shared" si="24"/>
        <v>2</v>
      </c>
      <c r="BP55" s="16">
        <f t="shared" si="24"/>
        <v>2</v>
      </c>
      <c r="BQ55" s="16">
        <f t="shared" si="25"/>
        <v>2</v>
      </c>
      <c r="BR55" s="16">
        <f t="shared" si="25"/>
        <v>2</v>
      </c>
      <c r="BS55" s="16">
        <f t="shared" si="25"/>
        <v>2</v>
      </c>
      <c r="BT55" s="16">
        <f t="shared" si="25"/>
        <v>2</v>
      </c>
      <c r="BU55" s="16">
        <f t="shared" si="25"/>
        <v>2</v>
      </c>
      <c r="BV55" s="16">
        <f t="shared" si="25"/>
        <v>2</v>
      </c>
      <c r="BW55" s="16">
        <f t="shared" si="25"/>
        <v>2</v>
      </c>
      <c r="BX55" s="16">
        <f t="shared" si="25"/>
        <v>2</v>
      </c>
      <c r="BY55" s="16">
        <f t="shared" si="25"/>
        <v>2</v>
      </c>
      <c r="BZ55" s="16">
        <f t="shared" si="25"/>
        <v>2</v>
      </c>
      <c r="CA55" s="16">
        <f t="shared" si="25"/>
        <v>2</v>
      </c>
      <c r="CB55" s="16">
        <f t="shared" si="25"/>
        <v>2</v>
      </c>
      <c r="CC55" s="16">
        <f t="shared" si="25"/>
        <v>2</v>
      </c>
      <c r="CD55" s="16">
        <f t="shared" si="25"/>
        <v>2</v>
      </c>
      <c r="CE55" s="16">
        <f t="shared" si="25"/>
        <v>2</v>
      </c>
      <c r="CF55" s="16">
        <f t="shared" si="25"/>
        <v>2</v>
      </c>
      <c r="CG55" s="16">
        <f t="shared" si="25"/>
        <v>2</v>
      </c>
      <c r="CH55" s="16">
        <f t="shared" si="25"/>
        <v>2</v>
      </c>
      <c r="CI55" s="16">
        <f t="shared" si="25"/>
        <v>2</v>
      </c>
      <c r="CJ55" s="16">
        <f t="shared" si="25"/>
        <v>2</v>
      </c>
      <c r="CK55" s="16">
        <f t="shared" si="25"/>
        <v>2</v>
      </c>
      <c r="CL55" s="16">
        <f t="shared" si="25"/>
        <v>2</v>
      </c>
      <c r="CM55" s="16">
        <f t="shared" si="25"/>
        <v>2</v>
      </c>
      <c r="CN55" s="16">
        <f t="shared" si="25"/>
        <v>2</v>
      </c>
      <c r="CO55" s="16">
        <f t="shared" si="25"/>
        <v>2</v>
      </c>
      <c r="CP55" s="16">
        <f t="shared" si="25"/>
        <v>2</v>
      </c>
      <c r="CQ55" s="16">
        <f t="shared" si="25"/>
        <v>2</v>
      </c>
      <c r="CR55" s="16">
        <f t="shared" si="25"/>
        <v>2</v>
      </c>
      <c r="CS55" s="16">
        <f t="shared" si="25"/>
        <v>2</v>
      </c>
      <c r="CT55" s="16">
        <f t="shared" si="25"/>
        <v>2</v>
      </c>
      <c r="CU55" s="16">
        <f t="shared" si="25"/>
        <v>2</v>
      </c>
      <c r="CV55" s="16">
        <f t="shared" si="25"/>
        <v>2</v>
      </c>
      <c r="CW55" s="16">
        <f t="shared" si="25"/>
        <v>2</v>
      </c>
      <c r="CX55" s="16">
        <f t="shared" si="25"/>
        <v>2</v>
      </c>
      <c r="CY55" s="16">
        <f t="shared" si="25"/>
        <v>2</v>
      </c>
      <c r="CZ55" s="16">
        <f t="shared" si="25"/>
        <v>2</v>
      </c>
      <c r="DA55" s="16">
        <f t="shared" si="25"/>
        <v>2</v>
      </c>
      <c r="DB55" s="16">
        <f t="shared" si="25"/>
        <v>2</v>
      </c>
      <c r="DC55" s="16">
        <f t="shared" si="25"/>
        <v>2</v>
      </c>
      <c r="DD55" s="16">
        <f t="shared" si="25"/>
        <v>2</v>
      </c>
      <c r="DE55" s="16">
        <f t="shared" si="25"/>
        <v>2</v>
      </c>
      <c r="DF55" s="16">
        <f t="shared" si="25"/>
        <v>2</v>
      </c>
    </row>
    <row r="56" spans="1:110" ht="12.75" hidden="1" customHeight="1" x14ac:dyDescent="0.2">
      <c r="A56" s="15" t="str">
        <f t="shared" si="26"/>
        <v>2ème four VAR :</v>
      </c>
      <c r="B56" s="16">
        <f t="shared" si="26"/>
        <v>2.6</v>
      </c>
      <c r="C56" s="16">
        <f t="shared" si="27"/>
        <v>0</v>
      </c>
      <c r="D56" s="16">
        <f t="shared" si="23"/>
        <v>0</v>
      </c>
      <c r="E56" s="16">
        <f t="shared" si="24"/>
        <v>0</v>
      </c>
      <c r="F56" s="16">
        <f t="shared" si="24"/>
        <v>0</v>
      </c>
      <c r="G56" s="16">
        <f t="shared" si="24"/>
        <v>0</v>
      </c>
      <c r="H56" s="16">
        <f t="shared" si="24"/>
        <v>0</v>
      </c>
      <c r="I56" s="16">
        <f t="shared" si="24"/>
        <v>0</v>
      </c>
      <c r="J56" s="16">
        <f t="shared" si="24"/>
        <v>0</v>
      </c>
      <c r="K56" s="16">
        <f t="shared" si="24"/>
        <v>0</v>
      </c>
      <c r="L56" s="16">
        <f t="shared" si="24"/>
        <v>0</v>
      </c>
      <c r="M56" s="16">
        <f t="shared" si="24"/>
        <v>0</v>
      </c>
      <c r="N56" s="16">
        <f t="shared" si="24"/>
        <v>0</v>
      </c>
      <c r="O56" s="16">
        <f t="shared" si="24"/>
        <v>0</v>
      </c>
      <c r="P56" s="16">
        <f t="shared" si="24"/>
        <v>0</v>
      </c>
      <c r="Q56" s="16">
        <f t="shared" si="24"/>
        <v>0</v>
      </c>
      <c r="R56" s="16">
        <f t="shared" si="24"/>
        <v>0</v>
      </c>
      <c r="S56" s="16">
        <f t="shared" si="24"/>
        <v>0</v>
      </c>
      <c r="T56" s="16">
        <f t="shared" si="24"/>
        <v>0</v>
      </c>
      <c r="U56" s="16">
        <f t="shared" si="24"/>
        <v>0</v>
      </c>
      <c r="V56" s="16">
        <f t="shared" si="24"/>
        <v>0</v>
      </c>
      <c r="W56" s="16">
        <f t="shared" si="24"/>
        <v>0</v>
      </c>
      <c r="X56" s="16">
        <f t="shared" si="24"/>
        <v>0</v>
      </c>
      <c r="Y56" s="16">
        <f t="shared" si="24"/>
        <v>0</v>
      </c>
      <c r="Z56" s="16">
        <f t="shared" si="24"/>
        <v>0</v>
      </c>
      <c r="AA56" s="16">
        <f t="shared" si="24"/>
        <v>0</v>
      </c>
      <c r="AB56" s="16">
        <f t="shared" si="24"/>
        <v>0</v>
      </c>
      <c r="AC56" s="16">
        <f t="shared" si="24"/>
        <v>0</v>
      </c>
      <c r="AD56" s="16">
        <f t="shared" si="24"/>
        <v>0</v>
      </c>
      <c r="AE56" s="16">
        <f t="shared" si="24"/>
        <v>0</v>
      </c>
      <c r="AF56" s="16">
        <f t="shared" si="24"/>
        <v>0</v>
      </c>
      <c r="AG56" s="16">
        <f t="shared" si="24"/>
        <v>0</v>
      </c>
      <c r="AH56" s="16">
        <f t="shared" si="24"/>
        <v>0</v>
      </c>
      <c r="AI56" s="16">
        <f t="shared" si="24"/>
        <v>0</v>
      </c>
      <c r="AJ56" s="16">
        <f t="shared" si="24"/>
        <v>0</v>
      </c>
      <c r="AK56" s="16">
        <f t="shared" si="24"/>
        <v>0</v>
      </c>
      <c r="AL56" s="16">
        <f t="shared" si="24"/>
        <v>0</v>
      </c>
      <c r="AM56" s="16">
        <f t="shared" si="24"/>
        <v>0</v>
      </c>
      <c r="AN56" s="16">
        <f t="shared" si="24"/>
        <v>0</v>
      </c>
      <c r="AO56" s="16">
        <f t="shared" si="24"/>
        <v>0</v>
      </c>
      <c r="AP56" s="16">
        <f t="shared" si="24"/>
        <v>0</v>
      </c>
      <c r="AQ56" s="16">
        <f t="shared" si="24"/>
        <v>0</v>
      </c>
      <c r="AR56" s="16">
        <f t="shared" si="24"/>
        <v>0</v>
      </c>
      <c r="AS56" s="16">
        <f t="shared" si="24"/>
        <v>0</v>
      </c>
      <c r="AT56" s="16">
        <f t="shared" si="24"/>
        <v>0</v>
      </c>
      <c r="AU56" s="16">
        <f t="shared" si="24"/>
        <v>0</v>
      </c>
      <c r="AV56" s="16">
        <f t="shared" si="24"/>
        <v>1</v>
      </c>
      <c r="AW56" s="16">
        <f t="shared" si="24"/>
        <v>2</v>
      </c>
      <c r="AX56" s="16">
        <f t="shared" si="24"/>
        <v>2</v>
      </c>
      <c r="AY56" s="16">
        <f t="shared" si="24"/>
        <v>2</v>
      </c>
      <c r="AZ56" s="16">
        <f t="shared" si="24"/>
        <v>2</v>
      </c>
      <c r="BA56" s="16">
        <f t="shared" si="24"/>
        <v>2</v>
      </c>
      <c r="BB56" s="16">
        <f t="shared" si="24"/>
        <v>2</v>
      </c>
      <c r="BC56" s="16">
        <f t="shared" si="24"/>
        <v>2</v>
      </c>
      <c r="BD56" s="16">
        <f t="shared" si="24"/>
        <v>2</v>
      </c>
      <c r="BE56" s="16">
        <f t="shared" si="24"/>
        <v>2</v>
      </c>
      <c r="BF56" s="16">
        <f t="shared" si="24"/>
        <v>2</v>
      </c>
      <c r="BG56" s="16">
        <f t="shared" si="24"/>
        <v>2</v>
      </c>
      <c r="BH56" s="16">
        <f t="shared" si="24"/>
        <v>2</v>
      </c>
      <c r="BI56" s="16">
        <f t="shared" si="24"/>
        <v>2</v>
      </c>
      <c r="BJ56" s="16">
        <f t="shared" si="24"/>
        <v>2</v>
      </c>
      <c r="BK56" s="16">
        <f t="shared" si="24"/>
        <v>2</v>
      </c>
      <c r="BL56" s="16">
        <f t="shared" si="24"/>
        <v>2</v>
      </c>
      <c r="BM56" s="16">
        <f t="shared" si="24"/>
        <v>2</v>
      </c>
      <c r="BN56" s="16">
        <f t="shared" si="24"/>
        <v>2</v>
      </c>
      <c r="BO56" s="16">
        <f t="shared" si="24"/>
        <v>2</v>
      </c>
      <c r="BP56" s="16">
        <f t="shared" si="24"/>
        <v>2</v>
      </c>
      <c r="BQ56" s="16">
        <f t="shared" si="25"/>
        <v>2</v>
      </c>
      <c r="BR56" s="16">
        <f t="shared" si="25"/>
        <v>2</v>
      </c>
      <c r="BS56" s="16">
        <f t="shared" si="25"/>
        <v>2</v>
      </c>
      <c r="BT56" s="16">
        <f t="shared" si="25"/>
        <v>2</v>
      </c>
      <c r="BU56" s="16">
        <f t="shared" si="25"/>
        <v>2</v>
      </c>
      <c r="BV56" s="16">
        <f t="shared" si="25"/>
        <v>2</v>
      </c>
      <c r="BW56" s="16">
        <f t="shared" si="25"/>
        <v>2</v>
      </c>
      <c r="BX56" s="16">
        <f t="shared" si="25"/>
        <v>2</v>
      </c>
      <c r="BY56" s="16">
        <f t="shared" si="25"/>
        <v>2</v>
      </c>
      <c r="BZ56" s="16">
        <f t="shared" si="25"/>
        <v>2</v>
      </c>
      <c r="CA56" s="16">
        <f t="shared" si="25"/>
        <v>2</v>
      </c>
      <c r="CB56" s="16">
        <f t="shared" si="25"/>
        <v>2</v>
      </c>
      <c r="CC56" s="16">
        <f t="shared" si="25"/>
        <v>2</v>
      </c>
      <c r="CD56" s="16">
        <f t="shared" si="25"/>
        <v>2</v>
      </c>
      <c r="CE56" s="16">
        <f t="shared" si="25"/>
        <v>2</v>
      </c>
      <c r="CF56" s="16">
        <f t="shared" si="25"/>
        <v>2</v>
      </c>
      <c r="CG56" s="16">
        <f t="shared" si="25"/>
        <v>2</v>
      </c>
      <c r="CH56" s="16">
        <f t="shared" si="25"/>
        <v>2</v>
      </c>
      <c r="CI56" s="16">
        <f t="shared" si="25"/>
        <v>2</v>
      </c>
      <c r="CJ56" s="16">
        <f t="shared" si="25"/>
        <v>2</v>
      </c>
      <c r="CK56" s="16">
        <f t="shared" si="25"/>
        <v>2</v>
      </c>
      <c r="CL56" s="16">
        <f t="shared" si="25"/>
        <v>2</v>
      </c>
      <c r="CM56" s="16">
        <f t="shared" si="25"/>
        <v>2</v>
      </c>
      <c r="CN56" s="16">
        <f t="shared" si="25"/>
        <v>2</v>
      </c>
      <c r="CO56" s="16">
        <f t="shared" si="25"/>
        <v>2</v>
      </c>
      <c r="CP56" s="16">
        <f t="shared" si="25"/>
        <v>2</v>
      </c>
      <c r="CQ56" s="16">
        <f t="shared" si="25"/>
        <v>2</v>
      </c>
      <c r="CR56" s="16">
        <f t="shared" si="25"/>
        <v>2</v>
      </c>
      <c r="CS56" s="16">
        <f t="shared" si="25"/>
        <v>2</v>
      </c>
      <c r="CT56" s="16">
        <f t="shared" si="25"/>
        <v>2</v>
      </c>
      <c r="CU56" s="16">
        <f t="shared" si="25"/>
        <v>2</v>
      </c>
      <c r="CV56" s="16">
        <f t="shared" si="25"/>
        <v>2</v>
      </c>
      <c r="CW56" s="16">
        <f t="shared" si="25"/>
        <v>2</v>
      </c>
      <c r="CX56" s="16">
        <f t="shared" si="25"/>
        <v>2</v>
      </c>
      <c r="CY56" s="16">
        <f t="shared" si="25"/>
        <v>2</v>
      </c>
      <c r="CZ56" s="16">
        <f t="shared" si="25"/>
        <v>2</v>
      </c>
      <c r="DA56" s="16">
        <f t="shared" si="25"/>
        <v>2</v>
      </c>
      <c r="DB56" s="16">
        <f t="shared" si="25"/>
        <v>2</v>
      </c>
      <c r="DC56" s="16">
        <f t="shared" si="25"/>
        <v>2</v>
      </c>
      <c r="DD56" s="16">
        <f t="shared" si="25"/>
        <v>2</v>
      </c>
      <c r="DE56" s="16">
        <f t="shared" si="25"/>
        <v>2</v>
      </c>
      <c r="DF56" s="16">
        <f t="shared" si="25"/>
        <v>2</v>
      </c>
    </row>
    <row r="57" spans="1:110" ht="12.75" hidden="1" customHeight="1" x14ac:dyDescent="0.2">
      <c r="A57" s="15" t="str">
        <f t="shared" si="26"/>
        <v>Annexe VAR : nettoyage haute pression</v>
      </c>
      <c r="B57" s="16">
        <f t="shared" si="26"/>
        <v>0.28999999999999998</v>
      </c>
      <c r="C57" s="16">
        <f t="shared" si="27"/>
        <v>0</v>
      </c>
      <c r="D57" s="16">
        <f t="shared" si="23"/>
        <v>0</v>
      </c>
      <c r="E57" s="16">
        <f t="shared" si="24"/>
        <v>0</v>
      </c>
      <c r="F57" s="16">
        <f t="shared" si="24"/>
        <v>0</v>
      </c>
      <c r="G57" s="16">
        <f t="shared" si="24"/>
        <v>0</v>
      </c>
      <c r="H57" s="16">
        <f t="shared" si="24"/>
        <v>0</v>
      </c>
      <c r="I57" s="16">
        <f t="shared" si="24"/>
        <v>0</v>
      </c>
      <c r="J57" s="16">
        <f t="shared" si="24"/>
        <v>0</v>
      </c>
      <c r="K57" s="16">
        <f t="shared" si="24"/>
        <v>0</v>
      </c>
      <c r="L57" s="16">
        <f t="shared" si="24"/>
        <v>0</v>
      </c>
      <c r="M57" s="16">
        <f t="shared" si="24"/>
        <v>0</v>
      </c>
      <c r="N57" s="16">
        <f t="shared" si="24"/>
        <v>0</v>
      </c>
      <c r="O57" s="16">
        <f t="shared" si="24"/>
        <v>0</v>
      </c>
      <c r="P57" s="16">
        <f t="shared" si="24"/>
        <v>0</v>
      </c>
      <c r="Q57" s="16">
        <f t="shared" si="24"/>
        <v>0</v>
      </c>
      <c r="R57" s="16">
        <f t="shared" si="24"/>
        <v>1</v>
      </c>
      <c r="S57" s="16">
        <f t="shared" si="24"/>
        <v>2</v>
      </c>
      <c r="T57" s="16">
        <f t="shared" si="24"/>
        <v>2</v>
      </c>
      <c r="U57" s="16">
        <f t="shared" si="24"/>
        <v>2</v>
      </c>
      <c r="V57" s="16">
        <f t="shared" si="24"/>
        <v>2</v>
      </c>
      <c r="W57" s="16">
        <f t="shared" si="24"/>
        <v>2</v>
      </c>
      <c r="X57" s="16">
        <f t="shared" si="24"/>
        <v>2</v>
      </c>
      <c r="Y57" s="16">
        <f t="shared" si="24"/>
        <v>2</v>
      </c>
      <c r="Z57" s="16">
        <f t="shared" si="24"/>
        <v>2</v>
      </c>
      <c r="AA57" s="16">
        <f t="shared" si="24"/>
        <v>2</v>
      </c>
      <c r="AB57" s="16">
        <f t="shared" si="24"/>
        <v>2</v>
      </c>
      <c r="AC57" s="16">
        <f t="shared" si="24"/>
        <v>2</v>
      </c>
      <c r="AD57" s="16">
        <f t="shared" si="24"/>
        <v>2</v>
      </c>
      <c r="AE57" s="16">
        <f t="shared" si="24"/>
        <v>2</v>
      </c>
      <c r="AF57" s="16">
        <f t="shared" si="24"/>
        <v>2</v>
      </c>
      <c r="AG57" s="16">
        <f t="shared" si="24"/>
        <v>2</v>
      </c>
      <c r="AH57" s="16">
        <f t="shared" ref="E57:BP61" si="30">IF(AG57=1,2,IF(AG57=0,IF(AH33=0,0,1),2))</f>
        <v>2</v>
      </c>
      <c r="AI57" s="16">
        <f t="shared" si="30"/>
        <v>2</v>
      </c>
      <c r="AJ57" s="16">
        <f t="shared" si="30"/>
        <v>2</v>
      </c>
      <c r="AK57" s="16">
        <f t="shared" si="30"/>
        <v>2</v>
      </c>
      <c r="AL57" s="16">
        <f t="shared" si="30"/>
        <v>2</v>
      </c>
      <c r="AM57" s="16">
        <f t="shared" si="30"/>
        <v>2</v>
      </c>
      <c r="AN57" s="16">
        <f t="shared" si="30"/>
        <v>2</v>
      </c>
      <c r="AO57" s="16">
        <f t="shared" si="30"/>
        <v>2</v>
      </c>
      <c r="AP57" s="16">
        <f t="shared" si="30"/>
        <v>2</v>
      </c>
      <c r="AQ57" s="16">
        <f t="shared" si="30"/>
        <v>2</v>
      </c>
      <c r="AR57" s="16">
        <f t="shared" si="30"/>
        <v>2</v>
      </c>
      <c r="AS57" s="16">
        <f t="shared" si="30"/>
        <v>2</v>
      </c>
      <c r="AT57" s="16">
        <f t="shared" si="30"/>
        <v>2</v>
      </c>
      <c r="AU57" s="16">
        <f t="shared" si="30"/>
        <v>2</v>
      </c>
      <c r="AV57" s="16">
        <f t="shared" si="30"/>
        <v>2</v>
      </c>
      <c r="AW57" s="16">
        <f t="shared" si="30"/>
        <v>2</v>
      </c>
      <c r="AX57" s="16">
        <f t="shared" si="30"/>
        <v>2</v>
      </c>
      <c r="AY57" s="16">
        <f t="shared" si="30"/>
        <v>2</v>
      </c>
      <c r="AZ57" s="16">
        <f t="shared" si="30"/>
        <v>2</v>
      </c>
      <c r="BA57" s="16">
        <f t="shared" si="30"/>
        <v>2</v>
      </c>
      <c r="BB57" s="16">
        <f t="shared" si="30"/>
        <v>2</v>
      </c>
      <c r="BC57" s="16">
        <f t="shared" si="30"/>
        <v>2</v>
      </c>
      <c r="BD57" s="16">
        <f t="shared" si="30"/>
        <v>2</v>
      </c>
      <c r="BE57" s="16">
        <f t="shared" si="30"/>
        <v>2</v>
      </c>
      <c r="BF57" s="16">
        <f t="shared" si="30"/>
        <v>2</v>
      </c>
      <c r="BG57" s="16">
        <f t="shared" si="30"/>
        <v>2</v>
      </c>
      <c r="BH57" s="16">
        <f t="shared" si="30"/>
        <v>2</v>
      </c>
      <c r="BI57" s="16">
        <f t="shared" si="30"/>
        <v>2</v>
      </c>
      <c r="BJ57" s="16">
        <f t="shared" si="30"/>
        <v>2</v>
      </c>
      <c r="BK57" s="16">
        <f t="shared" si="30"/>
        <v>2</v>
      </c>
      <c r="BL57" s="16">
        <f t="shared" si="30"/>
        <v>2</v>
      </c>
      <c r="BM57" s="16">
        <f t="shared" si="30"/>
        <v>2</v>
      </c>
      <c r="BN57" s="16">
        <f t="shared" si="30"/>
        <v>2</v>
      </c>
      <c r="BO57" s="16">
        <f t="shared" si="30"/>
        <v>2</v>
      </c>
      <c r="BP57" s="16">
        <f t="shared" si="30"/>
        <v>2</v>
      </c>
      <c r="BQ57" s="16">
        <f t="shared" si="25"/>
        <v>2</v>
      </c>
      <c r="BR57" s="16">
        <f t="shared" si="25"/>
        <v>2</v>
      </c>
      <c r="BS57" s="16">
        <f t="shared" si="25"/>
        <v>2</v>
      </c>
      <c r="BT57" s="16">
        <f t="shared" si="25"/>
        <v>2</v>
      </c>
      <c r="BU57" s="16">
        <f t="shared" si="25"/>
        <v>2</v>
      </c>
      <c r="BV57" s="16">
        <f t="shared" si="25"/>
        <v>2</v>
      </c>
      <c r="BW57" s="16">
        <f t="shared" si="25"/>
        <v>2</v>
      </c>
      <c r="BX57" s="16">
        <f t="shared" si="25"/>
        <v>2</v>
      </c>
      <c r="BY57" s="16">
        <f t="shared" si="25"/>
        <v>2</v>
      </c>
      <c r="BZ57" s="16">
        <f t="shared" si="25"/>
        <v>2</v>
      </c>
      <c r="CA57" s="16">
        <f t="shared" si="25"/>
        <v>2</v>
      </c>
      <c r="CB57" s="16">
        <f t="shared" si="25"/>
        <v>2</v>
      </c>
      <c r="CC57" s="16">
        <f t="shared" si="25"/>
        <v>2</v>
      </c>
      <c r="CD57" s="16">
        <f t="shared" si="25"/>
        <v>2</v>
      </c>
      <c r="CE57" s="16">
        <f t="shared" si="25"/>
        <v>2</v>
      </c>
      <c r="CF57" s="16">
        <f t="shared" si="25"/>
        <v>2</v>
      </c>
      <c r="CG57" s="16">
        <f t="shared" si="25"/>
        <v>2</v>
      </c>
      <c r="CH57" s="16">
        <f t="shared" si="25"/>
        <v>2</v>
      </c>
      <c r="CI57" s="16">
        <f t="shared" si="25"/>
        <v>2</v>
      </c>
      <c r="CJ57" s="16">
        <f t="shared" si="25"/>
        <v>2</v>
      </c>
      <c r="CK57" s="16">
        <f t="shared" si="25"/>
        <v>2</v>
      </c>
      <c r="CL57" s="16">
        <f t="shared" si="25"/>
        <v>2</v>
      </c>
      <c r="CM57" s="16">
        <f t="shared" si="25"/>
        <v>2</v>
      </c>
      <c r="CN57" s="16">
        <f t="shared" si="25"/>
        <v>2</v>
      </c>
      <c r="CO57" s="16">
        <f t="shared" si="25"/>
        <v>2</v>
      </c>
      <c r="CP57" s="16">
        <f t="shared" si="25"/>
        <v>2</v>
      </c>
      <c r="CQ57" s="16">
        <f t="shared" si="25"/>
        <v>2</v>
      </c>
      <c r="CR57" s="16">
        <f t="shared" si="25"/>
        <v>2</v>
      </c>
      <c r="CS57" s="16">
        <f t="shared" si="25"/>
        <v>2</v>
      </c>
      <c r="CT57" s="16">
        <f t="shared" si="25"/>
        <v>2</v>
      </c>
      <c r="CU57" s="16">
        <f t="shared" si="25"/>
        <v>2</v>
      </c>
      <c r="CV57" s="16">
        <f t="shared" si="25"/>
        <v>2</v>
      </c>
      <c r="CW57" s="16">
        <f t="shared" si="25"/>
        <v>2</v>
      </c>
      <c r="CX57" s="16">
        <f t="shared" si="25"/>
        <v>2</v>
      </c>
      <c r="CY57" s="16">
        <f t="shared" si="25"/>
        <v>2</v>
      </c>
      <c r="CZ57" s="16">
        <f t="shared" si="25"/>
        <v>2</v>
      </c>
      <c r="DA57" s="16">
        <f t="shared" si="25"/>
        <v>2</v>
      </c>
      <c r="DB57" s="16">
        <f t="shared" si="25"/>
        <v>2</v>
      </c>
      <c r="DC57" s="16">
        <f t="shared" si="25"/>
        <v>2</v>
      </c>
      <c r="DD57" s="16">
        <f t="shared" si="25"/>
        <v>2</v>
      </c>
      <c r="DE57" s="16">
        <f t="shared" si="25"/>
        <v>2</v>
      </c>
      <c r="DF57" s="16">
        <f t="shared" si="25"/>
        <v>2</v>
      </c>
    </row>
    <row r="58" spans="1:110" ht="12.75" hidden="1" customHeight="1" x14ac:dyDescent="0.2">
      <c r="A58" s="15" t="str">
        <f t="shared" si="26"/>
        <v>Annexe VAR : outillage (scie)</v>
      </c>
      <c r="B58" s="16">
        <f t="shared" si="26"/>
        <v>0.3</v>
      </c>
      <c r="C58" s="16">
        <f t="shared" si="27"/>
        <v>0</v>
      </c>
      <c r="D58" s="16">
        <f t="shared" si="23"/>
        <v>0</v>
      </c>
      <c r="E58" s="16">
        <f t="shared" si="30"/>
        <v>0</v>
      </c>
      <c r="F58" s="16">
        <f t="shared" si="30"/>
        <v>0</v>
      </c>
      <c r="G58" s="16">
        <f t="shared" si="30"/>
        <v>0</v>
      </c>
      <c r="H58" s="16">
        <f t="shared" si="30"/>
        <v>0</v>
      </c>
      <c r="I58" s="16">
        <f t="shared" si="30"/>
        <v>0</v>
      </c>
      <c r="J58" s="16">
        <f t="shared" si="30"/>
        <v>0</v>
      </c>
      <c r="K58" s="16">
        <f t="shared" si="30"/>
        <v>0</v>
      </c>
      <c r="L58" s="16">
        <f t="shared" si="30"/>
        <v>0</v>
      </c>
      <c r="M58" s="16">
        <f t="shared" si="30"/>
        <v>0</v>
      </c>
      <c r="N58" s="16">
        <f t="shared" si="30"/>
        <v>0</v>
      </c>
      <c r="O58" s="16">
        <f t="shared" si="30"/>
        <v>0</v>
      </c>
      <c r="P58" s="16">
        <f t="shared" si="30"/>
        <v>0</v>
      </c>
      <c r="Q58" s="16">
        <f t="shared" si="30"/>
        <v>0</v>
      </c>
      <c r="R58" s="16">
        <f t="shared" si="30"/>
        <v>0</v>
      </c>
      <c r="S58" s="16">
        <f t="shared" si="30"/>
        <v>0</v>
      </c>
      <c r="T58" s="16">
        <f t="shared" si="30"/>
        <v>0</v>
      </c>
      <c r="U58" s="16">
        <f t="shared" si="30"/>
        <v>1</v>
      </c>
      <c r="V58" s="16">
        <f t="shared" si="30"/>
        <v>2</v>
      </c>
      <c r="W58" s="16">
        <f t="shared" si="30"/>
        <v>2</v>
      </c>
      <c r="X58" s="16">
        <f t="shared" si="30"/>
        <v>2</v>
      </c>
      <c r="Y58" s="16">
        <f t="shared" si="30"/>
        <v>2</v>
      </c>
      <c r="Z58" s="16">
        <f t="shared" si="30"/>
        <v>2</v>
      </c>
      <c r="AA58" s="16">
        <f t="shared" si="30"/>
        <v>2</v>
      </c>
      <c r="AB58" s="16">
        <f t="shared" si="30"/>
        <v>2</v>
      </c>
      <c r="AC58" s="16">
        <f t="shared" si="30"/>
        <v>2</v>
      </c>
      <c r="AD58" s="16">
        <f t="shared" si="30"/>
        <v>2</v>
      </c>
      <c r="AE58" s="16">
        <f t="shared" si="30"/>
        <v>2</v>
      </c>
      <c r="AF58" s="16">
        <f t="shared" si="30"/>
        <v>2</v>
      </c>
      <c r="AG58" s="16">
        <f t="shared" si="30"/>
        <v>2</v>
      </c>
      <c r="AH58" s="16">
        <f t="shared" si="30"/>
        <v>2</v>
      </c>
      <c r="AI58" s="16">
        <f t="shared" si="30"/>
        <v>2</v>
      </c>
      <c r="AJ58" s="16">
        <f t="shared" si="30"/>
        <v>2</v>
      </c>
      <c r="AK58" s="16">
        <f t="shared" si="30"/>
        <v>2</v>
      </c>
      <c r="AL58" s="16">
        <f t="shared" si="30"/>
        <v>2</v>
      </c>
      <c r="AM58" s="16">
        <f t="shared" si="30"/>
        <v>2</v>
      </c>
      <c r="AN58" s="16">
        <f t="shared" si="30"/>
        <v>2</v>
      </c>
      <c r="AO58" s="16">
        <f t="shared" si="30"/>
        <v>2</v>
      </c>
      <c r="AP58" s="16">
        <f t="shared" si="30"/>
        <v>2</v>
      </c>
      <c r="AQ58" s="16">
        <f t="shared" si="30"/>
        <v>2</v>
      </c>
      <c r="AR58" s="16">
        <f t="shared" si="30"/>
        <v>2</v>
      </c>
      <c r="AS58" s="16">
        <f t="shared" si="30"/>
        <v>2</v>
      </c>
      <c r="AT58" s="16">
        <f t="shared" si="30"/>
        <v>2</v>
      </c>
      <c r="AU58" s="16">
        <f t="shared" si="30"/>
        <v>2</v>
      </c>
      <c r="AV58" s="16">
        <f t="shared" si="30"/>
        <v>2</v>
      </c>
      <c r="AW58" s="16">
        <f t="shared" si="30"/>
        <v>2</v>
      </c>
      <c r="AX58" s="16">
        <f t="shared" si="30"/>
        <v>2</v>
      </c>
      <c r="AY58" s="16">
        <f t="shared" si="30"/>
        <v>2</v>
      </c>
      <c r="AZ58" s="16">
        <f t="shared" si="30"/>
        <v>2</v>
      </c>
      <c r="BA58" s="16">
        <f t="shared" si="30"/>
        <v>2</v>
      </c>
      <c r="BB58" s="16">
        <f t="shared" si="30"/>
        <v>2</v>
      </c>
      <c r="BC58" s="16">
        <f t="shared" si="30"/>
        <v>2</v>
      </c>
      <c r="BD58" s="16">
        <f t="shared" si="30"/>
        <v>2</v>
      </c>
      <c r="BE58" s="16">
        <f t="shared" si="30"/>
        <v>2</v>
      </c>
      <c r="BF58" s="16">
        <f t="shared" si="30"/>
        <v>2</v>
      </c>
      <c r="BG58" s="16">
        <f t="shared" si="30"/>
        <v>2</v>
      </c>
      <c r="BH58" s="16">
        <f t="shared" si="30"/>
        <v>2</v>
      </c>
      <c r="BI58" s="16">
        <f t="shared" si="30"/>
        <v>2</v>
      </c>
      <c r="BJ58" s="16">
        <f t="shared" si="30"/>
        <v>2</v>
      </c>
      <c r="BK58" s="16">
        <f t="shared" si="30"/>
        <v>2</v>
      </c>
      <c r="BL58" s="16">
        <f t="shared" si="30"/>
        <v>2</v>
      </c>
      <c r="BM58" s="16">
        <f t="shared" si="30"/>
        <v>2</v>
      </c>
      <c r="BN58" s="16">
        <f t="shared" si="30"/>
        <v>2</v>
      </c>
      <c r="BO58" s="16">
        <f t="shared" si="30"/>
        <v>2</v>
      </c>
      <c r="BP58" s="16">
        <f t="shared" si="30"/>
        <v>2</v>
      </c>
      <c r="BQ58" s="16">
        <f t="shared" si="25"/>
        <v>2</v>
      </c>
      <c r="BR58" s="16">
        <f t="shared" si="25"/>
        <v>2</v>
      </c>
      <c r="BS58" s="16">
        <f t="shared" si="25"/>
        <v>2</v>
      </c>
      <c r="BT58" s="16">
        <f t="shared" si="25"/>
        <v>2</v>
      </c>
      <c r="BU58" s="16">
        <f t="shared" si="25"/>
        <v>2</v>
      </c>
      <c r="BV58" s="16">
        <f t="shared" si="25"/>
        <v>2</v>
      </c>
      <c r="BW58" s="16">
        <f t="shared" si="25"/>
        <v>2</v>
      </c>
      <c r="BX58" s="16">
        <f t="shared" si="25"/>
        <v>2</v>
      </c>
      <c r="BY58" s="16">
        <f t="shared" si="25"/>
        <v>2</v>
      </c>
      <c r="BZ58" s="16">
        <f t="shared" si="25"/>
        <v>2</v>
      </c>
      <c r="CA58" s="16">
        <f t="shared" si="25"/>
        <v>2</v>
      </c>
      <c r="CB58" s="16">
        <f t="shared" si="25"/>
        <v>2</v>
      </c>
      <c r="CC58" s="16">
        <f t="shared" si="25"/>
        <v>2</v>
      </c>
      <c r="CD58" s="16">
        <f t="shared" si="25"/>
        <v>2</v>
      </c>
      <c r="CE58" s="16">
        <f t="shared" si="25"/>
        <v>2</v>
      </c>
      <c r="CF58" s="16">
        <f t="shared" si="25"/>
        <v>2</v>
      </c>
      <c r="CG58" s="16">
        <f t="shared" si="25"/>
        <v>2</v>
      </c>
      <c r="CH58" s="16">
        <f t="shared" si="25"/>
        <v>2</v>
      </c>
      <c r="CI58" s="16">
        <f t="shared" si="25"/>
        <v>2</v>
      </c>
      <c r="CJ58" s="16">
        <f t="shared" si="25"/>
        <v>2</v>
      </c>
      <c r="CK58" s="16">
        <f t="shared" si="25"/>
        <v>2</v>
      </c>
      <c r="CL58" s="16">
        <f t="shared" si="25"/>
        <v>2</v>
      </c>
      <c r="CM58" s="16">
        <f t="shared" si="25"/>
        <v>2</v>
      </c>
      <c r="CN58" s="16">
        <f t="shared" si="25"/>
        <v>2</v>
      </c>
      <c r="CO58" s="16">
        <f t="shared" si="25"/>
        <v>2</v>
      </c>
      <c r="CP58" s="16">
        <f t="shared" si="25"/>
        <v>2</v>
      </c>
      <c r="CQ58" s="16">
        <f t="shared" si="25"/>
        <v>2</v>
      </c>
      <c r="CR58" s="16">
        <f t="shared" si="25"/>
        <v>2</v>
      </c>
      <c r="CS58" s="16">
        <f t="shared" si="25"/>
        <v>2</v>
      </c>
      <c r="CT58" s="16">
        <f t="shared" si="25"/>
        <v>2</v>
      </c>
      <c r="CU58" s="16">
        <f t="shared" si="25"/>
        <v>2</v>
      </c>
      <c r="CV58" s="16">
        <f t="shared" si="25"/>
        <v>2</v>
      </c>
      <c r="CW58" s="16">
        <f t="shared" si="25"/>
        <v>2</v>
      </c>
      <c r="CX58" s="16">
        <f t="shared" si="25"/>
        <v>2</v>
      </c>
      <c r="CY58" s="16">
        <f t="shared" si="25"/>
        <v>2</v>
      </c>
      <c r="CZ58" s="16">
        <f t="shared" si="25"/>
        <v>2</v>
      </c>
      <c r="DA58" s="16">
        <f t="shared" si="25"/>
        <v>2</v>
      </c>
      <c r="DB58" s="16">
        <f t="shared" si="25"/>
        <v>2</v>
      </c>
      <c r="DC58" s="16">
        <f t="shared" si="25"/>
        <v>2</v>
      </c>
      <c r="DD58" s="16">
        <f t="shared" si="25"/>
        <v>2</v>
      </c>
      <c r="DE58" s="16">
        <f t="shared" si="25"/>
        <v>2</v>
      </c>
      <c r="DF58" s="16">
        <f t="shared" si="25"/>
        <v>2</v>
      </c>
    </row>
    <row r="59" spans="1:110" ht="12.75" hidden="1" customHeight="1" x14ac:dyDescent="0.2">
      <c r="A59" s="15" t="str">
        <f t="shared" si="26"/>
        <v>Retourneur à lingot</v>
      </c>
      <c r="B59" s="16">
        <f t="shared" si="26"/>
        <v>0.14000000000000001</v>
      </c>
      <c r="C59" s="16">
        <f t="shared" si="27"/>
        <v>0</v>
      </c>
      <c r="D59" s="16">
        <f t="shared" si="23"/>
        <v>0</v>
      </c>
      <c r="E59" s="16">
        <f t="shared" si="30"/>
        <v>0</v>
      </c>
      <c r="F59" s="16">
        <f t="shared" si="30"/>
        <v>0</v>
      </c>
      <c r="G59" s="16">
        <f t="shared" si="30"/>
        <v>0</v>
      </c>
      <c r="H59" s="16">
        <f t="shared" si="30"/>
        <v>0</v>
      </c>
      <c r="I59" s="16">
        <f t="shared" si="30"/>
        <v>0</v>
      </c>
      <c r="J59" s="16">
        <f t="shared" si="30"/>
        <v>0</v>
      </c>
      <c r="K59" s="16">
        <f t="shared" si="30"/>
        <v>0</v>
      </c>
      <c r="L59" s="16">
        <f t="shared" si="30"/>
        <v>0</v>
      </c>
      <c r="M59" s="16">
        <f t="shared" si="30"/>
        <v>0</v>
      </c>
      <c r="N59" s="16">
        <f t="shared" si="30"/>
        <v>0</v>
      </c>
      <c r="O59" s="16">
        <f t="shared" si="30"/>
        <v>0</v>
      </c>
      <c r="P59" s="16">
        <f t="shared" si="30"/>
        <v>0</v>
      </c>
      <c r="Q59" s="16">
        <f t="shared" si="30"/>
        <v>0</v>
      </c>
      <c r="R59" s="16">
        <f t="shared" si="30"/>
        <v>0</v>
      </c>
      <c r="S59" s="16">
        <f t="shared" si="30"/>
        <v>1</v>
      </c>
      <c r="T59" s="16">
        <f t="shared" si="30"/>
        <v>2</v>
      </c>
      <c r="U59" s="16">
        <f t="shared" si="30"/>
        <v>2</v>
      </c>
      <c r="V59" s="16">
        <f t="shared" si="30"/>
        <v>2</v>
      </c>
      <c r="W59" s="16">
        <f t="shared" si="30"/>
        <v>2</v>
      </c>
      <c r="X59" s="16">
        <f t="shared" si="30"/>
        <v>2</v>
      </c>
      <c r="Y59" s="16">
        <f t="shared" si="30"/>
        <v>2</v>
      </c>
      <c r="Z59" s="16">
        <f t="shared" si="30"/>
        <v>2</v>
      </c>
      <c r="AA59" s="16">
        <f t="shared" si="30"/>
        <v>2</v>
      </c>
      <c r="AB59" s="16">
        <f t="shared" si="30"/>
        <v>2</v>
      </c>
      <c r="AC59" s="16">
        <f t="shared" si="30"/>
        <v>2</v>
      </c>
      <c r="AD59" s="16">
        <f t="shared" si="30"/>
        <v>2</v>
      </c>
      <c r="AE59" s="16">
        <f t="shared" si="30"/>
        <v>2</v>
      </c>
      <c r="AF59" s="16">
        <f t="shared" si="30"/>
        <v>2</v>
      </c>
      <c r="AG59" s="16">
        <f t="shared" si="30"/>
        <v>2</v>
      </c>
      <c r="AH59" s="16">
        <f t="shared" si="30"/>
        <v>2</v>
      </c>
      <c r="AI59" s="16">
        <f t="shared" si="30"/>
        <v>2</v>
      </c>
      <c r="AJ59" s="16">
        <f t="shared" si="30"/>
        <v>2</v>
      </c>
      <c r="AK59" s="16">
        <f t="shared" si="30"/>
        <v>2</v>
      </c>
      <c r="AL59" s="16">
        <f t="shared" si="30"/>
        <v>2</v>
      </c>
      <c r="AM59" s="16">
        <f t="shared" si="30"/>
        <v>2</v>
      </c>
      <c r="AN59" s="16">
        <f t="shared" si="30"/>
        <v>2</v>
      </c>
      <c r="AO59" s="16">
        <f t="shared" si="30"/>
        <v>2</v>
      </c>
      <c r="AP59" s="16">
        <f t="shared" si="30"/>
        <v>2</v>
      </c>
      <c r="AQ59" s="16">
        <f t="shared" si="30"/>
        <v>2</v>
      </c>
      <c r="AR59" s="16">
        <f t="shared" si="30"/>
        <v>2</v>
      </c>
      <c r="AS59" s="16">
        <f t="shared" si="30"/>
        <v>2</v>
      </c>
      <c r="AT59" s="16">
        <f t="shared" si="30"/>
        <v>2</v>
      </c>
      <c r="AU59" s="16">
        <f t="shared" si="30"/>
        <v>2</v>
      </c>
      <c r="AV59" s="16">
        <f t="shared" si="30"/>
        <v>2</v>
      </c>
      <c r="AW59" s="16">
        <f t="shared" si="30"/>
        <v>2</v>
      </c>
      <c r="AX59" s="16">
        <f t="shared" si="30"/>
        <v>2</v>
      </c>
      <c r="AY59" s="16">
        <f t="shared" si="30"/>
        <v>2</v>
      </c>
      <c r="AZ59" s="16">
        <f t="shared" si="30"/>
        <v>2</v>
      </c>
      <c r="BA59" s="16">
        <f t="shared" si="30"/>
        <v>2</v>
      </c>
      <c r="BB59" s="16">
        <f t="shared" si="30"/>
        <v>2</v>
      </c>
      <c r="BC59" s="16">
        <f t="shared" si="30"/>
        <v>2</v>
      </c>
      <c r="BD59" s="16">
        <f t="shared" si="30"/>
        <v>2</v>
      </c>
      <c r="BE59" s="16">
        <f t="shared" si="30"/>
        <v>2</v>
      </c>
      <c r="BF59" s="16">
        <f t="shared" si="30"/>
        <v>2</v>
      </c>
      <c r="BG59" s="16">
        <f t="shared" si="30"/>
        <v>2</v>
      </c>
      <c r="BH59" s="16">
        <f t="shared" si="30"/>
        <v>2</v>
      </c>
      <c r="BI59" s="16">
        <f t="shared" si="30"/>
        <v>2</v>
      </c>
      <c r="BJ59" s="16">
        <f t="shared" si="30"/>
        <v>2</v>
      </c>
      <c r="BK59" s="16">
        <f t="shared" si="30"/>
        <v>2</v>
      </c>
      <c r="BL59" s="16">
        <f t="shared" si="30"/>
        <v>2</v>
      </c>
      <c r="BM59" s="16">
        <f t="shared" si="30"/>
        <v>2</v>
      </c>
      <c r="BN59" s="16">
        <f t="shared" si="30"/>
        <v>2</v>
      </c>
      <c r="BO59" s="16">
        <f t="shared" si="30"/>
        <v>2</v>
      </c>
      <c r="BP59" s="16">
        <f t="shared" si="30"/>
        <v>2</v>
      </c>
      <c r="BQ59" s="16">
        <f t="shared" si="25"/>
        <v>2</v>
      </c>
      <c r="BR59" s="16">
        <f t="shared" si="25"/>
        <v>2</v>
      </c>
      <c r="BS59" s="16">
        <f t="shared" si="25"/>
        <v>2</v>
      </c>
      <c r="BT59" s="16">
        <f t="shared" ref="BQ59:DF65" si="31">IF(BS59=1,2,IF(BS59=0,IF(BT35=0,0,1),2))</f>
        <v>2</v>
      </c>
      <c r="BU59" s="16">
        <f t="shared" si="31"/>
        <v>2</v>
      </c>
      <c r="BV59" s="16">
        <f t="shared" si="31"/>
        <v>2</v>
      </c>
      <c r="BW59" s="16">
        <f t="shared" si="31"/>
        <v>2</v>
      </c>
      <c r="BX59" s="16">
        <f t="shared" si="31"/>
        <v>2</v>
      </c>
      <c r="BY59" s="16">
        <f t="shared" si="31"/>
        <v>2</v>
      </c>
      <c r="BZ59" s="16">
        <f t="shared" si="31"/>
        <v>2</v>
      </c>
      <c r="CA59" s="16">
        <f t="shared" si="31"/>
        <v>2</v>
      </c>
      <c r="CB59" s="16">
        <f t="shared" si="31"/>
        <v>2</v>
      </c>
      <c r="CC59" s="16">
        <f t="shared" si="31"/>
        <v>2</v>
      </c>
      <c r="CD59" s="16">
        <f t="shared" si="31"/>
        <v>2</v>
      </c>
      <c r="CE59" s="16">
        <f t="shared" si="31"/>
        <v>2</v>
      </c>
      <c r="CF59" s="16">
        <f t="shared" si="31"/>
        <v>2</v>
      </c>
      <c r="CG59" s="16">
        <f t="shared" si="31"/>
        <v>2</v>
      </c>
      <c r="CH59" s="16">
        <f t="shared" si="31"/>
        <v>2</v>
      </c>
      <c r="CI59" s="16">
        <f t="shared" si="31"/>
        <v>2</v>
      </c>
      <c r="CJ59" s="16">
        <f t="shared" si="31"/>
        <v>2</v>
      </c>
      <c r="CK59" s="16">
        <f t="shared" si="31"/>
        <v>2</v>
      </c>
      <c r="CL59" s="16">
        <f t="shared" si="31"/>
        <v>2</v>
      </c>
      <c r="CM59" s="16">
        <f t="shared" si="31"/>
        <v>2</v>
      </c>
      <c r="CN59" s="16">
        <f t="shared" si="31"/>
        <v>2</v>
      </c>
      <c r="CO59" s="16">
        <f t="shared" si="31"/>
        <v>2</v>
      </c>
      <c r="CP59" s="16">
        <f t="shared" si="31"/>
        <v>2</v>
      </c>
      <c r="CQ59" s="16">
        <f t="shared" si="31"/>
        <v>2</v>
      </c>
      <c r="CR59" s="16">
        <f t="shared" si="31"/>
        <v>2</v>
      </c>
      <c r="CS59" s="16">
        <f t="shared" si="31"/>
        <v>2</v>
      </c>
      <c r="CT59" s="16">
        <f t="shared" si="31"/>
        <v>2</v>
      </c>
      <c r="CU59" s="16">
        <f t="shared" si="31"/>
        <v>2</v>
      </c>
      <c r="CV59" s="16">
        <f t="shared" si="31"/>
        <v>2</v>
      </c>
      <c r="CW59" s="16">
        <f t="shared" si="31"/>
        <v>2</v>
      </c>
      <c r="CX59" s="16">
        <f t="shared" si="31"/>
        <v>2</v>
      </c>
      <c r="CY59" s="16">
        <f t="shared" si="31"/>
        <v>2</v>
      </c>
      <c r="CZ59" s="16">
        <f t="shared" si="31"/>
        <v>2</v>
      </c>
      <c r="DA59" s="16">
        <f t="shared" si="31"/>
        <v>2</v>
      </c>
      <c r="DB59" s="16">
        <f t="shared" si="31"/>
        <v>2</v>
      </c>
      <c r="DC59" s="16">
        <f t="shared" si="31"/>
        <v>2</v>
      </c>
      <c r="DD59" s="16">
        <f t="shared" si="31"/>
        <v>2</v>
      </c>
      <c r="DE59" s="16">
        <f t="shared" si="31"/>
        <v>2</v>
      </c>
      <c r="DF59" s="16">
        <f t="shared" si="31"/>
        <v>2</v>
      </c>
    </row>
    <row r="60" spans="1:110" ht="12.75" hidden="1" customHeight="1" x14ac:dyDescent="0.2">
      <c r="A60" s="15" t="str">
        <f t="shared" si="26"/>
        <v>Unité de pesage et briquetage :</v>
      </c>
      <c r="B60" s="16">
        <f t="shared" si="26"/>
        <v>2.95</v>
      </c>
      <c r="C60" s="16">
        <f t="shared" si="27"/>
        <v>0</v>
      </c>
      <c r="D60" s="16">
        <f t="shared" si="23"/>
        <v>0</v>
      </c>
      <c r="E60" s="16">
        <f t="shared" si="30"/>
        <v>0</v>
      </c>
      <c r="F60" s="16">
        <f t="shared" si="30"/>
        <v>0</v>
      </c>
      <c r="G60" s="16">
        <f t="shared" si="30"/>
        <v>0</v>
      </c>
      <c r="H60" s="16">
        <f t="shared" si="30"/>
        <v>0</v>
      </c>
      <c r="I60" s="16">
        <f t="shared" si="30"/>
        <v>0</v>
      </c>
      <c r="J60" s="16">
        <f t="shared" si="30"/>
        <v>0</v>
      </c>
      <c r="K60" s="16">
        <f t="shared" si="30"/>
        <v>0</v>
      </c>
      <c r="L60" s="16">
        <f t="shared" si="30"/>
        <v>0</v>
      </c>
      <c r="M60" s="16">
        <f t="shared" si="30"/>
        <v>0</v>
      </c>
      <c r="N60" s="16">
        <f t="shared" si="30"/>
        <v>0</v>
      </c>
      <c r="O60" s="16">
        <f t="shared" si="30"/>
        <v>1</v>
      </c>
      <c r="P60" s="16">
        <f t="shared" si="30"/>
        <v>2</v>
      </c>
      <c r="Q60" s="16">
        <f t="shared" si="30"/>
        <v>2</v>
      </c>
      <c r="R60" s="16">
        <f t="shared" si="30"/>
        <v>2</v>
      </c>
      <c r="S60" s="16">
        <f t="shared" si="30"/>
        <v>2</v>
      </c>
      <c r="T60" s="16">
        <f t="shared" si="30"/>
        <v>2</v>
      </c>
      <c r="U60" s="16">
        <f t="shared" si="30"/>
        <v>2</v>
      </c>
      <c r="V60" s="16">
        <f t="shared" si="30"/>
        <v>2</v>
      </c>
      <c r="W60" s="16">
        <f t="shared" si="30"/>
        <v>2</v>
      </c>
      <c r="X60" s="16">
        <f t="shared" si="30"/>
        <v>2</v>
      </c>
      <c r="Y60" s="16">
        <f t="shared" si="30"/>
        <v>2</v>
      </c>
      <c r="Z60" s="16">
        <f t="shared" si="30"/>
        <v>2</v>
      </c>
      <c r="AA60" s="16">
        <f t="shared" si="30"/>
        <v>2</v>
      </c>
      <c r="AB60" s="16">
        <f t="shared" si="30"/>
        <v>2</v>
      </c>
      <c r="AC60" s="16">
        <f t="shared" si="30"/>
        <v>2</v>
      </c>
      <c r="AD60" s="16">
        <f t="shared" si="30"/>
        <v>2</v>
      </c>
      <c r="AE60" s="16">
        <f t="shared" si="30"/>
        <v>2</v>
      </c>
      <c r="AF60" s="16">
        <f t="shared" si="30"/>
        <v>2</v>
      </c>
      <c r="AG60" s="16">
        <f t="shared" si="30"/>
        <v>2</v>
      </c>
      <c r="AH60" s="16">
        <f t="shared" si="30"/>
        <v>2</v>
      </c>
      <c r="AI60" s="16">
        <f t="shared" si="30"/>
        <v>2</v>
      </c>
      <c r="AJ60" s="16">
        <f t="shared" si="30"/>
        <v>2</v>
      </c>
      <c r="AK60" s="16">
        <f t="shared" si="30"/>
        <v>2</v>
      </c>
      <c r="AL60" s="16">
        <f t="shared" si="30"/>
        <v>2</v>
      </c>
      <c r="AM60" s="16">
        <f t="shared" si="30"/>
        <v>2</v>
      </c>
      <c r="AN60" s="16">
        <f t="shared" si="30"/>
        <v>2</v>
      </c>
      <c r="AO60" s="16">
        <f t="shared" si="30"/>
        <v>2</v>
      </c>
      <c r="AP60" s="16">
        <f t="shared" si="30"/>
        <v>2</v>
      </c>
      <c r="AQ60" s="16">
        <f t="shared" si="30"/>
        <v>2</v>
      </c>
      <c r="AR60" s="16">
        <f t="shared" si="30"/>
        <v>2</v>
      </c>
      <c r="AS60" s="16">
        <f t="shared" si="30"/>
        <v>2</v>
      </c>
      <c r="AT60" s="16">
        <f t="shared" si="30"/>
        <v>2</v>
      </c>
      <c r="AU60" s="16">
        <f t="shared" si="30"/>
        <v>2</v>
      </c>
      <c r="AV60" s="16">
        <f t="shared" si="30"/>
        <v>2</v>
      </c>
      <c r="AW60" s="16">
        <f t="shared" si="30"/>
        <v>2</v>
      </c>
      <c r="AX60" s="16">
        <f t="shared" si="30"/>
        <v>2</v>
      </c>
      <c r="AY60" s="16">
        <f t="shared" si="30"/>
        <v>2</v>
      </c>
      <c r="AZ60" s="16">
        <f t="shared" si="30"/>
        <v>2</v>
      </c>
      <c r="BA60" s="16">
        <f t="shared" si="30"/>
        <v>2</v>
      </c>
      <c r="BB60" s="16">
        <f t="shared" si="30"/>
        <v>2</v>
      </c>
      <c r="BC60" s="16">
        <f t="shared" si="30"/>
        <v>2</v>
      </c>
      <c r="BD60" s="16">
        <f t="shared" si="30"/>
        <v>2</v>
      </c>
      <c r="BE60" s="16">
        <f t="shared" si="30"/>
        <v>2</v>
      </c>
      <c r="BF60" s="16">
        <f t="shared" si="30"/>
        <v>2</v>
      </c>
      <c r="BG60" s="16">
        <f t="shared" si="30"/>
        <v>2</v>
      </c>
      <c r="BH60" s="16">
        <f t="shared" si="30"/>
        <v>2</v>
      </c>
      <c r="BI60" s="16">
        <f t="shared" si="30"/>
        <v>2</v>
      </c>
      <c r="BJ60" s="16">
        <f t="shared" si="30"/>
        <v>2</v>
      </c>
      <c r="BK60" s="16">
        <f t="shared" si="30"/>
        <v>2</v>
      </c>
      <c r="BL60" s="16">
        <f t="shared" si="30"/>
        <v>2</v>
      </c>
      <c r="BM60" s="16">
        <f t="shared" si="30"/>
        <v>2</v>
      </c>
      <c r="BN60" s="16">
        <f t="shared" si="30"/>
        <v>2</v>
      </c>
      <c r="BO60" s="16">
        <f t="shared" si="30"/>
        <v>2</v>
      </c>
      <c r="BP60" s="16">
        <f t="shared" si="30"/>
        <v>2</v>
      </c>
      <c r="BQ60" s="16">
        <f t="shared" si="31"/>
        <v>2</v>
      </c>
      <c r="BR60" s="16">
        <f t="shared" si="31"/>
        <v>2</v>
      </c>
      <c r="BS60" s="16">
        <f t="shared" si="31"/>
        <v>2</v>
      </c>
      <c r="BT60" s="16">
        <f t="shared" si="31"/>
        <v>2</v>
      </c>
      <c r="BU60" s="16">
        <f t="shared" si="31"/>
        <v>2</v>
      </c>
      <c r="BV60" s="16">
        <f t="shared" si="31"/>
        <v>2</v>
      </c>
      <c r="BW60" s="16">
        <f t="shared" si="31"/>
        <v>2</v>
      </c>
      <c r="BX60" s="16">
        <f t="shared" si="31"/>
        <v>2</v>
      </c>
      <c r="BY60" s="16">
        <f t="shared" si="31"/>
        <v>2</v>
      </c>
      <c r="BZ60" s="16">
        <f t="shared" si="31"/>
        <v>2</v>
      </c>
      <c r="CA60" s="16">
        <f t="shared" si="31"/>
        <v>2</v>
      </c>
      <c r="CB60" s="16">
        <f t="shared" si="31"/>
        <v>2</v>
      </c>
      <c r="CC60" s="16">
        <f t="shared" si="31"/>
        <v>2</v>
      </c>
      <c r="CD60" s="16">
        <f t="shared" si="31"/>
        <v>2</v>
      </c>
      <c r="CE60" s="16">
        <f t="shared" si="31"/>
        <v>2</v>
      </c>
      <c r="CF60" s="16">
        <f t="shared" si="31"/>
        <v>2</v>
      </c>
      <c r="CG60" s="16">
        <f t="shared" si="31"/>
        <v>2</v>
      </c>
      <c r="CH60" s="16">
        <f t="shared" si="31"/>
        <v>2</v>
      </c>
      <c r="CI60" s="16">
        <f t="shared" si="31"/>
        <v>2</v>
      </c>
      <c r="CJ60" s="16">
        <f t="shared" si="31"/>
        <v>2</v>
      </c>
      <c r="CK60" s="16">
        <f t="shared" si="31"/>
        <v>2</v>
      </c>
      <c r="CL60" s="16">
        <f t="shared" si="31"/>
        <v>2</v>
      </c>
      <c r="CM60" s="16">
        <f t="shared" si="31"/>
        <v>2</v>
      </c>
      <c r="CN60" s="16">
        <f t="shared" si="31"/>
        <v>2</v>
      </c>
      <c r="CO60" s="16">
        <f t="shared" si="31"/>
        <v>2</v>
      </c>
      <c r="CP60" s="16">
        <f t="shared" si="31"/>
        <v>2</v>
      </c>
      <c r="CQ60" s="16">
        <f t="shared" si="31"/>
        <v>2</v>
      </c>
      <c r="CR60" s="16">
        <f t="shared" si="31"/>
        <v>2</v>
      </c>
      <c r="CS60" s="16">
        <f t="shared" si="31"/>
        <v>2</v>
      </c>
      <c r="CT60" s="16">
        <f t="shared" si="31"/>
        <v>2</v>
      </c>
      <c r="CU60" s="16">
        <f t="shared" si="31"/>
        <v>2</v>
      </c>
      <c r="CV60" s="16">
        <f t="shared" si="31"/>
        <v>2</v>
      </c>
      <c r="CW60" s="16">
        <f t="shared" si="31"/>
        <v>2</v>
      </c>
      <c r="CX60" s="16">
        <f t="shared" si="31"/>
        <v>2</v>
      </c>
      <c r="CY60" s="16">
        <f t="shared" si="31"/>
        <v>2</v>
      </c>
      <c r="CZ60" s="16">
        <f t="shared" si="31"/>
        <v>2</v>
      </c>
      <c r="DA60" s="16">
        <f t="shared" si="31"/>
        <v>2</v>
      </c>
      <c r="DB60" s="16">
        <f t="shared" si="31"/>
        <v>2</v>
      </c>
      <c r="DC60" s="16">
        <f t="shared" si="31"/>
        <v>2</v>
      </c>
      <c r="DD60" s="16">
        <f t="shared" si="31"/>
        <v>2</v>
      </c>
      <c r="DE60" s="16">
        <f t="shared" si="31"/>
        <v>2</v>
      </c>
      <c r="DF60" s="16">
        <f t="shared" si="31"/>
        <v>2</v>
      </c>
    </row>
    <row r="61" spans="1:110" ht="12.75" hidden="1" customHeight="1" x14ac:dyDescent="0.2">
      <c r="A61" s="15" t="str">
        <f t="shared" si="26"/>
        <v>Equipement prépa chutes et parachèvement :</v>
      </c>
      <c r="B61" s="16">
        <f t="shared" si="26"/>
        <v>1.7</v>
      </c>
      <c r="C61" s="16">
        <f t="shared" si="27"/>
        <v>0</v>
      </c>
      <c r="D61" s="16">
        <f t="shared" si="23"/>
        <v>0</v>
      </c>
      <c r="E61" s="16">
        <f t="shared" si="30"/>
        <v>0</v>
      </c>
      <c r="F61" s="16">
        <f t="shared" si="30"/>
        <v>0</v>
      </c>
      <c r="G61" s="16">
        <f t="shared" si="30"/>
        <v>0</v>
      </c>
      <c r="H61" s="16">
        <f t="shared" si="30"/>
        <v>0</v>
      </c>
      <c r="I61" s="16">
        <f t="shared" si="30"/>
        <v>0</v>
      </c>
      <c r="J61" s="16">
        <f t="shared" si="30"/>
        <v>0</v>
      </c>
      <c r="K61" s="16">
        <f t="shared" si="30"/>
        <v>0</v>
      </c>
      <c r="L61" s="16">
        <f t="shared" si="30"/>
        <v>0</v>
      </c>
      <c r="M61" s="16">
        <f t="shared" si="30"/>
        <v>0</v>
      </c>
      <c r="N61" s="16">
        <f t="shared" si="30"/>
        <v>0</v>
      </c>
      <c r="O61" s="16">
        <f t="shared" si="30"/>
        <v>1</v>
      </c>
      <c r="P61" s="16">
        <f t="shared" si="30"/>
        <v>2</v>
      </c>
      <c r="Q61" s="16">
        <f t="shared" si="30"/>
        <v>2</v>
      </c>
      <c r="R61" s="16">
        <f t="shared" si="30"/>
        <v>2</v>
      </c>
      <c r="S61" s="16">
        <f t="shared" si="30"/>
        <v>2</v>
      </c>
      <c r="T61" s="16">
        <f t="shared" si="30"/>
        <v>2</v>
      </c>
      <c r="U61" s="16">
        <f t="shared" si="30"/>
        <v>2</v>
      </c>
      <c r="V61" s="16">
        <f t="shared" si="30"/>
        <v>2</v>
      </c>
      <c r="W61" s="16">
        <f t="shared" si="30"/>
        <v>2</v>
      </c>
      <c r="X61" s="16">
        <f t="shared" si="30"/>
        <v>2</v>
      </c>
      <c r="Y61" s="16">
        <f t="shared" si="30"/>
        <v>2</v>
      </c>
      <c r="Z61" s="16">
        <f t="shared" si="30"/>
        <v>2</v>
      </c>
      <c r="AA61" s="16">
        <f t="shared" si="30"/>
        <v>2</v>
      </c>
      <c r="AB61" s="16">
        <f t="shared" si="30"/>
        <v>2</v>
      </c>
      <c r="AC61" s="16">
        <f t="shared" si="30"/>
        <v>2</v>
      </c>
      <c r="AD61" s="16">
        <f t="shared" si="30"/>
        <v>2</v>
      </c>
      <c r="AE61" s="16">
        <f t="shared" si="30"/>
        <v>2</v>
      </c>
      <c r="AF61" s="16">
        <f t="shared" si="30"/>
        <v>2</v>
      </c>
      <c r="AG61" s="16">
        <f t="shared" ref="E61:BP65" si="32">IF(AF61=1,2,IF(AF61=0,IF(AG37=0,0,1),2))</f>
        <v>2</v>
      </c>
      <c r="AH61" s="16">
        <f t="shared" si="32"/>
        <v>2</v>
      </c>
      <c r="AI61" s="16">
        <f t="shared" si="32"/>
        <v>2</v>
      </c>
      <c r="AJ61" s="16">
        <f t="shared" si="32"/>
        <v>2</v>
      </c>
      <c r="AK61" s="16">
        <f t="shared" si="32"/>
        <v>2</v>
      </c>
      <c r="AL61" s="16">
        <f t="shared" si="32"/>
        <v>2</v>
      </c>
      <c r="AM61" s="16">
        <f t="shared" si="32"/>
        <v>2</v>
      </c>
      <c r="AN61" s="16">
        <f t="shared" si="32"/>
        <v>2</v>
      </c>
      <c r="AO61" s="16">
        <f t="shared" si="32"/>
        <v>2</v>
      </c>
      <c r="AP61" s="16">
        <f t="shared" si="32"/>
        <v>2</v>
      </c>
      <c r="AQ61" s="16">
        <f t="shared" si="32"/>
        <v>2</v>
      </c>
      <c r="AR61" s="16">
        <f t="shared" si="32"/>
        <v>2</v>
      </c>
      <c r="AS61" s="16">
        <f t="shared" si="32"/>
        <v>2</v>
      </c>
      <c r="AT61" s="16">
        <f t="shared" si="32"/>
        <v>2</v>
      </c>
      <c r="AU61" s="16">
        <f t="shared" si="32"/>
        <v>2</v>
      </c>
      <c r="AV61" s="16">
        <f t="shared" si="32"/>
        <v>2</v>
      </c>
      <c r="AW61" s="16">
        <f t="shared" si="32"/>
        <v>2</v>
      </c>
      <c r="AX61" s="16">
        <f t="shared" si="32"/>
        <v>2</v>
      </c>
      <c r="AY61" s="16">
        <f t="shared" si="32"/>
        <v>2</v>
      </c>
      <c r="AZ61" s="16">
        <f t="shared" si="32"/>
        <v>2</v>
      </c>
      <c r="BA61" s="16">
        <f t="shared" si="32"/>
        <v>2</v>
      </c>
      <c r="BB61" s="16">
        <f t="shared" si="32"/>
        <v>2</v>
      </c>
      <c r="BC61" s="16">
        <f t="shared" si="32"/>
        <v>2</v>
      </c>
      <c r="BD61" s="16">
        <f t="shared" si="32"/>
        <v>2</v>
      </c>
      <c r="BE61" s="16">
        <f t="shared" si="32"/>
        <v>2</v>
      </c>
      <c r="BF61" s="16">
        <f t="shared" si="32"/>
        <v>2</v>
      </c>
      <c r="BG61" s="16">
        <f t="shared" si="32"/>
        <v>2</v>
      </c>
      <c r="BH61" s="16">
        <f t="shared" si="32"/>
        <v>2</v>
      </c>
      <c r="BI61" s="16">
        <f t="shared" si="32"/>
        <v>2</v>
      </c>
      <c r="BJ61" s="16">
        <f t="shared" si="32"/>
        <v>2</v>
      </c>
      <c r="BK61" s="16">
        <f t="shared" si="32"/>
        <v>2</v>
      </c>
      <c r="BL61" s="16">
        <f t="shared" si="32"/>
        <v>2</v>
      </c>
      <c r="BM61" s="16">
        <f t="shared" si="32"/>
        <v>2</v>
      </c>
      <c r="BN61" s="16">
        <f t="shared" si="32"/>
        <v>2</v>
      </c>
      <c r="BO61" s="16">
        <f t="shared" si="32"/>
        <v>2</v>
      </c>
      <c r="BP61" s="16">
        <f t="shared" si="32"/>
        <v>2</v>
      </c>
      <c r="BQ61" s="16">
        <f t="shared" si="31"/>
        <v>2</v>
      </c>
      <c r="BR61" s="16">
        <f t="shared" si="31"/>
        <v>2</v>
      </c>
      <c r="BS61" s="16">
        <f t="shared" si="31"/>
        <v>2</v>
      </c>
      <c r="BT61" s="16">
        <f t="shared" si="31"/>
        <v>2</v>
      </c>
      <c r="BU61" s="16">
        <f t="shared" si="31"/>
        <v>2</v>
      </c>
      <c r="BV61" s="16">
        <f t="shared" si="31"/>
        <v>2</v>
      </c>
      <c r="BW61" s="16">
        <f t="shared" si="31"/>
        <v>2</v>
      </c>
      <c r="BX61" s="16">
        <f t="shared" si="31"/>
        <v>2</v>
      </c>
      <c r="BY61" s="16">
        <f t="shared" si="31"/>
        <v>2</v>
      </c>
      <c r="BZ61" s="16">
        <f t="shared" si="31"/>
        <v>2</v>
      </c>
      <c r="CA61" s="16">
        <f t="shared" si="31"/>
        <v>2</v>
      </c>
      <c r="CB61" s="16">
        <f t="shared" si="31"/>
        <v>2</v>
      </c>
      <c r="CC61" s="16">
        <f t="shared" si="31"/>
        <v>2</v>
      </c>
      <c r="CD61" s="16">
        <f t="shared" si="31"/>
        <v>2</v>
      </c>
      <c r="CE61" s="16">
        <f t="shared" si="31"/>
        <v>2</v>
      </c>
      <c r="CF61" s="16">
        <f t="shared" si="31"/>
        <v>2</v>
      </c>
      <c r="CG61" s="16">
        <f t="shared" si="31"/>
        <v>2</v>
      </c>
      <c r="CH61" s="16">
        <f t="shared" si="31"/>
        <v>2</v>
      </c>
      <c r="CI61" s="16">
        <f t="shared" si="31"/>
        <v>2</v>
      </c>
      <c r="CJ61" s="16">
        <f t="shared" si="31"/>
        <v>2</v>
      </c>
      <c r="CK61" s="16">
        <f t="shared" si="31"/>
        <v>2</v>
      </c>
      <c r="CL61" s="16">
        <f t="shared" si="31"/>
        <v>2</v>
      </c>
      <c r="CM61" s="16">
        <f t="shared" si="31"/>
        <v>2</v>
      </c>
      <c r="CN61" s="16">
        <f t="shared" si="31"/>
        <v>2</v>
      </c>
      <c r="CO61" s="16">
        <f t="shared" si="31"/>
        <v>2</v>
      </c>
      <c r="CP61" s="16">
        <f t="shared" si="31"/>
        <v>2</v>
      </c>
      <c r="CQ61" s="16">
        <f t="shared" si="31"/>
        <v>2</v>
      </c>
      <c r="CR61" s="16">
        <f t="shared" si="31"/>
        <v>2</v>
      </c>
      <c r="CS61" s="16">
        <f t="shared" si="31"/>
        <v>2</v>
      </c>
      <c r="CT61" s="16">
        <f t="shared" si="31"/>
        <v>2</v>
      </c>
      <c r="CU61" s="16">
        <f t="shared" si="31"/>
        <v>2</v>
      </c>
      <c r="CV61" s="16">
        <f t="shared" si="31"/>
        <v>2</v>
      </c>
      <c r="CW61" s="16">
        <f t="shared" si="31"/>
        <v>2</v>
      </c>
      <c r="CX61" s="16">
        <f t="shared" si="31"/>
        <v>2</v>
      </c>
      <c r="CY61" s="16">
        <f t="shared" si="31"/>
        <v>2</v>
      </c>
      <c r="CZ61" s="16">
        <f t="shared" si="31"/>
        <v>2</v>
      </c>
      <c r="DA61" s="16">
        <f t="shared" si="31"/>
        <v>2</v>
      </c>
      <c r="DB61" s="16">
        <f t="shared" si="31"/>
        <v>2</v>
      </c>
      <c r="DC61" s="16">
        <f t="shared" si="31"/>
        <v>2</v>
      </c>
      <c r="DD61" s="16">
        <f t="shared" si="31"/>
        <v>2</v>
      </c>
      <c r="DE61" s="16">
        <f t="shared" si="31"/>
        <v>2</v>
      </c>
      <c r="DF61" s="16">
        <f t="shared" si="31"/>
        <v>2</v>
      </c>
    </row>
    <row r="62" spans="1:110" ht="12.75" hidden="1" customHeight="1" x14ac:dyDescent="0.2">
      <c r="A62" s="15" t="str">
        <f t="shared" si="26"/>
        <v>Terrain (Avril 2014)</v>
      </c>
      <c r="B62" s="23">
        <f t="shared" si="26"/>
        <v>0.43</v>
      </c>
      <c r="C62" s="16">
        <f t="shared" si="27"/>
        <v>1</v>
      </c>
      <c r="D62" s="16">
        <f t="shared" si="23"/>
        <v>2</v>
      </c>
      <c r="E62" s="16">
        <f t="shared" si="32"/>
        <v>2</v>
      </c>
      <c r="F62" s="16">
        <f t="shared" si="32"/>
        <v>2</v>
      </c>
      <c r="G62" s="16">
        <f t="shared" si="32"/>
        <v>2</v>
      </c>
      <c r="H62" s="16">
        <f t="shared" si="32"/>
        <v>2</v>
      </c>
      <c r="I62" s="16">
        <f t="shared" si="32"/>
        <v>2</v>
      </c>
      <c r="J62" s="16">
        <f t="shared" si="32"/>
        <v>2</v>
      </c>
      <c r="K62" s="16">
        <f t="shared" si="32"/>
        <v>2</v>
      </c>
      <c r="L62" s="16">
        <f t="shared" si="32"/>
        <v>2</v>
      </c>
      <c r="M62" s="16">
        <f t="shared" si="32"/>
        <v>2</v>
      </c>
      <c r="N62" s="16">
        <f t="shared" si="32"/>
        <v>2</v>
      </c>
      <c r="O62" s="16">
        <f t="shared" si="32"/>
        <v>2</v>
      </c>
      <c r="P62" s="16">
        <f t="shared" si="32"/>
        <v>2</v>
      </c>
      <c r="Q62" s="16">
        <f t="shared" si="32"/>
        <v>2</v>
      </c>
      <c r="R62" s="16">
        <f t="shared" si="32"/>
        <v>2</v>
      </c>
      <c r="S62" s="16">
        <f t="shared" si="32"/>
        <v>2</v>
      </c>
      <c r="T62" s="16">
        <f t="shared" si="32"/>
        <v>2</v>
      </c>
      <c r="U62" s="16">
        <f t="shared" si="32"/>
        <v>2</v>
      </c>
      <c r="V62" s="16">
        <f t="shared" si="32"/>
        <v>2</v>
      </c>
      <c r="W62" s="16">
        <f t="shared" si="32"/>
        <v>2</v>
      </c>
      <c r="X62" s="16">
        <f t="shared" si="32"/>
        <v>2</v>
      </c>
      <c r="Y62" s="16">
        <f t="shared" si="32"/>
        <v>2</v>
      </c>
      <c r="Z62" s="16">
        <f t="shared" si="32"/>
        <v>2</v>
      </c>
      <c r="AA62" s="16">
        <f t="shared" si="32"/>
        <v>2</v>
      </c>
      <c r="AB62" s="16">
        <f t="shared" si="32"/>
        <v>2</v>
      </c>
      <c r="AC62" s="16">
        <f t="shared" si="32"/>
        <v>2</v>
      </c>
      <c r="AD62" s="16">
        <f t="shared" si="32"/>
        <v>2</v>
      </c>
      <c r="AE62" s="16">
        <f t="shared" si="32"/>
        <v>2</v>
      </c>
      <c r="AF62" s="16">
        <f t="shared" si="32"/>
        <v>2</v>
      </c>
      <c r="AG62" s="16">
        <f t="shared" si="32"/>
        <v>2</v>
      </c>
      <c r="AH62" s="16">
        <f t="shared" si="32"/>
        <v>2</v>
      </c>
      <c r="AI62" s="16">
        <f t="shared" si="32"/>
        <v>2</v>
      </c>
      <c r="AJ62" s="16">
        <f t="shared" si="32"/>
        <v>2</v>
      </c>
      <c r="AK62" s="16">
        <f t="shared" si="32"/>
        <v>2</v>
      </c>
      <c r="AL62" s="16">
        <f t="shared" si="32"/>
        <v>2</v>
      </c>
      <c r="AM62" s="16">
        <f t="shared" si="32"/>
        <v>2</v>
      </c>
      <c r="AN62" s="16">
        <f t="shared" si="32"/>
        <v>2</v>
      </c>
      <c r="AO62" s="16">
        <f t="shared" si="32"/>
        <v>2</v>
      </c>
      <c r="AP62" s="16">
        <f t="shared" si="32"/>
        <v>2</v>
      </c>
      <c r="AQ62" s="16">
        <f t="shared" si="32"/>
        <v>2</v>
      </c>
      <c r="AR62" s="16">
        <f t="shared" si="32"/>
        <v>2</v>
      </c>
      <c r="AS62" s="16">
        <f t="shared" si="32"/>
        <v>2</v>
      </c>
      <c r="AT62" s="16">
        <f t="shared" si="32"/>
        <v>2</v>
      </c>
      <c r="AU62" s="16">
        <f t="shared" si="32"/>
        <v>2</v>
      </c>
      <c r="AV62" s="16">
        <f t="shared" si="32"/>
        <v>2</v>
      </c>
      <c r="AW62" s="16">
        <f t="shared" si="32"/>
        <v>2</v>
      </c>
      <c r="AX62" s="16">
        <f t="shared" si="32"/>
        <v>2</v>
      </c>
      <c r="AY62" s="16">
        <f t="shared" si="32"/>
        <v>2</v>
      </c>
      <c r="AZ62" s="16">
        <f t="shared" si="32"/>
        <v>2</v>
      </c>
      <c r="BA62" s="16">
        <f t="shared" si="32"/>
        <v>2</v>
      </c>
      <c r="BB62" s="16">
        <f t="shared" si="32"/>
        <v>2</v>
      </c>
      <c r="BC62" s="16">
        <f t="shared" si="32"/>
        <v>2</v>
      </c>
      <c r="BD62" s="16">
        <f t="shared" si="32"/>
        <v>2</v>
      </c>
      <c r="BE62" s="16">
        <f t="shared" si="32"/>
        <v>2</v>
      </c>
      <c r="BF62" s="16">
        <f t="shared" si="32"/>
        <v>2</v>
      </c>
      <c r="BG62" s="16">
        <f t="shared" si="32"/>
        <v>2</v>
      </c>
      <c r="BH62" s="16">
        <f t="shared" si="32"/>
        <v>2</v>
      </c>
      <c r="BI62" s="16">
        <f t="shared" si="32"/>
        <v>2</v>
      </c>
      <c r="BJ62" s="16">
        <f t="shared" si="32"/>
        <v>2</v>
      </c>
      <c r="BK62" s="16">
        <f t="shared" si="32"/>
        <v>2</v>
      </c>
      <c r="BL62" s="16">
        <f t="shared" si="32"/>
        <v>2</v>
      </c>
      <c r="BM62" s="16">
        <f t="shared" si="32"/>
        <v>2</v>
      </c>
      <c r="BN62" s="16">
        <f t="shared" si="32"/>
        <v>2</v>
      </c>
      <c r="BO62" s="16">
        <f t="shared" si="32"/>
        <v>2</v>
      </c>
      <c r="BP62" s="16">
        <f t="shared" si="32"/>
        <v>2</v>
      </c>
      <c r="BQ62" s="16">
        <f t="shared" si="31"/>
        <v>2</v>
      </c>
      <c r="BR62" s="16">
        <f t="shared" si="31"/>
        <v>2</v>
      </c>
      <c r="BS62" s="16">
        <f t="shared" si="31"/>
        <v>2</v>
      </c>
      <c r="BT62" s="16">
        <f t="shared" si="31"/>
        <v>2</v>
      </c>
      <c r="BU62" s="16">
        <f t="shared" si="31"/>
        <v>2</v>
      </c>
      <c r="BV62" s="16">
        <f t="shared" si="31"/>
        <v>2</v>
      </c>
      <c r="BW62" s="16">
        <f t="shared" si="31"/>
        <v>2</v>
      </c>
      <c r="BX62" s="16">
        <f t="shared" si="31"/>
        <v>2</v>
      </c>
      <c r="BY62" s="16">
        <f t="shared" si="31"/>
        <v>2</v>
      </c>
      <c r="BZ62" s="16">
        <f t="shared" si="31"/>
        <v>2</v>
      </c>
      <c r="CA62" s="16">
        <f t="shared" si="31"/>
        <v>2</v>
      </c>
      <c r="CB62" s="16">
        <f t="shared" si="31"/>
        <v>2</v>
      </c>
      <c r="CC62" s="16">
        <f t="shared" si="31"/>
        <v>2</v>
      </c>
      <c r="CD62" s="16">
        <f t="shared" si="31"/>
        <v>2</v>
      </c>
      <c r="CE62" s="16">
        <f t="shared" si="31"/>
        <v>2</v>
      </c>
      <c r="CF62" s="16">
        <f t="shared" si="31"/>
        <v>2</v>
      </c>
      <c r="CG62" s="16">
        <f t="shared" si="31"/>
        <v>2</v>
      </c>
      <c r="CH62" s="16">
        <f t="shared" si="31"/>
        <v>2</v>
      </c>
      <c r="CI62" s="16">
        <f t="shared" si="31"/>
        <v>2</v>
      </c>
      <c r="CJ62" s="16">
        <f t="shared" si="31"/>
        <v>2</v>
      </c>
      <c r="CK62" s="16">
        <f t="shared" si="31"/>
        <v>2</v>
      </c>
      <c r="CL62" s="16">
        <f t="shared" si="31"/>
        <v>2</v>
      </c>
      <c r="CM62" s="16">
        <f t="shared" si="31"/>
        <v>2</v>
      </c>
      <c r="CN62" s="16">
        <f t="shared" si="31"/>
        <v>2</v>
      </c>
      <c r="CO62" s="16">
        <f t="shared" si="31"/>
        <v>2</v>
      </c>
      <c r="CP62" s="16">
        <f t="shared" si="31"/>
        <v>2</v>
      </c>
      <c r="CQ62" s="16">
        <f t="shared" si="31"/>
        <v>2</v>
      </c>
      <c r="CR62" s="16">
        <f t="shared" si="31"/>
        <v>2</v>
      </c>
      <c r="CS62" s="16">
        <f t="shared" si="31"/>
        <v>2</v>
      </c>
      <c r="CT62" s="16">
        <f t="shared" si="31"/>
        <v>2</v>
      </c>
      <c r="CU62" s="16">
        <f t="shared" si="31"/>
        <v>2</v>
      </c>
      <c r="CV62" s="16">
        <f t="shared" si="31"/>
        <v>2</v>
      </c>
      <c r="CW62" s="16">
        <f t="shared" si="31"/>
        <v>2</v>
      </c>
      <c r="CX62" s="16">
        <f t="shared" si="31"/>
        <v>2</v>
      </c>
      <c r="CY62" s="16">
        <f t="shared" si="31"/>
        <v>2</v>
      </c>
      <c r="CZ62" s="16">
        <f t="shared" si="31"/>
        <v>2</v>
      </c>
      <c r="DA62" s="16">
        <f t="shared" si="31"/>
        <v>2</v>
      </c>
      <c r="DB62" s="16">
        <f t="shared" si="31"/>
        <v>2</v>
      </c>
      <c r="DC62" s="16">
        <f t="shared" si="31"/>
        <v>2</v>
      </c>
      <c r="DD62" s="16">
        <f t="shared" si="31"/>
        <v>2</v>
      </c>
      <c r="DE62" s="16">
        <f t="shared" si="31"/>
        <v>2</v>
      </c>
      <c r="DF62" s="16">
        <f t="shared" si="31"/>
        <v>2</v>
      </c>
    </row>
    <row r="63" spans="1:110" ht="12.75" hidden="1" customHeight="1" x14ac:dyDescent="0.2">
      <c r="A63" s="15" t="str">
        <f t="shared" si="26"/>
        <v>SI + MES</v>
      </c>
      <c r="B63" s="23">
        <f t="shared" si="26"/>
        <v>1.4</v>
      </c>
      <c r="C63" s="16">
        <f t="shared" si="27"/>
        <v>0</v>
      </c>
      <c r="D63" s="16">
        <f t="shared" si="23"/>
        <v>0</v>
      </c>
      <c r="E63" s="16">
        <f t="shared" si="32"/>
        <v>0</v>
      </c>
      <c r="F63" s="16">
        <f t="shared" si="32"/>
        <v>0</v>
      </c>
      <c r="G63" s="16">
        <f t="shared" si="32"/>
        <v>0</v>
      </c>
      <c r="H63" s="16">
        <f t="shared" si="32"/>
        <v>0</v>
      </c>
      <c r="I63" s="16">
        <f t="shared" si="32"/>
        <v>0</v>
      </c>
      <c r="J63" s="16">
        <f t="shared" si="32"/>
        <v>0</v>
      </c>
      <c r="K63" s="16">
        <f t="shared" si="32"/>
        <v>1</v>
      </c>
      <c r="L63" s="16">
        <f t="shared" si="32"/>
        <v>2</v>
      </c>
      <c r="M63" s="16">
        <f t="shared" si="32"/>
        <v>2</v>
      </c>
      <c r="N63" s="16">
        <f t="shared" si="32"/>
        <v>2</v>
      </c>
      <c r="O63" s="16">
        <f t="shared" si="32"/>
        <v>2</v>
      </c>
      <c r="P63" s="16">
        <f t="shared" si="32"/>
        <v>2</v>
      </c>
      <c r="Q63" s="16">
        <f t="shared" si="32"/>
        <v>2</v>
      </c>
      <c r="R63" s="16">
        <f t="shared" si="32"/>
        <v>2</v>
      </c>
      <c r="S63" s="16">
        <f t="shared" si="32"/>
        <v>2</v>
      </c>
      <c r="T63" s="16">
        <f t="shared" si="32"/>
        <v>2</v>
      </c>
      <c r="U63" s="16">
        <f t="shared" si="32"/>
        <v>2</v>
      </c>
      <c r="V63" s="16">
        <f t="shared" si="32"/>
        <v>2</v>
      </c>
      <c r="W63" s="16">
        <f t="shared" si="32"/>
        <v>2</v>
      </c>
      <c r="X63" s="16">
        <f t="shared" si="32"/>
        <v>2</v>
      </c>
      <c r="Y63" s="16">
        <f t="shared" si="32"/>
        <v>2</v>
      </c>
      <c r="Z63" s="16">
        <f t="shared" si="32"/>
        <v>2</v>
      </c>
      <c r="AA63" s="16">
        <f t="shared" si="32"/>
        <v>2</v>
      </c>
      <c r="AB63" s="16">
        <f t="shared" si="32"/>
        <v>2</v>
      </c>
      <c r="AC63" s="16">
        <f t="shared" si="32"/>
        <v>2</v>
      </c>
      <c r="AD63" s="16">
        <f t="shared" si="32"/>
        <v>2</v>
      </c>
      <c r="AE63" s="16">
        <f t="shared" si="32"/>
        <v>2</v>
      </c>
      <c r="AF63" s="16">
        <f t="shared" si="32"/>
        <v>2</v>
      </c>
      <c r="AG63" s="16">
        <f t="shared" si="32"/>
        <v>2</v>
      </c>
      <c r="AH63" s="16">
        <f t="shared" si="32"/>
        <v>2</v>
      </c>
      <c r="AI63" s="16">
        <f t="shared" si="32"/>
        <v>2</v>
      </c>
      <c r="AJ63" s="16">
        <f t="shared" si="32"/>
        <v>2</v>
      </c>
      <c r="AK63" s="16">
        <f t="shared" si="32"/>
        <v>2</v>
      </c>
      <c r="AL63" s="16">
        <f t="shared" si="32"/>
        <v>2</v>
      </c>
      <c r="AM63" s="16">
        <f t="shared" si="32"/>
        <v>2</v>
      </c>
      <c r="AN63" s="16">
        <f t="shared" si="32"/>
        <v>2</v>
      </c>
      <c r="AO63" s="16">
        <f t="shared" si="32"/>
        <v>2</v>
      </c>
      <c r="AP63" s="16">
        <f t="shared" si="32"/>
        <v>2</v>
      </c>
      <c r="AQ63" s="16">
        <f t="shared" si="32"/>
        <v>2</v>
      </c>
      <c r="AR63" s="16">
        <f t="shared" si="32"/>
        <v>2</v>
      </c>
      <c r="AS63" s="16">
        <f t="shared" si="32"/>
        <v>2</v>
      </c>
      <c r="AT63" s="16">
        <f t="shared" si="32"/>
        <v>2</v>
      </c>
      <c r="AU63" s="16">
        <f t="shared" si="32"/>
        <v>2</v>
      </c>
      <c r="AV63" s="16">
        <f t="shared" si="32"/>
        <v>2</v>
      </c>
      <c r="AW63" s="16">
        <f t="shared" si="32"/>
        <v>2</v>
      </c>
      <c r="AX63" s="16">
        <f t="shared" si="32"/>
        <v>2</v>
      </c>
      <c r="AY63" s="16">
        <f t="shared" si="32"/>
        <v>2</v>
      </c>
      <c r="AZ63" s="16">
        <f t="shared" si="32"/>
        <v>2</v>
      </c>
      <c r="BA63" s="16">
        <f t="shared" si="32"/>
        <v>2</v>
      </c>
      <c r="BB63" s="16">
        <f t="shared" si="32"/>
        <v>2</v>
      </c>
      <c r="BC63" s="16">
        <f t="shared" si="32"/>
        <v>2</v>
      </c>
      <c r="BD63" s="16">
        <f t="shared" si="32"/>
        <v>2</v>
      </c>
      <c r="BE63" s="16">
        <f t="shared" si="32"/>
        <v>2</v>
      </c>
      <c r="BF63" s="16">
        <f t="shared" si="32"/>
        <v>2</v>
      </c>
      <c r="BG63" s="16">
        <f t="shared" si="32"/>
        <v>2</v>
      </c>
      <c r="BH63" s="16">
        <f t="shared" si="32"/>
        <v>2</v>
      </c>
      <c r="BI63" s="16">
        <f t="shared" si="32"/>
        <v>2</v>
      </c>
      <c r="BJ63" s="16">
        <f t="shared" si="32"/>
        <v>2</v>
      </c>
      <c r="BK63" s="16">
        <f t="shared" si="32"/>
        <v>2</v>
      </c>
      <c r="BL63" s="16">
        <f t="shared" si="32"/>
        <v>2</v>
      </c>
      <c r="BM63" s="16">
        <f t="shared" si="32"/>
        <v>2</v>
      </c>
      <c r="BN63" s="16">
        <f t="shared" si="32"/>
        <v>2</v>
      </c>
      <c r="BO63" s="16">
        <f t="shared" si="32"/>
        <v>2</v>
      </c>
      <c r="BP63" s="16">
        <f t="shared" si="32"/>
        <v>2</v>
      </c>
      <c r="BQ63" s="16">
        <f t="shared" si="31"/>
        <v>2</v>
      </c>
      <c r="BR63" s="16">
        <f t="shared" si="31"/>
        <v>2</v>
      </c>
      <c r="BS63" s="16">
        <f t="shared" si="31"/>
        <v>2</v>
      </c>
      <c r="BT63" s="16">
        <f t="shared" si="31"/>
        <v>2</v>
      </c>
      <c r="BU63" s="16">
        <f t="shared" si="31"/>
        <v>2</v>
      </c>
      <c r="BV63" s="16">
        <f t="shared" si="31"/>
        <v>2</v>
      </c>
      <c r="BW63" s="16">
        <f t="shared" si="31"/>
        <v>2</v>
      </c>
      <c r="BX63" s="16">
        <f t="shared" si="31"/>
        <v>2</v>
      </c>
      <c r="BY63" s="16">
        <f t="shared" si="31"/>
        <v>2</v>
      </c>
      <c r="BZ63" s="16">
        <f t="shared" si="31"/>
        <v>2</v>
      </c>
      <c r="CA63" s="16">
        <f t="shared" si="31"/>
        <v>2</v>
      </c>
      <c r="CB63" s="16">
        <f t="shared" si="31"/>
        <v>2</v>
      </c>
      <c r="CC63" s="16">
        <f t="shared" si="31"/>
        <v>2</v>
      </c>
      <c r="CD63" s="16">
        <f t="shared" si="31"/>
        <v>2</v>
      </c>
      <c r="CE63" s="16">
        <f t="shared" si="31"/>
        <v>2</v>
      </c>
      <c r="CF63" s="16">
        <f t="shared" si="31"/>
        <v>2</v>
      </c>
      <c r="CG63" s="16">
        <f t="shared" si="31"/>
        <v>2</v>
      </c>
      <c r="CH63" s="16">
        <f t="shared" si="31"/>
        <v>2</v>
      </c>
      <c r="CI63" s="16">
        <f t="shared" si="31"/>
        <v>2</v>
      </c>
      <c r="CJ63" s="16">
        <f t="shared" si="31"/>
        <v>2</v>
      </c>
      <c r="CK63" s="16">
        <f t="shared" si="31"/>
        <v>2</v>
      </c>
      <c r="CL63" s="16">
        <f t="shared" si="31"/>
        <v>2</v>
      </c>
      <c r="CM63" s="16">
        <f t="shared" si="31"/>
        <v>2</v>
      </c>
      <c r="CN63" s="16">
        <f t="shared" si="31"/>
        <v>2</v>
      </c>
      <c r="CO63" s="16">
        <f t="shared" si="31"/>
        <v>2</v>
      </c>
      <c r="CP63" s="16">
        <f t="shared" si="31"/>
        <v>2</v>
      </c>
      <c r="CQ63" s="16">
        <f t="shared" si="31"/>
        <v>2</v>
      </c>
      <c r="CR63" s="16">
        <f t="shared" si="31"/>
        <v>2</v>
      </c>
      <c r="CS63" s="16">
        <f t="shared" si="31"/>
        <v>2</v>
      </c>
      <c r="CT63" s="16">
        <f t="shared" si="31"/>
        <v>2</v>
      </c>
      <c r="CU63" s="16">
        <f t="shared" si="31"/>
        <v>2</v>
      </c>
      <c r="CV63" s="16">
        <f t="shared" si="31"/>
        <v>2</v>
      </c>
      <c r="CW63" s="16">
        <f t="shared" si="31"/>
        <v>2</v>
      </c>
      <c r="CX63" s="16">
        <f t="shared" si="31"/>
        <v>2</v>
      </c>
      <c r="CY63" s="16">
        <f t="shared" si="31"/>
        <v>2</v>
      </c>
      <c r="CZ63" s="16">
        <f t="shared" si="31"/>
        <v>2</v>
      </c>
      <c r="DA63" s="16">
        <f t="shared" si="31"/>
        <v>2</v>
      </c>
      <c r="DB63" s="16">
        <f t="shared" si="31"/>
        <v>2</v>
      </c>
      <c r="DC63" s="16">
        <f t="shared" si="31"/>
        <v>2</v>
      </c>
      <c r="DD63" s="16">
        <f t="shared" si="31"/>
        <v>2</v>
      </c>
      <c r="DE63" s="16">
        <f t="shared" si="31"/>
        <v>2</v>
      </c>
      <c r="DF63" s="16">
        <f t="shared" si="31"/>
        <v>2</v>
      </c>
    </row>
    <row r="64" spans="1:110" ht="12.75" hidden="1" customHeight="1" x14ac:dyDescent="0.2">
      <c r="A64" s="15" t="str">
        <f t="shared" si="26"/>
        <v>Batiment (charpente, GCs, bureaux)</v>
      </c>
      <c r="B64" s="23">
        <f t="shared" si="26"/>
        <v>9</v>
      </c>
      <c r="C64" s="16">
        <f t="shared" si="27"/>
        <v>0</v>
      </c>
      <c r="D64" s="16">
        <f t="shared" si="23"/>
        <v>0</v>
      </c>
      <c r="E64" s="16">
        <f t="shared" si="32"/>
        <v>1</v>
      </c>
      <c r="F64" s="16">
        <f t="shared" si="32"/>
        <v>2</v>
      </c>
      <c r="G64" s="16">
        <f t="shared" si="32"/>
        <v>2</v>
      </c>
      <c r="H64" s="16">
        <f t="shared" si="32"/>
        <v>2</v>
      </c>
      <c r="I64" s="16">
        <f t="shared" si="32"/>
        <v>2</v>
      </c>
      <c r="J64" s="16">
        <f t="shared" si="32"/>
        <v>2</v>
      </c>
      <c r="K64" s="16">
        <f t="shared" si="32"/>
        <v>2</v>
      </c>
      <c r="L64" s="16">
        <f t="shared" si="32"/>
        <v>2</v>
      </c>
      <c r="M64" s="16">
        <f t="shared" si="32"/>
        <v>2</v>
      </c>
      <c r="N64" s="16">
        <f t="shared" si="32"/>
        <v>2</v>
      </c>
      <c r="O64" s="16">
        <f t="shared" si="32"/>
        <v>2</v>
      </c>
      <c r="P64" s="16">
        <f t="shared" si="32"/>
        <v>2</v>
      </c>
      <c r="Q64" s="16">
        <f t="shared" si="32"/>
        <v>2</v>
      </c>
      <c r="R64" s="16">
        <f t="shared" si="32"/>
        <v>2</v>
      </c>
      <c r="S64" s="16">
        <f t="shared" si="32"/>
        <v>2</v>
      </c>
      <c r="T64" s="16">
        <f t="shared" si="32"/>
        <v>2</v>
      </c>
      <c r="U64" s="16">
        <f t="shared" si="32"/>
        <v>2</v>
      </c>
      <c r="V64" s="16">
        <f t="shared" si="32"/>
        <v>2</v>
      </c>
      <c r="W64" s="16">
        <f t="shared" si="32"/>
        <v>2</v>
      </c>
      <c r="X64" s="16">
        <f t="shared" si="32"/>
        <v>2</v>
      </c>
      <c r="Y64" s="16">
        <f t="shared" si="32"/>
        <v>2</v>
      </c>
      <c r="Z64" s="16">
        <f t="shared" si="32"/>
        <v>2</v>
      </c>
      <c r="AA64" s="16">
        <f t="shared" si="32"/>
        <v>2</v>
      </c>
      <c r="AB64" s="16">
        <f t="shared" si="32"/>
        <v>2</v>
      </c>
      <c r="AC64" s="16">
        <f t="shared" si="32"/>
        <v>2</v>
      </c>
      <c r="AD64" s="16">
        <f t="shared" si="32"/>
        <v>2</v>
      </c>
      <c r="AE64" s="16">
        <f t="shared" si="32"/>
        <v>2</v>
      </c>
      <c r="AF64" s="16">
        <f t="shared" si="32"/>
        <v>2</v>
      </c>
      <c r="AG64" s="16">
        <f t="shared" si="32"/>
        <v>2</v>
      </c>
      <c r="AH64" s="16">
        <f t="shared" si="32"/>
        <v>2</v>
      </c>
      <c r="AI64" s="16">
        <f t="shared" si="32"/>
        <v>2</v>
      </c>
      <c r="AJ64" s="16">
        <f t="shared" si="32"/>
        <v>2</v>
      </c>
      <c r="AK64" s="16">
        <f t="shared" si="32"/>
        <v>2</v>
      </c>
      <c r="AL64" s="16">
        <f t="shared" si="32"/>
        <v>2</v>
      </c>
      <c r="AM64" s="16">
        <f t="shared" si="32"/>
        <v>2</v>
      </c>
      <c r="AN64" s="16">
        <f t="shared" si="32"/>
        <v>2</v>
      </c>
      <c r="AO64" s="16">
        <f t="shared" si="32"/>
        <v>2</v>
      </c>
      <c r="AP64" s="16">
        <f t="shared" si="32"/>
        <v>2</v>
      </c>
      <c r="AQ64" s="16">
        <f t="shared" si="32"/>
        <v>2</v>
      </c>
      <c r="AR64" s="16">
        <f t="shared" si="32"/>
        <v>2</v>
      </c>
      <c r="AS64" s="16">
        <f t="shared" si="32"/>
        <v>2</v>
      </c>
      <c r="AT64" s="16">
        <f t="shared" si="32"/>
        <v>2</v>
      </c>
      <c r="AU64" s="16">
        <f t="shared" si="32"/>
        <v>2</v>
      </c>
      <c r="AV64" s="16">
        <f t="shared" si="32"/>
        <v>2</v>
      </c>
      <c r="AW64" s="16">
        <f t="shared" si="32"/>
        <v>2</v>
      </c>
      <c r="AX64" s="16">
        <f t="shared" si="32"/>
        <v>2</v>
      </c>
      <c r="AY64" s="16">
        <f t="shared" si="32"/>
        <v>2</v>
      </c>
      <c r="AZ64" s="16">
        <f t="shared" si="32"/>
        <v>2</v>
      </c>
      <c r="BA64" s="16">
        <f t="shared" si="32"/>
        <v>2</v>
      </c>
      <c r="BB64" s="16">
        <f t="shared" si="32"/>
        <v>2</v>
      </c>
      <c r="BC64" s="16">
        <f t="shared" si="32"/>
        <v>2</v>
      </c>
      <c r="BD64" s="16">
        <f t="shared" si="32"/>
        <v>2</v>
      </c>
      <c r="BE64" s="16">
        <f t="shared" si="32"/>
        <v>2</v>
      </c>
      <c r="BF64" s="16">
        <f t="shared" si="32"/>
        <v>2</v>
      </c>
      <c r="BG64" s="16">
        <f t="shared" si="32"/>
        <v>2</v>
      </c>
      <c r="BH64" s="16">
        <f t="shared" si="32"/>
        <v>2</v>
      </c>
      <c r="BI64" s="16">
        <f t="shared" si="32"/>
        <v>2</v>
      </c>
      <c r="BJ64" s="16">
        <f t="shared" si="32"/>
        <v>2</v>
      </c>
      <c r="BK64" s="16">
        <f t="shared" si="32"/>
        <v>2</v>
      </c>
      <c r="BL64" s="16">
        <f t="shared" si="32"/>
        <v>2</v>
      </c>
      <c r="BM64" s="16">
        <f t="shared" si="32"/>
        <v>2</v>
      </c>
      <c r="BN64" s="16">
        <f t="shared" si="32"/>
        <v>2</v>
      </c>
      <c r="BO64" s="16">
        <f t="shared" si="32"/>
        <v>2</v>
      </c>
      <c r="BP64" s="16">
        <f t="shared" si="32"/>
        <v>2</v>
      </c>
      <c r="BQ64" s="16">
        <f t="shared" si="31"/>
        <v>2</v>
      </c>
      <c r="BR64" s="16">
        <f t="shared" si="31"/>
        <v>2</v>
      </c>
      <c r="BS64" s="16">
        <f t="shared" si="31"/>
        <v>2</v>
      </c>
      <c r="BT64" s="16">
        <f t="shared" si="31"/>
        <v>2</v>
      </c>
      <c r="BU64" s="16">
        <f t="shared" si="31"/>
        <v>2</v>
      </c>
      <c r="BV64" s="16">
        <f t="shared" si="31"/>
        <v>2</v>
      </c>
      <c r="BW64" s="16">
        <f t="shared" si="31"/>
        <v>2</v>
      </c>
      <c r="BX64" s="16">
        <f t="shared" si="31"/>
        <v>2</v>
      </c>
      <c r="BY64" s="16">
        <f t="shared" si="31"/>
        <v>2</v>
      </c>
      <c r="BZ64" s="16">
        <f t="shared" si="31"/>
        <v>2</v>
      </c>
      <c r="CA64" s="16">
        <f t="shared" si="31"/>
        <v>2</v>
      </c>
      <c r="CB64" s="16">
        <f t="shared" si="31"/>
        <v>2</v>
      </c>
      <c r="CC64" s="16">
        <f t="shared" si="31"/>
        <v>2</v>
      </c>
      <c r="CD64" s="16">
        <f t="shared" si="31"/>
        <v>2</v>
      </c>
      <c r="CE64" s="16">
        <f t="shared" si="31"/>
        <v>2</v>
      </c>
      <c r="CF64" s="16">
        <f t="shared" si="31"/>
        <v>2</v>
      </c>
      <c r="CG64" s="16">
        <f t="shared" si="31"/>
        <v>2</v>
      </c>
      <c r="CH64" s="16">
        <f t="shared" si="31"/>
        <v>2</v>
      </c>
      <c r="CI64" s="16">
        <f t="shared" si="31"/>
        <v>2</v>
      </c>
      <c r="CJ64" s="16">
        <f t="shared" si="31"/>
        <v>2</v>
      </c>
      <c r="CK64" s="16">
        <f t="shared" si="31"/>
        <v>2</v>
      </c>
      <c r="CL64" s="16">
        <f t="shared" si="31"/>
        <v>2</v>
      </c>
      <c r="CM64" s="16">
        <f t="shared" si="31"/>
        <v>2</v>
      </c>
      <c r="CN64" s="16">
        <f t="shared" si="31"/>
        <v>2</v>
      </c>
      <c r="CO64" s="16">
        <f t="shared" si="31"/>
        <v>2</v>
      </c>
      <c r="CP64" s="16">
        <f t="shared" si="31"/>
        <v>2</v>
      </c>
      <c r="CQ64" s="16">
        <f t="shared" si="31"/>
        <v>2</v>
      </c>
      <c r="CR64" s="16">
        <f t="shared" si="31"/>
        <v>2</v>
      </c>
      <c r="CS64" s="16">
        <f t="shared" si="31"/>
        <v>2</v>
      </c>
      <c r="CT64" s="16">
        <f t="shared" si="31"/>
        <v>2</v>
      </c>
      <c r="CU64" s="16">
        <f t="shared" si="31"/>
        <v>2</v>
      </c>
      <c r="CV64" s="16">
        <f t="shared" si="31"/>
        <v>2</v>
      </c>
      <c r="CW64" s="16">
        <f t="shared" si="31"/>
        <v>2</v>
      </c>
      <c r="CX64" s="16">
        <f t="shared" si="31"/>
        <v>2</v>
      </c>
      <c r="CY64" s="16">
        <f t="shared" si="31"/>
        <v>2</v>
      </c>
      <c r="CZ64" s="16">
        <f t="shared" si="31"/>
        <v>2</v>
      </c>
      <c r="DA64" s="16">
        <f t="shared" si="31"/>
        <v>2</v>
      </c>
      <c r="DB64" s="16">
        <f t="shared" si="31"/>
        <v>2</v>
      </c>
      <c r="DC64" s="16">
        <f t="shared" si="31"/>
        <v>2</v>
      </c>
      <c r="DD64" s="16">
        <f t="shared" si="31"/>
        <v>2</v>
      </c>
      <c r="DE64" s="16">
        <f t="shared" si="31"/>
        <v>2</v>
      </c>
      <c r="DF64" s="16">
        <f t="shared" si="31"/>
        <v>2</v>
      </c>
    </row>
    <row r="65" spans="1:110" ht="12.75" hidden="1" customHeight="1" x14ac:dyDescent="0.2">
      <c r="A65" s="15" t="str">
        <f t="shared" si="26"/>
        <v>Ponts (1 pour EB, 1 pour VAR, 2 prépa)</v>
      </c>
      <c r="B65" s="23">
        <f t="shared" si="26"/>
        <v>0.45</v>
      </c>
      <c r="C65" s="16">
        <f t="shared" si="27"/>
        <v>0</v>
      </c>
      <c r="D65" s="16">
        <f t="shared" si="23"/>
        <v>0</v>
      </c>
      <c r="E65" s="16">
        <f t="shared" si="32"/>
        <v>0</v>
      </c>
      <c r="F65" s="16">
        <f t="shared" si="32"/>
        <v>0</v>
      </c>
      <c r="G65" s="16">
        <f t="shared" si="32"/>
        <v>0</v>
      </c>
      <c r="H65" s="16">
        <f t="shared" si="32"/>
        <v>0</v>
      </c>
      <c r="I65" s="16">
        <f t="shared" si="32"/>
        <v>0</v>
      </c>
      <c r="J65" s="16">
        <f t="shared" si="32"/>
        <v>0</v>
      </c>
      <c r="K65" s="16">
        <f t="shared" si="32"/>
        <v>1</v>
      </c>
      <c r="L65" s="16">
        <f t="shared" si="32"/>
        <v>2</v>
      </c>
      <c r="M65" s="16">
        <f t="shared" si="32"/>
        <v>2</v>
      </c>
      <c r="N65" s="16">
        <f t="shared" si="32"/>
        <v>2</v>
      </c>
      <c r="O65" s="16">
        <f t="shared" si="32"/>
        <v>2</v>
      </c>
      <c r="P65" s="16">
        <f t="shared" si="32"/>
        <v>2</v>
      </c>
      <c r="Q65" s="16">
        <f t="shared" si="32"/>
        <v>2</v>
      </c>
      <c r="R65" s="16">
        <f t="shared" si="32"/>
        <v>2</v>
      </c>
      <c r="S65" s="16">
        <f t="shared" si="32"/>
        <v>2</v>
      </c>
      <c r="T65" s="16">
        <f t="shared" si="32"/>
        <v>2</v>
      </c>
      <c r="U65" s="16">
        <f t="shared" si="32"/>
        <v>2</v>
      </c>
      <c r="V65" s="16">
        <f t="shared" si="32"/>
        <v>2</v>
      </c>
      <c r="W65" s="16">
        <f t="shared" si="32"/>
        <v>2</v>
      </c>
      <c r="X65" s="16">
        <f t="shared" si="32"/>
        <v>2</v>
      </c>
      <c r="Y65" s="16">
        <f t="shared" si="32"/>
        <v>2</v>
      </c>
      <c r="Z65" s="16">
        <f t="shared" si="32"/>
        <v>2</v>
      </c>
      <c r="AA65" s="16">
        <f t="shared" si="32"/>
        <v>2</v>
      </c>
      <c r="AB65" s="16">
        <f t="shared" si="32"/>
        <v>2</v>
      </c>
      <c r="AC65" s="16">
        <f t="shared" si="32"/>
        <v>2</v>
      </c>
      <c r="AD65" s="16">
        <f t="shared" si="32"/>
        <v>2</v>
      </c>
      <c r="AE65" s="16">
        <f t="shared" si="32"/>
        <v>2</v>
      </c>
      <c r="AF65" s="16">
        <f t="shared" ref="E65:BP69" si="33">IF(AE65=1,2,IF(AE65=0,IF(AF41=0,0,1),2))</f>
        <v>2</v>
      </c>
      <c r="AG65" s="16">
        <f t="shared" si="33"/>
        <v>2</v>
      </c>
      <c r="AH65" s="16">
        <f t="shared" si="33"/>
        <v>2</v>
      </c>
      <c r="AI65" s="16">
        <f t="shared" si="33"/>
        <v>2</v>
      </c>
      <c r="AJ65" s="16">
        <f t="shared" si="33"/>
        <v>2</v>
      </c>
      <c r="AK65" s="16">
        <f t="shared" si="33"/>
        <v>2</v>
      </c>
      <c r="AL65" s="16">
        <f t="shared" si="33"/>
        <v>2</v>
      </c>
      <c r="AM65" s="16">
        <f t="shared" si="33"/>
        <v>2</v>
      </c>
      <c r="AN65" s="16">
        <f t="shared" si="33"/>
        <v>2</v>
      </c>
      <c r="AO65" s="16">
        <f t="shared" si="33"/>
        <v>2</v>
      </c>
      <c r="AP65" s="16">
        <f t="shared" si="33"/>
        <v>2</v>
      </c>
      <c r="AQ65" s="16">
        <f t="shared" si="33"/>
        <v>2</v>
      </c>
      <c r="AR65" s="16">
        <f t="shared" si="33"/>
        <v>2</v>
      </c>
      <c r="AS65" s="16">
        <f t="shared" si="33"/>
        <v>2</v>
      </c>
      <c r="AT65" s="16">
        <f t="shared" si="33"/>
        <v>2</v>
      </c>
      <c r="AU65" s="16">
        <f t="shared" si="33"/>
        <v>2</v>
      </c>
      <c r="AV65" s="16">
        <f t="shared" si="33"/>
        <v>2</v>
      </c>
      <c r="AW65" s="16">
        <f t="shared" si="33"/>
        <v>2</v>
      </c>
      <c r="AX65" s="16">
        <f t="shared" si="33"/>
        <v>2</v>
      </c>
      <c r="AY65" s="16">
        <f t="shared" si="33"/>
        <v>2</v>
      </c>
      <c r="AZ65" s="16">
        <f t="shared" si="33"/>
        <v>2</v>
      </c>
      <c r="BA65" s="16">
        <f t="shared" si="33"/>
        <v>2</v>
      </c>
      <c r="BB65" s="16">
        <f t="shared" si="33"/>
        <v>2</v>
      </c>
      <c r="BC65" s="16">
        <f t="shared" si="33"/>
        <v>2</v>
      </c>
      <c r="BD65" s="16">
        <f t="shared" si="33"/>
        <v>2</v>
      </c>
      <c r="BE65" s="16">
        <f t="shared" si="33"/>
        <v>2</v>
      </c>
      <c r="BF65" s="16">
        <f t="shared" si="33"/>
        <v>2</v>
      </c>
      <c r="BG65" s="16">
        <f t="shared" si="33"/>
        <v>2</v>
      </c>
      <c r="BH65" s="16">
        <f t="shared" si="33"/>
        <v>2</v>
      </c>
      <c r="BI65" s="16">
        <f t="shared" si="33"/>
        <v>2</v>
      </c>
      <c r="BJ65" s="16">
        <f t="shared" si="33"/>
        <v>2</v>
      </c>
      <c r="BK65" s="16">
        <f t="shared" si="33"/>
        <v>2</v>
      </c>
      <c r="BL65" s="16">
        <f t="shared" si="33"/>
        <v>2</v>
      </c>
      <c r="BM65" s="16">
        <f t="shared" si="33"/>
        <v>2</v>
      </c>
      <c r="BN65" s="16">
        <f t="shared" si="33"/>
        <v>2</v>
      </c>
      <c r="BO65" s="16">
        <f t="shared" si="33"/>
        <v>2</v>
      </c>
      <c r="BP65" s="16">
        <f t="shared" si="33"/>
        <v>2</v>
      </c>
      <c r="BQ65" s="16">
        <f t="shared" si="31"/>
        <v>2</v>
      </c>
      <c r="BR65" s="16">
        <f t="shared" si="31"/>
        <v>2</v>
      </c>
      <c r="BS65" s="16">
        <f t="shared" si="31"/>
        <v>2</v>
      </c>
      <c r="BT65" s="16">
        <f t="shared" si="31"/>
        <v>2</v>
      </c>
      <c r="BU65" s="16">
        <f t="shared" si="31"/>
        <v>2</v>
      </c>
      <c r="BV65" s="16">
        <f t="shared" si="31"/>
        <v>2</v>
      </c>
      <c r="BW65" s="16">
        <f t="shared" ref="BW65:DF65" si="34">IF(BV65=1,2,IF(BV65=0,IF(BW41=0,0,1),2))</f>
        <v>2</v>
      </c>
      <c r="BX65" s="16">
        <f t="shared" si="34"/>
        <v>2</v>
      </c>
      <c r="BY65" s="16">
        <f t="shared" si="34"/>
        <v>2</v>
      </c>
      <c r="BZ65" s="16">
        <f t="shared" si="34"/>
        <v>2</v>
      </c>
      <c r="CA65" s="16">
        <f t="shared" si="34"/>
        <v>2</v>
      </c>
      <c r="CB65" s="16">
        <f t="shared" si="34"/>
        <v>2</v>
      </c>
      <c r="CC65" s="16">
        <f t="shared" si="34"/>
        <v>2</v>
      </c>
      <c r="CD65" s="16">
        <f t="shared" si="34"/>
        <v>2</v>
      </c>
      <c r="CE65" s="16">
        <f t="shared" si="34"/>
        <v>2</v>
      </c>
      <c r="CF65" s="16">
        <f t="shared" si="34"/>
        <v>2</v>
      </c>
      <c r="CG65" s="16">
        <f t="shared" si="34"/>
        <v>2</v>
      </c>
      <c r="CH65" s="16">
        <f t="shared" si="34"/>
        <v>2</v>
      </c>
      <c r="CI65" s="16">
        <f t="shared" si="34"/>
        <v>2</v>
      </c>
      <c r="CJ65" s="16">
        <f t="shared" si="34"/>
        <v>2</v>
      </c>
      <c r="CK65" s="16">
        <f t="shared" si="34"/>
        <v>2</v>
      </c>
      <c r="CL65" s="16">
        <f t="shared" si="34"/>
        <v>2</v>
      </c>
      <c r="CM65" s="16">
        <f t="shared" si="34"/>
        <v>2</v>
      </c>
      <c r="CN65" s="16">
        <f t="shared" si="34"/>
        <v>2</v>
      </c>
      <c r="CO65" s="16">
        <f t="shared" si="34"/>
        <v>2</v>
      </c>
      <c r="CP65" s="16">
        <f t="shared" si="34"/>
        <v>2</v>
      </c>
      <c r="CQ65" s="16">
        <f t="shared" si="34"/>
        <v>2</v>
      </c>
      <c r="CR65" s="16">
        <f t="shared" si="34"/>
        <v>2</v>
      </c>
      <c r="CS65" s="16">
        <f t="shared" si="34"/>
        <v>2</v>
      </c>
      <c r="CT65" s="16">
        <f t="shared" si="34"/>
        <v>2</v>
      </c>
      <c r="CU65" s="16">
        <f t="shared" si="34"/>
        <v>2</v>
      </c>
      <c r="CV65" s="16">
        <f t="shared" si="34"/>
        <v>2</v>
      </c>
      <c r="CW65" s="16">
        <f t="shared" si="34"/>
        <v>2</v>
      </c>
      <c r="CX65" s="16">
        <f t="shared" si="34"/>
        <v>2</v>
      </c>
      <c r="CY65" s="16">
        <f t="shared" si="34"/>
        <v>2</v>
      </c>
      <c r="CZ65" s="16">
        <f t="shared" si="34"/>
        <v>2</v>
      </c>
      <c r="DA65" s="16">
        <f t="shared" si="34"/>
        <v>2</v>
      </c>
      <c r="DB65" s="16">
        <f t="shared" si="34"/>
        <v>2</v>
      </c>
      <c r="DC65" s="16">
        <f t="shared" si="34"/>
        <v>2</v>
      </c>
      <c r="DD65" s="16">
        <f t="shared" si="34"/>
        <v>2</v>
      </c>
      <c r="DE65" s="16">
        <f t="shared" si="34"/>
        <v>2</v>
      </c>
      <c r="DF65" s="16">
        <f t="shared" si="34"/>
        <v>2</v>
      </c>
    </row>
    <row r="66" spans="1:110" ht="12.75" hidden="1" customHeight="1" x14ac:dyDescent="0.2">
      <c r="A66" s="15" t="str">
        <f t="shared" si="26"/>
        <v>Electricité (poste en aout 2015 et 1,2 M€)</v>
      </c>
      <c r="B66" s="16">
        <f t="shared" si="26"/>
        <v>1.1399999999999999</v>
      </c>
      <c r="C66" s="16">
        <f t="shared" si="27"/>
        <v>0</v>
      </c>
      <c r="D66" s="16">
        <f t="shared" si="23"/>
        <v>0</v>
      </c>
      <c r="E66" s="16">
        <f t="shared" si="33"/>
        <v>0</v>
      </c>
      <c r="F66" s="16">
        <f t="shared" si="33"/>
        <v>0</v>
      </c>
      <c r="G66" s="16">
        <f t="shared" si="33"/>
        <v>0</v>
      </c>
      <c r="H66" s="16">
        <f t="shared" si="33"/>
        <v>0</v>
      </c>
      <c r="I66" s="16">
        <f t="shared" si="33"/>
        <v>0</v>
      </c>
      <c r="J66" s="16">
        <f t="shared" si="33"/>
        <v>0</v>
      </c>
      <c r="K66" s="16">
        <f t="shared" si="33"/>
        <v>0</v>
      </c>
      <c r="L66" s="16">
        <f t="shared" si="33"/>
        <v>1</v>
      </c>
      <c r="M66" s="16">
        <f t="shared" si="33"/>
        <v>2</v>
      </c>
      <c r="N66" s="16">
        <f t="shared" si="33"/>
        <v>2</v>
      </c>
      <c r="O66" s="16">
        <f t="shared" si="33"/>
        <v>2</v>
      </c>
      <c r="P66" s="16">
        <f t="shared" si="33"/>
        <v>2</v>
      </c>
      <c r="Q66" s="16">
        <f t="shared" si="33"/>
        <v>2</v>
      </c>
      <c r="R66" s="16">
        <f t="shared" si="33"/>
        <v>2</v>
      </c>
      <c r="S66" s="16">
        <f t="shared" si="33"/>
        <v>2</v>
      </c>
      <c r="T66" s="16">
        <f t="shared" si="33"/>
        <v>2</v>
      </c>
      <c r="U66" s="16">
        <f t="shared" si="33"/>
        <v>2</v>
      </c>
      <c r="V66" s="16">
        <f t="shared" si="33"/>
        <v>2</v>
      </c>
      <c r="W66" s="16">
        <f t="shared" si="33"/>
        <v>2</v>
      </c>
      <c r="X66" s="16">
        <f t="shared" si="33"/>
        <v>2</v>
      </c>
      <c r="Y66" s="16">
        <f t="shared" si="33"/>
        <v>2</v>
      </c>
      <c r="Z66" s="16">
        <f t="shared" si="33"/>
        <v>2</v>
      </c>
      <c r="AA66" s="16">
        <f t="shared" si="33"/>
        <v>2</v>
      </c>
      <c r="AB66" s="16">
        <f t="shared" si="33"/>
        <v>2</v>
      </c>
      <c r="AC66" s="16">
        <f t="shared" si="33"/>
        <v>2</v>
      </c>
      <c r="AD66" s="16">
        <f t="shared" si="33"/>
        <v>2</v>
      </c>
      <c r="AE66" s="16">
        <f t="shared" si="33"/>
        <v>2</v>
      </c>
      <c r="AF66" s="16">
        <f t="shared" si="33"/>
        <v>2</v>
      </c>
      <c r="AG66" s="16">
        <f t="shared" si="33"/>
        <v>2</v>
      </c>
      <c r="AH66" s="16">
        <f t="shared" si="33"/>
        <v>2</v>
      </c>
      <c r="AI66" s="16">
        <f t="shared" si="33"/>
        <v>2</v>
      </c>
      <c r="AJ66" s="16">
        <f t="shared" si="33"/>
        <v>2</v>
      </c>
      <c r="AK66" s="16">
        <f t="shared" si="33"/>
        <v>2</v>
      </c>
      <c r="AL66" s="16">
        <f t="shared" si="33"/>
        <v>2</v>
      </c>
      <c r="AM66" s="16">
        <f t="shared" si="33"/>
        <v>2</v>
      </c>
      <c r="AN66" s="16">
        <f t="shared" si="33"/>
        <v>2</v>
      </c>
      <c r="AO66" s="16">
        <f t="shared" si="33"/>
        <v>2</v>
      </c>
      <c r="AP66" s="16">
        <f t="shared" si="33"/>
        <v>2</v>
      </c>
      <c r="AQ66" s="16">
        <f t="shared" si="33"/>
        <v>2</v>
      </c>
      <c r="AR66" s="16">
        <f t="shared" si="33"/>
        <v>2</v>
      </c>
      <c r="AS66" s="16">
        <f t="shared" si="33"/>
        <v>2</v>
      </c>
      <c r="AT66" s="16">
        <f t="shared" si="33"/>
        <v>2</v>
      </c>
      <c r="AU66" s="16">
        <f t="shared" si="33"/>
        <v>2</v>
      </c>
      <c r="AV66" s="16">
        <f t="shared" si="33"/>
        <v>2</v>
      </c>
      <c r="AW66" s="16">
        <f t="shared" si="33"/>
        <v>2</v>
      </c>
      <c r="AX66" s="16">
        <f t="shared" si="33"/>
        <v>2</v>
      </c>
      <c r="AY66" s="16">
        <f t="shared" si="33"/>
        <v>2</v>
      </c>
      <c r="AZ66" s="16">
        <f t="shared" si="33"/>
        <v>2</v>
      </c>
      <c r="BA66" s="16">
        <f t="shared" si="33"/>
        <v>2</v>
      </c>
      <c r="BB66" s="16">
        <f t="shared" si="33"/>
        <v>2</v>
      </c>
      <c r="BC66" s="16">
        <f t="shared" si="33"/>
        <v>2</v>
      </c>
      <c r="BD66" s="16">
        <f t="shared" si="33"/>
        <v>2</v>
      </c>
      <c r="BE66" s="16">
        <f t="shared" si="33"/>
        <v>2</v>
      </c>
      <c r="BF66" s="16">
        <f t="shared" si="33"/>
        <v>2</v>
      </c>
      <c r="BG66" s="16">
        <f t="shared" si="33"/>
        <v>2</v>
      </c>
      <c r="BH66" s="16">
        <f t="shared" si="33"/>
        <v>2</v>
      </c>
      <c r="BI66" s="16">
        <f t="shared" si="33"/>
        <v>2</v>
      </c>
      <c r="BJ66" s="16">
        <f t="shared" si="33"/>
        <v>2</v>
      </c>
      <c r="BK66" s="16">
        <f t="shared" si="33"/>
        <v>2</v>
      </c>
      <c r="BL66" s="16">
        <f t="shared" si="33"/>
        <v>2</v>
      </c>
      <c r="BM66" s="16">
        <f t="shared" si="33"/>
        <v>2</v>
      </c>
      <c r="BN66" s="16">
        <f t="shared" si="33"/>
        <v>2</v>
      </c>
      <c r="BO66" s="16">
        <f t="shared" si="33"/>
        <v>2</v>
      </c>
      <c r="BP66" s="16">
        <f t="shared" si="33"/>
        <v>2</v>
      </c>
      <c r="BQ66" s="16">
        <f t="shared" ref="BQ66:DF70" si="35">IF(BP66=1,2,IF(BP66=0,IF(BQ42=0,0,1),2))</f>
        <v>2</v>
      </c>
      <c r="BR66" s="16">
        <f t="shared" si="35"/>
        <v>2</v>
      </c>
      <c r="BS66" s="16">
        <f t="shared" si="35"/>
        <v>2</v>
      </c>
      <c r="BT66" s="16">
        <f t="shared" si="35"/>
        <v>2</v>
      </c>
      <c r="BU66" s="16">
        <f t="shared" si="35"/>
        <v>2</v>
      </c>
      <c r="BV66" s="16">
        <f t="shared" si="35"/>
        <v>2</v>
      </c>
      <c r="BW66" s="16">
        <f t="shared" si="35"/>
        <v>2</v>
      </c>
      <c r="BX66" s="16">
        <f t="shared" si="35"/>
        <v>2</v>
      </c>
      <c r="BY66" s="16">
        <f t="shared" si="35"/>
        <v>2</v>
      </c>
      <c r="BZ66" s="16">
        <f t="shared" si="35"/>
        <v>2</v>
      </c>
      <c r="CA66" s="16">
        <f t="shared" si="35"/>
        <v>2</v>
      </c>
      <c r="CB66" s="16">
        <f t="shared" si="35"/>
        <v>2</v>
      </c>
      <c r="CC66" s="16">
        <f t="shared" si="35"/>
        <v>2</v>
      </c>
      <c r="CD66" s="16">
        <f t="shared" si="35"/>
        <v>2</v>
      </c>
      <c r="CE66" s="16">
        <f t="shared" si="35"/>
        <v>2</v>
      </c>
      <c r="CF66" s="16">
        <f t="shared" si="35"/>
        <v>2</v>
      </c>
      <c r="CG66" s="16">
        <f t="shared" si="35"/>
        <v>2</v>
      </c>
      <c r="CH66" s="16">
        <f t="shared" si="35"/>
        <v>2</v>
      </c>
      <c r="CI66" s="16">
        <f t="shared" si="35"/>
        <v>2</v>
      </c>
      <c r="CJ66" s="16">
        <f t="shared" si="35"/>
        <v>2</v>
      </c>
      <c r="CK66" s="16">
        <f t="shared" si="35"/>
        <v>2</v>
      </c>
      <c r="CL66" s="16">
        <f t="shared" si="35"/>
        <v>2</v>
      </c>
      <c r="CM66" s="16">
        <f t="shared" si="35"/>
        <v>2</v>
      </c>
      <c r="CN66" s="16">
        <f t="shared" si="35"/>
        <v>2</v>
      </c>
      <c r="CO66" s="16">
        <f t="shared" si="35"/>
        <v>2</v>
      </c>
      <c r="CP66" s="16">
        <f t="shared" si="35"/>
        <v>2</v>
      </c>
      <c r="CQ66" s="16">
        <f t="shared" si="35"/>
        <v>2</v>
      </c>
      <c r="CR66" s="16">
        <f t="shared" si="35"/>
        <v>2</v>
      </c>
      <c r="CS66" s="16">
        <f t="shared" si="35"/>
        <v>2</v>
      </c>
      <c r="CT66" s="16">
        <f t="shared" si="35"/>
        <v>2</v>
      </c>
      <c r="CU66" s="16">
        <f t="shared" si="35"/>
        <v>2</v>
      </c>
      <c r="CV66" s="16">
        <f t="shared" si="35"/>
        <v>2</v>
      </c>
      <c r="CW66" s="16">
        <f t="shared" si="35"/>
        <v>2</v>
      </c>
      <c r="CX66" s="16">
        <f t="shared" si="35"/>
        <v>2</v>
      </c>
      <c r="CY66" s="16">
        <f t="shared" si="35"/>
        <v>2</v>
      </c>
      <c r="CZ66" s="16">
        <f t="shared" si="35"/>
        <v>2</v>
      </c>
      <c r="DA66" s="16">
        <f t="shared" si="35"/>
        <v>2</v>
      </c>
      <c r="DB66" s="16">
        <f t="shared" si="35"/>
        <v>2</v>
      </c>
      <c r="DC66" s="16">
        <f t="shared" si="35"/>
        <v>2</v>
      </c>
      <c r="DD66" s="16">
        <f t="shared" si="35"/>
        <v>2</v>
      </c>
      <c r="DE66" s="16">
        <f t="shared" si="35"/>
        <v>2</v>
      </c>
      <c r="DF66" s="16">
        <f t="shared" si="35"/>
        <v>2</v>
      </c>
    </row>
    <row r="67" spans="1:110" ht="12.75" hidden="1" customHeight="1" x14ac:dyDescent="0.2">
      <c r="A67" s="15" t="str">
        <f t="shared" si="26"/>
        <v>Autre Electricité et utilités</v>
      </c>
      <c r="B67" s="16">
        <f t="shared" si="26"/>
        <v>4.16</v>
      </c>
      <c r="C67" s="16">
        <f t="shared" si="27"/>
        <v>0</v>
      </c>
      <c r="D67" s="16">
        <f t="shared" si="23"/>
        <v>0</v>
      </c>
      <c r="E67" s="16">
        <f t="shared" si="33"/>
        <v>0</v>
      </c>
      <c r="F67" s="16">
        <f t="shared" si="33"/>
        <v>0</v>
      </c>
      <c r="G67" s="16">
        <f t="shared" si="33"/>
        <v>0</v>
      </c>
      <c r="H67" s="16">
        <f t="shared" si="33"/>
        <v>0</v>
      </c>
      <c r="I67" s="16">
        <f t="shared" si="33"/>
        <v>0</v>
      </c>
      <c r="J67" s="16">
        <f t="shared" si="33"/>
        <v>0</v>
      </c>
      <c r="K67" s="16">
        <f t="shared" si="33"/>
        <v>0</v>
      </c>
      <c r="L67" s="16">
        <f t="shared" si="33"/>
        <v>1</v>
      </c>
      <c r="M67" s="16">
        <f t="shared" si="33"/>
        <v>2</v>
      </c>
      <c r="N67" s="16">
        <f t="shared" si="33"/>
        <v>2</v>
      </c>
      <c r="O67" s="16">
        <f t="shared" si="33"/>
        <v>2</v>
      </c>
      <c r="P67" s="16">
        <f t="shared" si="33"/>
        <v>2</v>
      </c>
      <c r="Q67" s="16">
        <f t="shared" si="33"/>
        <v>2</v>
      </c>
      <c r="R67" s="16">
        <f t="shared" si="33"/>
        <v>2</v>
      </c>
      <c r="S67" s="16">
        <f t="shared" si="33"/>
        <v>2</v>
      </c>
      <c r="T67" s="16">
        <f t="shared" si="33"/>
        <v>2</v>
      </c>
      <c r="U67" s="16">
        <f t="shared" si="33"/>
        <v>2</v>
      </c>
      <c r="V67" s="16">
        <f t="shared" si="33"/>
        <v>2</v>
      </c>
      <c r="W67" s="16">
        <f t="shared" si="33"/>
        <v>2</v>
      </c>
      <c r="X67" s="16">
        <f t="shared" si="33"/>
        <v>2</v>
      </c>
      <c r="Y67" s="16">
        <f t="shared" si="33"/>
        <v>2</v>
      </c>
      <c r="Z67" s="16">
        <f t="shared" si="33"/>
        <v>2</v>
      </c>
      <c r="AA67" s="16">
        <f t="shared" si="33"/>
        <v>2</v>
      </c>
      <c r="AB67" s="16">
        <f t="shared" si="33"/>
        <v>2</v>
      </c>
      <c r="AC67" s="16">
        <f t="shared" si="33"/>
        <v>2</v>
      </c>
      <c r="AD67" s="16">
        <f t="shared" si="33"/>
        <v>2</v>
      </c>
      <c r="AE67" s="16">
        <f t="shared" si="33"/>
        <v>2</v>
      </c>
      <c r="AF67" s="16">
        <f t="shared" si="33"/>
        <v>2</v>
      </c>
      <c r="AG67" s="16">
        <f t="shared" si="33"/>
        <v>2</v>
      </c>
      <c r="AH67" s="16">
        <f t="shared" si="33"/>
        <v>2</v>
      </c>
      <c r="AI67" s="16">
        <f t="shared" si="33"/>
        <v>2</v>
      </c>
      <c r="AJ67" s="16">
        <f t="shared" si="33"/>
        <v>2</v>
      </c>
      <c r="AK67" s="16">
        <f t="shared" si="33"/>
        <v>2</v>
      </c>
      <c r="AL67" s="16">
        <f t="shared" si="33"/>
        <v>2</v>
      </c>
      <c r="AM67" s="16">
        <f t="shared" si="33"/>
        <v>2</v>
      </c>
      <c r="AN67" s="16">
        <f t="shared" si="33"/>
        <v>2</v>
      </c>
      <c r="AO67" s="16">
        <f t="shared" si="33"/>
        <v>2</v>
      </c>
      <c r="AP67" s="16">
        <f t="shared" si="33"/>
        <v>2</v>
      </c>
      <c r="AQ67" s="16">
        <f t="shared" si="33"/>
        <v>2</v>
      </c>
      <c r="AR67" s="16">
        <f t="shared" si="33"/>
        <v>2</v>
      </c>
      <c r="AS67" s="16">
        <f t="shared" si="33"/>
        <v>2</v>
      </c>
      <c r="AT67" s="16">
        <f t="shared" si="33"/>
        <v>2</v>
      </c>
      <c r="AU67" s="16">
        <f t="shared" si="33"/>
        <v>2</v>
      </c>
      <c r="AV67" s="16">
        <f t="shared" si="33"/>
        <v>2</v>
      </c>
      <c r="AW67" s="16">
        <f t="shared" si="33"/>
        <v>2</v>
      </c>
      <c r="AX67" s="16">
        <f t="shared" si="33"/>
        <v>2</v>
      </c>
      <c r="AY67" s="16">
        <f t="shared" si="33"/>
        <v>2</v>
      </c>
      <c r="AZ67" s="16">
        <f t="shared" si="33"/>
        <v>2</v>
      </c>
      <c r="BA67" s="16">
        <f t="shared" si="33"/>
        <v>2</v>
      </c>
      <c r="BB67" s="16">
        <f t="shared" si="33"/>
        <v>2</v>
      </c>
      <c r="BC67" s="16">
        <f t="shared" si="33"/>
        <v>2</v>
      </c>
      <c r="BD67" s="16">
        <f t="shared" si="33"/>
        <v>2</v>
      </c>
      <c r="BE67" s="16">
        <f t="shared" si="33"/>
        <v>2</v>
      </c>
      <c r="BF67" s="16">
        <f t="shared" si="33"/>
        <v>2</v>
      </c>
      <c r="BG67" s="16">
        <f t="shared" si="33"/>
        <v>2</v>
      </c>
      <c r="BH67" s="16">
        <f t="shared" si="33"/>
        <v>2</v>
      </c>
      <c r="BI67" s="16">
        <f t="shared" si="33"/>
        <v>2</v>
      </c>
      <c r="BJ67" s="16">
        <f t="shared" si="33"/>
        <v>2</v>
      </c>
      <c r="BK67" s="16">
        <f t="shared" si="33"/>
        <v>2</v>
      </c>
      <c r="BL67" s="16">
        <f t="shared" si="33"/>
        <v>2</v>
      </c>
      <c r="BM67" s="16">
        <f t="shared" si="33"/>
        <v>2</v>
      </c>
      <c r="BN67" s="16">
        <f t="shared" si="33"/>
        <v>2</v>
      </c>
      <c r="BO67" s="16">
        <f t="shared" si="33"/>
        <v>2</v>
      </c>
      <c r="BP67" s="16">
        <f t="shared" si="33"/>
        <v>2</v>
      </c>
      <c r="BQ67" s="16">
        <f t="shared" si="35"/>
        <v>2</v>
      </c>
      <c r="BR67" s="16">
        <f t="shared" si="35"/>
        <v>2</v>
      </c>
      <c r="BS67" s="16">
        <f t="shared" si="35"/>
        <v>2</v>
      </c>
      <c r="BT67" s="16">
        <f t="shared" si="35"/>
        <v>2</v>
      </c>
      <c r="BU67" s="16">
        <f t="shared" si="35"/>
        <v>2</v>
      </c>
      <c r="BV67" s="16">
        <f t="shared" si="35"/>
        <v>2</v>
      </c>
      <c r="BW67" s="16">
        <f t="shared" si="35"/>
        <v>2</v>
      </c>
      <c r="BX67" s="16">
        <f t="shared" si="35"/>
        <v>2</v>
      </c>
      <c r="BY67" s="16">
        <f t="shared" si="35"/>
        <v>2</v>
      </c>
      <c r="BZ67" s="16">
        <f t="shared" si="35"/>
        <v>2</v>
      </c>
      <c r="CA67" s="16">
        <f t="shared" si="35"/>
        <v>2</v>
      </c>
      <c r="CB67" s="16">
        <f t="shared" si="35"/>
        <v>2</v>
      </c>
      <c r="CC67" s="16">
        <f t="shared" si="35"/>
        <v>2</v>
      </c>
      <c r="CD67" s="16">
        <f t="shared" si="35"/>
        <v>2</v>
      </c>
      <c r="CE67" s="16">
        <f t="shared" si="35"/>
        <v>2</v>
      </c>
      <c r="CF67" s="16">
        <f t="shared" si="35"/>
        <v>2</v>
      </c>
      <c r="CG67" s="16">
        <f t="shared" si="35"/>
        <v>2</v>
      </c>
      <c r="CH67" s="16">
        <f t="shared" si="35"/>
        <v>2</v>
      </c>
      <c r="CI67" s="16">
        <f t="shared" si="35"/>
        <v>2</v>
      </c>
      <c r="CJ67" s="16">
        <f t="shared" si="35"/>
        <v>2</v>
      </c>
      <c r="CK67" s="16">
        <f t="shared" si="35"/>
        <v>2</v>
      </c>
      <c r="CL67" s="16">
        <f t="shared" si="35"/>
        <v>2</v>
      </c>
      <c r="CM67" s="16">
        <f t="shared" si="35"/>
        <v>2</v>
      </c>
      <c r="CN67" s="16">
        <f t="shared" si="35"/>
        <v>2</v>
      </c>
      <c r="CO67" s="16">
        <f t="shared" si="35"/>
        <v>2</v>
      </c>
      <c r="CP67" s="16">
        <f t="shared" si="35"/>
        <v>2</v>
      </c>
      <c r="CQ67" s="16">
        <f t="shared" si="35"/>
        <v>2</v>
      </c>
      <c r="CR67" s="16">
        <f t="shared" si="35"/>
        <v>2</v>
      </c>
      <c r="CS67" s="16">
        <f t="shared" si="35"/>
        <v>2</v>
      </c>
      <c r="CT67" s="16">
        <f t="shared" si="35"/>
        <v>2</v>
      </c>
      <c r="CU67" s="16">
        <f t="shared" si="35"/>
        <v>2</v>
      </c>
      <c r="CV67" s="16">
        <f t="shared" si="35"/>
        <v>2</v>
      </c>
      <c r="CW67" s="16">
        <f t="shared" si="35"/>
        <v>2</v>
      </c>
      <c r="CX67" s="16">
        <f t="shared" si="35"/>
        <v>2</v>
      </c>
      <c r="CY67" s="16">
        <f t="shared" si="35"/>
        <v>2</v>
      </c>
      <c r="CZ67" s="16">
        <f t="shared" si="35"/>
        <v>2</v>
      </c>
      <c r="DA67" s="16">
        <f t="shared" si="35"/>
        <v>2</v>
      </c>
      <c r="DB67" s="16">
        <f t="shared" si="35"/>
        <v>2</v>
      </c>
      <c r="DC67" s="16">
        <f t="shared" si="35"/>
        <v>2</v>
      </c>
      <c r="DD67" s="16">
        <f t="shared" si="35"/>
        <v>2</v>
      </c>
      <c r="DE67" s="16">
        <f t="shared" si="35"/>
        <v>2</v>
      </c>
      <c r="DF67" s="16">
        <f t="shared" si="35"/>
        <v>2</v>
      </c>
    </row>
    <row r="68" spans="1:110" ht="12.75" hidden="1" customHeight="1" x14ac:dyDescent="0.2">
      <c r="A68" s="15" t="str">
        <f t="shared" si="26"/>
        <v>VRD</v>
      </c>
      <c r="B68" s="16">
        <f t="shared" si="26"/>
        <v>1.9</v>
      </c>
      <c r="C68" s="16">
        <f t="shared" si="27"/>
        <v>1</v>
      </c>
      <c r="D68" s="16">
        <f t="shared" si="23"/>
        <v>2</v>
      </c>
      <c r="E68" s="16">
        <f t="shared" si="33"/>
        <v>2</v>
      </c>
      <c r="F68" s="16">
        <f t="shared" si="33"/>
        <v>2</v>
      </c>
      <c r="G68" s="16">
        <f t="shared" si="33"/>
        <v>2</v>
      </c>
      <c r="H68" s="16">
        <f t="shared" si="33"/>
        <v>2</v>
      </c>
      <c r="I68" s="16">
        <f t="shared" si="33"/>
        <v>2</v>
      </c>
      <c r="J68" s="16">
        <f t="shared" si="33"/>
        <v>2</v>
      </c>
      <c r="K68" s="16">
        <f t="shared" si="33"/>
        <v>2</v>
      </c>
      <c r="L68" s="16">
        <f t="shared" si="33"/>
        <v>2</v>
      </c>
      <c r="M68" s="16">
        <f t="shared" si="33"/>
        <v>2</v>
      </c>
      <c r="N68" s="16">
        <f t="shared" si="33"/>
        <v>2</v>
      </c>
      <c r="O68" s="16">
        <f t="shared" si="33"/>
        <v>2</v>
      </c>
      <c r="P68" s="16">
        <f t="shared" si="33"/>
        <v>2</v>
      </c>
      <c r="Q68" s="16">
        <f t="shared" si="33"/>
        <v>2</v>
      </c>
      <c r="R68" s="16">
        <f t="shared" si="33"/>
        <v>2</v>
      </c>
      <c r="S68" s="16">
        <f t="shared" si="33"/>
        <v>2</v>
      </c>
      <c r="T68" s="16">
        <f t="shared" si="33"/>
        <v>2</v>
      </c>
      <c r="U68" s="16">
        <f t="shared" si="33"/>
        <v>2</v>
      </c>
      <c r="V68" s="16">
        <f t="shared" si="33"/>
        <v>2</v>
      </c>
      <c r="W68" s="16">
        <f t="shared" si="33"/>
        <v>2</v>
      </c>
      <c r="X68" s="16">
        <f t="shared" si="33"/>
        <v>2</v>
      </c>
      <c r="Y68" s="16">
        <f t="shared" si="33"/>
        <v>2</v>
      </c>
      <c r="Z68" s="16">
        <f t="shared" si="33"/>
        <v>2</v>
      </c>
      <c r="AA68" s="16">
        <f t="shared" si="33"/>
        <v>2</v>
      </c>
      <c r="AB68" s="16">
        <f t="shared" si="33"/>
        <v>2</v>
      </c>
      <c r="AC68" s="16">
        <f t="shared" si="33"/>
        <v>2</v>
      </c>
      <c r="AD68" s="16">
        <f t="shared" si="33"/>
        <v>2</v>
      </c>
      <c r="AE68" s="16">
        <f t="shared" si="33"/>
        <v>2</v>
      </c>
      <c r="AF68" s="16">
        <f t="shared" si="33"/>
        <v>2</v>
      </c>
      <c r="AG68" s="16">
        <f t="shared" si="33"/>
        <v>2</v>
      </c>
      <c r="AH68" s="16">
        <f t="shared" si="33"/>
        <v>2</v>
      </c>
      <c r="AI68" s="16">
        <f t="shared" si="33"/>
        <v>2</v>
      </c>
      <c r="AJ68" s="16">
        <f t="shared" si="33"/>
        <v>2</v>
      </c>
      <c r="AK68" s="16">
        <f t="shared" si="33"/>
        <v>2</v>
      </c>
      <c r="AL68" s="16">
        <f t="shared" si="33"/>
        <v>2</v>
      </c>
      <c r="AM68" s="16">
        <f t="shared" si="33"/>
        <v>2</v>
      </c>
      <c r="AN68" s="16">
        <f t="shared" si="33"/>
        <v>2</v>
      </c>
      <c r="AO68" s="16">
        <f t="shared" si="33"/>
        <v>2</v>
      </c>
      <c r="AP68" s="16">
        <f t="shared" si="33"/>
        <v>2</v>
      </c>
      <c r="AQ68" s="16">
        <f t="shared" si="33"/>
        <v>2</v>
      </c>
      <c r="AR68" s="16">
        <f t="shared" si="33"/>
        <v>2</v>
      </c>
      <c r="AS68" s="16">
        <f t="shared" si="33"/>
        <v>2</v>
      </c>
      <c r="AT68" s="16">
        <f t="shared" si="33"/>
        <v>2</v>
      </c>
      <c r="AU68" s="16">
        <f t="shared" si="33"/>
        <v>2</v>
      </c>
      <c r="AV68" s="16">
        <f t="shared" si="33"/>
        <v>2</v>
      </c>
      <c r="AW68" s="16">
        <f t="shared" si="33"/>
        <v>2</v>
      </c>
      <c r="AX68" s="16">
        <f t="shared" si="33"/>
        <v>2</v>
      </c>
      <c r="AY68" s="16">
        <f t="shared" si="33"/>
        <v>2</v>
      </c>
      <c r="AZ68" s="16">
        <f t="shared" si="33"/>
        <v>2</v>
      </c>
      <c r="BA68" s="16">
        <f t="shared" si="33"/>
        <v>2</v>
      </c>
      <c r="BB68" s="16">
        <f t="shared" si="33"/>
        <v>2</v>
      </c>
      <c r="BC68" s="16">
        <f t="shared" si="33"/>
        <v>2</v>
      </c>
      <c r="BD68" s="16">
        <f t="shared" si="33"/>
        <v>2</v>
      </c>
      <c r="BE68" s="16">
        <f t="shared" si="33"/>
        <v>2</v>
      </c>
      <c r="BF68" s="16">
        <f t="shared" si="33"/>
        <v>2</v>
      </c>
      <c r="BG68" s="16">
        <f t="shared" si="33"/>
        <v>2</v>
      </c>
      <c r="BH68" s="16">
        <f t="shared" si="33"/>
        <v>2</v>
      </c>
      <c r="BI68" s="16">
        <f t="shared" si="33"/>
        <v>2</v>
      </c>
      <c r="BJ68" s="16">
        <f t="shared" si="33"/>
        <v>2</v>
      </c>
      <c r="BK68" s="16">
        <f t="shared" si="33"/>
        <v>2</v>
      </c>
      <c r="BL68" s="16">
        <f t="shared" si="33"/>
        <v>2</v>
      </c>
      <c r="BM68" s="16">
        <f t="shared" si="33"/>
        <v>2</v>
      </c>
      <c r="BN68" s="16">
        <f t="shared" si="33"/>
        <v>2</v>
      </c>
      <c r="BO68" s="16">
        <f t="shared" si="33"/>
        <v>2</v>
      </c>
      <c r="BP68" s="16">
        <f t="shared" si="33"/>
        <v>2</v>
      </c>
      <c r="BQ68" s="16">
        <f t="shared" si="35"/>
        <v>2</v>
      </c>
      <c r="BR68" s="16">
        <f t="shared" si="35"/>
        <v>2</v>
      </c>
      <c r="BS68" s="16">
        <f t="shared" si="35"/>
        <v>2</v>
      </c>
      <c r="BT68" s="16">
        <f t="shared" si="35"/>
        <v>2</v>
      </c>
      <c r="BU68" s="16">
        <f t="shared" si="35"/>
        <v>2</v>
      </c>
      <c r="BV68" s="16">
        <f t="shared" si="35"/>
        <v>2</v>
      </c>
      <c r="BW68" s="16">
        <f t="shared" si="35"/>
        <v>2</v>
      </c>
      <c r="BX68" s="16">
        <f t="shared" si="35"/>
        <v>2</v>
      </c>
      <c r="BY68" s="16">
        <f t="shared" si="35"/>
        <v>2</v>
      </c>
      <c r="BZ68" s="16">
        <f t="shared" si="35"/>
        <v>2</v>
      </c>
      <c r="CA68" s="16">
        <f t="shared" si="35"/>
        <v>2</v>
      </c>
      <c r="CB68" s="16">
        <f t="shared" si="35"/>
        <v>2</v>
      </c>
      <c r="CC68" s="16">
        <f t="shared" si="35"/>
        <v>2</v>
      </c>
      <c r="CD68" s="16">
        <f t="shared" si="35"/>
        <v>2</v>
      </c>
      <c r="CE68" s="16">
        <f t="shared" si="35"/>
        <v>2</v>
      </c>
      <c r="CF68" s="16">
        <f t="shared" si="35"/>
        <v>2</v>
      </c>
      <c r="CG68" s="16">
        <f t="shared" si="35"/>
        <v>2</v>
      </c>
      <c r="CH68" s="16">
        <f t="shared" si="35"/>
        <v>2</v>
      </c>
      <c r="CI68" s="16">
        <f t="shared" si="35"/>
        <v>2</v>
      </c>
      <c r="CJ68" s="16">
        <f t="shared" si="35"/>
        <v>2</v>
      </c>
      <c r="CK68" s="16">
        <f t="shared" si="35"/>
        <v>2</v>
      </c>
      <c r="CL68" s="16">
        <f t="shared" si="35"/>
        <v>2</v>
      </c>
      <c r="CM68" s="16">
        <f t="shared" si="35"/>
        <v>2</v>
      </c>
      <c r="CN68" s="16">
        <f t="shared" si="35"/>
        <v>2</v>
      </c>
      <c r="CO68" s="16">
        <f t="shared" si="35"/>
        <v>2</v>
      </c>
      <c r="CP68" s="16">
        <f t="shared" si="35"/>
        <v>2</v>
      </c>
      <c r="CQ68" s="16">
        <f t="shared" si="35"/>
        <v>2</v>
      </c>
      <c r="CR68" s="16">
        <f t="shared" si="35"/>
        <v>2</v>
      </c>
      <c r="CS68" s="16">
        <f t="shared" si="35"/>
        <v>2</v>
      </c>
      <c r="CT68" s="16">
        <f t="shared" si="35"/>
        <v>2</v>
      </c>
      <c r="CU68" s="16">
        <f t="shared" si="35"/>
        <v>2</v>
      </c>
      <c r="CV68" s="16">
        <f t="shared" si="35"/>
        <v>2</v>
      </c>
      <c r="CW68" s="16">
        <f t="shared" si="35"/>
        <v>2</v>
      </c>
      <c r="CX68" s="16">
        <f t="shared" si="35"/>
        <v>2</v>
      </c>
      <c r="CY68" s="16">
        <f t="shared" si="35"/>
        <v>2</v>
      </c>
      <c r="CZ68" s="16">
        <f t="shared" si="35"/>
        <v>2</v>
      </c>
      <c r="DA68" s="16">
        <f t="shared" si="35"/>
        <v>2</v>
      </c>
      <c r="DB68" s="16">
        <f t="shared" si="35"/>
        <v>2</v>
      </c>
      <c r="DC68" s="16">
        <f t="shared" si="35"/>
        <v>2</v>
      </c>
      <c r="DD68" s="16">
        <f t="shared" si="35"/>
        <v>2</v>
      </c>
      <c r="DE68" s="16">
        <f t="shared" si="35"/>
        <v>2</v>
      </c>
      <c r="DF68" s="16">
        <f t="shared" si="35"/>
        <v>2</v>
      </c>
    </row>
    <row r="69" spans="1:110" ht="12.75" hidden="1" customHeight="1" x14ac:dyDescent="0.2">
      <c r="A69" s="15" t="str">
        <f>A45</f>
        <v>Projet</v>
      </c>
      <c r="B69" s="16">
        <f t="shared" si="26"/>
        <v>4.9000000000000004</v>
      </c>
      <c r="C69" s="16">
        <f t="shared" si="27"/>
        <v>1</v>
      </c>
      <c r="D69" s="16">
        <f t="shared" si="23"/>
        <v>2</v>
      </c>
      <c r="E69" s="16">
        <f t="shared" si="33"/>
        <v>2</v>
      </c>
      <c r="F69" s="16">
        <f t="shared" si="33"/>
        <v>2</v>
      </c>
      <c r="G69" s="16">
        <f t="shared" si="33"/>
        <v>2</v>
      </c>
      <c r="H69" s="16">
        <f t="shared" si="33"/>
        <v>2</v>
      </c>
      <c r="I69" s="16">
        <f t="shared" si="33"/>
        <v>2</v>
      </c>
      <c r="J69" s="16">
        <f t="shared" si="33"/>
        <v>2</v>
      </c>
      <c r="K69" s="16">
        <f t="shared" si="33"/>
        <v>2</v>
      </c>
      <c r="L69" s="16">
        <f t="shared" si="33"/>
        <v>2</v>
      </c>
      <c r="M69" s="16">
        <f t="shared" si="33"/>
        <v>2</v>
      </c>
      <c r="N69" s="16">
        <f t="shared" si="33"/>
        <v>2</v>
      </c>
      <c r="O69" s="16">
        <f t="shared" si="33"/>
        <v>2</v>
      </c>
      <c r="P69" s="16">
        <f t="shared" si="33"/>
        <v>2</v>
      </c>
      <c r="Q69" s="16">
        <f t="shared" si="33"/>
        <v>2</v>
      </c>
      <c r="R69" s="16">
        <f t="shared" si="33"/>
        <v>2</v>
      </c>
      <c r="S69" s="16">
        <f t="shared" si="33"/>
        <v>2</v>
      </c>
      <c r="T69" s="16">
        <f t="shared" si="33"/>
        <v>2</v>
      </c>
      <c r="U69" s="16">
        <f t="shared" si="33"/>
        <v>2</v>
      </c>
      <c r="V69" s="16">
        <f t="shared" si="33"/>
        <v>2</v>
      </c>
      <c r="W69" s="16">
        <f t="shared" si="33"/>
        <v>2</v>
      </c>
      <c r="X69" s="16">
        <f t="shared" si="33"/>
        <v>2</v>
      </c>
      <c r="Y69" s="16">
        <f t="shared" si="33"/>
        <v>2</v>
      </c>
      <c r="Z69" s="16">
        <f t="shared" si="33"/>
        <v>2</v>
      </c>
      <c r="AA69" s="16">
        <f t="shared" si="33"/>
        <v>2</v>
      </c>
      <c r="AB69" s="16">
        <f t="shared" si="33"/>
        <v>2</v>
      </c>
      <c r="AC69" s="16">
        <f t="shared" si="33"/>
        <v>2</v>
      </c>
      <c r="AD69" s="16">
        <f t="shared" si="33"/>
        <v>2</v>
      </c>
      <c r="AE69" s="16">
        <f t="shared" ref="E69:BP70" si="36">IF(AD69=1,2,IF(AD69=0,IF(AE45=0,0,1),2))</f>
        <v>2</v>
      </c>
      <c r="AF69" s="16">
        <f t="shared" si="36"/>
        <v>2</v>
      </c>
      <c r="AG69" s="16">
        <f t="shared" si="36"/>
        <v>2</v>
      </c>
      <c r="AH69" s="16">
        <f t="shared" si="36"/>
        <v>2</v>
      </c>
      <c r="AI69" s="16">
        <f t="shared" si="36"/>
        <v>2</v>
      </c>
      <c r="AJ69" s="16">
        <f t="shared" si="36"/>
        <v>2</v>
      </c>
      <c r="AK69" s="16">
        <f t="shared" si="36"/>
        <v>2</v>
      </c>
      <c r="AL69" s="16">
        <f t="shared" si="36"/>
        <v>2</v>
      </c>
      <c r="AM69" s="16">
        <f t="shared" si="36"/>
        <v>2</v>
      </c>
      <c r="AN69" s="16">
        <f t="shared" si="36"/>
        <v>2</v>
      </c>
      <c r="AO69" s="16">
        <f t="shared" si="36"/>
        <v>2</v>
      </c>
      <c r="AP69" s="16">
        <f t="shared" si="36"/>
        <v>2</v>
      </c>
      <c r="AQ69" s="16">
        <f t="shared" si="36"/>
        <v>2</v>
      </c>
      <c r="AR69" s="16">
        <f t="shared" si="36"/>
        <v>2</v>
      </c>
      <c r="AS69" s="16">
        <f t="shared" si="36"/>
        <v>2</v>
      </c>
      <c r="AT69" s="16">
        <f t="shared" si="36"/>
        <v>2</v>
      </c>
      <c r="AU69" s="16">
        <f t="shared" si="36"/>
        <v>2</v>
      </c>
      <c r="AV69" s="16">
        <f t="shared" si="36"/>
        <v>2</v>
      </c>
      <c r="AW69" s="16">
        <f t="shared" si="36"/>
        <v>2</v>
      </c>
      <c r="AX69" s="16">
        <f t="shared" si="36"/>
        <v>2</v>
      </c>
      <c r="AY69" s="16">
        <f t="shared" si="36"/>
        <v>2</v>
      </c>
      <c r="AZ69" s="16">
        <f t="shared" si="36"/>
        <v>2</v>
      </c>
      <c r="BA69" s="16">
        <f t="shared" si="36"/>
        <v>2</v>
      </c>
      <c r="BB69" s="16">
        <f t="shared" si="36"/>
        <v>2</v>
      </c>
      <c r="BC69" s="16">
        <f t="shared" si="36"/>
        <v>2</v>
      </c>
      <c r="BD69" s="16">
        <f t="shared" si="36"/>
        <v>2</v>
      </c>
      <c r="BE69" s="16">
        <f t="shared" si="36"/>
        <v>2</v>
      </c>
      <c r="BF69" s="16">
        <f t="shared" si="36"/>
        <v>2</v>
      </c>
      <c r="BG69" s="16">
        <f t="shared" si="36"/>
        <v>2</v>
      </c>
      <c r="BH69" s="16">
        <f t="shared" si="36"/>
        <v>2</v>
      </c>
      <c r="BI69" s="16">
        <f t="shared" si="36"/>
        <v>2</v>
      </c>
      <c r="BJ69" s="16">
        <f t="shared" si="36"/>
        <v>2</v>
      </c>
      <c r="BK69" s="16">
        <f t="shared" si="36"/>
        <v>2</v>
      </c>
      <c r="BL69" s="16">
        <f t="shared" si="36"/>
        <v>2</v>
      </c>
      <c r="BM69" s="16">
        <f t="shared" si="36"/>
        <v>2</v>
      </c>
      <c r="BN69" s="16">
        <f t="shared" si="36"/>
        <v>2</v>
      </c>
      <c r="BO69" s="16">
        <f t="shared" si="36"/>
        <v>2</v>
      </c>
      <c r="BP69" s="16">
        <f t="shared" si="36"/>
        <v>2</v>
      </c>
      <c r="BQ69" s="16">
        <f t="shared" si="35"/>
        <v>2</v>
      </c>
      <c r="BR69" s="16">
        <f t="shared" si="35"/>
        <v>2</v>
      </c>
      <c r="BS69" s="16">
        <f t="shared" si="35"/>
        <v>2</v>
      </c>
      <c r="BT69" s="16">
        <f t="shared" si="35"/>
        <v>2</v>
      </c>
      <c r="BU69" s="16">
        <f t="shared" si="35"/>
        <v>2</v>
      </c>
      <c r="BV69" s="16">
        <f t="shared" si="35"/>
        <v>2</v>
      </c>
      <c r="BW69" s="16">
        <f t="shared" si="35"/>
        <v>2</v>
      </c>
      <c r="BX69" s="16">
        <f t="shared" si="35"/>
        <v>2</v>
      </c>
      <c r="BY69" s="16">
        <f t="shared" si="35"/>
        <v>2</v>
      </c>
      <c r="BZ69" s="16">
        <f t="shared" si="35"/>
        <v>2</v>
      </c>
      <c r="CA69" s="16">
        <f t="shared" si="35"/>
        <v>2</v>
      </c>
      <c r="CB69" s="16">
        <f t="shared" si="35"/>
        <v>2</v>
      </c>
      <c r="CC69" s="16">
        <f t="shared" si="35"/>
        <v>2</v>
      </c>
      <c r="CD69" s="16">
        <f t="shared" si="35"/>
        <v>2</v>
      </c>
      <c r="CE69" s="16">
        <f t="shared" si="35"/>
        <v>2</v>
      </c>
      <c r="CF69" s="16">
        <f t="shared" si="35"/>
        <v>2</v>
      </c>
      <c r="CG69" s="16">
        <f t="shared" si="35"/>
        <v>2</v>
      </c>
      <c r="CH69" s="16">
        <f t="shared" si="35"/>
        <v>2</v>
      </c>
      <c r="CI69" s="16">
        <f t="shared" si="35"/>
        <v>2</v>
      </c>
      <c r="CJ69" s="16">
        <f t="shared" si="35"/>
        <v>2</v>
      </c>
      <c r="CK69" s="16">
        <f t="shared" si="35"/>
        <v>2</v>
      </c>
      <c r="CL69" s="16">
        <f t="shared" si="35"/>
        <v>2</v>
      </c>
      <c r="CM69" s="16">
        <f t="shared" si="35"/>
        <v>2</v>
      </c>
      <c r="CN69" s="16">
        <f t="shared" si="35"/>
        <v>2</v>
      </c>
      <c r="CO69" s="16">
        <f t="shared" si="35"/>
        <v>2</v>
      </c>
      <c r="CP69" s="16">
        <f t="shared" si="35"/>
        <v>2</v>
      </c>
      <c r="CQ69" s="16">
        <f t="shared" si="35"/>
        <v>2</v>
      </c>
      <c r="CR69" s="16">
        <f t="shared" si="35"/>
        <v>2</v>
      </c>
      <c r="CS69" s="16">
        <f t="shared" si="35"/>
        <v>2</v>
      </c>
      <c r="CT69" s="16">
        <f t="shared" si="35"/>
        <v>2</v>
      </c>
      <c r="CU69" s="16">
        <f t="shared" si="35"/>
        <v>2</v>
      </c>
      <c r="CV69" s="16">
        <f t="shared" si="35"/>
        <v>2</v>
      </c>
      <c r="CW69" s="16">
        <f t="shared" si="35"/>
        <v>2</v>
      </c>
      <c r="CX69" s="16">
        <f t="shared" si="35"/>
        <v>2</v>
      </c>
      <c r="CY69" s="16">
        <f t="shared" si="35"/>
        <v>2</v>
      </c>
      <c r="CZ69" s="16">
        <f t="shared" si="35"/>
        <v>2</v>
      </c>
      <c r="DA69" s="16">
        <f t="shared" si="35"/>
        <v>2</v>
      </c>
      <c r="DB69" s="16">
        <f t="shared" si="35"/>
        <v>2</v>
      </c>
      <c r="DC69" s="16">
        <f t="shared" si="35"/>
        <v>2</v>
      </c>
      <c r="DD69" s="16">
        <f t="shared" si="35"/>
        <v>2</v>
      </c>
      <c r="DE69" s="16">
        <f t="shared" si="35"/>
        <v>2</v>
      </c>
      <c r="DF69" s="16">
        <f t="shared" si="35"/>
        <v>2</v>
      </c>
    </row>
    <row r="70" spans="1:110" ht="12.75" hidden="1" customHeight="1" x14ac:dyDescent="0.2">
      <c r="A70" s="15" t="str">
        <f>A46</f>
        <v>DNR</v>
      </c>
      <c r="B70" s="16">
        <f>B46</f>
        <v>4</v>
      </c>
      <c r="C70" s="16">
        <f t="shared" si="27"/>
        <v>0</v>
      </c>
      <c r="D70" s="16">
        <f t="shared" si="23"/>
        <v>0</v>
      </c>
      <c r="E70" s="16">
        <f t="shared" si="36"/>
        <v>0</v>
      </c>
      <c r="F70" s="16">
        <f t="shared" si="36"/>
        <v>1</v>
      </c>
      <c r="G70" s="16">
        <f t="shared" si="36"/>
        <v>2</v>
      </c>
      <c r="H70" s="16">
        <f t="shared" si="36"/>
        <v>2</v>
      </c>
      <c r="I70" s="16">
        <f t="shared" si="36"/>
        <v>2</v>
      </c>
      <c r="J70" s="16">
        <f t="shared" si="36"/>
        <v>2</v>
      </c>
      <c r="K70" s="16">
        <f t="shared" si="36"/>
        <v>2</v>
      </c>
      <c r="L70" s="16">
        <f t="shared" si="36"/>
        <v>2</v>
      </c>
      <c r="M70" s="16">
        <f t="shared" si="36"/>
        <v>2</v>
      </c>
      <c r="N70" s="16">
        <f t="shared" si="36"/>
        <v>2</v>
      </c>
      <c r="O70" s="16">
        <f t="shared" si="36"/>
        <v>2</v>
      </c>
      <c r="P70" s="16">
        <f t="shared" si="36"/>
        <v>2</v>
      </c>
      <c r="Q70" s="16">
        <f t="shared" si="36"/>
        <v>2</v>
      </c>
      <c r="R70" s="16">
        <f t="shared" si="36"/>
        <v>2</v>
      </c>
      <c r="S70" s="16">
        <f t="shared" si="36"/>
        <v>2</v>
      </c>
      <c r="T70" s="16">
        <f t="shared" si="36"/>
        <v>2</v>
      </c>
      <c r="U70" s="16">
        <f t="shared" si="36"/>
        <v>2</v>
      </c>
      <c r="V70" s="16">
        <f t="shared" si="36"/>
        <v>2</v>
      </c>
      <c r="W70" s="16">
        <f t="shared" si="36"/>
        <v>2</v>
      </c>
      <c r="X70" s="16">
        <f t="shared" si="36"/>
        <v>2</v>
      </c>
      <c r="Y70" s="16">
        <f t="shared" si="36"/>
        <v>2</v>
      </c>
      <c r="Z70" s="16">
        <f t="shared" si="36"/>
        <v>2</v>
      </c>
      <c r="AA70" s="16">
        <f t="shared" si="36"/>
        <v>2</v>
      </c>
      <c r="AB70" s="16">
        <f t="shared" si="36"/>
        <v>2</v>
      </c>
      <c r="AC70" s="16">
        <f t="shared" si="36"/>
        <v>2</v>
      </c>
      <c r="AD70" s="16">
        <f t="shared" si="36"/>
        <v>2</v>
      </c>
      <c r="AE70" s="16">
        <f t="shared" si="36"/>
        <v>2</v>
      </c>
      <c r="AF70" s="16">
        <f t="shared" si="36"/>
        <v>2</v>
      </c>
      <c r="AG70" s="16">
        <f t="shared" si="36"/>
        <v>2</v>
      </c>
      <c r="AH70" s="16">
        <f t="shared" si="36"/>
        <v>2</v>
      </c>
      <c r="AI70" s="16">
        <f t="shared" si="36"/>
        <v>2</v>
      </c>
      <c r="AJ70" s="16">
        <f t="shared" si="36"/>
        <v>2</v>
      </c>
      <c r="AK70" s="16">
        <f t="shared" si="36"/>
        <v>2</v>
      </c>
      <c r="AL70" s="16">
        <f t="shared" si="36"/>
        <v>2</v>
      </c>
      <c r="AM70" s="16">
        <f t="shared" si="36"/>
        <v>2</v>
      </c>
      <c r="AN70" s="16">
        <f t="shared" si="36"/>
        <v>2</v>
      </c>
      <c r="AO70" s="16">
        <f t="shared" si="36"/>
        <v>2</v>
      </c>
      <c r="AP70" s="16">
        <f t="shared" si="36"/>
        <v>2</v>
      </c>
      <c r="AQ70" s="16">
        <f t="shared" si="36"/>
        <v>2</v>
      </c>
      <c r="AR70" s="16">
        <f t="shared" si="36"/>
        <v>2</v>
      </c>
      <c r="AS70" s="16">
        <f t="shared" si="36"/>
        <v>2</v>
      </c>
      <c r="AT70" s="16">
        <f t="shared" si="36"/>
        <v>2</v>
      </c>
      <c r="AU70" s="16">
        <f t="shared" si="36"/>
        <v>2</v>
      </c>
      <c r="AV70" s="16">
        <f t="shared" si="36"/>
        <v>2</v>
      </c>
      <c r="AW70" s="16">
        <f t="shared" si="36"/>
        <v>2</v>
      </c>
      <c r="AX70" s="16">
        <f t="shared" si="36"/>
        <v>2</v>
      </c>
      <c r="AY70" s="16">
        <f t="shared" si="36"/>
        <v>2</v>
      </c>
      <c r="AZ70" s="16">
        <f t="shared" si="36"/>
        <v>2</v>
      </c>
      <c r="BA70" s="16">
        <f t="shared" si="36"/>
        <v>2</v>
      </c>
      <c r="BB70" s="16">
        <f t="shared" si="36"/>
        <v>2</v>
      </c>
      <c r="BC70" s="16">
        <f t="shared" si="36"/>
        <v>2</v>
      </c>
      <c r="BD70" s="16">
        <f t="shared" si="36"/>
        <v>2</v>
      </c>
      <c r="BE70" s="16">
        <f t="shared" si="36"/>
        <v>2</v>
      </c>
      <c r="BF70" s="16">
        <f t="shared" si="36"/>
        <v>2</v>
      </c>
      <c r="BG70" s="16">
        <f t="shared" si="36"/>
        <v>2</v>
      </c>
      <c r="BH70" s="16">
        <f t="shared" si="36"/>
        <v>2</v>
      </c>
      <c r="BI70" s="16">
        <f t="shared" si="36"/>
        <v>2</v>
      </c>
      <c r="BJ70" s="16">
        <f t="shared" si="36"/>
        <v>2</v>
      </c>
      <c r="BK70" s="16">
        <f t="shared" si="36"/>
        <v>2</v>
      </c>
      <c r="BL70" s="16">
        <f t="shared" si="36"/>
        <v>2</v>
      </c>
      <c r="BM70" s="16">
        <f t="shared" si="36"/>
        <v>2</v>
      </c>
      <c r="BN70" s="16">
        <f t="shared" si="36"/>
        <v>2</v>
      </c>
      <c r="BO70" s="16">
        <f t="shared" si="36"/>
        <v>2</v>
      </c>
      <c r="BP70" s="16">
        <f t="shared" si="36"/>
        <v>2</v>
      </c>
      <c r="BQ70" s="16">
        <f t="shared" si="35"/>
        <v>2</v>
      </c>
      <c r="BR70" s="16">
        <f t="shared" si="35"/>
        <v>2</v>
      </c>
      <c r="BS70" s="16">
        <f t="shared" si="35"/>
        <v>2</v>
      </c>
      <c r="BT70" s="16">
        <f t="shared" si="35"/>
        <v>2</v>
      </c>
      <c r="BU70" s="16">
        <f t="shared" si="35"/>
        <v>2</v>
      </c>
      <c r="BV70" s="16">
        <f t="shared" si="35"/>
        <v>2</v>
      </c>
      <c r="BW70" s="16">
        <f t="shared" si="35"/>
        <v>2</v>
      </c>
      <c r="BX70" s="16">
        <f t="shared" si="35"/>
        <v>2</v>
      </c>
      <c r="BY70" s="16">
        <f t="shared" si="35"/>
        <v>2</v>
      </c>
      <c r="BZ70" s="16">
        <f t="shared" si="35"/>
        <v>2</v>
      </c>
      <c r="CA70" s="16">
        <f t="shared" si="35"/>
        <v>2</v>
      </c>
      <c r="CB70" s="16">
        <f t="shared" si="35"/>
        <v>2</v>
      </c>
      <c r="CC70" s="16">
        <f t="shared" si="35"/>
        <v>2</v>
      </c>
      <c r="CD70" s="16">
        <f t="shared" si="35"/>
        <v>2</v>
      </c>
      <c r="CE70" s="16">
        <f t="shared" si="35"/>
        <v>2</v>
      </c>
      <c r="CF70" s="16">
        <f t="shared" si="35"/>
        <v>2</v>
      </c>
      <c r="CG70" s="16">
        <f t="shared" si="35"/>
        <v>2</v>
      </c>
      <c r="CH70" s="16">
        <f t="shared" si="35"/>
        <v>2</v>
      </c>
      <c r="CI70" s="16">
        <f t="shared" si="35"/>
        <v>2</v>
      </c>
      <c r="CJ70" s="16">
        <f t="shared" si="35"/>
        <v>2</v>
      </c>
      <c r="CK70" s="16">
        <f t="shared" si="35"/>
        <v>2</v>
      </c>
      <c r="CL70" s="16">
        <f t="shared" si="35"/>
        <v>2</v>
      </c>
      <c r="CM70" s="16">
        <f t="shared" si="35"/>
        <v>2</v>
      </c>
      <c r="CN70" s="16">
        <f t="shared" si="35"/>
        <v>2</v>
      </c>
      <c r="CO70" s="16">
        <f t="shared" si="35"/>
        <v>2</v>
      </c>
      <c r="CP70" s="16">
        <f t="shared" si="35"/>
        <v>2</v>
      </c>
      <c r="CQ70" s="16">
        <f t="shared" si="35"/>
        <v>2</v>
      </c>
      <c r="CR70" s="16">
        <f t="shared" si="35"/>
        <v>2</v>
      </c>
      <c r="CS70" s="16">
        <f t="shared" si="35"/>
        <v>2</v>
      </c>
      <c r="CT70" s="16">
        <f t="shared" si="35"/>
        <v>2</v>
      </c>
      <c r="CU70" s="16">
        <f t="shared" si="35"/>
        <v>2</v>
      </c>
      <c r="CV70" s="16">
        <f t="shared" si="35"/>
        <v>2</v>
      </c>
      <c r="CW70" s="16">
        <f t="shared" si="35"/>
        <v>2</v>
      </c>
      <c r="CX70" s="16">
        <f t="shared" si="35"/>
        <v>2</v>
      </c>
      <c r="CY70" s="16">
        <f t="shared" si="35"/>
        <v>2</v>
      </c>
      <c r="CZ70" s="16">
        <f t="shared" si="35"/>
        <v>2</v>
      </c>
      <c r="DA70" s="16">
        <f t="shared" si="35"/>
        <v>2</v>
      </c>
      <c r="DB70" s="16">
        <f t="shared" si="35"/>
        <v>2</v>
      </c>
      <c r="DC70" s="16">
        <f t="shared" si="35"/>
        <v>2</v>
      </c>
      <c r="DD70" s="16">
        <f t="shared" si="35"/>
        <v>2</v>
      </c>
      <c r="DE70" s="16">
        <f t="shared" si="35"/>
        <v>2</v>
      </c>
      <c r="DF70" s="16">
        <f t="shared" si="35"/>
        <v>2</v>
      </c>
    </row>
    <row r="71" spans="1:110" ht="12.75" hidden="1" customHeight="1" x14ac:dyDescent="0.2"/>
    <row r="72" spans="1:110" ht="12.75" hidden="1" customHeight="1" x14ac:dyDescent="0.2"/>
    <row r="73" spans="1:110" ht="12.75" hidden="1" customHeight="1" x14ac:dyDescent="0.25">
      <c r="A73" s="984" t="s">
        <v>1330</v>
      </c>
      <c r="C73" s="975">
        <f>C50</f>
        <v>1</v>
      </c>
      <c r="D73" s="975">
        <f t="shared" ref="D73:BO75" si="37">D50</f>
        <v>2</v>
      </c>
      <c r="E73" s="975">
        <f t="shared" si="37"/>
        <v>3</v>
      </c>
      <c r="F73" s="975">
        <f t="shared" si="37"/>
        <v>4</v>
      </c>
      <c r="G73" s="975">
        <f t="shared" si="37"/>
        <v>5</v>
      </c>
      <c r="H73" s="975">
        <f t="shared" si="37"/>
        <v>6</v>
      </c>
      <c r="I73" s="975">
        <f t="shared" si="37"/>
        <v>7</v>
      </c>
      <c r="J73" s="975">
        <f t="shared" si="37"/>
        <v>8</v>
      </c>
      <c r="K73" s="975">
        <f t="shared" si="37"/>
        <v>9</v>
      </c>
      <c r="L73" s="975">
        <f t="shared" si="37"/>
        <v>10</v>
      </c>
      <c r="M73" s="975">
        <f t="shared" si="37"/>
        <v>11</v>
      </c>
      <c r="N73" s="975">
        <f t="shared" si="37"/>
        <v>12</v>
      </c>
      <c r="O73" s="975">
        <f t="shared" si="37"/>
        <v>13</v>
      </c>
      <c r="P73" s="975">
        <f t="shared" si="37"/>
        <v>14</v>
      </c>
      <c r="Q73" s="975">
        <f t="shared" si="37"/>
        <v>15</v>
      </c>
      <c r="R73" s="975">
        <f t="shared" si="37"/>
        <v>16</v>
      </c>
      <c r="S73" s="975">
        <f t="shared" si="37"/>
        <v>17</v>
      </c>
      <c r="T73" s="975">
        <f t="shared" si="37"/>
        <v>18</v>
      </c>
      <c r="U73" s="975">
        <f t="shared" si="37"/>
        <v>19</v>
      </c>
      <c r="V73" s="975">
        <f t="shared" si="37"/>
        <v>20</v>
      </c>
      <c r="W73" s="975">
        <f t="shared" si="37"/>
        <v>21</v>
      </c>
      <c r="X73" s="975">
        <f t="shared" si="37"/>
        <v>22</v>
      </c>
      <c r="Y73" s="975">
        <f t="shared" si="37"/>
        <v>23</v>
      </c>
      <c r="Z73" s="975">
        <f t="shared" si="37"/>
        <v>24</v>
      </c>
      <c r="AA73" s="975">
        <f t="shared" si="37"/>
        <v>25</v>
      </c>
      <c r="AB73" s="975">
        <f t="shared" si="37"/>
        <v>26</v>
      </c>
      <c r="AC73" s="975">
        <f t="shared" si="37"/>
        <v>27</v>
      </c>
      <c r="AD73" s="975">
        <f t="shared" si="37"/>
        <v>28</v>
      </c>
      <c r="AE73" s="975">
        <f t="shared" si="37"/>
        <v>29</v>
      </c>
      <c r="AF73" s="975">
        <f t="shared" si="37"/>
        <v>30</v>
      </c>
      <c r="AG73" s="975">
        <f t="shared" si="37"/>
        <v>31</v>
      </c>
      <c r="AH73" s="975">
        <f t="shared" si="37"/>
        <v>32</v>
      </c>
      <c r="AI73" s="975">
        <f t="shared" si="37"/>
        <v>33</v>
      </c>
      <c r="AJ73" s="975">
        <f t="shared" si="37"/>
        <v>34</v>
      </c>
      <c r="AK73" s="975">
        <f t="shared" si="37"/>
        <v>35</v>
      </c>
      <c r="AL73" s="975">
        <f t="shared" si="37"/>
        <v>36</v>
      </c>
      <c r="AM73" s="975">
        <f t="shared" si="37"/>
        <v>37</v>
      </c>
      <c r="AN73" s="975">
        <f t="shared" si="37"/>
        <v>38</v>
      </c>
      <c r="AO73" s="975">
        <f t="shared" si="37"/>
        <v>39</v>
      </c>
      <c r="AP73" s="975">
        <f t="shared" si="37"/>
        <v>40</v>
      </c>
      <c r="AQ73" s="975">
        <f t="shared" si="37"/>
        <v>41</v>
      </c>
      <c r="AR73" s="975">
        <f t="shared" si="37"/>
        <v>42</v>
      </c>
      <c r="AS73" s="975">
        <f t="shared" si="37"/>
        <v>43</v>
      </c>
      <c r="AT73" s="975">
        <f t="shared" si="37"/>
        <v>44</v>
      </c>
      <c r="AU73" s="975">
        <f t="shared" si="37"/>
        <v>45</v>
      </c>
      <c r="AV73" s="975">
        <f t="shared" si="37"/>
        <v>46</v>
      </c>
      <c r="AW73" s="975">
        <f t="shared" si="37"/>
        <v>47</v>
      </c>
      <c r="AX73" s="975">
        <f t="shared" si="37"/>
        <v>48</v>
      </c>
      <c r="AY73" s="975">
        <f t="shared" si="37"/>
        <v>49</v>
      </c>
      <c r="AZ73" s="975">
        <f t="shared" si="37"/>
        <v>50</v>
      </c>
      <c r="BA73" s="975">
        <f t="shared" si="37"/>
        <v>51</v>
      </c>
      <c r="BB73" s="975">
        <f t="shared" si="37"/>
        <v>52</v>
      </c>
      <c r="BC73" s="975">
        <f t="shared" si="37"/>
        <v>53</v>
      </c>
      <c r="BD73" s="975">
        <f t="shared" si="37"/>
        <v>54</v>
      </c>
      <c r="BE73" s="975">
        <f t="shared" si="37"/>
        <v>55</v>
      </c>
      <c r="BF73" s="975">
        <f t="shared" si="37"/>
        <v>56</v>
      </c>
      <c r="BG73" s="975">
        <f t="shared" si="37"/>
        <v>57</v>
      </c>
      <c r="BH73" s="975">
        <f t="shared" si="37"/>
        <v>58</v>
      </c>
      <c r="BI73" s="975">
        <f t="shared" si="37"/>
        <v>59</v>
      </c>
      <c r="BJ73" s="975">
        <f t="shared" si="37"/>
        <v>60</v>
      </c>
      <c r="BK73" s="975">
        <f t="shared" si="37"/>
        <v>61</v>
      </c>
      <c r="BL73" s="975">
        <f t="shared" si="37"/>
        <v>62</v>
      </c>
      <c r="BM73" s="975">
        <f t="shared" si="37"/>
        <v>63</v>
      </c>
      <c r="BN73" s="975">
        <f t="shared" si="37"/>
        <v>64</v>
      </c>
      <c r="BO73" s="975">
        <f t="shared" si="37"/>
        <v>65</v>
      </c>
      <c r="BP73" s="975">
        <f t="shared" ref="BP73:DF75" si="38">BP50</f>
        <v>66</v>
      </c>
      <c r="BQ73" s="975">
        <f t="shared" si="38"/>
        <v>67</v>
      </c>
      <c r="BR73" s="975">
        <f t="shared" si="38"/>
        <v>68</v>
      </c>
      <c r="BS73" s="975">
        <f t="shared" si="38"/>
        <v>69</v>
      </c>
      <c r="BT73" s="975">
        <f t="shared" si="38"/>
        <v>70</v>
      </c>
      <c r="BU73" s="975">
        <f t="shared" si="38"/>
        <v>71</v>
      </c>
      <c r="BV73" s="975">
        <f t="shared" si="38"/>
        <v>72</v>
      </c>
      <c r="BW73" s="975">
        <f t="shared" si="38"/>
        <v>73</v>
      </c>
      <c r="BX73" s="975">
        <f t="shared" si="38"/>
        <v>74</v>
      </c>
      <c r="BY73" s="975">
        <f t="shared" si="38"/>
        <v>75</v>
      </c>
      <c r="BZ73" s="975">
        <f t="shared" si="38"/>
        <v>76</v>
      </c>
      <c r="CA73" s="975">
        <f t="shared" si="38"/>
        <v>77</v>
      </c>
      <c r="CB73" s="975">
        <f t="shared" si="38"/>
        <v>78</v>
      </c>
      <c r="CC73" s="975">
        <f t="shared" si="38"/>
        <v>79</v>
      </c>
      <c r="CD73" s="975">
        <f t="shared" si="38"/>
        <v>80</v>
      </c>
      <c r="CE73" s="975">
        <f t="shared" si="38"/>
        <v>81</v>
      </c>
      <c r="CF73" s="975">
        <f t="shared" si="38"/>
        <v>82</v>
      </c>
      <c r="CG73" s="975">
        <f t="shared" si="38"/>
        <v>83</v>
      </c>
      <c r="CH73" s="975">
        <f t="shared" si="38"/>
        <v>84</v>
      </c>
      <c r="CI73" s="975">
        <f t="shared" si="38"/>
        <v>85</v>
      </c>
      <c r="CJ73" s="975">
        <f t="shared" si="38"/>
        <v>86</v>
      </c>
      <c r="CK73" s="975">
        <f t="shared" si="38"/>
        <v>87</v>
      </c>
      <c r="CL73" s="975">
        <f t="shared" si="38"/>
        <v>88</v>
      </c>
      <c r="CM73" s="975">
        <f t="shared" si="38"/>
        <v>89</v>
      </c>
      <c r="CN73" s="975">
        <f t="shared" si="38"/>
        <v>90</v>
      </c>
      <c r="CO73" s="975">
        <f t="shared" si="38"/>
        <v>91</v>
      </c>
      <c r="CP73" s="975">
        <f t="shared" si="38"/>
        <v>92</v>
      </c>
      <c r="CQ73" s="975">
        <f t="shared" si="38"/>
        <v>93</v>
      </c>
      <c r="CR73" s="975">
        <f t="shared" si="38"/>
        <v>94</v>
      </c>
      <c r="CS73" s="975">
        <f t="shared" si="38"/>
        <v>95</v>
      </c>
      <c r="CT73" s="975">
        <f t="shared" si="38"/>
        <v>96</v>
      </c>
      <c r="CU73" s="975">
        <f t="shared" si="38"/>
        <v>97</v>
      </c>
      <c r="CV73" s="975">
        <f t="shared" si="38"/>
        <v>98</v>
      </c>
      <c r="CW73" s="975">
        <f t="shared" si="38"/>
        <v>99</v>
      </c>
      <c r="CX73" s="975">
        <f t="shared" si="38"/>
        <v>100</v>
      </c>
      <c r="CY73" s="975">
        <f t="shared" si="38"/>
        <v>101</v>
      </c>
      <c r="CZ73" s="975">
        <f t="shared" si="38"/>
        <v>102</v>
      </c>
      <c r="DA73" s="975">
        <f t="shared" si="38"/>
        <v>103</v>
      </c>
      <c r="DB73" s="975">
        <f t="shared" si="38"/>
        <v>104</v>
      </c>
      <c r="DC73" s="975">
        <f t="shared" si="38"/>
        <v>105</v>
      </c>
      <c r="DD73" s="975">
        <f t="shared" si="38"/>
        <v>106</v>
      </c>
      <c r="DE73" s="975">
        <f t="shared" si="38"/>
        <v>107</v>
      </c>
      <c r="DF73" s="975">
        <f t="shared" si="38"/>
        <v>108</v>
      </c>
    </row>
    <row r="74" spans="1:110" ht="12.75" hidden="1" customHeight="1" x14ac:dyDescent="0.2">
      <c r="C74" s="975" t="str">
        <f t="shared" ref="C74:R75" si="39">C51</f>
        <v>janvier</v>
      </c>
      <c r="D74" s="975" t="str">
        <f t="shared" si="39"/>
        <v>février</v>
      </c>
      <c r="E74" s="975" t="str">
        <f t="shared" si="39"/>
        <v>mars</v>
      </c>
      <c r="F74" s="975" t="str">
        <f t="shared" si="39"/>
        <v>avril</v>
      </c>
      <c r="G74" s="975" t="str">
        <f t="shared" si="39"/>
        <v>mai</v>
      </c>
      <c r="H74" s="975" t="str">
        <f t="shared" si="39"/>
        <v>juin</v>
      </c>
      <c r="I74" s="975" t="str">
        <f t="shared" si="39"/>
        <v>juillet</v>
      </c>
      <c r="J74" s="975" t="str">
        <f t="shared" si="39"/>
        <v>août</v>
      </c>
      <c r="K74" s="975" t="str">
        <f t="shared" si="39"/>
        <v>septembre</v>
      </c>
      <c r="L74" s="975" t="str">
        <f t="shared" si="39"/>
        <v>octobre</v>
      </c>
      <c r="M74" s="975" t="str">
        <f t="shared" si="39"/>
        <v>novembre</v>
      </c>
      <c r="N74" s="975" t="str">
        <f t="shared" si="39"/>
        <v>décembre</v>
      </c>
      <c r="O74" s="975" t="str">
        <f t="shared" si="39"/>
        <v>janvier</v>
      </c>
      <c r="P74" s="975" t="str">
        <f t="shared" si="39"/>
        <v>février</v>
      </c>
      <c r="Q74" s="975" t="str">
        <f t="shared" si="39"/>
        <v>mars</v>
      </c>
      <c r="R74" s="975" t="str">
        <f t="shared" si="39"/>
        <v>avril</v>
      </c>
      <c r="S74" s="975" t="str">
        <f t="shared" si="37"/>
        <v>mai</v>
      </c>
      <c r="T74" s="975" t="str">
        <f t="shared" si="37"/>
        <v>juin</v>
      </c>
      <c r="U74" s="975" t="str">
        <f t="shared" si="37"/>
        <v>juillet</v>
      </c>
      <c r="V74" s="975" t="str">
        <f t="shared" si="37"/>
        <v>août</v>
      </c>
      <c r="W74" s="975" t="str">
        <f t="shared" si="37"/>
        <v>septembre</v>
      </c>
      <c r="X74" s="975" t="str">
        <f t="shared" si="37"/>
        <v>octobre</v>
      </c>
      <c r="Y74" s="975" t="str">
        <f t="shared" si="37"/>
        <v>novembre</v>
      </c>
      <c r="Z74" s="975" t="str">
        <f t="shared" si="37"/>
        <v>décembre</v>
      </c>
      <c r="AA74" s="975" t="str">
        <f t="shared" si="37"/>
        <v>janvier</v>
      </c>
      <c r="AB74" s="975" t="str">
        <f t="shared" si="37"/>
        <v>février</v>
      </c>
      <c r="AC74" s="975" t="str">
        <f t="shared" si="37"/>
        <v>mars</v>
      </c>
      <c r="AD74" s="975" t="str">
        <f t="shared" si="37"/>
        <v>avril</v>
      </c>
      <c r="AE74" s="975" t="str">
        <f t="shared" si="37"/>
        <v>mai</v>
      </c>
      <c r="AF74" s="975" t="str">
        <f t="shared" si="37"/>
        <v>juin</v>
      </c>
      <c r="AG74" s="975" t="str">
        <f t="shared" si="37"/>
        <v>juillet</v>
      </c>
      <c r="AH74" s="975" t="str">
        <f t="shared" si="37"/>
        <v>août</v>
      </c>
      <c r="AI74" s="975" t="str">
        <f t="shared" si="37"/>
        <v>septembre</v>
      </c>
      <c r="AJ74" s="975" t="str">
        <f t="shared" si="37"/>
        <v>octobre</v>
      </c>
      <c r="AK74" s="975" t="str">
        <f t="shared" si="37"/>
        <v>novembre</v>
      </c>
      <c r="AL74" s="975" t="str">
        <f t="shared" si="37"/>
        <v>décembre</v>
      </c>
      <c r="AM74" s="975" t="str">
        <f t="shared" si="37"/>
        <v>janvier</v>
      </c>
      <c r="AN74" s="975" t="str">
        <f t="shared" si="37"/>
        <v>février</v>
      </c>
      <c r="AO74" s="975" t="str">
        <f t="shared" si="37"/>
        <v>mars</v>
      </c>
      <c r="AP74" s="975" t="str">
        <f t="shared" si="37"/>
        <v>avril</v>
      </c>
      <c r="AQ74" s="975" t="str">
        <f t="shared" si="37"/>
        <v>mai</v>
      </c>
      <c r="AR74" s="975" t="str">
        <f t="shared" si="37"/>
        <v>juin</v>
      </c>
      <c r="AS74" s="975" t="str">
        <f t="shared" si="37"/>
        <v>juillet</v>
      </c>
      <c r="AT74" s="975" t="str">
        <f t="shared" si="37"/>
        <v>août</v>
      </c>
      <c r="AU74" s="975" t="str">
        <f t="shared" si="37"/>
        <v>septembre</v>
      </c>
      <c r="AV74" s="975" t="str">
        <f t="shared" si="37"/>
        <v>octobre</v>
      </c>
      <c r="AW74" s="975" t="str">
        <f t="shared" si="37"/>
        <v>novembre</v>
      </c>
      <c r="AX74" s="975" t="str">
        <f t="shared" si="37"/>
        <v>décembre</v>
      </c>
      <c r="AY74" s="975" t="str">
        <f t="shared" si="37"/>
        <v>janvier</v>
      </c>
      <c r="AZ74" s="975" t="str">
        <f t="shared" si="37"/>
        <v>février</v>
      </c>
      <c r="BA74" s="975" t="str">
        <f t="shared" si="37"/>
        <v>mars</v>
      </c>
      <c r="BB74" s="975" t="str">
        <f t="shared" si="37"/>
        <v>avril</v>
      </c>
      <c r="BC74" s="975" t="str">
        <f t="shared" si="37"/>
        <v>mai</v>
      </c>
      <c r="BD74" s="975" t="str">
        <f t="shared" si="37"/>
        <v>juin</v>
      </c>
      <c r="BE74" s="975" t="str">
        <f t="shared" si="37"/>
        <v>juillet</v>
      </c>
      <c r="BF74" s="975" t="str">
        <f t="shared" si="37"/>
        <v>août</v>
      </c>
      <c r="BG74" s="975" t="str">
        <f t="shared" si="37"/>
        <v>septembre</v>
      </c>
      <c r="BH74" s="975" t="str">
        <f t="shared" si="37"/>
        <v>octobre</v>
      </c>
      <c r="BI74" s="975" t="str">
        <f t="shared" si="37"/>
        <v>novembre</v>
      </c>
      <c r="BJ74" s="975" t="str">
        <f t="shared" si="37"/>
        <v>décembre</v>
      </c>
      <c r="BK74" s="975" t="str">
        <f t="shared" si="37"/>
        <v>janvier</v>
      </c>
      <c r="BL74" s="975" t="str">
        <f t="shared" si="37"/>
        <v>février</v>
      </c>
      <c r="BM74" s="975" t="str">
        <f t="shared" si="37"/>
        <v>mars</v>
      </c>
      <c r="BN74" s="975" t="str">
        <f t="shared" si="37"/>
        <v>avril</v>
      </c>
      <c r="BO74" s="975" t="str">
        <f t="shared" si="37"/>
        <v>mai</v>
      </c>
      <c r="BP74" s="975" t="str">
        <f t="shared" si="38"/>
        <v>juin</v>
      </c>
      <c r="BQ74" s="975" t="str">
        <f t="shared" si="38"/>
        <v>juillet</v>
      </c>
      <c r="BR74" s="975" t="str">
        <f t="shared" si="38"/>
        <v>août</v>
      </c>
      <c r="BS74" s="975" t="str">
        <f t="shared" si="38"/>
        <v>septembre</v>
      </c>
      <c r="BT74" s="975" t="str">
        <f t="shared" si="38"/>
        <v>octobre</v>
      </c>
      <c r="BU74" s="975" t="str">
        <f t="shared" si="38"/>
        <v>novembre</v>
      </c>
      <c r="BV74" s="975" t="str">
        <f t="shared" si="38"/>
        <v>décembre</v>
      </c>
      <c r="BW74" s="975" t="str">
        <f t="shared" si="38"/>
        <v>janvier</v>
      </c>
      <c r="BX74" s="975" t="str">
        <f t="shared" si="38"/>
        <v>février</v>
      </c>
      <c r="BY74" s="975" t="str">
        <f t="shared" si="38"/>
        <v>mars</v>
      </c>
      <c r="BZ74" s="975" t="str">
        <f t="shared" si="38"/>
        <v>avril</v>
      </c>
      <c r="CA74" s="975" t="str">
        <f t="shared" si="38"/>
        <v>mai</v>
      </c>
      <c r="CB74" s="975" t="str">
        <f t="shared" si="38"/>
        <v>juin</v>
      </c>
      <c r="CC74" s="975" t="str">
        <f t="shared" si="38"/>
        <v>juillet</v>
      </c>
      <c r="CD74" s="975" t="str">
        <f t="shared" si="38"/>
        <v>août</v>
      </c>
      <c r="CE74" s="975" t="str">
        <f t="shared" si="38"/>
        <v>septembre</v>
      </c>
      <c r="CF74" s="975" t="str">
        <f t="shared" si="38"/>
        <v>octobre</v>
      </c>
      <c r="CG74" s="975" t="str">
        <f t="shared" si="38"/>
        <v>novembre</v>
      </c>
      <c r="CH74" s="975" t="str">
        <f t="shared" si="38"/>
        <v>décembre</v>
      </c>
      <c r="CI74" s="975" t="str">
        <f t="shared" si="38"/>
        <v>janvier</v>
      </c>
      <c r="CJ74" s="975" t="str">
        <f t="shared" si="38"/>
        <v>février</v>
      </c>
      <c r="CK74" s="975" t="str">
        <f t="shared" si="38"/>
        <v>mars</v>
      </c>
      <c r="CL74" s="975" t="str">
        <f t="shared" si="38"/>
        <v>avril</v>
      </c>
      <c r="CM74" s="975" t="str">
        <f t="shared" si="38"/>
        <v>mai</v>
      </c>
      <c r="CN74" s="975" t="str">
        <f t="shared" si="38"/>
        <v>juin</v>
      </c>
      <c r="CO74" s="975" t="str">
        <f t="shared" si="38"/>
        <v>juillet</v>
      </c>
      <c r="CP74" s="975" t="str">
        <f t="shared" si="38"/>
        <v>août</v>
      </c>
      <c r="CQ74" s="975" t="str">
        <f t="shared" si="38"/>
        <v>septembre</v>
      </c>
      <c r="CR74" s="975" t="str">
        <f t="shared" si="38"/>
        <v>octobre</v>
      </c>
      <c r="CS74" s="975" t="str">
        <f t="shared" si="38"/>
        <v>novembre</v>
      </c>
      <c r="CT74" s="975" t="str">
        <f t="shared" si="38"/>
        <v>décembre</v>
      </c>
      <c r="CU74" s="975" t="str">
        <f t="shared" si="38"/>
        <v>janvier</v>
      </c>
      <c r="CV74" s="975" t="str">
        <f t="shared" si="38"/>
        <v>février</v>
      </c>
      <c r="CW74" s="975" t="str">
        <f t="shared" si="38"/>
        <v>mars</v>
      </c>
      <c r="CX74" s="975" t="str">
        <f t="shared" si="38"/>
        <v>avril</v>
      </c>
      <c r="CY74" s="975" t="str">
        <f t="shared" si="38"/>
        <v>mai</v>
      </c>
      <c r="CZ74" s="975" t="str">
        <f t="shared" si="38"/>
        <v>juin</v>
      </c>
      <c r="DA74" s="975" t="str">
        <f t="shared" si="38"/>
        <v>juillet</v>
      </c>
      <c r="DB74" s="975" t="str">
        <f t="shared" si="38"/>
        <v>août</v>
      </c>
      <c r="DC74" s="975" t="str">
        <f t="shared" si="38"/>
        <v>septembre</v>
      </c>
      <c r="DD74" s="975" t="str">
        <f t="shared" si="38"/>
        <v>octobre</v>
      </c>
      <c r="DE74" s="975" t="str">
        <f t="shared" si="38"/>
        <v>novembre</v>
      </c>
      <c r="DF74" s="975" t="str">
        <f t="shared" si="38"/>
        <v>décembre</v>
      </c>
    </row>
    <row r="75" spans="1:110" ht="12.75" hidden="1" customHeight="1" x14ac:dyDescent="0.2">
      <c r="B75" s="43" t="str">
        <f>B52</f>
        <v>M€</v>
      </c>
      <c r="C75" s="975">
        <f t="shared" si="39"/>
        <v>2015</v>
      </c>
      <c r="D75" s="975">
        <f t="shared" si="39"/>
        <v>2015</v>
      </c>
      <c r="E75" s="975">
        <f t="shared" si="39"/>
        <v>2015</v>
      </c>
      <c r="F75" s="975">
        <f t="shared" si="39"/>
        <v>2015</v>
      </c>
      <c r="G75" s="975">
        <f t="shared" si="39"/>
        <v>2015</v>
      </c>
      <c r="H75" s="975">
        <f t="shared" si="39"/>
        <v>2015</v>
      </c>
      <c r="I75" s="975">
        <f t="shared" si="39"/>
        <v>2015</v>
      </c>
      <c r="J75" s="975">
        <f t="shared" si="39"/>
        <v>2015</v>
      </c>
      <c r="K75" s="975">
        <f t="shared" si="39"/>
        <v>2015</v>
      </c>
      <c r="L75" s="975">
        <f t="shared" si="39"/>
        <v>2015</v>
      </c>
      <c r="M75" s="975">
        <f t="shared" si="39"/>
        <v>2015</v>
      </c>
      <c r="N75" s="975">
        <f t="shared" si="39"/>
        <v>2015</v>
      </c>
      <c r="O75" s="975">
        <f t="shared" si="39"/>
        <v>2016</v>
      </c>
      <c r="P75" s="975">
        <f t="shared" si="39"/>
        <v>2016</v>
      </c>
      <c r="Q75" s="975">
        <f t="shared" si="39"/>
        <v>2016</v>
      </c>
      <c r="R75" s="975">
        <f t="shared" si="39"/>
        <v>2016</v>
      </c>
      <c r="S75" s="975">
        <f t="shared" si="37"/>
        <v>2016</v>
      </c>
      <c r="T75" s="975">
        <f t="shared" si="37"/>
        <v>2016</v>
      </c>
      <c r="U75" s="975">
        <f t="shared" si="37"/>
        <v>2016</v>
      </c>
      <c r="V75" s="975">
        <f t="shared" si="37"/>
        <v>2016</v>
      </c>
      <c r="W75" s="975">
        <f t="shared" si="37"/>
        <v>2016</v>
      </c>
      <c r="X75" s="975">
        <f t="shared" si="37"/>
        <v>2016</v>
      </c>
      <c r="Y75" s="975">
        <f t="shared" si="37"/>
        <v>2016</v>
      </c>
      <c r="Z75" s="975">
        <f t="shared" si="37"/>
        <v>2016</v>
      </c>
      <c r="AA75" s="975">
        <f t="shared" si="37"/>
        <v>2017</v>
      </c>
      <c r="AB75" s="975">
        <f t="shared" si="37"/>
        <v>2017</v>
      </c>
      <c r="AC75" s="975">
        <f t="shared" si="37"/>
        <v>2017</v>
      </c>
      <c r="AD75" s="975">
        <f t="shared" si="37"/>
        <v>2017</v>
      </c>
      <c r="AE75" s="975">
        <f t="shared" si="37"/>
        <v>2017</v>
      </c>
      <c r="AF75" s="975">
        <f t="shared" si="37"/>
        <v>2017</v>
      </c>
      <c r="AG75" s="975">
        <f t="shared" si="37"/>
        <v>2017</v>
      </c>
      <c r="AH75" s="975">
        <f t="shared" si="37"/>
        <v>2017</v>
      </c>
      <c r="AI75" s="975">
        <f t="shared" si="37"/>
        <v>2017</v>
      </c>
      <c r="AJ75" s="975">
        <f t="shared" si="37"/>
        <v>2017</v>
      </c>
      <c r="AK75" s="975">
        <f t="shared" si="37"/>
        <v>2017</v>
      </c>
      <c r="AL75" s="975">
        <f t="shared" si="37"/>
        <v>2017</v>
      </c>
      <c r="AM75" s="975">
        <f t="shared" si="37"/>
        <v>2018</v>
      </c>
      <c r="AN75" s="975">
        <f t="shared" si="37"/>
        <v>2018</v>
      </c>
      <c r="AO75" s="975">
        <f t="shared" si="37"/>
        <v>2018</v>
      </c>
      <c r="AP75" s="975">
        <f t="shared" si="37"/>
        <v>2018</v>
      </c>
      <c r="AQ75" s="975">
        <f t="shared" si="37"/>
        <v>2018</v>
      </c>
      <c r="AR75" s="975">
        <f t="shared" si="37"/>
        <v>2018</v>
      </c>
      <c r="AS75" s="975">
        <f t="shared" si="37"/>
        <v>2018</v>
      </c>
      <c r="AT75" s="975">
        <f t="shared" si="37"/>
        <v>2018</v>
      </c>
      <c r="AU75" s="975">
        <f t="shared" si="37"/>
        <v>2018</v>
      </c>
      <c r="AV75" s="975">
        <f t="shared" si="37"/>
        <v>2018</v>
      </c>
      <c r="AW75" s="975">
        <f t="shared" si="37"/>
        <v>2018</v>
      </c>
      <c r="AX75" s="975">
        <f t="shared" si="37"/>
        <v>2018</v>
      </c>
      <c r="AY75" s="975">
        <f t="shared" si="37"/>
        <v>2019</v>
      </c>
      <c r="AZ75" s="975">
        <f t="shared" si="37"/>
        <v>2019</v>
      </c>
      <c r="BA75" s="975">
        <f t="shared" si="37"/>
        <v>2019</v>
      </c>
      <c r="BB75" s="975">
        <f t="shared" si="37"/>
        <v>2019</v>
      </c>
      <c r="BC75" s="975">
        <f t="shared" si="37"/>
        <v>2019</v>
      </c>
      <c r="BD75" s="975">
        <f t="shared" si="37"/>
        <v>2019</v>
      </c>
      <c r="BE75" s="975">
        <f t="shared" si="37"/>
        <v>2019</v>
      </c>
      <c r="BF75" s="975">
        <f t="shared" si="37"/>
        <v>2019</v>
      </c>
      <c r="BG75" s="975">
        <f t="shared" si="37"/>
        <v>2019</v>
      </c>
      <c r="BH75" s="975">
        <f t="shared" si="37"/>
        <v>2019</v>
      </c>
      <c r="BI75" s="975">
        <f t="shared" si="37"/>
        <v>2019</v>
      </c>
      <c r="BJ75" s="975">
        <f t="shared" si="37"/>
        <v>2019</v>
      </c>
      <c r="BK75" s="975">
        <f t="shared" si="37"/>
        <v>2020</v>
      </c>
      <c r="BL75" s="975">
        <f t="shared" si="37"/>
        <v>2020</v>
      </c>
      <c r="BM75" s="975">
        <f t="shared" si="37"/>
        <v>2020</v>
      </c>
      <c r="BN75" s="975">
        <f t="shared" si="37"/>
        <v>2020</v>
      </c>
      <c r="BO75" s="975">
        <f t="shared" si="37"/>
        <v>2020</v>
      </c>
      <c r="BP75" s="975">
        <f t="shared" si="38"/>
        <v>2020</v>
      </c>
      <c r="BQ75" s="975">
        <f t="shared" si="38"/>
        <v>2020</v>
      </c>
      <c r="BR75" s="975">
        <f t="shared" si="38"/>
        <v>2020</v>
      </c>
      <c r="BS75" s="975">
        <f t="shared" si="38"/>
        <v>2020</v>
      </c>
      <c r="BT75" s="975">
        <f t="shared" si="38"/>
        <v>2020</v>
      </c>
      <c r="BU75" s="975">
        <f t="shared" si="38"/>
        <v>2020</v>
      </c>
      <c r="BV75" s="975">
        <f t="shared" si="38"/>
        <v>2020</v>
      </c>
      <c r="BW75" s="975">
        <f t="shared" si="38"/>
        <v>2021</v>
      </c>
      <c r="BX75" s="975">
        <f t="shared" si="38"/>
        <v>2021</v>
      </c>
      <c r="BY75" s="975">
        <f t="shared" si="38"/>
        <v>2021</v>
      </c>
      <c r="BZ75" s="975">
        <f t="shared" si="38"/>
        <v>2021</v>
      </c>
      <c r="CA75" s="975">
        <f t="shared" si="38"/>
        <v>2021</v>
      </c>
      <c r="CB75" s="975">
        <f t="shared" si="38"/>
        <v>2021</v>
      </c>
      <c r="CC75" s="975">
        <f t="shared" si="38"/>
        <v>2021</v>
      </c>
      <c r="CD75" s="975">
        <f t="shared" si="38"/>
        <v>2021</v>
      </c>
      <c r="CE75" s="975">
        <f t="shared" si="38"/>
        <v>2021</v>
      </c>
      <c r="CF75" s="975">
        <f t="shared" si="38"/>
        <v>2021</v>
      </c>
      <c r="CG75" s="975">
        <f t="shared" si="38"/>
        <v>2021</v>
      </c>
      <c r="CH75" s="975">
        <f t="shared" si="38"/>
        <v>2021</v>
      </c>
      <c r="CI75" s="975">
        <f t="shared" si="38"/>
        <v>2022</v>
      </c>
      <c r="CJ75" s="975">
        <f t="shared" si="38"/>
        <v>2022</v>
      </c>
      <c r="CK75" s="975">
        <f t="shared" si="38"/>
        <v>2022</v>
      </c>
      <c r="CL75" s="975">
        <f t="shared" si="38"/>
        <v>2022</v>
      </c>
      <c r="CM75" s="975">
        <f t="shared" si="38"/>
        <v>2022</v>
      </c>
      <c r="CN75" s="975">
        <f t="shared" si="38"/>
        <v>2022</v>
      </c>
      <c r="CO75" s="975">
        <f t="shared" si="38"/>
        <v>2022</v>
      </c>
      <c r="CP75" s="975">
        <f t="shared" si="38"/>
        <v>2022</v>
      </c>
      <c r="CQ75" s="975">
        <f t="shared" si="38"/>
        <v>2022</v>
      </c>
      <c r="CR75" s="975">
        <f t="shared" si="38"/>
        <v>2022</v>
      </c>
      <c r="CS75" s="975">
        <f t="shared" si="38"/>
        <v>2022</v>
      </c>
      <c r="CT75" s="975">
        <f t="shared" si="38"/>
        <v>2022</v>
      </c>
      <c r="CU75" s="975">
        <f t="shared" si="38"/>
        <v>2023</v>
      </c>
      <c r="CV75" s="975">
        <f t="shared" si="38"/>
        <v>2023</v>
      </c>
      <c r="CW75" s="975">
        <f t="shared" si="38"/>
        <v>2023</v>
      </c>
      <c r="CX75" s="975">
        <f t="shared" si="38"/>
        <v>2023</v>
      </c>
      <c r="CY75" s="975">
        <f t="shared" si="38"/>
        <v>2023</v>
      </c>
      <c r="CZ75" s="975">
        <f t="shared" si="38"/>
        <v>2023</v>
      </c>
      <c r="DA75" s="975">
        <f t="shared" si="38"/>
        <v>2023</v>
      </c>
      <c r="DB75" s="975">
        <f t="shared" si="38"/>
        <v>2023</v>
      </c>
      <c r="DC75" s="975">
        <f t="shared" si="38"/>
        <v>2023</v>
      </c>
      <c r="DD75" s="975">
        <f t="shared" si="38"/>
        <v>2023</v>
      </c>
      <c r="DE75" s="975">
        <f t="shared" si="38"/>
        <v>2023</v>
      </c>
      <c r="DF75" s="975">
        <f t="shared" si="38"/>
        <v>2023</v>
      </c>
    </row>
    <row r="76" spans="1:110" ht="12.75" hidden="1" customHeight="1" x14ac:dyDescent="0.2">
      <c r="A76" s="15" t="str">
        <f>A53</f>
        <v>Four PAMCHR :</v>
      </c>
      <c r="B76" s="16">
        <f>B53</f>
        <v>18.3</v>
      </c>
      <c r="C76" s="16">
        <f>IF(C53=1,VLOOKUP($A76,'[4]Données investissements'!$A$48:$D$65,2,FALSE),IF(C29&lt;&gt;0,VLOOKUP($A53,'[4]Données investissements'!$A$48:$D$65,4,FALSE),0))</f>
        <v>1</v>
      </c>
      <c r="D76" s="16">
        <f>IF(D53=1,VLOOKUP($A76,'[4]Données investissements'!$A$48:$D$65,2,FALSE),IF(D29&lt;&gt;0,VLOOKUP($A53,'[4]Données investissements'!$A$48:$D$65,4,FALSE),0))</f>
        <v>0</v>
      </c>
      <c r="E76" s="16">
        <f>IF(E53=1,VLOOKUP($A76,'[4]Données investissements'!$A$48:$D$65,2,FALSE),IF(E29&lt;&gt;0,VLOOKUP($A53,'[4]Données investissements'!$A$48:$D$65,4,FALSE),0))</f>
        <v>2</v>
      </c>
      <c r="F76" s="16">
        <f>IF(F53=1,VLOOKUP($A76,'[4]Données investissements'!$A$48:$D$65,2,FALSE),IF(F29&lt;&gt;0,VLOOKUP($A53,'[4]Données investissements'!$A$48:$D$65,4,FALSE),0))</f>
        <v>0</v>
      </c>
      <c r="G76" s="16">
        <f>IF(G53=1,VLOOKUP($A76,'[4]Données investissements'!$A$48:$D$65,2,FALSE),IF(G29&lt;&gt;0,VLOOKUP($A53,'[4]Données investissements'!$A$48:$D$65,4,FALSE),0))</f>
        <v>0</v>
      </c>
      <c r="H76" s="16">
        <f>IF(H53=1,VLOOKUP($A76,'[4]Données investissements'!$A$48:$D$65,2,FALSE),IF(H29&lt;&gt;0,VLOOKUP($A53,'[4]Données investissements'!$A$48:$D$65,4,FALSE),0))</f>
        <v>0</v>
      </c>
      <c r="I76" s="16">
        <f>IF(I53=1,VLOOKUP($A76,'[4]Données investissements'!$A$48:$D$65,2,FALSE),IF(I29&lt;&gt;0,VLOOKUP($A53,'[4]Données investissements'!$A$48:$D$65,4,FALSE),0))</f>
        <v>0</v>
      </c>
      <c r="J76" s="16">
        <f>IF(J53=1,VLOOKUP($A76,'[4]Données investissements'!$A$48:$D$65,2,FALSE),IF(J29&lt;&gt;0,VLOOKUP($A53,'[4]Données investissements'!$A$48:$D$65,4,FALSE),0))</f>
        <v>0</v>
      </c>
      <c r="K76" s="16">
        <f>IF(K53=1,VLOOKUP($A76,'[4]Données investissements'!$A$48:$D$65,2,FALSE),IF(K29&lt;&gt;0,VLOOKUP($A53,'[4]Données investissements'!$A$48:$D$65,4,FALSE),0))</f>
        <v>0</v>
      </c>
      <c r="L76" s="16">
        <f>IF(L53=1,VLOOKUP($A76,'[4]Données investissements'!$A$48:$D$65,2,FALSE),IF(L29&lt;&gt;0,VLOOKUP($A53,'[4]Données investissements'!$A$48:$D$65,4,FALSE),0))</f>
        <v>0</v>
      </c>
      <c r="M76" s="16">
        <f>IF(M53=1,VLOOKUP($A76,'[4]Données investissements'!$A$48:$D$65,2,FALSE),IF(M29&lt;&gt;0,VLOOKUP($A53,'[4]Données investissements'!$A$48:$D$65,4,FALSE),0))</f>
        <v>0</v>
      </c>
      <c r="N76" s="16">
        <f>IF(N53=1,VLOOKUP($A76,'[4]Données investissements'!$A$48:$D$65,2,FALSE),IF(N29&lt;&gt;0,VLOOKUP($A53,'[4]Données investissements'!$A$48:$D$65,4,FALSE),0))</f>
        <v>0</v>
      </c>
      <c r="O76" s="16">
        <f>IF(O53=1,VLOOKUP($A76,'[4]Données investissements'!$A$48:$D$65,2,FALSE),IF(O29&lt;&gt;0,VLOOKUP($A53,'[4]Données investissements'!$A$48:$D$65,4,FALSE),0))</f>
        <v>0</v>
      </c>
      <c r="P76" s="16">
        <f>IF(P53=1,VLOOKUP($A76,'[4]Données investissements'!$A$48:$D$65,2,FALSE),IF(P29&lt;&gt;0,VLOOKUP($A53,'[4]Données investissements'!$A$48:$D$65,4,FALSE),0))</f>
        <v>2</v>
      </c>
      <c r="Q76" s="16">
        <f>IF(Q53=1,VLOOKUP($A76,'[4]Données investissements'!$A$48:$D$65,2,FALSE),IF(Q29&lt;&gt;0,VLOOKUP($A53,'[4]Données investissements'!$A$48:$D$65,4,FALSE),0))</f>
        <v>0</v>
      </c>
      <c r="R76" s="16">
        <f>IF(R53=1,VLOOKUP($A76,'[4]Données investissements'!$A$48:$D$65,2,FALSE),IF(R29&lt;&gt;0,VLOOKUP($A53,'[4]Données investissements'!$A$48:$D$65,4,FALSE),0))</f>
        <v>0</v>
      </c>
      <c r="S76" s="16">
        <f>IF(S53=1,VLOOKUP($A76,'[4]Données investissements'!$A$48:$D$65,2,FALSE),IF(S29&lt;&gt;0,VLOOKUP($A53,'[4]Données investissements'!$A$48:$D$65,4,FALSE),0))</f>
        <v>0</v>
      </c>
      <c r="T76" s="16">
        <f>IF(T53=1,VLOOKUP($A76,'[4]Données investissements'!$A$48:$D$65,2,FALSE),IF(T29&lt;&gt;0,VLOOKUP($A53,'[4]Données investissements'!$A$48:$D$65,4,FALSE),0))</f>
        <v>2</v>
      </c>
      <c r="U76" s="16">
        <f>IF(U53=1,VLOOKUP($A76,'[4]Données investissements'!$A$48:$D$65,2,FALSE),IF(U29&lt;&gt;0,VLOOKUP($A53,'[4]Données investissements'!$A$48:$D$65,4,FALSE),0))</f>
        <v>0</v>
      </c>
      <c r="V76" s="16">
        <f>IF(V53=1,VLOOKUP($A76,'[4]Données investissements'!$A$48:$D$65,2,FALSE),IF(V29&lt;&gt;0,VLOOKUP($A53,'[4]Données investissements'!$A$48:$D$65,4,FALSE),0))</f>
        <v>0</v>
      </c>
      <c r="W76" s="16">
        <f>IF(W53=1,VLOOKUP($A76,'[4]Données investissements'!$A$48:$D$65,2,FALSE),IF(W29&lt;&gt;0,VLOOKUP($A53,'[4]Données investissements'!$A$48:$D$65,4,FALSE),0))</f>
        <v>0</v>
      </c>
      <c r="X76" s="16">
        <f>IF(X53=1,VLOOKUP($A76,'[4]Données investissements'!$A$48:$D$65,2,FALSE),IF(X29&lt;&gt;0,VLOOKUP($A53,'[4]Données investissements'!$A$48:$D$65,4,FALSE),0))</f>
        <v>0</v>
      </c>
      <c r="Y76" s="16">
        <f>IF(Y53=1,VLOOKUP($A76,'[4]Données investissements'!$A$48:$D$65,2,FALSE),IF(Y29&lt;&gt;0,VLOOKUP($A53,'[4]Données investissements'!$A$48:$D$65,4,FALSE),0))</f>
        <v>0</v>
      </c>
      <c r="Z76" s="16">
        <f>IF(Z53=1,VLOOKUP($A76,'[4]Données investissements'!$A$48:$D$65,2,FALSE),IF(Z29&lt;&gt;0,VLOOKUP($A53,'[4]Données investissements'!$A$48:$D$65,4,FALSE),0))</f>
        <v>0</v>
      </c>
      <c r="AA76" s="16">
        <f>IF(AA53=1,VLOOKUP($A76,'[4]Données investissements'!$A$48:$D$65,2,FALSE),IF(AA29&lt;&gt;0,VLOOKUP($A53,'[4]Données investissements'!$A$48:$D$65,4,FALSE),0))</f>
        <v>0</v>
      </c>
      <c r="AB76" s="16">
        <f>IF(AB53=1,VLOOKUP($A76,'[4]Données investissements'!$A$48:$D$65,2,FALSE),IF(AB29&lt;&gt;0,VLOOKUP($A53,'[4]Données investissements'!$A$48:$D$65,4,FALSE),0))</f>
        <v>2</v>
      </c>
      <c r="AC76" s="16">
        <f>IF(AC53=1,VLOOKUP($A76,'[4]Données investissements'!$A$48:$D$65,2,FALSE),IF(AC29&lt;&gt;0,VLOOKUP($A53,'[4]Données investissements'!$A$48:$D$65,4,FALSE),0))</f>
        <v>0</v>
      </c>
      <c r="AD76" s="16">
        <f>IF(AD53=1,VLOOKUP($A76,'[4]Données investissements'!$A$48:$D$65,2,FALSE),IF(AD29&lt;&gt;0,VLOOKUP($A53,'[4]Données investissements'!$A$48:$D$65,4,FALSE),0))</f>
        <v>0</v>
      </c>
      <c r="AE76" s="16">
        <f>IF(AE53=1,VLOOKUP($A76,'[4]Données investissements'!$A$48:$D$65,2,FALSE),IF(AE29&lt;&gt;0,VLOOKUP($A53,'[4]Données investissements'!$A$48:$D$65,4,FALSE),0))</f>
        <v>2</v>
      </c>
      <c r="AF76" s="16">
        <f>IF(AF53=1,VLOOKUP($A76,'[4]Données investissements'!$A$48:$D$65,2,FALSE),IF(AF29&lt;&gt;0,VLOOKUP($A53,'[4]Données investissements'!$A$48:$D$65,4,FALSE),0))</f>
        <v>0</v>
      </c>
      <c r="AG76" s="16">
        <f>IF(AG53=1,VLOOKUP($A76,'[4]Données investissements'!$A$48:$D$65,2,FALSE),IF(AG29&lt;&gt;0,VLOOKUP($A53,'[4]Données investissements'!$A$48:$D$65,4,FALSE),0))</f>
        <v>0</v>
      </c>
      <c r="AH76" s="16">
        <f>IF(AH53=1,VLOOKUP($A76,'[4]Données investissements'!$A$48:$D$65,2,FALSE),IF(AH29&lt;&gt;0,VLOOKUP($A53,'[4]Données investissements'!$A$48:$D$65,4,FALSE),0))</f>
        <v>0</v>
      </c>
      <c r="AI76" s="16">
        <f>IF(AI53=1,VLOOKUP($A76,'[4]Données investissements'!$A$48:$D$65,2,FALSE),IF(AI29&lt;&gt;0,VLOOKUP($A53,'[4]Données investissements'!$A$48:$D$65,4,FALSE),0))</f>
        <v>0</v>
      </c>
      <c r="AJ76" s="16">
        <f>IF(AJ53=1,VLOOKUP($A76,'[4]Données investissements'!$A$48:$D$65,2,FALSE),IF(AJ29&lt;&gt;0,VLOOKUP($A53,'[4]Données investissements'!$A$48:$D$65,4,FALSE),0))</f>
        <v>0</v>
      </c>
      <c r="AK76" s="16">
        <f>IF(AK53=1,VLOOKUP($A76,'[4]Données investissements'!$A$48:$D$65,2,FALSE),IF(AK29&lt;&gt;0,VLOOKUP($A53,'[4]Données investissements'!$A$48:$D$65,4,FALSE),0))</f>
        <v>0</v>
      </c>
      <c r="AL76" s="16">
        <f>IF(AL53=1,VLOOKUP($A76,'[4]Données investissements'!$A$48:$D$65,2,FALSE),IF(AL29&lt;&gt;0,VLOOKUP($A53,'[4]Données investissements'!$A$48:$D$65,4,FALSE),0))</f>
        <v>0</v>
      </c>
      <c r="AM76" s="16">
        <f>IF(AM53=1,VLOOKUP($A76,'[4]Données investissements'!$A$48:$D$65,2,FALSE),IF(AM29&lt;&gt;0,VLOOKUP($A53,'[4]Données investissements'!$A$48:$D$65,4,FALSE),0))</f>
        <v>0</v>
      </c>
      <c r="AN76" s="16">
        <f>IF(AN53=1,VLOOKUP($A76,'[4]Données investissements'!$A$48:$D$65,2,FALSE),IF(AN29&lt;&gt;0,VLOOKUP($A53,'[4]Données investissements'!$A$48:$D$65,4,FALSE),0))</f>
        <v>0</v>
      </c>
      <c r="AO76" s="16">
        <f>IF(AO53=1,VLOOKUP($A76,'[4]Données investissements'!$A$48:$D$65,2,FALSE),IF(AO29&lt;&gt;0,VLOOKUP($A53,'[4]Données investissements'!$A$48:$D$65,4,FALSE),0))</f>
        <v>0</v>
      </c>
      <c r="AP76" s="16">
        <f>IF(AP53=1,VLOOKUP($A76,'[4]Données investissements'!$A$48:$D$65,2,FALSE),IF(AP29&lt;&gt;0,VLOOKUP($A53,'[4]Données investissements'!$A$48:$D$65,4,FALSE),0))</f>
        <v>0</v>
      </c>
      <c r="AQ76" s="16">
        <f>IF(AQ53=1,VLOOKUP($A76,'[4]Données investissements'!$A$48:$D$65,2,FALSE),IF(AQ29&lt;&gt;0,VLOOKUP($A53,'[4]Données investissements'!$A$48:$D$65,4,FALSE),0))</f>
        <v>2</v>
      </c>
      <c r="AR76" s="16">
        <f>IF(AR53=1,VLOOKUP($A76,'[4]Données investissements'!$A$48:$D$65,2,FALSE),IF(AR29&lt;&gt;0,VLOOKUP($A53,'[4]Données investissements'!$A$48:$D$65,4,FALSE),0))</f>
        <v>0</v>
      </c>
      <c r="AS76" s="16">
        <f>IF(AS53=1,VLOOKUP($A76,'[4]Données investissements'!$A$48:$D$65,2,FALSE),IF(AS29&lt;&gt;0,VLOOKUP($A53,'[4]Données investissements'!$A$48:$D$65,4,FALSE),0))</f>
        <v>0</v>
      </c>
      <c r="AT76" s="16">
        <f>IF(AT53=1,VLOOKUP($A76,'[4]Données investissements'!$A$48:$D$65,2,FALSE),IF(AT29&lt;&gt;0,VLOOKUP($A53,'[4]Données investissements'!$A$48:$D$65,4,FALSE),0))</f>
        <v>0</v>
      </c>
      <c r="AU76" s="16">
        <f>IF(AU53=1,VLOOKUP($A76,'[4]Données investissements'!$A$48:$D$65,2,FALSE),IF(AU29&lt;&gt;0,VLOOKUP($A53,'[4]Données investissements'!$A$48:$D$65,4,FALSE),0))</f>
        <v>0</v>
      </c>
      <c r="AV76" s="16">
        <f>IF(AV53=1,VLOOKUP($A76,'[4]Données investissements'!$A$48:$D$65,2,FALSE),IF(AV29&lt;&gt;0,VLOOKUP($A53,'[4]Données investissements'!$A$48:$D$65,4,FALSE),0))</f>
        <v>0</v>
      </c>
      <c r="AW76" s="16">
        <f>IF(AW53=1,VLOOKUP($A76,'[4]Données investissements'!$A$48:$D$65,2,FALSE),IF(AW29&lt;&gt;0,VLOOKUP($A53,'[4]Données investissements'!$A$48:$D$65,4,FALSE),0))</f>
        <v>0</v>
      </c>
      <c r="AX76" s="16">
        <f>IF(AX53=1,VLOOKUP($A76,'[4]Données investissements'!$A$48:$D$65,2,FALSE),IF(AX29&lt;&gt;0,VLOOKUP($A53,'[4]Données investissements'!$A$48:$D$65,4,FALSE),0))</f>
        <v>0</v>
      </c>
      <c r="AY76" s="16">
        <f>IF(AY53=1,VLOOKUP($A76,'[4]Données investissements'!$A$48:$D$65,2,FALSE),IF(AY29&lt;&gt;0,VLOOKUP($A53,'[4]Données investissements'!$A$48:$D$65,4,FALSE),0))</f>
        <v>0</v>
      </c>
      <c r="AZ76" s="16">
        <f>IF(AZ53=1,VLOOKUP($A76,'[4]Données investissements'!$A$48:$D$65,2,FALSE),IF(AZ29&lt;&gt;0,VLOOKUP($A53,'[4]Données investissements'!$A$48:$D$65,4,FALSE),0))</f>
        <v>0</v>
      </c>
      <c r="BA76" s="16">
        <f>IF(BA53=1,VLOOKUP($A76,'[4]Données investissements'!$A$48:$D$65,2,FALSE),IF(BA29&lt;&gt;0,VLOOKUP($A53,'[4]Données investissements'!$A$48:$D$65,4,FALSE),0))</f>
        <v>0</v>
      </c>
      <c r="BB76" s="16">
        <f>IF(BB53=1,VLOOKUP($A76,'[4]Données investissements'!$A$48:$D$65,2,FALSE),IF(BB29&lt;&gt;0,VLOOKUP($A53,'[4]Données investissements'!$A$48:$D$65,4,FALSE),0))</f>
        <v>0</v>
      </c>
      <c r="BC76" s="16">
        <f>IF(BC53=1,VLOOKUP($A76,'[4]Données investissements'!$A$48:$D$65,2,FALSE),IF(BC29&lt;&gt;0,VLOOKUP($A53,'[4]Données investissements'!$A$48:$D$65,4,FALSE),0))</f>
        <v>0</v>
      </c>
      <c r="BD76" s="16">
        <f>IF(BD53=1,VLOOKUP($A76,'[4]Données investissements'!$A$48:$D$65,2,FALSE),IF(BD29&lt;&gt;0,VLOOKUP($A53,'[4]Données investissements'!$A$48:$D$65,4,FALSE),0))</f>
        <v>0</v>
      </c>
      <c r="BE76" s="16">
        <f>IF(BE53=1,VLOOKUP($A76,'[4]Données investissements'!$A$48:$D$65,2,FALSE),IF(BE29&lt;&gt;0,VLOOKUP($A53,'[4]Données investissements'!$A$48:$D$65,4,FALSE),0))</f>
        <v>0</v>
      </c>
      <c r="BF76" s="16">
        <f>IF(BF53=1,VLOOKUP($A76,'[4]Données investissements'!$A$48:$D$65,2,FALSE),IF(BF29&lt;&gt;0,VLOOKUP($A53,'[4]Données investissements'!$A$48:$D$65,4,FALSE),0))</f>
        <v>0</v>
      </c>
      <c r="BG76" s="16">
        <f>IF(BG53=1,VLOOKUP($A76,'[4]Données investissements'!$A$48:$D$65,2,FALSE),IF(BG29&lt;&gt;0,VLOOKUP($A53,'[4]Données investissements'!$A$48:$D$65,4,FALSE),0))</f>
        <v>0</v>
      </c>
      <c r="BH76" s="16">
        <f>IF(BH53=1,VLOOKUP($A76,'[4]Données investissements'!$A$48:$D$65,2,FALSE),IF(BH29&lt;&gt;0,VLOOKUP($A53,'[4]Données investissements'!$A$48:$D$65,4,FALSE),0))</f>
        <v>0</v>
      </c>
      <c r="BI76" s="16">
        <f>IF(BI53=1,VLOOKUP($A76,'[4]Données investissements'!$A$48:$D$65,2,FALSE),IF(BI29&lt;&gt;0,VLOOKUP($A53,'[4]Données investissements'!$A$48:$D$65,4,FALSE),0))</f>
        <v>0</v>
      </c>
      <c r="BJ76" s="16">
        <f>IF(BJ53=1,VLOOKUP($A76,'[4]Données investissements'!$A$48:$D$65,2,FALSE),IF(BJ29&lt;&gt;0,VLOOKUP($A53,'[4]Données investissements'!$A$48:$D$65,4,FALSE),0))</f>
        <v>0</v>
      </c>
      <c r="BK76" s="16">
        <f>IF(BK53=1,VLOOKUP($A76,'[4]Données investissements'!$A$48:$D$65,2,FALSE),IF(BK29&lt;&gt;0,VLOOKUP($A53,'[4]Données investissements'!$A$48:$D$65,4,FALSE),0))</f>
        <v>0</v>
      </c>
      <c r="BL76" s="16">
        <f>IF(BL53=1,VLOOKUP($A76,'[4]Données investissements'!$A$48:$D$65,2,FALSE),IF(BL29&lt;&gt;0,VLOOKUP($A53,'[4]Données investissements'!$A$48:$D$65,4,FALSE),0))</f>
        <v>0</v>
      </c>
      <c r="BM76" s="16">
        <f>IF(BM53=1,VLOOKUP($A76,'[4]Données investissements'!$A$48:$D$65,2,FALSE),IF(BM29&lt;&gt;0,VLOOKUP($A53,'[4]Données investissements'!$A$48:$D$65,4,FALSE),0))</f>
        <v>0</v>
      </c>
      <c r="BN76" s="16">
        <f>IF(BN53=1,VLOOKUP($A76,'[4]Données investissements'!$A$48:$D$65,2,FALSE),IF(BN29&lt;&gt;0,VLOOKUP($A53,'[4]Données investissements'!$A$48:$D$65,4,FALSE),0))</f>
        <v>0</v>
      </c>
      <c r="BO76" s="16">
        <f>IF(BO53=1,VLOOKUP($A76,'[4]Données investissements'!$A$48:$D$65,2,FALSE),IF(BO29&lt;&gt;0,VLOOKUP($A53,'[4]Données investissements'!$A$48:$D$65,4,FALSE),0))</f>
        <v>0</v>
      </c>
      <c r="BP76" s="16">
        <f>IF(BP53=1,VLOOKUP($A76,'[4]Données investissements'!$A$48:$D$65,2,FALSE),IF(BP29&lt;&gt;0,VLOOKUP($A53,'[4]Données investissements'!$A$48:$D$65,4,FALSE),0))</f>
        <v>0</v>
      </c>
      <c r="BQ76" s="16">
        <f>IF(BQ53=1,VLOOKUP($A76,'[4]Données investissements'!$A$48:$D$65,2,FALSE),IF(BQ29&lt;&gt;0,VLOOKUP($A53,'[4]Données investissements'!$A$48:$D$65,4,FALSE),0))</f>
        <v>0</v>
      </c>
      <c r="BR76" s="16">
        <f>IF(BR53=1,VLOOKUP($A76,'[4]Données investissements'!$A$48:$D$65,2,FALSE),IF(BR29&lt;&gt;0,VLOOKUP($A53,'[4]Données investissements'!$A$48:$D$65,4,FALSE),0))</f>
        <v>0</v>
      </c>
      <c r="BS76" s="16">
        <f>IF(BS53=1,VLOOKUP($A76,'[4]Données investissements'!$A$48:$D$65,2,FALSE),IF(BS29&lt;&gt;0,VLOOKUP($A53,'[4]Données investissements'!$A$48:$D$65,4,FALSE),0))</f>
        <v>0</v>
      </c>
      <c r="BT76" s="16">
        <f>IF(BT53=1,VLOOKUP($A76,'[4]Données investissements'!$A$48:$D$65,2,FALSE),IF(BT29&lt;&gt;0,VLOOKUP($A53,'[4]Données investissements'!$A$48:$D$65,4,FALSE),0))</f>
        <v>0</v>
      </c>
      <c r="BU76" s="16">
        <f>IF(BU53=1,VLOOKUP($A76,'[4]Données investissements'!$A$48:$D$65,2,FALSE),IF(BU29&lt;&gt;0,VLOOKUP($A53,'[4]Données investissements'!$A$48:$D$65,4,FALSE),0))</f>
        <v>0</v>
      </c>
      <c r="BV76" s="16">
        <f>IF(BV53=1,VLOOKUP($A76,'[4]Données investissements'!$A$48:$D$65,2,FALSE),IF(BV29&lt;&gt;0,VLOOKUP($A53,'[4]Données investissements'!$A$48:$D$65,4,FALSE),0))</f>
        <v>0</v>
      </c>
      <c r="BW76" s="16">
        <f>IF(BW53=1,VLOOKUP($A76,'[4]Données investissements'!$A$48:$D$65,2,FALSE),IF(BW29&lt;&gt;0,VLOOKUP($A53,'[4]Données investissements'!$A$48:$D$65,4,FALSE),0))</f>
        <v>0</v>
      </c>
      <c r="BX76" s="16">
        <f>IF(BX53=1,VLOOKUP($A76,'[4]Données investissements'!$A$48:$D$65,2,FALSE),IF(BX29&lt;&gt;0,VLOOKUP($A53,'[4]Données investissements'!$A$48:$D$65,4,FALSE),0))</f>
        <v>0</v>
      </c>
      <c r="BY76" s="16">
        <f>IF(BY53=1,VLOOKUP($A76,'[4]Données investissements'!$A$48:$D$65,2,FALSE),IF(BY29&lt;&gt;0,VLOOKUP($A53,'[4]Données investissements'!$A$48:$D$65,4,FALSE),0))</f>
        <v>0</v>
      </c>
      <c r="BZ76" s="16">
        <f>IF(BZ53=1,VLOOKUP($A76,'[4]Données investissements'!$A$48:$D$65,2,FALSE),IF(BZ29&lt;&gt;0,VLOOKUP($A53,'[4]Données investissements'!$A$48:$D$65,4,FALSE),0))</f>
        <v>0</v>
      </c>
      <c r="CA76" s="16">
        <f>IF(CA53=1,VLOOKUP($A76,'[4]Données investissements'!$A$48:$D$65,2,FALSE),IF(CA29&lt;&gt;0,VLOOKUP($A53,'[4]Données investissements'!$A$48:$D$65,4,FALSE),0))</f>
        <v>0</v>
      </c>
      <c r="CB76" s="16">
        <f>IF(CB53=1,VLOOKUP($A76,'[4]Données investissements'!$A$48:$D$65,2,FALSE),IF(CB29&lt;&gt;0,VLOOKUP($A53,'[4]Données investissements'!$A$48:$D$65,4,FALSE),0))</f>
        <v>0</v>
      </c>
      <c r="CC76" s="16">
        <f>IF(CC53=1,VLOOKUP($A76,'[4]Données investissements'!$A$48:$D$65,2,FALSE),IF(CC29&lt;&gt;0,VLOOKUP($A53,'[4]Données investissements'!$A$48:$D$65,4,FALSE),0))</f>
        <v>0</v>
      </c>
      <c r="CD76" s="16">
        <f>IF(CD53=1,VLOOKUP($A76,'[4]Données investissements'!$A$48:$D$65,2,FALSE),IF(CD29&lt;&gt;0,VLOOKUP($A53,'[4]Données investissements'!$A$48:$D$65,4,FALSE),0))</f>
        <v>0</v>
      </c>
      <c r="CE76" s="16">
        <f>IF(CE53=1,VLOOKUP($A76,'[4]Données investissements'!$A$48:$D$65,2,FALSE),IF(CE29&lt;&gt;0,VLOOKUP($A53,'[4]Données investissements'!$A$48:$D$65,4,FALSE),0))</f>
        <v>0</v>
      </c>
      <c r="CF76" s="16">
        <f>IF(CF53=1,VLOOKUP($A76,'[4]Données investissements'!$A$48:$D$65,2,FALSE),IF(CF29&lt;&gt;0,VLOOKUP($A53,'[4]Données investissements'!$A$48:$D$65,4,FALSE),0))</f>
        <v>0</v>
      </c>
      <c r="CG76" s="16">
        <f>IF(CG53=1,VLOOKUP($A76,'[4]Données investissements'!$A$48:$D$65,2,FALSE),IF(CG29&lt;&gt;0,VLOOKUP($A53,'[4]Données investissements'!$A$48:$D$65,4,FALSE),0))</f>
        <v>0</v>
      </c>
      <c r="CH76" s="16">
        <f>IF(CH53=1,VLOOKUP($A76,'[4]Données investissements'!$A$48:$D$65,2,FALSE),IF(CH29&lt;&gt;0,VLOOKUP($A53,'[4]Données investissements'!$A$48:$D$65,4,FALSE),0))</f>
        <v>0</v>
      </c>
      <c r="CI76" s="16">
        <f>IF(CI53=1,VLOOKUP($A76,'[4]Données investissements'!$A$48:$D$65,2,FALSE),IF(CI29&lt;&gt;0,VLOOKUP($A53,'[4]Données investissements'!$A$48:$D$65,4,FALSE),0))</f>
        <v>0</v>
      </c>
      <c r="CJ76" s="16">
        <f>IF(CJ53=1,VLOOKUP($A76,'[4]Données investissements'!$A$48:$D$65,2,FALSE),IF(CJ29&lt;&gt;0,VLOOKUP($A53,'[4]Données investissements'!$A$48:$D$65,4,FALSE),0))</f>
        <v>0</v>
      </c>
      <c r="CK76" s="16">
        <f>IF(CK53=1,VLOOKUP($A76,'[4]Données investissements'!$A$48:$D$65,2,FALSE),IF(CK29&lt;&gt;0,VLOOKUP($A53,'[4]Données investissements'!$A$48:$D$65,4,FALSE),0))</f>
        <v>0</v>
      </c>
      <c r="CL76" s="16">
        <f>IF(CL53=1,VLOOKUP($A76,'[4]Données investissements'!$A$48:$D$65,2,FALSE),IF(CL29&lt;&gt;0,VLOOKUP($A53,'[4]Données investissements'!$A$48:$D$65,4,FALSE),0))</f>
        <v>0</v>
      </c>
      <c r="CM76" s="16">
        <f>IF(CM53=1,VLOOKUP($A76,'[4]Données investissements'!$A$48:$D$65,2,FALSE),IF(CM29&lt;&gt;0,VLOOKUP($A53,'[4]Données investissements'!$A$48:$D$65,4,FALSE),0))</f>
        <v>0</v>
      </c>
      <c r="CN76" s="16">
        <f>IF(CN53=1,VLOOKUP($A76,'[4]Données investissements'!$A$48:$D$65,2,FALSE),IF(CN29&lt;&gt;0,VLOOKUP($A53,'[4]Données investissements'!$A$48:$D$65,4,FALSE),0))</f>
        <v>0</v>
      </c>
      <c r="CO76" s="16">
        <f>IF(CO53=1,VLOOKUP($A76,'[4]Données investissements'!$A$48:$D$65,2,FALSE),IF(CO29&lt;&gt;0,VLOOKUP($A53,'[4]Données investissements'!$A$48:$D$65,4,FALSE),0))</f>
        <v>0</v>
      </c>
      <c r="CP76" s="16">
        <f>IF(CP53=1,VLOOKUP($A76,'[4]Données investissements'!$A$48:$D$65,2,FALSE),IF(CP29&lt;&gt;0,VLOOKUP($A53,'[4]Données investissements'!$A$48:$D$65,4,FALSE),0))</f>
        <v>0</v>
      </c>
      <c r="CQ76" s="16">
        <f>IF(CQ53=1,VLOOKUP($A76,'[4]Données investissements'!$A$48:$D$65,2,FALSE),IF(CQ29&lt;&gt;0,VLOOKUP($A53,'[4]Données investissements'!$A$48:$D$65,4,FALSE),0))</f>
        <v>0</v>
      </c>
      <c r="CR76" s="16">
        <f>IF(CR53=1,VLOOKUP($A76,'[4]Données investissements'!$A$48:$D$65,2,FALSE),IF(CR29&lt;&gt;0,VLOOKUP($A53,'[4]Données investissements'!$A$48:$D$65,4,FALSE),0))</f>
        <v>0</v>
      </c>
      <c r="CS76" s="16">
        <f>IF(CS53=1,VLOOKUP($A76,'[4]Données investissements'!$A$48:$D$65,2,FALSE),IF(CS29&lt;&gt;0,VLOOKUP($A53,'[4]Données investissements'!$A$48:$D$65,4,FALSE),0))</f>
        <v>0</v>
      </c>
      <c r="CT76" s="16">
        <f>IF(CT53=1,VLOOKUP($A76,'[4]Données investissements'!$A$48:$D$65,2,FALSE),IF(CT29&lt;&gt;0,VLOOKUP($A53,'[4]Données investissements'!$A$48:$D$65,4,FALSE),0))</f>
        <v>0</v>
      </c>
      <c r="CU76" s="16">
        <f>IF(CU53=1,VLOOKUP($A76,'[4]Données investissements'!$A$48:$D$65,2,FALSE),IF(CU29&lt;&gt;0,VLOOKUP($A53,'[4]Données investissements'!$A$48:$D$65,4,FALSE),0))</f>
        <v>0</v>
      </c>
      <c r="CV76" s="16">
        <f>IF(CV53=1,VLOOKUP($A76,'[4]Données investissements'!$A$48:$D$65,2,FALSE),IF(CV29&lt;&gt;0,VLOOKUP($A53,'[4]Données investissements'!$A$48:$D$65,4,FALSE),0))</f>
        <v>0</v>
      </c>
      <c r="CW76" s="16">
        <f>IF(CW53=1,VLOOKUP($A76,'[4]Données investissements'!$A$48:$D$65,2,FALSE),IF(CW29&lt;&gt;0,VLOOKUP($A53,'[4]Données investissements'!$A$48:$D$65,4,FALSE),0))</f>
        <v>0</v>
      </c>
      <c r="CX76" s="16">
        <f>IF(CX53=1,VLOOKUP($A76,'[4]Données investissements'!$A$48:$D$65,2,FALSE),IF(CX29&lt;&gt;0,VLOOKUP($A53,'[4]Données investissements'!$A$48:$D$65,4,FALSE),0))</f>
        <v>0</v>
      </c>
      <c r="CY76" s="16">
        <f>IF(CY53=1,VLOOKUP($A76,'[4]Données investissements'!$A$48:$D$65,2,FALSE),IF(CY29&lt;&gt;0,VLOOKUP($A53,'[4]Données investissements'!$A$48:$D$65,4,FALSE),0))</f>
        <v>0</v>
      </c>
      <c r="CZ76" s="16">
        <f>IF(CZ53=1,VLOOKUP($A76,'[4]Données investissements'!$A$48:$D$65,2,FALSE),IF(CZ29&lt;&gt;0,VLOOKUP($A53,'[4]Données investissements'!$A$48:$D$65,4,FALSE),0))</f>
        <v>0</v>
      </c>
      <c r="DA76" s="16">
        <f>IF(DA53=1,VLOOKUP($A76,'[4]Données investissements'!$A$48:$D$65,2,FALSE),IF(DA29&lt;&gt;0,VLOOKUP($A53,'[4]Données investissements'!$A$48:$D$65,4,FALSE),0))</f>
        <v>0</v>
      </c>
      <c r="DB76" s="16">
        <f>IF(DB53=1,VLOOKUP($A76,'[4]Données investissements'!$A$48:$D$65,2,FALSE),IF(DB29&lt;&gt;0,VLOOKUP($A53,'[4]Données investissements'!$A$48:$D$65,4,FALSE),0))</f>
        <v>0</v>
      </c>
      <c r="DC76" s="16">
        <f>IF(DC53=1,VLOOKUP($A76,'[4]Données investissements'!$A$48:$D$65,2,FALSE),IF(DC29&lt;&gt;0,VLOOKUP($A53,'[4]Données investissements'!$A$48:$D$65,4,FALSE),0))</f>
        <v>0</v>
      </c>
      <c r="DD76" s="16">
        <f>IF(DD53=1,VLOOKUP($A76,'[4]Données investissements'!$A$48:$D$65,2,FALSE),IF(DD29&lt;&gt;0,VLOOKUP($A53,'[4]Données investissements'!$A$48:$D$65,4,FALSE),0))</f>
        <v>0</v>
      </c>
      <c r="DE76" s="16">
        <f>IF(DE53=1,VLOOKUP($A76,'[4]Données investissements'!$A$48:$D$65,2,FALSE),IF(DE29&lt;&gt;0,VLOOKUP($A53,'[4]Données investissements'!$A$48:$D$65,4,FALSE),0))</f>
        <v>0</v>
      </c>
      <c r="DF76" s="16">
        <f>IF(DF53=1,VLOOKUP($A76,'[4]Données investissements'!$A$48:$D$65,2,FALSE),IF(DF29&lt;&gt;0,VLOOKUP($A53,'[4]Données investissements'!$A$48:$D$65,4,FALSE),0))</f>
        <v>0</v>
      </c>
    </row>
    <row r="77" spans="1:110" ht="12.75" hidden="1" customHeight="1" x14ac:dyDescent="0.2">
      <c r="A77" s="15" t="str">
        <f t="shared" ref="A77:B92" si="40">A54</f>
        <v>Annexe four : outillage</v>
      </c>
      <c r="B77" s="16">
        <f t="shared" si="40"/>
        <v>0.4</v>
      </c>
      <c r="C77" s="16">
        <f>IF(C54=1,VLOOKUP($A77,'[4]Données investissements'!$A$48:$D$65,2,FALSE),IF(C30&lt;&gt;0,VLOOKUP($A54,'[4]Données investissements'!$A$48:$D$65,4,FALSE),0))</f>
        <v>0</v>
      </c>
      <c r="D77" s="16">
        <f>IF(D54=1,VLOOKUP($A77,'[4]Données investissements'!$A$48:$D$65,2,FALSE),IF(D30&lt;&gt;0,VLOOKUP($A54,'[4]Données investissements'!$A$48:$D$65,4,FALSE),0))</f>
        <v>0</v>
      </c>
      <c r="E77" s="16">
        <f>IF(E54=1,VLOOKUP($A77,'[4]Données investissements'!$A$48:$D$65,2,FALSE),IF(E30&lt;&gt;0,VLOOKUP($A54,'[4]Données investissements'!$A$48:$D$65,4,FALSE),0))</f>
        <v>0</v>
      </c>
      <c r="F77" s="16">
        <f>IF(F54=1,VLOOKUP($A77,'[4]Données investissements'!$A$48:$D$65,2,FALSE),IF(F30&lt;&gt;0,VLOOKUP($A54,'[4]Données investissements'!$A$48:$D$65,4,FALSE),0))</f>
        <v>0</v>
      </c>
      <c r="G77" s="16">
        <f>IF(G54=1,VLOOKUP($A77,'[4]Données investissements'!$A$48:$D$65,2,FALSE),IF(G30&lt;&gt;0,VLOOKUP($A54,'[4]Données investissements'!$A$48:$D$65,4,FALSE),0))</f>
        <v>0</v>
      </c>
      <c r="H77" s="16">
        <f>IF(H54=1,VLOOKUP($A77,'[4]Données investissements'!$A$48:$D$65,2,FALSE),IF(H30&lt;&gt;0,VLOOKUP($A54,'[4]Données investissements'!$A$48:$D$65,4,FALSE),0))</f>
        <v>0</v>
      </c>
      <c r="I77" s="16">
        <f>IF(I54=1,VLOOKUP($A77,'[4]Données investissements'!$A$48:$D$65,2,FALSE),IF(I30&lt;&gt;0,VLOOKUP($A54,'[4]Données investissements'!$A$48:$D$65,4,FALSE),0))</f>
        <v>0</v>
      </c>
      <c r="J77" s="16">
        <f>IF(J54=1,VLOOKUP($A77,'[4]Données investissements'!$A$48:$D$65,2,FALSE),IF(J30&lt;&gt;0,VLOOKUP($A54,'[4]Données investissements'!$A$48:$D$65,4,FALSE),0))</f>
        <v>0</v>
      </c>
      <c r="K77" s="16">
        <f>IF(K54=1,VLOOKUP($A77,'[4]Données investissements'!$A$48:$D$65,2,FALSE),IF(K30&lt;&gt;0,VLOOKUP($A54,'[4]Données investissements'!$A$48:$D$65,4,FALSE),0))</f>
        <v>0</v>
      </c>
      <c r="L77" s="16">
        <f>IF(L54=1,VLOOKUP($A77,'[4]Données investissements'!$A$48:$D$65,2,FALSE),IF(L30&lt;&gt;0,VLOOKUP($A54,'[4]Données investissements'!$A$48:$D$65,4,FALSE),0))</f>
        <v>0</v>
      </c>
      <c r="M77" s="16">
        <f>IF(M54=1,VLOOKUP($A77,'[4]Données investissements'!$A$48:$D$65,2,FALSE),IF(M30&lt;&gt;0,VLOOKUP($A54,'[4]Données investissements'!$A$48:$D$65,4,FALSE),0))</f>
        <v>0</v>
      </c>
      <c r="N77" s="16">
        <f>IF(N54=1,VLOOKUP($A77,'[4]Données investissements'!$A$48:$D$65,2,FALSE),IF(N30&lt;&gt;0,VLOOKUP($A54,'[4]Données investissements'!$A$48:$D$65,4,FALSE),0))</f>
        <v>0</v>
      </c>
      <c r="O77" s="16">
        <f>IF(O54=1,VLOOKUP($A77,'[4]Données investissements'!$A$48:$D$65,2,FALSE),IF(O30&lt;&gt;0,VLOOKUP($A54,'[4]Données investissements'!$A$48:$D$65,4,FALSE),0))</f>
        <v>0</v>
      </c>
      <c r="P77" s="16">
        <f>IF(P54=1,VLOOKUP($A77,'[4]Données investissements'!$A$48:$D$65,2,FALSE),IF(P30&lt;&gt;0,VLOOKUP($A54,'[4]Données investissements'!$A$48:$D$65,4,FALSE),0))</f>
        <v>0</v>
      </c>
      <c r="Q77" s="16">
        <f>IF(Q54=1,VLOOKUP($A77,'[4]Données investissements'!$A$48:$D$65,2,FALSE),IF(Q30&lt;&gt;0,VLOOKUP($A54,'[4]Données investissements'!$A$48:$D$65,4,FALSE),0))</f>
        <v>0</v>
      </c>
      <c r="R77" s="16">
        <f>IF(R54=1,VLOOKUP($A77,'[4]Données investissements'!$A$48:$D$65,2,FALSE),IF(R30&lt;&gt;0,VLOOKUP($A54,'[4]Données investissements'!$A$48:$D$65,4,FALSE),0))</f>
        <v>1</v>
      </c>
      <c r="S77" s="16">
        <f>IF(S54=1,VLOOKUP($A77,'[4]Données investissements'!$A$48:$D$65,2,FALSE),IF(S30&lt;&gt;0,VLOOKUP($A54,'[4]Données investissements'!$A$48:$D$65,4,FALSE),0))</f>
        <v>0</v>
      </c>
      <c r="T77" s="16">
        <f>IF(T54=1,VLOOKUP($A77,'[4]Données investissements'!$A$48:$D$65,2,FALSE),IF(T30&lt;&gt;0,VLOOKUP($A54,'[4]Données investissements'!$A$48:$D$65,4,FALSE),0))</f>
        <v>2</v>
      </c>
      <c r="U77" s="16">
        <f>IF(U54=1,VLOOKUP($A77,'[4]Données investissements'!$A$48:$D$65,2,FALSE),IF(U30&lt;&gt;0,VLOOKUP($A54,'[4]Données investissements'!$A$48:$D$65,4,FALSE),0))</f>
        <v>0</v>
      </c>
      <c r="V77" s="16">
        <f>IF(V54=1,VLOOKUP($A77,'[4]Données investissements'!$A$48:$D$65,2,FALSE),IF(V30&lt;&gt;0,VLOOKUP($A54,'[4]Données investissements'!$A$48:$D$65,4,FALSE),0))</f>
        <v>0</v>
      </c>
      <c r="W77" s="16">
        <f>IF(W54=1,VLOOKUP($A77,'[4]Données investissements'!$A$48:$D$65,2,FALSE),IF(W30&lt;&gt;0,VLOOKUP($A54,'[4]Données investissements'!$A$48:$D$65,4,FALSE),0))</f>
        <v>0</v>
      </c>
      <c r="X77" s="16">
        <f>IF(X54=1,VLOOKUP($A77,'[4]Données investissements'!$A$48:$D$65,2,FALSE),IF(X30&lt;&gt;0,VLOOKUP($A54,'[4]Données investissements'!$A$48:$D$65,4,FALSE),0))</f>
        <v>2</v>
      </c>
      <c r="Y77" s="16">
        <f>IF(Y54=1,VLOOKUP($A77,'[4]Données investissements'!$A$48:$D$65,2,FALSE),IF(Y30&lt;&gt;0,VLOOKUP($A54,'[4]Données investissements'!$A$48:$D$65,4,FALSE),0))</f>
        <v>0</v>
      </c>
      <c r="Z77" s="16">
        <f>IF(Z54=1,VLOOKUP($A77,'[4]Données investissements'!$A$48:$D$65,2,FALSE),IF(Z30&lt;&gt;0,VLOOKUP($A54,'[4]Données investissements'!$A$48:$D$65,4,FALSE),0))</f>
        <v>2</v>
      </c>
      <c r="AA77" s="16">
        <f>IF(AA54=1,VLOOKUP($A77,'[4]Données investissements'!$A$48:$D$65,2,FALSE),IF(AA30&lt;&gt;0,VLOOKUP($A54,'[4]Données investissements'!$A$48:$D$65,4,FALSE),0))</f>
        <v>2</v>
      </c>
      <c r="AB77" s="16">
        <f>IF(AB54=1,VLOOKUP($A77,'[4]Données investissements'!$A$48:$D$65,2,FALSE),IF(AB30&lt;&gt;0,VLOOKUP($A54,'[4]Données investissements'!$A$48:$D$65,4,FALSE),0))</f>
        <v>0</v>
      </c>
      <c r="AC77" s="16">
        <f>IF(AC54=1,VLOOKUP($A77,'[4]Données investissements'!$A$48:$D$65,2,FALSE),IF(AC30&lt;&gt;0,VLOOKUP($A54,'[4]Données investissements'!$A$48:$D$65,4,FALSE),0))</f>
        <v>2</v>
      </c>
      <c r="AD77" s="16">
        <f>IF(AD54=1,VLOOKUP($A77,'[4]Données investissements'!$A$48:$D$65,2,FALSE),IF(AD30&lt;&gt;0,VLOOKUP($A54,'[4]Données investissements'!$A$48:$D$65,4,FALSE),0))</f>
        <v>0</v>
      </c>
      <c r="AE77" s="16">
        <f>IF(AE54=1,VLOOKUP($A77,'[4]Données investissements'!$A$48:$D$65,2,FALSE),IF(AE30&lt;&gt;0,VLOOKUP($A54,'[4]Données investissements'!$A$48:$D$65,4,FALSE),0))</f>
        <v>0</v>
      </c>
      <c r="AF77" s="16">
        <f>IF(AF54=1,VLOOKUP($A77,'[4]Données investissements'!$A$48:$D$65,2,FALSE),IF(AF30&lt;&gt;0,VLOOKUP($A54,'[4]Données investissements'!$A$48:$D$65,4,FALSE),0))</f>
        <v>0</v>
      </c>
      <c r="AG77" s="16">
        <f>IF(AG54=1,VLOOKUP($A77,'[4]Données investissements'!$A$48:$D$65,2,FALSE),IF(AG30&lt;&gt;0,VLOOKUP($A54,'[4]Données investissements'!$A$48:$D$65,4,FALSE),0))</f>
        <v>0</v>
      </c>
      <c r="AH77" s="16">
        <f>IF(AH54=1,VLOOKUP($A77,'[4]Données investissements'!$A$48:$D$65,2,FALSE),IF(AH30&lt;&gt;0,VLOOKUP($A54,'[4]Données investissements'!$A$48:$D$65,4,FALSE),0))</f>
        <v>0</v>
      </c>
      <c r="AI77" s="16">
        <f>IF(AI54=1,VLOOKUP($A77,'[4]Données investissements'!$A$48:$D$65,2,FALSE),IF(AI30&lt;&gt;0,VLOOKUP($A54,'[4]Données investissements'!$A$48:$D$65,4,FALSE),0))</f>
        <v>0</v>
      </c>
      <c r="AJ77" s="16">
        <f>IF(AJ54=1,VLOOKUP($A77,'[4]Données investissements'!$A$48:$D$65,2,FALSE),IF(AJ30&lt;&gt;0,VLOOKUP($A54,'[4]Données investissements'!$A$48:$D$65,4,FALSE),0))</f>
        <v>0</v>
      </c>
      <c r="AK77" s="16">
        <f>IF(AK54=1,VLOOKUP($A77,'[4]Données investissements'!$A$48:$D$65,2,FALSE),IF(AK30&lt;&gt;0,VLOOKUP($A54,'[4]Données investissements'!$A$48:$D$65,4,FALSE),0))</f>
        <v>0</v>
      </c>
      <c r="AL77" s="16">
        <f>IF(AL54=1,VLOOKUP($A77,'[4]Données investissements'!$A$48:$D$65,2,FALSE),IF(AL30&lt;&gt;0,VLOOKUP($A54,'[4]Données investissements'!$A$48:$D$65,4,FALSE),0))</f>
        <v>0</v>
      </c>
      <c r="AM77" s="16">
        <f>IF(AM54=1,VLOOKUP($A77,'[4]Données investissements'!$A$48:$D$65,2,FALSE),IF(AM30&lt;&gt;0,VLOOKUP($A54,'[4]Données investissements'!$A$48:$D$65,4,FALSE),0))</f>
        <v>0</v>
      </c>
      <c r="AN77" s="16">
        <f>IF(AN54=1,VLOOKUP($A77,'[4]Données investissements'!$A$48:$D$65,2,FALSE),IF(AN30&lt;&gt;0,VLOOKUP($A54,'[4]Données investissements'!$A$48:$D$65,4,FALSE),0))</f>
        <v>0</v>
      </c>
      <c r="AO77" s="16">
        <f>IF(AO54=1,VLOOKUP($A77,'[4]Données investissements'!$A$48:$D$65,2,FALSE),IF(AO30&lt;&gt;0,VLOOKUP($A54,'[4]Données investissements'!$A$48:$D$65,4,FALSE),0))</f>
        <v>2</v>
      </c>
      <c r="AP77" s="16">
        <f>IF(AP54=1,VLOOKUP($A77,'[4]Données investissements'!$A$48:$D$65,2,FALSE),IF(AP30&lt;&gt;0,VLOOKUP($A54,'[4]Données investissements'!$A$48:$D$65,4,FALSE),0))</f>
        <v>0</v>
      </c>
      <c r="AQ77" s="16">
        <f>IF(AQ54=1,VLOOKUP($A77,'[4]Données investissements'!$A$48:$D$65,2,FALSE),IF(AQ30&lt;&gt;0,VLOOKUP($A54,'[4]Données investissements'!$A$48:$D$65,4,FALSE),0))</f>
        <v>0</v>
      </c>
      <c r="AR77" s="16">
        <f>IF(AR54=1,VLOOKUP($A77,'[4]Données investissements'!$A$48:$D$65,2,FALSE),IF(AR30&lt;&gt;0,VLOOKUP($A54,'[4]Données investissements'!$A$48:$D$65,4,FALSE),0))</f>
        <v>0</v>
      </c>
      <c r="AS77" s="16">
        <f>IF(AS54=1,VLOOKUP($A77,'[4]Données investissements'!$A$48:$D$65,2,FALSE),IF(AS30&lt;&gt;0,VLOOKUP($A54,'[4]Données investissements'!$A$48:$D$65,4,FALSE),0))</f>
        <v>0</v>
      </c>
      <c r="AT77" s="16">
        <f>IF(AT54=1,VLOOKUP($A77,'[4]Données investissements'!$A$48:$D$65,2,FALSE),IF(AT30&lt;&gt;0,VLOOKUP($A54,'[4]Données investissements'!$A$48:$D$65,4,FALSE),0))</f>
        <v>0</v>
      </c>
      <c r="AU77" s="16">
        <f>IF(AU54=1,VLOOKUP($A77,'[4]Données investissements'!$A$48:$D$65,2,FALSE),IF(AU30&lt;&gt;0,VLOOKUP($A54,'[4]Données investissements'!$A$48:$D$65,4,FALSE),0))</f>
        <v>0</v>
      </c>
      <c r="AV77" s="16">
        <f>IF(AV54=1,VLOOKUP($A77,'[4]Données investissements'!$A$48:$D$65,2,FALSE),IF(AV30&lt;&gt;0,VLOOKUP($A54,'[4]Données investissements'!$A$48:$D$65,4,FALSE),0))</f>
        <v>0</v>
      </c>
      <c r="AW77" s="16">
        <f>IF(AW54=1,VLOOKUP($A77,'[4]Données investissements'!$A$48:$D$65,2,FALSE),IF(AW30&lt;&gt;0,VLOOKUP($A54,'[4]Données investissements'!$A$48:$D$65,4,FALSE),0))</f>
        <v>0</v>
      </c>
      <c r="AX77" s="16">
        <f>IF(AX54=1,VLOOKUP($A77,'[4]Données investissements'!$A$48:$D$65,2,FALSE),IF(AX30&lt;&gt;0,VLOOKUP($A54,'[4]Données investissements'!$A$48:$D$65,4,FALSE),0))</f>
        <v>0</v>
      </c>
      <c r="AY77" s="16">
        <f>IF(AY54=1,VLOOKUP($A77,'[4]Données investissements'!$A$48:$D$65,2,FALSE),IF(AY30&lt;&gt;0,VLOOKUP($A54,'[4]Données investissements'!$A$48:$D$65,4,FALSE),0))</f>
        <v>0</v>
      </c>
      <c r="AZ77" s="16">
        <f>IF(AZ54=1,VLOOKUP($A77,'[4]Données investissements'!$A$48:$D$65,2,FALSE),IF(AZ30&lt;&gt;0,VLOOKUP($A54,'[4]Données investissements'!$A$48:$D$65,4,FALSE),0))</f>
        <v>0</v>
      </c>
      <c r="BA77" s="16">
        <f>IF(BA54=1,VLOOKUP($A77,'[4]Données investissements'!$A$48:$D$65,2,FALSE),IF(BA30&lt;&gt;0,VLOOKUP($A54,'[4]Données investissements'!$A$48:$D$65,4,FALSE),0))</f>
        <v>0</v>
      </c>
      <c r="BB77" s="16">
        <f>IF(BB54=1,VLOOKUP($A77,'[4]Données investissements'!$A$48:$D$65,2,FALSE),IF(BB30&lt;&gt;0,VLOOKUP($A54,'[4]Données investissements'!$A$48:$D$65,4,FALSE),0))</f>
        <v>0</v>
      </c>
      <c r="BC77" s="16">
        <f>IF(BC54=1,VLOOKUP($A77,'[4]Données investissements'!$A$48:$D$65,2,FALSE),IF(BC30&lt;&gt;0,VLOOKUP($A54,'[4]Données investissements'!$A$48:$D$65,4,FALSE),0))</f>
        <v>0</v>
      </c>
      <c r="BD77" s="16">
        <f>IF(BD54=1,VLOOKUP($A77,'[4]Données investissements'!$A$48:$D$65,2,FALSE),IF(BD30&lt;&gt;0,VLOOKUP($A54,'[4]Données investissements'!$A$48:$D$65,4,FALSE),0))</f>
        <v>0</v>
      </c>
      <c r="BE77" s="16">
        <f>IF(BE54=1,VLOOKUP($A77,'[4]Données investissements'!$A$48:$D$65,2,FALSE),IF(BE30&lt;&gt;0,VLOOKUP($A54,'[4]Données investissements'!$A$48:$D$65,4,FALSE),0))</f>
        <v>0</v>
      </c>
      <c r="BF77" s="16">
        <f>IF(BF54=1,VLOOKUP($A77,'[4]Données investissements'!$A$48:$D$65,2,FALSE),IF(BF30&lt;&gt;0,VLOOKUP($A54,'[4]Données investissements'!$A$48:$D$65,4,FALSE),0))</f>
        <v>0</v>
      </c>
      <c r="BG77" s="16">
        <f>IF(BG54=1,VLOOKUP($A77,'[4]Données investissements'!$A$48:$D$65,2,FALSE),IF(BG30&lt;&gt;0,VLOOKUP($A54,'[4]Données investissements'!$A$48:$D$65,4,FALSE),0))</f>
        <v>0</v>
      </c>
      <c r="BH77" s="16">
        <f>IF(BH54=1,VLOOKUP($A77,'[4]Données investissements'!$A$48:$D$65,2,FALSE),IF(BH30&lt;&gt;0,VLOOKUP($A54,'[4]Données investissements'!$A$48:$D$65,4,FALSE),0))</f>
        <v>0</v>
      </c>
      <c r="BI77" s="16">
        <f>IF(BI54=1,VLOOKUP($A77,'[4]Données investissements'!$A$48:$D$65,2,FALSE),IF(BI30&lt;&gt;0,VLOOKUP($A54,'[4]Données investissements'!$A$48:$D$65,4,FALSE),0))</f>
        <v>0</v>
      </c>
      <c r="BJ77" s="16">
        <f>IF(BJ54=1,VLOOKUP($A77,'[4]Données investissements'!$A$48:$D$65,2,FALSE),IF(BJ30&lt;&gt;0,VLOOKUP($A54,'[4]Données investissements'!$A$48:$D$65,4,FALSE),0))</f>
        <v>0</v>
      </c>
      <c r="BK77" s="16">
        <f>IF(BK54=1,VLOOKUP($A77,'[4]Données investissements'!$A$48:$D$65,2,FALSE),IF(BK30&lt;&gt;0,VLOOKUP($A54,'[4]Données investissements'!$A$48:$D$65,4,FALSE),0))</f>
        <v>0</v>
      </c>
      <c r="BL77" s="16">
        <f>IF(BL54=1,VLOOKUP($A77,'[4]Données investissements'!$A$48:$D$65,2,FALSE),IF(BL30&lt;&gt;0,VLOOKUP($A54,'[4]Données investissements'!$A$48:$D$65,4,FALSE),0))</f>
        <v>0</v>
      </c>
      <c r="BM77" s="16">
        <f>IF(BM54=1,VLOOKUP($A77,'[4]Données investissements'!$A$48:$D$65,2,FALSE),IF(BM30&lt;&gt;0,VLOOKUP($A54,'[4]Données investissements'!$A$48:$D$65,4,FALSE),0))</f>
        <v>0</v>
      </c>
      <c r="BN77" s="16">
        <f>IF(BN54=1,VLOOKUP($A77,'[4]Données investissements'!$A$48:$D$65,2,FALSE),IF(BN30&lt;&gt;0,VLOOKUP($A54,'[4]Données investissements'!$A$48:$D$65,4,FALSE),0))</f>
        <v>0</v>
      </c>
      <c r="BO77" s="16">
        <f>IF(BO54=1,VLOOKUP($A77,'[4]Données investissements'!$A$48:$D$65,2,FALSE),IF(BO30&lt;&gt;0,VLOOKUP($A54,'[4]Données investissements'!$A$48:$D$65,4,FALSE),0))</f>
        <v>0</v>
      </c>
      <c r="BP77" s="16">
        <f>IF(BP54=1,VLOOKUP($A77,'[4]Données investissements'!$A$48:$D$65,2,FALSE),IF(BP30&lt;&gt;0,VLOOKUP($A54,'[4]Données investissements'!$A$48:$D$65,4,FALSE),0))</f>
        <v>0</v>
      </c>
      <c r="BQ77" s="16">
        <f>IF(BQ54=1,VLOOKUP($A77,'[4]Données investissements'!$A$48:$D$65,2,FALSE),IF(BQ30&lt;&gt;0,VLOOKUP($A54,'[4]Données investissements'!$A$48:$D$65,4,FALSE),0))</f>
        <v>0</v>
      </c>
      <c r="BR77" s="16">
        <f>IF(BR54=1,VLOOKUP($A77,'[4]Données investissements'!$A$48:$D$65,2,FALSE),IF(BR30&lt;&gt;0,VLOOKUP($A54,'[4]Données investissements'!$A$48:$D$65,4,FALSE),0))</f>
        <v>0</v>
      </c>
      <c r="BS77" s="16">
        <f>IF(BS54=1,VLOOKUP($A77,'[4]Données investissements'!$A$48:$D$65,2,FALSE),IF(BS30&lt;&gt;0,VLOOKUP($A54,'[4]Données investissements'!$A$48:$D$65,4,FALSE),0))</f>
        <v>0</v>
      </c>
      <c r="BT77" s="16">
        <f>IF(BT54=1,VLOOKUP($A77,'[4]Données investissements'!$A$48:$D$65,2,FALSE),IF(BT30&lt;&gt;0,VLOOKUP($A54,'[4]Données investissements'!$A$48:$D$65,4,FALSE),0))</f>
        <v>0</v>
      </c>
      <c r="BU77" s="16">
        <f>IF(BU54=1,VLOOKUP($A77,'[4]Données investissements'!$A$48:$D$65,2,FALSE),IF(BU30&lt;&gt;0,VLOOKUP($A54,'[4]Données investissements'!$A$48:$D$65,4,FALSE),0))</f>
        <v>0</v>
      </c>
      <c r="BV77" s="16">
        <f>IF(BV54=1,VLOOKUP($A77,'[4]Données investissements'!$A$48:$D$65,2,FALSE),IF(BV30&lt;&gt;0,VLOOKUP($A54,'[4]Données investissements'!$A$48:$D$65,4,FALSE),0))</f>
        <v>0</v>
      </c>
      <c r="BW77" s="16">
        <f>IF(BW54=1,VLOOKUP($A77,'[4]Données investissements'!$A$48:$D$65,2,FALSE),IF(BW30&lt;&gt;0,VLOOKUP($A54,'[4]Données investissements'!$A$48:$D$65,4,FALSE),0))</f>
        <v>0</v>
      </c>
      <c r="BX77" s="16">
        <f>IF(BX54=1,VLOOKUP($A77,'[4]Données investissements'!$A$48:$D$65,2,FALSE),IF(BX30&lt;&gt;0,VLOOKUP($A54,'[4]Données investissements'!$A$48:$D$65,4,FALSE),0))</f>
        <v>0</v>
      </c>
      <c r="BY77" s="16">
        <f>IF(BY54=1,VLOOKUP($A77,'[4]Données investissements'!$A$48:$D$65,2,FALSE),IF(BY30&lt;&gt;0,VLOOKUP($A54,'[4]Données investissements'!$A$48:$D$65,4,FALSE),0))</f>
        <v>0</v>
      </c>
      <c r="BZ77" s="16">
        <f>IF(BZ54=1,VLOOKUP($A77,'[4]Données investissements'!$A$48:$D$65,2,FALSE),IF(BZ30&lt;&gt;0,VLOOKUP($A54,'[4]Données investissements'!$A$48:$D$65,4,FALSE),0))</f>
        <v>0</v>
      </c>
      <c r="CA77" s="16">
        <f>IF(CA54=1,VLOOKUP($A77,'[4]Données investissements'!$A$48:$D$65,2,FALSE),IF(CA30&lt;&gt;0,VLOOKUP($A54,'[4]Données investissements'!$A$48:$D$65,4,FALSE),0))</f>
        <v>0</v>
      </c>
      <c r="CB77" s="16">
        <f>IF(CB54=1,VLOOKUP($A77,'[4]Données investissements'!$A$48:$D$65,2,FALSE),IF(CB30&lt;&gt;0,VLOOKUP($A54,'[4]Données investissements'!$A$48:$D$65,4,FALSE),0))</f>
        <v>0</v>
      </c>
      <c r="CC77" s="16">
        <f>IF(CC54=1,VLOOKUP($A77,'[4]Données investissements'!$A$48:$D$65,2,FALSE),IF(CC30&lt;&gt;0,VLOOKUP($A54,'[4]Données investissements'!$A$48:$D$65,4,FALSE),0))</f>
        <v>0</v>
      </c>
      <c r="CD77" s="16">
        <f>IF(CD54=1,VLOOKUP($A77,'[4]Données investissements'!$A$48:$D$65,2,FALSE),IF(CD30&lt;&gt;0,VLOOKUP($A54,'[4]Données investissements'!$A$48:$D$65,4,FALSE),0))</f>
        <v>0</v>
      </c>
      <c r="CE77" s="16">
        <f>IF(CE54=1,VLOOKUP($A77,'[4]Données investissements'!$A$48:$D$65,2,FALSE),IF(CE30&lt;&gt;0,VLOOKUP($A54,'[4]Données investissements'!$A$48:$D$65,4,FALSE),0))</f>
        <v>0</v>
      </c>
      <c r="CF77" s="16">
        <f>IF(CF54=1,VLOOKUP($A77,'[4]Données investissements'!$A$48:$D$65,2,FALSE),IF(CF30&lt;&gt;0,VLOOKUP($A54,'[4]Données investissements'!$A$48:$D$65,4,FALSE),0))</f>
        <v>0</v>
      </c>
      <c r="CG77" s="16">
        <f>IF(CG54=1,VLOOKUP($A77,'[4]Données investissements'!$A$48:$D$65,2,FALSE),IF(CG30&lt;&gt;0,VLOOKUP($A54,'[4]Données investissements'!$A$48:$D$65,4,FALSE),0))</f>
        <v>0</v>
      </c>
      <c r="CH77" s="16">
        <f>IF(CH54=1,VLOOKUP($A77,'[4]Données investissements'!$A$48:$D$65,2,FALSE),IF(CH30&lt;&gt;0,VLOOKUP($A54,'[4]Données investissements'!$A$48:$D$65,4,FALSE),0))</f>
        <v>0</v>
      </c>
      <c r="CI77" s="16">
        <f>IF(CI54=1,VLOOKUP($A77,'[4]Données investissements'!$A$48:$D$65,2,FALSE),IF(CI30&lt;&gt;0,VLOOKUP($A54,'[4]Données investissements'!$A$48:$D$65,4,FALSE),0))</f>
        <v>0</v>
      </c>
      <c r="CJ77" s="16">
        <f>IF(CJ54=1,VLOOKUP($A77,'[4]Données investissements'!$A$48:$D$65,2,FALSE),IF(CJ30&lt;&gt;0,VLOOKUP($A54,'[4]Données investissements'!$A$48:$D$65,4,FALSE),0))</f>
        <v>0</v>
      </c>
      <c r="CK77" s="16">
        <f>IF(CK54=1,VLOOKUP($A77,'[4]Données investissements'!$A$48:$D$65,2,FALSE),IF(CK30&lt;&gt;0,VLOOKUP($A54,'[4]Données investissements'!$A$48:$D$65,4,FALSE),0))</f>
        <v>0</v>
      </c>
      <c r="CL77" s="16">
        <f>IF(CL54=1,VLOOKUP($A77,'[4]Données investissements'!$A$48:$D$65,2,FALSE),IF(CL30&lt;&gt;0,VLOOKUP($A54,'[4]Données investissements'!$A$48:$D$65,4,FALSE),0))</f>
        <v>0</v>
      </c>
      <c r="CM77" s="16">
        <f>IF(CM54=1,VLOOKUP($A77,'[4]Données investissements'!$A$48:$D$65,2,FALSE),IF(CM30&lt;&gt;0,VLOOKUP($A54,'[4]Données investissements'!$A$48:$D$65,4,FALSE),0))</f>
        <v>0</v>
      </c>
      <c r="CN77" s="16">
        <f>IF(CN54=1,VLOOKUP($A77,'[4]Données investissements'!$A$48:$D$65,2,FALSE),IF(CN30&lt;&gt;0,VLOOKUP($A54,'[4]Données investissements'!$A$48:$D$65,4,FALSE),0))</f>
        <v>0</v>
      </c>
      <c r="CO77" s="16">
        <f>IF(CO54=1,VLOOKUP($A77,'[4]Données investissements'!$A$48:$D$65,2,FALSE),IF(CO30&lt;&gt;0,VLOOKUP($A54,'[4]Données investissements'!$A$48:$D$65,4,FALSE),0))</f>
        <v>0</v>
      </c>
      <c r="CP77" s="16">
        <f>IF(CP54=1,VLOOKUP($A77,'[4]Données investissements'!$A$48:$D$65,2,FALSE),IF(CP30&lt;&gt;0,VLOOKUP($A54,'[4]Données investissements'!$A$48:$D$65,4,FALSE),0))</f>
        <v>0</v>
      </c>
      <c r="CQ77" s="16">
        <f>IF(CQ54=1,VLOOKUP($A77,'[4]Données investissements'!$A$48:$D$65,2,FALSE),IF(CQ30&lt;&gt;0,VLOOKUP($A54,'[4]Données investissements'!$A$48:$D$65,4,FALSE),0))</f>
        <v>0</v>
      </c>
      <c r="CR77" s="16">
        <f>IF(CR54=1,VLOOKUP($A77,'[4]Données investissements'!$A$48:$D$65,2,FALSE),IF(CR30&lt;&gt;0,VLOOKUP($A54,'[4]Données investissements'!$A$48:$D$65,4,FALSE),0))</f>
        <v>0</v>
      </c>
      <c r="CS77" s="16">
        <f>IF(CS54=1,VLOOKUP($A77,'[4]Données investissements'!$A$48:$D$65,2,FALSE),IF(CS30&lt;&gt;0,VLOOKUP($A54,'[4]Données investissements'!$A$48:$D$65,4,FALSE),0))</f>
        <v>0</v>
      </c>
      <c r="CT77" s="16">
        <f>IF(CT54=1,VLOOKUP($A77,'[4]Données investissements'!$A$48:$D$65,2,FALSE),IF(CT30&lt;&gt;0,VLOOKUP($A54,'[4]Données investissements'!$A$48:$D$65,4,FALSE),0))</f>
        <v>0</v>
      </c>
      <c r="CU77" s="16">
        <f>IF(CU54=1,VLOOKUP($A77,'[4]Données investissements'!$A$48:$D$65,2,FALSE),IF(CU30&lt;&gt;0,VLOOKUP($A54,'[4]Données investissements'!$A$48:$D$65,4,FALSE),0))</f>
        <v>0</v>
      </c>
      <c r="CV77" s="16">
        <f>IF(CV54=1,VLOOKUP($A77,'[4]Données investissements'!$A$48:$D$65,2,FALSE),IF(CV30&lt;&gt;0,VLOOKUP($A54,'[4]Données investissements'!$A$48:$D$65,4,FALSE),0))</f>
        <v>0</v>
      </c>
      <c r="CW77" s="16">
        <f>IF(CW54=1,VLOOKUP($A77,'[4]Données investissements'!$A$48:$D$65,2,FALSE),IF(CW30&lt;&gt;0,VLOOKUP($A54,'[4]Données investissements'!$A$48:$D$65,4,FALSE),0))</f>
        <v>0</v>
      </c>
      <c r="CX77" s="16">
        <f>IF(CX54=1,VLOOKUP($A77,'[4]Données investissements'!$A$48:$D$65,2,FALSE),IF(CX30&lt;&gt;0,VLOOKUP($A54,'[4]Données investissements'!$A$48:$D$65,4,FALSE),0))</f>
        <v>0</v>
      </c>
      <c r="CY77" s="16">
        <f>IF(CY54=1,VLOOKUP($A77,'[4]Données investissements'!$A$48:$D$65,2,FALSE),IF(CY30&lt;&gt;0,VLOOKUP($A54,'[4]Données investissements'!$A$48:$D$65,4,FALSE),0))</f>
        <v>0</v>
      </c>
      <c r="CZ77" s="16">
        <f>IF(CZ54=1,VLOOKUP($A77,'[4]Données investissements'!$A$48:$D$65,2,FALSE),IF(CZ30&lt;&gt;0,VLOOKUP($A54,'[4]Données investissements'!$A$48:$D$65,4,FALSE),0))</f>
        <v>0</v>
      </c>
      <c r="DA77" s="16">
        <f>IF(DA54=1,VLOOKUP($A77,'[4]Données investissements'!$A$48:$D$65,2,FALSE),IF(DA30&lt;&gt;0,VLOOKUP($A54,'[4]Données investissements'!$A$48:$D$65,4,FALSE),0))</f>
        <v>0</v>
      </c>
      <c r="DB77" s="16">
        <f>IF(DB54=1,VLOOKUP($A77,'[4]Données investissements'!$A$48:$D$65,2,FALSE),IF(DB30&lt;&gt;0,VLOOKUP($A54,'[4]Données investissements'!$A$48:$D$65,4,FALSE),0))</f>
        <v>0</v>
      </c>
      <c r="DC77" s="16">
        <f>IF(DC54=1,VLOOKUP($A77,'[4]Données investissements'!$A$48:$D$65,2,FALSE),IF(DC30&lt;&gt;0,VLOOKUP($A54,'[4]Données investissements'!$A$48:$D$65,4,FALSE),0))</f>
        <v>0</v>
      </c>
      <c r="DD77" s="16">
        <f>IF(DD54=1,VLOOKUP($A77,'[4]Données investissements'!$A$48:$D$65,2,FALSE),IF(DD30&lt;&gt;0,VLOOKUP($A54,'[4]Données investissements'!$A$48:$D$65,4,FALSE),0))</f>
        <v>0</v>
      </c>
      <c r="DE77" s="16">
        <f>IF(DE54=1,VLOOKUP($A77,'[4]Données investissements'!$A$48:$D$65,2,FALSE),IF(DE30&lt;&gt;0,VLOOKUP($A54,'[4]Données investissements'!$A$48:$D$65,4,FALSE),0))</f>
        <v>0</v>
      </c>
      <c r="DF77" s="16">
        <f>IF(DF54=1,VLOOKUP($A77,'[4]Données investissements'!$A$48:$D$65,2,FALSE),IF(DF30&lt;&gt;0,VLOOKUP($A54,'[4]Données investissements'!$A$48:$D$65,4,FALSE),0))</f>
        <v>0</v>
      </c>
    </row>
    <row r="78" spans="1:110" ht="12.75" hidden="1" customHeight="1" x14ac:dyDescent="0.2">
      <c r="A78" s="15" t="str">
        <f t="shared" si="40"/>
        <v>1er Four VAR :</v>
      </c>
      <c r="B78" s="16">
        <f t="shared" si="40"/>
        <v>2.6</v>
      </c>
      <c r="C78" s="16">
        <f>IF(C55=1,VLOOKUP($A78,'[4]Données investissements'!$A$48:$D$65,2,FALSE),IF(C31&lt;&gt;0,VLOOKUP($A55,'[4]Données investissements'!$A$48:$D$65,4,FALSE),0))</f>
        <v>0</v>
      </c>
      <c r="D78" s="16">
        <f>IF(D55=1,VLOOKUP($A78,'[4]Données investissements'!$A$48:$D$65,2,FALSE),IF(D31&lt;&gt;0,VLOOKUP($A55,'[4]Données investissements'!$A$48:$D$65,4,FALSE),0))</f>
        <v>0</v>
      </c>
      <c r="E78" s="16">
        <f>IF(E55=1,VLOOKUP($A78,'[4]Données investissements'!$A$48:$D$65,2,FALSE),IF(E31&lt;&gt;0,VLOOKUP($A55,'[4]Données investissements'!$A$48:$D$65,4,FALSE),0))</f>
        <v>0</v>
      </c>
      <c r="F78" s="16">
        <f>IF(F55=1,VLOOKUP($A78,'[4]Données investissements'!$A$48:$D$65,2,FALSE),IF(F31&lt;&gt;0,VLOOKUP($A55,'[4]Données investissements'!$A$48:$D$65,4,FALSE),0))</f>
        <v>0</v>
      </c>
      <c r="G78" s="16">
        <f>IF(G55=1,VLOOKUP($A78,'[4]Données investissements'!$A$48:$D$65,2,FALSE),IF(G31&lt;&gt;0,VLOOKUP($A55,'[4]Données investissements'!$A$48:$D$65,4,FALSE),0))</f>
        <v>0</v>
      </c>
      <c r="H78" s="16">
        <f>IF(H55=1,VLOOKUP($A78,'[4]Données investissements'!$A$48:$D$65,2,FALSE),IF(H31&lt;&gt;0,VLOOKUP($A55,'[4]Données investissements'!$A$48:$D$65,4,FALSE),0))</f>
        <v>0</v>
      </c>
      <c r="I78" s="16">
        <f>IF(I55=1,VLOOKUP($A78,'[4]Données investissements'!$A$48:$D$65,2,FALSE),IF(I31&lt;&gt;0,VLOOKUP($A55,'[4]Données investissements'!$A$48:$D$65,4,FALSE),0))</f>
        <v>0</v>
      </c>
      <c r="J78" s="16">
        <f>IF(J55=1,VLOOKUP($A78,'[4]Données investissements'!$A$48:$D$65,2,FALSE),IF(J31&lt;&gt;0,VLOOKUP($A55,'[4]Données investissements'!$A$48:$D$65,4,FALSE),0))</f>
        <v>0</v>
      </c>
      <c r="K78" s="16">
        <f>IF(K55=1,VLOOKUP($A78,'[4]Données investissements'!$A$48:$D$65,2,FALSE),IF(K31&lt;&gt;0,VLOOKUP($A55,'[4]Données investissements'!$A$48:$D$65,4,FALSE),0))</f>
        <v>0</v>
      </c>
      <c r="L78" s="16">
        <f>IF(L55=1,VLOOKUP($A78,'[4]Données investissements'!$A$48:$D$65,2,FALSE),IF(L31&lt;&gt;0,VLOOKUP($A55,'[4]Données investissements'!$A$48:$D$65,4,FALSE),0))</f>
        <v>0</v>
      </c>
      <c r="M78" s="16">
        <f>IF(M55=1,VLOOKUP($A78,'[4]Données investissements'!$A$48:$D$65,2,FALSE),IF(M31&lt;&gt;0,VLOOKUP($A55,'[4]Données investissements'!$A$48:$D$65,4,FALSE),0))</f>
        <v>1</v>
      </c>
      <c r="N78" s="16">
        <f>IF(N55=1,VLOOKUP($A78,'[4]Données investissements'!$A$48:$D$65,2,FALSE),IF(N31&lt;&gt;0,VLOOKUP($A55,'[4]Données investissements'!$A$48:$D$65,4,FALSE),0))</f>
        <v>0</v>
      </c>
      <c r="O78" s="16">
        <f>IF(O55=1,VLOOKUP($A78,'[4]Données investissements'!$A$48:$D$65,2,FALSE),IF(O31&lt;&gt;0,VLOOKUP($A55,'[4]Données investissements'!$A$48:$D$65,4,FALSE),0))</f>
        <v>2</v>
      </c>
      <c r="P78" s="16">
        <f>IF(P55=1,VLOOKUP($A78,'[4]Données investissements'!$A$48:$D$65,2,FALSE),IF(P31&lt;&gt;0,VLOOKUP($A55,'[4]Données investissements'!$A$48:$D$65,4,FALSE),0))</f>
        <v>0</v>
      </c>
      <c r="Q78" s="16">
        <f>IF(Q55=1,VLOOKUP($A78,'[4]Données investissements'!$A$48:$D$65,2,FALSE),IF(Q31&lt;&gt;0,VLOOKUP($A55,'[4]Données investissements'!$A$48:$D$65,4,FALSE),0))</f>
        <v>0</v>
      </c>
      <c r="R78" s="16">
        <f>IF(R55=1,VLOOKUP($A78,'[4]Données investissements'!$A$48:$D$65,2,FALSE),IF(R31&lt;&gt;0,VLOOKUP($A55,'[4]Données investissements'!$A$48:$D$65,4,FALSE),0))</f>
        <v>0</v>
      </c>
      <c r="S78" s="16">
        <f>IF(S55=1,VLOOKUP($A78,'[4]Données investissements'!$A$48:$D$65,2,FALSE),IF(S31&lt;&gt;0,VLOOKUP($A55,'[4]Données investissements'!$A$48:$D$65,4,FALSE),0))</f>
        <v>0</v>
      </c>
      <c r="T78" s="16">
        <f>IF(T55=1,VLOOKUP($A78,'[4]Données investissements'!$A$48:$D$65,2,FALSE),IF(T31&lt;&gt;0,VLOOKUP($A55,'[4]Données investissements'!$A$48:$D$65,4,FALSE),0))</f>
        <v>0</v>
      </c>
      <c r="U78" s="16">
        <f>IF(U55=1,VLOOKUP($A78,'[4]Données investissements'!$A$48:$D$65,2,FALSE),IF(U31&lt;&gt;0,VLOOKUP($A55,'[4]Données investissements'!$A$48:$D$65,4,FALSE),0))</f>
        <v>0</v>
      </c>
      <c r="V78" s="16">
        <f>IF(V55=1,VLOOKUP($A78,'[4]Données investissements'!$A$48:$D$65,2,FALSE),IF(V31&lt;&gt;0,VLOOKUP($A55,'[4]Données investissements'!$A$48:$D$65,4,FALSE),0))</f>
        <v>2</v>
      </c>
      <c r="W78" s="16">
        <f>IF(W55=1,VLOOKUP($A78,'[4]Données investissements'!$A$48:$D$65,2,FALSE),IF(W31&lt;&gt;0,VLOOKUP($A55,'[4]Données investissements'!$A$48:$D$65,4,FALSE),0))</f>
        <v>0</v>
      </c>
      <c r="X78" s="16">
        <f>IF(X55=1,VLOOKUP($A78,'[4]Données investissements'!$A$48:$D$65,2,FALSE),IF(X31&lt;&gt;0,VLOOKUP($A55,'[4]Données investissements'!$A$48:$D$65,4,FALSE),0))</f>
        <v>2</v>
      </c>
      <c r="Y78" s="16">
        <f>IF(Y55=1,VLOOKUP($A78,'[4]Données investissements'!$A$48:$D$65,2,FALSE),IF(Y31&lt;&gt;0,VLOOKUP($A55,'[4]Données investissements'!$A$48:$D$65,4,FALSE),0))</f>
        <v>0</v>
      </c>
      <c r="Z78" s="16">
        <f>IF(Z55=1,VLOOKUP($A78,'[4]Données investissements'!$A$48:$D$65,2,FALSE),IF(Z31&lt;&gt;0,VLOOKUP($A55,'[4]Données investissements'!$A$48:$D$65,4,FALSE),0))</f>
        <v>0</v>
      </c>
      <c r="AA78" s="16">
        <f>IF(AA55=1,VLOOKUP($A78,'[4]Données investissements'!$A$48:$D$65,2,FALSE),IF(AA31&lt;&gt;0,VLOOKUP($A55,'[4]Données investissements'!$A$48:$D$65,4,FALSE),0))</f>
        <v>0</v>
      </c>
      <c r="AB78" s="16">
        <f>IF(AB55=1,VLOOKUP($A78,'[4]Données investissements'!$A$48:$D$65,2,FALSE),IF(AB31&lt;&gt;0,VLOOKUP($A55,'[4]Données investissements'!$A$48:$D$65,4,FALSE),0))</f>
        <v>0</v>
      </c>
      <c r="AC78" s="16">
        <f>IF(AC55=1,VLOOKUP($A78,'[4]Données investissements'!$A$48:$D$65,2,FALSE),IF(AC31&lt;&gt;0,VLOOKUP($A55,'[4]Données investissements'!$A$48:$D$65,4,FALSE),0))</f>
        <v>2</v>
      </c>
      <c r="AD78" s="16">
        <f>IF(AD55=1,VLOOKUP($A78,'[4]Données investissements'!$A$48:$D$65,2,FALSE),IF(AD31&lt;&gt;0,VLOOKUP($A55,'[4]Données investissements'!$A$48:$D$65,4,FALSE),0))</f>
        <v>0</v>
      </c>
      <c r="AE78" s="16">
        <f>IF(AE55=1,VLOOKUP($A78,'[4]Données investissements'!$A$48:$D$65,2,FALSE),IF(AE31&lt;&gt;0,VLOOKUP($A55,'[4]Données investissements'!$A$48:$D$65,4,FALSE),0))</f>
        <v>0</v>
      </c>
      <c r="AF78" s="16">
        <f>IF(AF55=1,VLOOKUP($A78,'[4]Données investissements'!$A$48:$D$65,2,FALSE),IF(AF31&lt;&gt;0,VLOOKUP($A55,'[4]Données investissements'!$A$48:$D$65,4,FALSE),0))</f>
        <v>2</v>
      </c>
      <c r="AG78" s="16">
        <f>IF(AG55=1,VLOOKUP($A78,'[4]Données investissements'!$A$48:$D$65,2,FALSE),IF(AG31&lt;&gt;0,VLOOKUP($A55,'[4]Données investissements'!$A$48:$D$65,4,FALSE),0))</f>
        <v>0</v>
      </c>
      <c r="AH78" s="16">
        <f>IF(AH55=1,VLOOKUP($A78,'[4]Données investissements'!$A$48:$D$65,2,FALSE),IF(AH31&lt;&gt;0,VLOOKUP($A55,'[4]Données investissements'!$A$48:$D$65,4,FALSE),0))</f>
        <v>0</v>
      </c>
      <c r="AI78" s="16">
        <f>IF(AI55=1,VLOOKUP($A78,'[4]Données investissements'!$A$48:$D$65,2,FALSE),IF(AI31&lt;&gt;0,VLOOKUP($A55,'[4]Données investissements'!$A$48:$D$65,4,FALSE),0))</f>
        <v>0</v>
      </c>
      <c r="AJ78" s="16">
        <f>IF(AJ55=1,VLOOKUP($A78,'[4]Données investissements'!$A$48:$D$65,2,FALSE),IF(AJ31&lt;&gt;0,VLOOKUP($A55,'[4]Données investissements'!$A$48:$D$65,4,FALSE),0))</f>
        <v>0</v>
      </c>
      <c r="AK78" s="16">
        <f>IF(AK55=1,VLOOKUP($A78,'[4]Données investissements'!$A$48:$D$65,2,FALSE),IF(AK31&lt;&gt;0,VLOOKUP($A55,'[4]Données investissements'!$A$48:$D$65,4,FALSE),0))</f>
        <v>0</v>
      </c>
      <c r="AL78" s="16">
        <f>IF(AL55=1,VLOOKUP($A78,'[4]Données investissements'!$A$48:$D$65,2,FALSE),IF(AL31&lt;&gt;0,VLOOKUP($A55,'[4]Données investissements'!$A$48:$D$65,4,FALSE),0))</f>
        <v>0</v>
      </c>
      <c r="AM78" s="16">
        <f>IF(AM55=1,VLOOKUP($A78,'[4]Données investissements'!$A$48:$D$65,2,FALSE),IF(AM31&lt;&gt;0,VLOOKUP($A55,'[4]Données investissements'!$A$48:$D$65,4,FALSE),0))</f>
        <v>0</v>
      </c>
      <c r="AN78" s="16">
        <f>IF(AN55=1,VLOOKUP($A78,'[4]Données investissements'!$A$48:$D$65,2,FALSE),IF(AN31&lt;&gt;0,VLOOKUP($A55,'[4]Données investissements'!$A$48:$D$65,4,FALSE),0))</f>
        <v>0</v>
      </c>
      <c r="AO78" s="16">
        <f>IF(AO55=1,VLOOKUP($A78,'[4]Données investissements'!$A$48:$D$65,2,FALSE),IF(AO31&lt;&gt;0,VLOOKUP($A55,'[4]Données investissements'!$A$48:$D$65,4,FALSE),0))</f>
        <v>0</v>
      </c>
      <c r="AP78" s="16">
        <f>IF(AP55=1,VLOOKUP($A78,'[4]Données investissements'!$A$48:$D$65,2,FALSE),IF(AP31&lt;&gt;0,VLOOKUP($A55,'[4]Données investissements'!$A$48:$D$65,4,FALSE),0))</f>
        <v>0</v>
      </c>
      <c r="AQ78" s="16">
        <f>IF(AQ55=1,VLOOKUP($A78,'[4]Données investissements'!$A$48:$D$65,2,FALSE),IF(AQ31&lt;&gt;0,VLOOKUP($A55,'[4]Données investissements'!$A$48:$D$65,4,FALSE),0))</f>
        <v>0</v>
      </c>
      <c r="AR78" s="16">
        <f>IF(AR55=1,VLOOKUP($A78,'[4]Données investissements'!$A$48:$D$65,2,FALSE),IF(AR31&lt;&gt;0,VLOOKUP($A55,'[4]Données investissements'!$A$48:$D$65,4,FALSE),0))</f>
        <v>2</v>
      </c>
      <c r="AS78" s="16">
        <f>IF(AS55=1,VLOOKUP($A78,'[4]Données investissements'!$A$48:$D$65,2,FALSE),IF(AS31&lt;&gt;0,VLOOKUP($A55,'[4]Données investissements'!$A$48:$D$65,4,FALSE),0))</f>
        <v>0</v>
      </c>
      <c r="AT78" s="16">
        <f>IF(AT55=1,VLOOKUP($A78,'[4]Données investissements'!$A$48:$D$65,2,FALSE),IF(AT31&lt;&gt;0,VLOOKUP($A55,'[4]Données investissements'!$A$48:$D$65,4,FALSE),0))</f>
        <v>0</v>
      </c>
      <c r="AU78" s="16">
        <f>IF(AU55=1,VLOOKUP($A78,'[4]Données investissements'!$A$48:$D$65,2,FALSE),IF(AU31&lt;&gt;0,VLOOKUP($A55,'[4]Données investissements'!$A$48:$D$65,4,FALSE),0))</f>
        <v>0</v>
      </c>
      <c r="AV78" s="16">
        <f>IF(AV55=1,VLOOKUP($A78,'[4]Données investissements'!$A$48:$D$65,2,FALSE),IF(AV31&lt;&gt;0,VLOOKUP($A55,'[4]Données investissements'!$A$48:$D$65,4,FALSE),0))</f>
        <v>0</v>
      </c>
      <c r="AW78" s="16">
        <f>IF(AW55=1,VLOOKUP($A78,'[4]Données investissements'!$A$48:$D$65,2,FALSE),IF(AW31&lt;&gt;0,VLOOKUP($A55,'[4]Données investissements'!$A$48:$D$65,4,FALSE),0))</f>
        <v>0</v>
      </c>
      <c r="AX78" s="16">
        <f>IF(AX55=1,VLOOKUP($A78,'[4]Données investissements'!$A$48:$D$65,2,FALSE),IF(AX31&lt;&gt;0,VLOOKUP($A55,'[4]Données investissements'!$A$48:$D$65,4,FALSE),0))</f>
        <v>0</v>
      </c>
      <c r="AY78" s="16">
        <f>IF(AY55=1,VLOOKUP($A78,'[4]Données investissements'!$A$48:$D$65,2,FALSE),IF(AY31&lt;&gt;0,VLOOKUP($A55,'[4]Données investissements'!$A$48:$D$65,4,FALSE),0))</f>
        <v>0</v>
      </c>
      <c r="AZ78" s="16">
        <f>IF(AZ55=1,VLOOKUP($A78,'[4]Données investissements'!$A$48:$D$65,2,FALSE),IF(AZ31&lt;&gt;0,VLOOKUP($A55,'[4]Données investissements'!$A$48:$D$65,4,FALSE),0))</f>
        <v>0</v>
      </c>
      <c r="BA78" s="16">
        <f>IF(BA55=1,VLOOKUP($A78,'[4]Données investissements'!$A$48:$D$65,2,FALSE),IF(BA31&lt;&gt;0,VLOOKUP($A55,'[4]Données investissements'!$A$48:$D$65,4,FALSE),0))</f>
        <v>0</v>
      </c>
      <c r="BB78" s="16">
        <f>IF(BB55=1,VLOOKUP($A78,'[4]Données investissements'!$A$48:$D$65,2,FALSE),IF(BB31&lt;&gt;0,VLOOKUP($A55,'[4]Données investissements'!$A$48:$D$65,4,FALSE),0))</f>
        <v>0</v>
      </c>
      <c r="BC78" s="16">
        <f>IF(BC55=1,VLOOKUP($A78,'[4]Données investissements'!$A$48:$D$65,2,FALSE),IF(BC31&lt;&gt;0,VLOOKUP($A55,'[4]Données investissements'!$A$48:$D$65,4,FALSE),0))</f>
        <v>0</v>
      </c>
      <c r="BD78" s="16">
        <f>IF(BD55=1,VLOOKUP($A78,'[4]Données investissements'!$A$48:$D$65,2,FALSE),IF(BD31&lt;&gt;0,VLOOKUP($A55,'[4]Données investissements'!$A$48:$D$65,4,FALSE),0))</f>
        <v>0</v>
      </c>
      <c r="BE78" s="16">
        <f>IF(BE55=1,VLOOKUP($A78,'[4]Données investissements'!$A$48:$D$65,2,FALSE),IF(BE31&lt;&gt;0,VLOOKUP($A55,'[4]Données investissements'!$A$48:$D$65,4,FALSE),0))</f>
        <v>0</v>
      </c>
      <c r="BF78" s="16">
        <f>IF(BF55=1,VLOOKUP($A78,'[4]Données investissements'!$A$48:$D$65,2,FALSE),IF(BF31&lt;&gt;0,VLOOKUP($A55,'[4]Données investissements'!$A$48:$D$65,4,FALSE),0))</f>
        <v>0</v>
      </c>
      <c r="BG78" s="16">
        <f>IF(BG55=1,VLOOKUP($A78,'[4]Données investissements'!$A$48:$D$65,2,FALSE),IF(BG31&lt;&gt;0,VLOOKUP($A55,'[4]Données investissements'!$A$48:$D$65,4,FALSE),0))</f>
        <v>0</v>
      </c>
      <c r="BH78" s="16">
        <f>IF(BH55=1,VLOOKUP($A78,'[4]Données investissements'!$A$48:$D$65,2,FALSE),IF(BH31&lt;&gt;0,VLOOKUP($A55,'[4]Données investissements'!$A$48:$D$65,4,FALSE),0))</f>
        <v>0</v>
      </c>
      <c r="BI78" s="16">
        <f>IF(BI55=1,VLOOKUP($A78,'[4]Données investissements'!$A$48:$D$65,2,FALSE),IF(BI31&lt;&gt;0,VLOOKUP($A55,'[4]Données investissements'!$A$48:$D$65,4,FALSE),0))</f>
        <v>0</v>
      </c>
      <c r="BJ78" s="16">
        <f>IF(BJ55=1,VLOOKUP($A78,'[4]Données investissements'!$A$48:$D$65,2,FALSE),IF(BJ31&lt;&gt;0,VLOOKUP($A55,'[4]Données investissements'!$A$48:$D$65,4,FALSE),0))</f>
        <v>0</v>
      </c>
      <c r="BK78" s="16">
        <f>IF(BK55=1,VLOOKUP($A78,'[4]Données investissements'!$A$48:$D$65,2,FALSE),IF(BK31&lt;&gt;0,VLOOKUP($A55,'[4]Données investissements'!$A$48:$D$65,4,FALSE),0))</f>
        <v>0</v>
      </c>
      <c r="BL78" s="16">
        <f>IF(BL55=1,VLOOKUP($A78,'[4]Données investissements'!$A$48:$D$65,2,FALSE),IF(BL31&lt;&gt;0,VLOOKUP($A55,'[4]Données investissements'!$A$48:$D$65,4,FALSE),0))</f>
        <v>0</v>
      </c>
      <c r="BM78" s="16">
        <f>IF(BM55=1,VLOOKUP($A78,'[4]Données investissements'!$A$48:$D$65,2,FALSE),IF(BM31&lt;&gt;0,VLOOKUP($A55,'[4]Données investissements'!$A$48:$D$65,4,FALSE),0))</f>
        <v>0</v>
      </c>
      <c r="BN78" s="16">
        <f>IF(BN55=1,VLOOKUP($A78,'[4]Données investissements'!$A$48:$D$65,2,FALSE),IF(BN31&lt;&gt;0,VLOOKUP($A55,'[4]Données investissements'!$A$48:$D$65,4,FALSE),0))</f>
        <v>0</v>
      </c>
      <c r="BO78" s="16">
        <f>IF(BO55=1,VLOOKUP($A78,'[4]Données investissements'!$A$48:$D$65,2,FALSE),IF(BO31&lt;&gt;0,VLOOKUP($A55,'[4]Données investissements'!$A$48:$D$65,4,FALSE),0))</f>
        <v>0</v>
      </c>
      <c r="BP78" s="16">
        <f>IF(BP55=1,VLOOKUP($A78,'[4]Données investissements'!$A$48:$D$65,2,FALSE),IF(BP31&lt;&gt;0,VLOOKUP($A55,'[4]Données investissements'!$A$48:$D$65,4,FALSE),0))</f>
        <v>0</v>
      </c>
      <c r="BQ78" s="16">
        <f>IF(BQ55=1,VLOOKUP($A78,'[4]Données investissements'!$A$48:$D$65,2,FALSE),IF(BQ31&lt;&gt;0,VLOOKUP($A55,'[4]Données investissements'!$A$48:$D$65,4,FALSE),0))</f>
        <v>0</v>
      </c>
      <c r="BR78" s="16">
        <f>IF(BR55=1,VLOOKUP($A78,'[4]Données investissements'!$A$48:$D$65,2,FALSE),IF(BR31&lt;&gt;0,VLOOKUP($A55,'[4]Données investissements'!$A$48:$D$65,4,FALSE),0))</f>
        <v>0</v>
      </c>
      <c r="BS78" s="16">
        <f>IF(BS55=1,VLOOKUP($A78,'[4]Données investissements'!$A$48:$D$65,2,FALSE),IF(BS31&lt;&gt;0,VLOOKUP($A55,'[4]Données investissements'!$A$48:$D$65,4,FALSE),0))</f>
        <v>0</v>
      </c>
      <c r="BT78" s="16">
        <f>IF(BT55=1,VLOOKUP($A78,'[4]Données investissements'!$A$48:$D$65,2,FALSE),IF(BT31&lt;&gt;0,VLOOKUP($A55,'[4]Données investissements'!$A$48:$D$65,4,FALSE),0))</f>
        <v>0</v>
      </c>
      <c r="BU78" s="16">
        <f>IF(BU55=1,VLOOKUP($A78,'[4]Données investissements'!$A$48:$D$65,2,FALSE),IF(BU31&lt;&gt;0,VLOOKUP($A55,'[4]Données investissements'!$A$48:$D$65,4,FALSE),0))</f>
        <v>0</v>
      </c>
      <c r="BV78" s="16">
        <f>IF(BV55=1,VLOOKUP($A78,'[4]Données investissements'!$A$48:$D$65,2,FALSE),IF(BV31&lt;&gt;0,VLOOKUP($A55,'[4]Données investissements'!$A$48:$D$65,4,FALSE),0))</f>
        <v>0</v>
      </c>
      <c r="BW78" s="16">
        <f>IF(BW55=1,VLOOKUP($A78,'[4]Données investissements'!$A$48:$D$65,2,FALSE),IF(BW31&lt;&gt;0,VLOOKUP($A55,'[4]Données investissements'!$A$48:$D$65,4,FALSE),0))</f>
        <v>0</v>
      </c>
      <c r="BX78" s="16">
        <f>IF(BX55=1,VLOOKUP($A78,'[4]Données investissements'!$A$48:$D$65,2,FALSE),IF(BX31&lt;&gt;0,VLOOKUP($A55,'[4]Données investissements'!$A$48:$D$65,4,FALSE),0))</f>
        <v>0</v>
      </c>
      <c r="BY78" s="16">
        <f>IF(BY55=1,VLOOKUP($A78,'[4]Données investissements'!$A$48:$D$65,2,FALSE),IF(BY31&lt;&gt;0,VLOOKUP($A55,'[4]Données investissements'!$A$48:$D$65,4,FALSE),0))</f>
        <v>0</v>
      </c>
      <c r="BZ78" s="16">
        <f>IF(BZ55=1,VLOOKUP($A78,'[4]Données investissements'!$A$48:$D$65,2,FALSE),IF(BZ31&lt;&gt;0,VLOOKUP($A55,'[4]Données investissements'!$A$48:$D$65,4,FALSE),0))</f>
        <v>0</v>
      </c>
      <c r="CA78" s="16">
        <f>IF(CA55=1,VLOOKUP($A78,'[4]Données investissements'!$A$48:$D$65,2,FALSE),IF(CA31&lt;&gt;0,VLOOKUP($A55,'[4]Données investissements'!$A$48:$D$65,4,FALSE),0))</f>
        <v>0</v>
      </c>
      <c r="CB78" s="16">
        <f>IF(CB55=1,VLOOKUP($A78,'[4]Données investissements'!$A$48:$D$65,2,FALSE),IF(CB31&lt;&gt;0,VLOOKUP($A55,'[4]Données investissements'!$A$48:$D$65,4,FALSE),0))</f>
        <v>0</v>
      </c>
      <c r="CC78" s="16">
        <f>IF(CC55=1,VLOOKUP($A78,'[4]Données investissements'!$A$48:$D$65,2,FALSE),IF(CC31&lt;&gt;0,VLOOKUP($A55,'[4]Données investissements'!$A$48:$D$65,4,FALSE),0))</f>
        <v>0</v>
      </c>
      <c r="CD78" s="16">
        <f>IF(CD55=1,VLOOKUP($A78,'[4]Données investissements'!$A$48:$D$65,2,FALSE),IF(CD31&lt;&gt;0,VLOOKUP($A55,'[4]Données investissements'!$A$48:$D$65,4,FALSE),0))</f>
        <v>0</v>
      </c>
      <c r="CE78" s="16">
        <f>IF(CE55=1,VLOOKUP($A78,'[4]Données investissements'!$A$48:$D$65,2,FALSE),IF(CE31&lt;&gt;0,VLOOKUP($A55,'[4]Données investissements'!$A$48:$D$65,4,FALSE),0))</f>
        <v>0</v>
      </c>
      <c r="CF78" s="16">
        <f>IF(CF55=1,VLOOKUP($A78,'[4]Données investissements'!$A$48:$D$65,2,FALSE),IF(CF31&lt;&gt;0,VLOOKUP($A55,'[4]Données investissements'!$A$48:$D$65,4,FALSE),0))</f>
        <v>0</v>
      </c>
      <c r="CG78" s="16">
        <f>IF(CG55=1,VLOOKUP($A78,'[4]Données investissements'!$A$48:$D$65,2,FALSE),IF(CG31&lt;&gt;0,VLOOKUP($A55,'[4]Données investissements'!$A$48:$D$65,4,FALSE),0))</f>
        <v>0</v>
      </c>
      <c r="CH78" s="16">
        <f>IF(CH55=1,VLOOKUP($A78,'[4]Données investissements'!$A$48:$D$65,2,FALSE),IF(CH31&lt;&gt;0,VLOOKUP($A55,'[4]Données investissements'!$A$48:$D$65,4,FALSE),0))</f>
        <v>0</v>
      </c>
      <c r="CI78" s="16">
        <f>IF(CI55=1,VLOOKUP($A78,'[4]Données investissements'!$A$48:$D$65,2,FALSE),IF(CI31&lt;&gt;0,VLOOKUP($A55,'[4]Données investissements'!$A$48:$D$65,4,FALSE),0))</f>
        <v>0</v>
      </c>
      <c r="CJ78" s="16">
        <f>IF(CJ55=1,VLOOKUP($A78,'[4]Données investissements'!$A$48:$D$65,2,FALSE),IF(CJ31&lt;&gt;0,VLOOKUP($A55,'[4]Données investissements'!$A$48:$D$65,4,FALSE),0))</f>
        <v>0</v>
      </c>
      <c r="CK78" s="16">
        <f>IF(CK55=1,VLOOKUP($A78,'[4]Données investissements'!$A$48:$D$65,2,FALSE),IF(CK31&lt;&gt;0,VLOOKUP($A55,'[4]Données investissements'!$A$48:$D$65,4,FALSE),0))</f>
        <v>0</v>
      </c>
      <c r="CL78" s="16">
        <f>IF(CL55=1,VLOOKUP($A78,'[4]Données investissements'!$A$48:$D$65,2,FALSE),IF(CL31&lt;&gt;0,VLOOKUP($A55,'[4]Données investissements'!$A$48:$D$65,4,FALSE),0))</f>
        <v>0</v>
      </c>
      <c r="CM78" s="16">
        <f>IF(CM55=1,VLOOKUP($A78,'[4]Données investissements'!$A$48:$D$65,2,FALSE),IF(CM31&lt;&gt;0,VLOOKUP($A55,'[4]Données investissements'!$A$48:$D$65,4,FALSE),0))</f>
        <v>0</v>
      </c>
      <c r="CN78" s="16">
        <f>IF(CN55=1,VLOOKUP($A78,'[4]Données investissements'!$A$48:$D$65,2,FALSE),IF(CN31&lt;&gt;0,VLOOKUP($A55,'[4]Données investissements'!$A$48:$D$65,4,FALSE),0))</f>
        <v>0</v>
      </c>
      <c r="CO78" s="16">
        <f>IF(CO55=1,VLOOKUP($A78,'[4]Données investissements'!$A$48:$D$65,2,FALSE),IF(CO31&lt;&gt;0,VLOOKUP($A55,'[4]Données investissements'!$A$48:$D$65,4,FALSE),0))</f>
        <v>0</v>
      </c>
      <c r="CP78" s="16">
        <f>IF(CP55=1,VLOOKUP($A78,'[4]Données investissements'!$A$48:$D$65,2,FALSE),IF(CP31&lt;&gt;0,VLOOKUP($A55,'[4]Données investissements'!$A$48:$D$65,4,FALSE),0))</f>
        <v>0</v>
      </c>
      <c r="CQ78" s="16">
        <f>IF(CQ55=1,VLOOKUP($A78,'[4]Données investissements'!$A$48:$D$65,2,FALSE),IF(CQ31&lt;&gt;0,VLOOKUP($A55,'[4]Données investissements'!$A$48:$D$65,4,FALSE),0))</f>
        <v>0</v>
      </c>
      <c r="CR78" s="16">
        <f>IF(CR55=1,VLOOKUP($A78,'[4]Données investissements'!$A$48:$D$65,2,FALSE),IF(CR31&lt;&gt;0,VLOOKUP($A55,'[4]Données investissements'!$A$48:$D$65,4,FALSE),0))</f>
        <v>0</v>
      </c>
      <c r="CS78" s="16">
        <f>IF(CS55=1,VLOOKUP($A78,'[4]Données investissements'!$A$48:$D$65,2,FALSE),IF(CS31&lt;&gt;0,VLOOKUP($A55,'[4]Données investissements'!$A$48:$D$65,4,FALSE),0))</f>
        <v>0</v>
      </c>
      <c r="CT78" s="16">
        <f>IF(CT55=1,VLOOKUP($A78,'[4]Données investissements'!$A$48:$D$65,2,FALSE),IF(CT31&lt;&gt;0,VLOOKUP($A55,'[4]Données investissements'!$A$48:$D$65,4,FALSE),0))</f>
        <v>0</v>
      </c>
      <c r="CU78" s="16">
        <f>IF(CU55=1,VLOOKUP($A78,'[4]Données investissements'!$A$48:$D$65,2,FALSE),IF(CU31&lt;&gt;0,VLOOKUP($A55,'[4]Données investissements'!$A$48:$D$65,4,FALSE),0))</f>
        <v>0</v>
      </c>
      <c r="CV78" s="16">
        <f>IF(CV55=1,VLOOKUP($A78,'[4]Données investissements'!$A$48:$D$65,2,FALSE),IF(CV31&lt;&gt;0,VLOOKUP($A55,'[4]Données investissements'!$A$48:$D$65,4,FALSE),0))</f>
        <v>0</v>
      </c>
      <c r="CW78" s="16">
        <f>IF(CW55=1,VLOOKUP($A78,'[4]Données investissements'!$A$48:$D$65,2,FALSE),IF(CW31&lt;&gt;0,VLOOKUP($A55,'[4]Données investissements'!$A$48:$D$65,4,FALSE),0))</f>
        <v>0</v>
      </c>
      <c r="CX78" s="16">
        <f>IF(CX55=1,VLOOKUP($A78,'[4]Données investissements'!$A$48:$D$65,2,FALSE),IF(CX31&lt;&gt;0,VLOOKUP($A55,'[4]Données investissements'!$A$48:$D$65,4,FALSE),0))</f>
        <v>0</v>
      </c>
      <c r="CY78" s="16">
        <f>IF(CY55=1,VLOOKUP($A78,'[4]Données investissements'!$A$48:$D$65,2,FALSE),IF(CY31&lt;&gt;0,VLOOKUP($A55,'[4]Données investissements'!$A$48:$D$65,4,FALSE),0))</f>
        <v>0</v>
      </c>
      <c r="CZ78" s="16">
        <f>IF(CZ55=1,VLOOKUP($A78,'[4]Données investissements'!$A$48:$D$65,2,FALSE),IF(CZ31&lt;&gt;0,VLOOKUP($A55,'[4]Données investissements'!$A$48:$D$65,4,FALSE),0))</f>
        <v>0</v>
      </c>
      <c r="DA78" s="16">
        <f>IF(DA55=1,VLOOKUP($A78,'[4]Données investissements'!$A$48:$D$65,2,FALSE),IF(DA31&lt;&gt;0,VLOOKUP($A55,'[4]Données investissements'!$A$48:$D$65,4,FALSE),0))</f>
        <v>0</v>
      </c>
      <c r="DB78" s="16">
        <f>IF(DB55=1,VLOOKUP($A78,'[4]Données investissements'!$A$48:$D$65,2,FALSE),IF(DB31&lt;&gt;0,VLOOKUP($A55,'[4]Données investissements'!$A$48:$D$65,4,FALSE),0))</f>
        <v>0</v>
      </c>
      <c r="DC78" s="16">
        <f>IF(DC55=1,VLOOKUP($A78,'[4]Données investissements'!$A$48:$D$65,2,FALSE),IF(DC31&lt;&gt;0,VLOOKUP($A55,'[4]Données investissements'!$A$48:$D$65,4,FALSE),0))</f>
        <v>0</v>
      </c>
      <c r="DD78" s="16">
        <f>IF(DD55=1,VLOOKUP($A78,'[4]Données investissements'!$A$48:$D$65,2,FALSE),IF(DD31&lt;&gt;0,VLOOKUP($A55,'[4]Données investissements'!$A$48:$D$65,4,FALSE),0))</f>
        <v>0</v>
      </c>
      <c r="DE78" s="16">
        <f>IF(DE55=1,VLOOKUP($A78,'[4]Données investissements'!$A$48:$D$65,2,FALSE),IF(DE31&lt;&gt;0,VLOOKUP($A55,'[4]Données investissements'!$A$48:$D$65,4,FALSE),0))</f>
        <v>0</v>
      </c>
      <c r="DF78" s="16">
        <f>IF(DF55=1,VLOOKUP($A78,'[4]Données investissements'!$A$48:$D$65,2,FALSE),IF(DF31&lt;&gt;0,VLOOKUP($A55,'[4]Données investissements'!$A$48:$D$65,4,FALSE),0))</f>
        <v>0</v>
      </c>
    </row>
    <row r="79" spans="1:110" ht="12.75" hidden="1" customHeight="1" x14ac:dyDescent="0.2">
      <c r="A79" s="15" t="str">
        <f t="shared" si="40"/>
        <v>2ème four VAR :</v>
      </c>
      <c r="B79" s="16">
        <f t="shared" si="40"/>
        <v>2.6</v>
      </c>
      <c r="C79" s="16">
        <f>IF(C56=1,VLOOKUP($A79,'[4]Données investissements'!$A$48:$D$65,2,FALSE),IF(C32&lt;&gt;0,VLOOKUP($A56,'[4]Données investissements'!$A$48:$D$65,4,FALSE),0))</f>
        <v>0</v>
      </c>
      <c r="D79" s="16">
        <f>IF(D56=1,VLOOKUP($A79,'[4]Données investissements'!$A$48:$D$65,2,FALSE),IF(D32&lt;&gt;0,VLOOKUP($A56,'[4]Données investissements'!$A$48:$D$65,4,FALSE),0))</f>
        <v>0</v>
      </c>
      <c r="E79" s="16">
        <f>IF(E56=1,VLOOKUP($A79,'[4]Données investissements'!$A$48:$D$65,2,FALSE),IF(E32&lt;&gt;0,VLOOKUP($A56,'[4]Données investissements'!$A$48:$D$65,4,FALSE),0))</f>
        <v>0</v>
      </c>
      <c r="F79" s="16">
        <f>IF(F56=1,VLOOKUP($A79,'[4]Données investissements'!$A$48:$D$65,2,FALSE),IF(F32&lt;&gt;0,VLOOKUP($A56,'[4]Données investissements'!$A$48:$D$65,4,FALSE),0))</f>
        <v>0</v>
      </c>
      <c r="G79" s="16">
        <f>IF(G56=1,VLOOKUP($A79,'[4]Données investissements'!$A$48:$D$65,2,FALSE),IF(G32&lt;&gt;0,VLOOKUP($A56,'[4]Données investissements'!$A$48:$D$65,4,FALSE),0))</f>
        <v>0</v>
      </c>
      <c r="H79" s="16">
        <f>IF(H56=1,VLOOKUP($A79,'[4]Données investissements'!$A$48:$D$65,2,FALSE),IF(H32&lt;&gt;0,VLOOKUP($A56,'[4]Données investissements'!$A$48:$D$65,4,FALSE),0))</f>
        <v>0</v>
      </c>
      <c r="I79" s="16">
        <f>IF(I56=1,VLOOKUP($A79,'[4]Données investissements'!$A$48:$D$65,2,FALSE),IF(I32&lt;&gt;0,VLOOKUP($A56,'[4]Données investissements'!$A$48:$D$65,4,FALSE),0))</f>
        <v>0</v>
      </c>
      <c r="J79" s="16">
        <f>IF(J56=1,VLOOKUP($A79,'[4]Données investissements'!$A$48:$D$65,2,FALSE),IF(J32&lt;&gt;0,VLOOKUP($A56,'[4]Données investissements'!$A$48:$D$65,4,FALSE),0))</f>
        <v>0</v>
      </c>
      <c r="K79" s="16">
        <f>IF(K56=1,VLOOKUP($A79,'[4]Données investissements'!$A$48:$D$65,2,FALSE),IF(K32&lt;&gt;0,VLOOKUP($A56,'[4]Données investissements'!$A$48:$D$65,4,FALSE),0))</f>
        <v>0</v>
      </c>
      <c r="L79" s="16">
        <f>IF(L56=1,VLOOKUP($A79,'[4]Données investissements'!$A$48:$D$65,2,FALSE),IF(L32&lt;&gt;0,VLOOKUP($A56,'[4]Données investissements'!$A$48:$D$65,4,FALSE),0))</f>
        <v>0</v>
      </c>
      <c r="M79" s="16">
        <f>IF(M56=1,VLOOKUP($A79,'[4]Données investissements'!$A$48:$D$65,2,FALSE),IF(M32&lt;&gt;0,VLOOKUP($A56,'[4]Données investissements'!$A$48:$D$65,4,FALSE),0))</f>
        <v>0</v>
      </c>
      <c r="N79" s="16">
        <f>IF(N56=1,VLOOKUP($A79,'[4]Données investissements'!$A$48:$D$65,2,FALSE),IF(N32&lt;&gt;0,VLOOKUP($A56,'[4]Données investissements'!$A$48:$D$65,4,FALSE),0))</f>
        <v>0</v>
      </c>
      <c r="O79" s="16">
        <f>IF(O56=1,VLOOKUP($A79,'[4]Données investissements'!$A$48:$D$65,2,FALSE),IF(O32&lt;&gt;0,VLOOKUP($A56,'[4]Données investissements'!$A$48:$D$65,4,FALSE),0))</f>
        <v>0</v>
      </c>
      <c r="P79" s="16">
        <f>IF(P56=1,VLOOKUP($A79,'[4]Données investissements'!$A$48:$D$65,2,FALSE),IF(P32&lt;&gt;0,VLOOKUP($A56,'[4]Données investissements'!$A$48:$D$65,4,FALSE),0))</f>
        <v>0</v>
      </c>
      <c r="Q79" s="16">
        <f>IF(Q56=1,VLOOKUP($A79,'[4]Données investissements'!$A$48:$D$65,2,FALSE),IF(Q32&lt;&gt;0,VLOOKUP($A56,'[4]Données investissements'!$A$48:$D$65,4,FALSE),0))</f>
        <v>0</v>
      </c>
      <c r="R79" s="16">
        <f>IF(R56=1,VLOOKUP($A79,'[4]Données investissements'!$A$48:$D$65,2,FALSE),IF(R32&lt;&gt;0,VLOOKUP($A56,'[4]Données investissements'!$A$48:$D$65,4,FALSE),0))</f>
        <v>0</v>
      </c>
      <c r="S79" s="16">
        <f>IF(S56=1,VLOOKUP($A79,'[4]Données investissements'!$A$48:$D$65,2,FALSE),IF(S32&lt;&gt;0,VLOOKUP($A56,'[4]Données investissements'!$A$48:$D$65,4,FALSE),0))</f>
        <v>0</v>
      </c>
      <c r="T79" s="16">
        <f>IF(T56=1,VLOOKUP($A79,'[4]Données investissements'!$A$48:$D$65,2,FALSE),IF(T32&lt;&gt;0,VLOOKUP($A56,'[4]Données investissements'!$A$48:$D$65,4,FALSE),0))</f>
        <v>0</v>
      </c>
      <c r="U79" s="16">
        <f>IF(U56=1,VLOOKUP($A79,'[4]Données investissements'!$A$48:$D$65,2,FALSE),IF(U32&lt;&gt;0,VLOOKUP($A56,'[4]Données investissements'!$A$48:$D$65,4,FALSE),0))</f>
        <v>0</v>
      </c>
      <c r="V79" s="16">
        <f>IF(V56=1,VLOOKUP($A79,'[4]Données investissements'!$A$48:$D$65,2,FALSE),IF(V32&lt;&gt;0,VLOOKUP($A56,'[4]Données investissements'!$A$48:$D$65,4,FALSE),0))</f>
        <v>0</v>
      </c>
      <c r="W79" s="16">
        <f>IF(W56=1,VLOOKUP($A79,'[4]Données investissements'!$A$48:$D$65,2,FALSE),IF(W32&lt;&gt;0,VLOOKUP($A56,'[4]Données investissements'!$A$48:$D$65,4,FALSE),0))</f>
        <v>0</v>
      </c>
      <c r="X79" s="16">
        <f>IF(X56=1,VLOOKUP($A79,'[4]Données investissements'!$A$48:$D$65,2,FALSE),IF(X32&lt;&gt;0,VLOOKUP($A56,'[4]Données investissements'!$A$48:$D$65,4,FALSE),0))</f>
        <v>0</v>
      </c>
      <c r="Y79" s="16">
        <f>IF(Y56=1,VLOOKUP($A79,'[4]Données investissements'!$A$48:$D$65,2,FALSE),IF(Y32&lt;&gt;0,VLOOKUP($A56,'[4]Données investissements'!$A$48:$D$65,4,FALSE),0))</f>
        <v>0</v>
      </c>
      <c r="Z79" s="16">
        <f>IF(Z56=1,VLOOKUP($A79,'[4]Données investissements'!$A$48:$D$65,2,FALSE),IF(Z32&lt;&gt;0,VLOOKUP($A56,'[4]Données investissements'!$A$48:$D$65,4,FALSE),0))</f>
        <v>0</v>
      </c>
      <c r="AA79" s="16">
        <f>IF(AA56=1,VLOOKUP($A79,'[4]Données investissements'!$A$48:$D$65,2,FALSE),IF(AA32&lt;&gt;0,VLOOKUP($A56,'[4]Données investissements'!$A$48:$D$65,4,FALSE),0))</f>
        <v>0</v>
      </c>
      <c r="AB79" s="16">
        <f>IF(AB56=1,VLOOKUP($A79,'[4]Données investissements'!$A$48:$D$65,2,FALSE),IF(AB32&lt;&gt;0,VLOOKUP($A56,'[4]Données investissements'!$A$48:$D$65,4,FALSE),0))</f>
        <v>0</v>
      </c>
      <c r="AC79" s="16">
        <f>IF(AC56=1,VLOOKUP($A79,'[4]Données investissements'!$A$48:$D$65,2,FALSE),IF(AC32&lt;&gt;0,VLOOKUP($A56,'[4]Données investissements'!$A$48:$D$65,4,FALSE),0))</f>
        <v>0</v>
      </c>
      <c r="AD79" s="16">
        <f>IF(AD56=1,VLOOKUP($A79,'[4]Données investissements'!$A$48:$D$65,2,FALSE),IF(AD32&lt;&gt;0,VLOOKUP($A56,'[4]Données investissements'!$A$48:$D$65,4,FALSE),0))</f>
        <v>0</v>
      </c>
      <c r="AE79" s="16">
        <f>IF(AE56=1,VLOOKUP($A79,'[4]Données investissements'!$A$48:$D$65,2,FALSE),IF(AE32&lt;&gt;0,VLOOKUP($A56,'[4]Données investissements'!$A$48:$D$65,4,FALSE),0))</f>
        <v>0</v>
      </c>
      <c r="AF79" s="16">
        <f>IF(AF56=1,VLOOKUP($A79,'[4]Données investissements'!$A$48:$D$65,2,FALSE),IF(AF32&lt;&gt;0,VLOOKUP($A56,'[4]Données investissements'!$A$48:$D$65,4,FALSE),0))</f>
        <v>0</v>
      </c>
      <c r="AG79" s="16">
        <f>IF(AG56=1,VLOOKUP($A79,'[4]Données investissements'!$A$48:$D$65,2,FALSE),IF(AG32&lt;&gt;0,VLOOKUP($A56,'[4]Données investissements'!$A$48:$D$65,4,FALSE),0))</f>
        <v>0</v>
      </c>
      <c r="AH79" s="16">
        <f>IF(AH56=1,VLOOKUP($A79,'[4]Données investissements'!$A$48:$D$65,2,FALSE),IF(AH32&lt;&gt;0,VLOOKUP($A56,'[4]Données investissements'!$A$48:$D$65,4,FALSE),0))</f>
        <v>0</v>
      </c>
      <c r="AI79" s="16">
        <f>IF(AI56=1,VLOOKUP($A79,'[4]Données investissements'!$A$48:$D$65,2,FALSE),IF(AI32&lt;&gt;0,VLOOKUP($A56,'[4]Données investissements'!$A$48:$D$65,4,FALSE),0))</f>
        <v>0</v>
      </c>
      <c r="AJ79" s="16">
        <f>IF(AJ56=1,VLOOKUP($A79,'[4]Données investissements'!$A$48:$D$65,2,FALSE),IF(AJ32&lt;&gt;0,VLOOKUP($A56,'[4]Données investissements'!$A$48:$D$65,4,FALSE),0))</f>
        <v>0</v>
      </c>
      <c r="AK79" s="16">
        <f>IF(AK56=1,VLOOKUP($A79,'[4]Données investissements'!$A$48:$D$65,2,FALSE),IF(AK32&lt;&gt;0,VLOOKUP($A56,'[4]Données investissements'!$A$48:$D$65,4,FALSE),0))</f>
        <v>0</v>
      </c>
      <c r="AL79" s="16">
        <f>IF(AL56=1,VLOOKUP($A79,'[4]Données investissements'!$A$48:$D$65,2,FALSE),IF(AL32&lt;&gt;0,VLOOKUP($A56,'[4]Données investissements'!$A$48:$D$65,4,FALSE),0))</f>
        <v>0</v>
      </c>
      <c r="AM79" s="16">
        <f>IF(AM56=1,VLOOKUP($A79,'[4]Données investissements'!$A$48:$D$65,2,FALSE),IF(AM32&lt;&gt;0,VLOOKUP($A56,'[4]Données investissements'!$A$48:$D$65,4,FALSE),0))</f>
        <v>0</v>
      </c>
      <c r="AN79" s="16">
        <f>IF(AN56=1,VLOOKUP($A79,'[4]Données investissements'!$A$48:$D$65,2,FALSE),IF(AN32&lt;&gt;0,VLOOKUP($A56,'[4]Données investissements'!$A$48:$D$65,4,FALSE),0))</f>
        <v>0</v>
      </c>
      <c r="AO79" s="16">
        <f>IF(AO56=1,VLOOKUP($A79,'[4]Données investissements'!$A$48:$D$65,2,FALSE),IF(AO32&lt;&gt;0,VLOOKUP($A56,'[4]Données investissements'!$A$48:$D$65,4,FALSE),0))</f>
        <v>0</v>
      </c>
      <c r="AP79" s="16">
        <f>IF(AP56=1,VLOOKUP($A79,'[4]Données investissements'!$A$48:$D$65,2,FALSE),IF(AP32&lt;&gt;0,VLOOKUP($A56,'[4]Données investissements'!$A$48:$D$65,4,FALSE),0))</f>
        <v>0</v>
      </c>
      <c r="AQ79" s="16">
        <f>IF(AQ56=1,VLOOKUP($A79,'[4]Données investissements'!$A$48:$D$65,2,FALSE),IF(AQ32&lt;&gt;0,VLOOKUP($A56,'[4]Données investissements'!$A$48:$D$65,4,FALSE),0))</f>
        <v>0</v>
      </c>
      <c r="AR79" s="16">
        <f>IF(AR56=1,VLOOKUP($A79,'[4]Données investissements'!$A$48:$D$65,2,FALSE),IF(AR32&lt;&gt;0,VLOOKUP($A56,'[4]Données investissements'!$A$48:$D$65,4,FALSE),0))</f>
        <v>0</v>
      </c>
      <c r="AS79" s="16">
        <f>IF(AS56=1,VLOOKUP($A79,'[4]Données investissements'!$A$48:$D$65,2,FALSE),IF(AS32&lt;&gt;0,VLOOKUP($A56,'[4]Données investissements'!$A$48:$D$65,4,FALSE),0))</f>
        <v>0</v>
      </c>
      <c r="AT79" s="16">
        <f>IF(AT56=1,VLOOKUP($A79,'[4]Données investissements'!$A$48:$D$65,2,FALSE),IF(AT32&lt;&gt;0,VLOOKUP($A56,'[4]Données investissements'!$A$48:$D$65,4,FALSE),0))</f>
        <v>0</v>
      </c>
      <c r="AU79" s="16">
        <f>IF(AU56=1,VLOOKUP($A79,'[4]Données investissements'!$A$48:$D$65,2,FALSE),IF(AU32&lt;&gt;0,VLOOKUP($A56,'[4]Données investissements'!$A$48:$D$65,4,FALSE),0))</f>
        <v>0</v>
      </c>
      <c r="AV79" s="16">
        <f>IF(AV56=1,VLOOKUP($A79,'[4]Données investissements'!$A$48:$D$65,2,FALSE),IF(AV32&lt;&gt;0,VLOOKUP($A56,'[4]Données investissements'!$A$48:$D$65,4,FALSE),0))</f>
        <v>1</v>
      </c>
      <c r="AW79" s="16">
        <f>IF(AW56=1,VLOOKUP($A79,'[4]Données investissements'!$A$48:$D$65,2,FALSE),IF(AW32&lt;&gt;0,VLOOKUP($A56,'[4]Données investissements'!$A$48:$D$65,4,FALSE),0))</f>
        <v>0</v>
      </c>
      <c r="AX79" s="16">
        <f>IF(AX56=1,VLOOKUP($A79,'[4]Données investissements'!$A$48:$D$65,2,FALSE),IF(AX32&lt;&gt;0,VLOOKUP($A56,'[4]Données investissements'!$A$48:$D$65,4,FALSE),0))</f>
        <v>2</v>
      </c>
      <c r="AY79" s="16">
        <f>IF(AY56=1,VLOOKUP($A79,'[4]Données investissements'!$A$48:$D$65,2,FALSE),IF(AY32&lt;&gt;0,VLOOKUP($A56,'[4]Données investissements'!$A$48:$D$65,4,FALSE),0))</f>
        <v>0</v>
      </c>
      <c r="AZ79" s="16">
        <f>IF(AZ56=1,VLOOKUP($A79,'[4]Données investissements'!$A$48:$D$65,2,FALSE),IF(AZ32&lt;&gt;0,VLOOKUP($A56,'[4]Données investissements'!$A$48:$D$65,4,FALSE),0))</f>
        <v>0</v>
      </c>
      <c r="BA79" s="16">
        <f>IF(BA56=1,VLOOKUP($A79,'[4]Données investissements'!$A$48:$D$65,2,FALSE),IF(BA32&lt;&gt;0,VLOOKUP($A56,'[4]Données investissements'!$A$48:$D$65,4,FALSE),0))</f>
        <v>0</v>
      </c>
      <c r="BB79" s="16">
        <f>IF(BB56=1,VLOOKUP($A79,'[4]Données investissements'!$A$48:$D$65,2,FALSE),IF(BB32&lt;&gt;0,VLOOKUP($A56,'[4]Données investissements'!$A$48:$D$65,4,FALSE),0))</f>
        <v>0</v>
      </c>
      <c r="BC79" s="16">
        <f>IF(BC56=1,VLOOKUP($A79,'[4]Données investissements'!$A$48:$D$65,2,FALSE),IF(BC32&lt;&gt;0,VLOOKUP($A56,'[4]Données investissements'!$A$48:$D$65,4,FALSE),0))</f>
        <v>0</v>
      </c>
      <c r="BD79" s="16">
        <f>IF(BD56=1,VLOOKUP($A79,'[4]Données investissements'!$A$48:$D$65,2,FALSE),IF(BD32&lt;&gt;0,VLOOKUP($A56,'[4]Données investissements'!$A$48:$D$65,4,FALSE),0))</f>
        <v>0</v>
      </c>
      <c r="BE79" s="16">
        <f>IF(BE56=1,VLOOKUP($A79,'[4]Données investissements'!$A$48:$D$65,2,FALSE),IF(BE32&lt;&gt;0,VLOOKUP($A56,'[4]Données investissements'!$A$48:$D$65,4,FALSE),0))</f>
        <v>2</v>
      </c>
      <c r="BF79" s="16">
        <f>IF(BF56=1,VLOOKUP($A79,'[4]Données investissements'!$A$48:$D$65,2,FALSE),IF(BF32&lt;&gt;0,VLOOKUP($A56,'[4]Données investissements'!$A$48:$D$65,4,FALSE),0))</f>
        <v>0</v>
      </c>
      <c r="BG79" s="16">
        <f>IF(BG56=1,VLOOKUP($A79,'[4]Données investissements'!$A$48:$D$65,2,FALSE),IF(BG32&lt;&gt;0,VLOOKUP($A56,'[4]Données investissements'!$A$48:$D$65,4,FALSE),0))</f>
        <v>2</v>
      </c>
      <c r="BH79" s="16">
        <f>IF(BH56=1,VLOOKUP($A79,'[4]Données investissements'!$A$48:$D$65,2,FALSE),IF(BH32&lt;&gt;0,VLOOKUP($A56,'[4]Données investissements'!$A$48:$D$65,4,FALSE),0))</f>
        <v>0</v>
      </c>
      <c r="BI79" s="16">
        <f>IF(BI56=1,VLOOKUP($A79,'[4]Données investissements'!$A$48:$D$65,2,FALSE),IF(BI32&lt;&gt;0,VLOOKUP($A56,'[4]Données investissements'!$A$48:$D$65,4,FALSE),0))</f>
        <v>0</v>
      </c>
      <c r="BJ79" s="16">
        <f>IF(BJ56=1,VLOOKUP($A79,'[4]Données investissements'!$A$48:$D$65,2,FALSE),IF(BJ32&lt;&gt;0,VLOOKUP($A56,'[4]Données investissements'!$A$48:$D$65,4,FALSE),0))</f>
        <v>0</v>
      </c>
      <c r="BK79" s="16">
        <f>IF(BK56=1,VLOOKUP($A79,'[4]Données investissements'!$A$48:$D$65,2,FALSE),IF(BK32&lt;&gt;0,VLOOKUP($A56,'[4]Données investissements'!$A$48:$D$65,4,FALSE),0))</f>
        <v>0</v>
      </c>
      <c r="BL79" s="16">
        <f>IF(BL56=1,VLOOKUP($A79,'[4]Données investissements'!$A$48:$D$65,2,FALSE),IF(BL32&lt;&gt;0,VLOOKUP($A56,'[4]Données investissements'!$A$48:$D$65,4,FALSE),0))</f>
        <v>2</v>
      </c>
      <c r="BM79" s="16">
        <f>IF(BM56=1,VLOOKUP($A79,'[4]Données investissements'!$A$48:$D$65,2,FALSE),IF(BM32&lt;&gt;0,VLOOKUP($A56,'[4]Données investissements'!$A$48:$D$65,4,FALSE),0))</f>
        <v>0</v>
      </c>
      <c r="BN79" s="16">
        <f>IF(BN56=1,VLOOKUP($A79,'[4]Données investissements'!$A$48:$D$65,2,FALSE),IF(BN32&lt;&gt;0,VLOOKUP($A56,'[4]Données investissements'!$A$48:$D$65,4,FALSE),0))</f>
        <v>0</v>
      </c>
      <c r="BO79" s="16">
        <f>IF(BO56=1,VLOOKUP($A79,'[4]Données investissements'!$A$48:$D$65,2,FALSE),IF(BO32&lt;&gt;0,VLOOKUP($A56,'[4]Données investissements'!$A$48:$D$65,4,FALSE),0))</f>
        <v>2</v>
      </c>
      <c r="BP79" s="16">
        <f>IF(BP56=1,VLOOKUP($A79,'[4]Données investissements'!$A$48:$D$65,2,FALSE),IF(BP32&lt;&gt;0,VLOOKUP($A56,'[4]Données investissements'!$A$48:$D$65,4,FALSE),0))</f>
        <v>0</v>
      </c>
      <c r="BQ79" s="16">
        <f>IF(BQ56=1,VLOOKUP($A79,'[4]Données investissements'!$A$48:$D$65,2,FALSE),IF(BQ32&lt;&gt;0,VLOOKUP($A56,'[4]Données investissements'!$A$48:$D$65,4,FALSE),0))</f>
        <v>0</v>
      </c>
      <c r="BR79" s="16">
        <f>IF(BR56=1,VLOOKUP($A79,'[4]Données investissements'!$A$48:$D$65,2,FALSE),IF(BR32&lt;&gt;0,VLOOKUP($A56,'[4]Données investissements'!$A$48:$D$65,4,FALSE),0))</f>
        <v>0</v>
      </c>
      <c r="BS79" s="16">
        <f>IF(BS56=1,VLOOKUP($A79,'[4]Données investissements'!$A$48:$D$65,2,FALSE),IF(BS32&lt;&gt;0,VLOOKUP($A56,'[4]Données investissements'!$A$48:$D$65,4,FALSE),0))</f>
        <v>0</v>
      </c>
      <c r="BT79" s="16">
        <f>IF(BT56=1,VLOOKUP($A79,'[4]Données investissements'!$A$48:$D$65,2,FALSE),IF(BT32&lt;&gt;0,VLOOKUP($A56,'[4]Données investissements'!$A$48:$D$65,4,FALSE),0))</f>
        <v>0</v>
      </c>
      <c r="BU79" s="16">
        <f>IF(BU56=1,VLOOKUP($A79,'[4]Données investissements'!$A$48:$D$65,2,FALSE),IF(BU32&lt;&gt;0,VLOOKUP($A56,'[4]Données investissements'!$A$48:$D$65,4,FALSE),0))</f>
        <v>0</v>
      </c>
      <c r="BV79" s="16">
        <f>IF(BV56=1,VLOOKUP($A79,'[4]Données investissements'!$A$48:$D$65,2,FALSE),IF(BV32&lt;&gt;0,VLOOKUP($A56,'[4]Données investissements'!$A$48:$D$65,4,FALSE),0))</f>
        <v>0</v>
      </c>
      <c r="BW79" s="16">
        <f>IF(BW56=1,VLOOKUP($A79,'[4]Données investissements'!$A$48:$D$65,2,FALSE),IF(BW32&lt;&gt;0,VLOOKUP($A56,'[4]Données investissements'!$A$48:$D$65,4,FALSE),0))</f>
        <v>0</v>
      </c>
      <c r="BX79" s="16">
        <f>IF(BX56=1,VLOOKUP($A79,'[4]Données investissements'!$A$48:$D$65,2,FALSE),IF(BX32&lt;&gt;0,VLOOKUP($A56,'[4]Données investissements'!$A$48:$D$65,4,FALSE),0))</f>
        <v>0</v>
      </c>
      <c r="BY79" s="16">
        <f>IF(BY56=1,VLOOKUP($A79,'[4]Données investissements'!$A$48:$D$65,2,FALSE),IF(BY32&lt;&gt;0,VLOOKUP($A56,'[4]Données investissements'!$A$48:$D$65,4,FALSE),0))</f>
        <v>0</v>
      </c>
      <c r="BZ79" s="16">
        <f>IF(BZ56=1,VLOOKUP($A79,'[4]Données investissements'!$A$48:$D$65,2,FALSE),IF(BZ32&lt;&gt;0,VLOOKUP($A56,'[4]Données investissements'!$A$48:$D$65,4,FALSE),0))</f>
        <v>0</v>
      </c>
      <c r="CA79" s="16">
        <f>IF(CA56=1,VLOOKUP($A79,'[4]Données investissements'!$A$48:$D$65,2,FALSE),IF(CA32&lt;&gt;0,VLOOKUP($A56,'[4]Données investissements'!$A$48:$D$65,4,FALSE),0))</f>
        <v>2</v>
      </c>
      <c r="CB79" s="16">
        <f>IF(CB56=1,VLOOKUP($A79,'[4]Données investissements'!$A$48:$D$65,2,FALSE),IF(CB32&lt;&gt;0,VLOOKUP($A56,'[4]Données investissements'!$A$48:$D$65,4,FALSE),0))</f>
        <v>0</v>
      </c>
      <c r="CC79" s="16">
        <f>IF(CC56=1,VLOOKUP($A79,'[4]Données investissements'!$A$48:$D$65,2,FALSE),IF(CC32&lt;&gt;0,VLOOKUP($A56,'[4]Données investissements'!$A$48:$D$65,4,FALSE),0))</f>
        <v>0</v>
      </c>
      <c r="CD79" s="16">
        <f>IF(CD56=1,VLOOKUP($A79,'[4]Données investissements'!$A$48:$D$65,2,FALSE),IF(CD32&lt;&gt;0,VLOOKUP($A56,'[4]Données investissements'!$A$48:$D$65,4,FALSE),0))</f>
        <v>0</v>
      </c>
      <c r="CE79" s="16">
        <f>IF(CE56=1,VLOOKUP($A79,'[4]Données investissements'!$A$48:$D$65,2,FALSE),IF(CE32&lt;&gt;0,VLOOKUP($A56,'[4]Données investissements'!$A$48:$D$65,4,FALSE),0))</f>
        <v>0</v>
      </c>
      <c r="CF79" s="16">
        <f>IF(CF56=1,VLOOKUP($A79,'[4]Données investissements'!$A$48:$D$65,2,FALSE),IF(CF32&lt;&gt;0,VLOOKUP($A56,'[4]Données investissements'!$A$48:$D$65,4,FALSE),0))</f>
        <v>0</v>
      </c>
      <c r="CG79" s="16">
        <f>IF(CG56=1,VLOOKUP($A79,'[4]Données investissements'!$A$48:$D$65,2,FALSE),IF(CG32&lt;&gt;0,VLOOKUP($A56,'[4]Données investissements'!$A$48:$D$65,4,FALSE),0))</f>
        <v>0</v>
      </c>
      <c r="CH79" s="16">
        <f>IF(CH56=1,VLOOKUP($A79,'[4]Données investissements'!$A$48:$D$65,2,FALSE),IF(CH32&lt;&gt;0,VLOOKUP($A56,'[4]Données investissements'!$A$48:$D$65,4,FALSE),0))</f>
        <v>0</v>
      </c>
      <c r="CI79" s="16">
        <f>IF(CI56=1,VLOOKUP($A79,'[4]Données investissements'!$A$48:$D$65,2,FALSE),IF(CI32&lt;&gt;0,VLOOKUP($A56,'[4]Données investissements'!$A$48:$D$65,4,FALSE),0))</f>
        <v>0</v>
      </c>
      <c r="CJ79" s="16">
        <f>IF(CJ56=1,VLOOKUP($A79,'[4]Données investissements'!$A$48:$D$65,2,FALSE),IF(CJ32&lt;&gt;0,VLOOKUP($A56,'[4]Données investissements'!$A$48:$D$65,4,FALSE),0))</f>
        <v>0</v>
      </c>
      <c r="CK79" s="16">
        <f>IF(CK56=1,VLOOKUP($A79,'[4]Données investissements'!$A$48:$D$65,2,FALSE),IF(CK32&lt;&gt;0,VLOOKUP($A56,'[4]Données investissements'!$A$48:$D$65,4,FALSE),0))</f>
        <v>0</v>
      </c>
      <c r="CL79" s="16">
        <f>IF(CL56=1,VLOOKUP($A79,'[4]Données investissements'!$A$48:$D$65,2,FALSE),IF(CL32&lt;&gt;0,VLOOKUP($A56,'[4]Données investissements'!$A$48:$D$65,4,FALSE),0))</f>
        <v>0</v>
      </c>
      <c r="CM79" s="16">
        <f>IF(CM56=1,VLOOKUP($A79,'[4]Données investissements'!$A$48:$D$65,2,FALSE),IF(CM32&lt;&gt;0,VLOOKUP($A56,'[4]Données investissements'!$A$48:$D$65,4,FALSE),0))</f>
        <v>0</v>
      </c>
      <c r="CN79" s="16">
        <f>IF(CN56=1,VLOOKUP($A79,'[4]Données investissements'!$A$48:$D$65,2,FALSE),IF(CN32&lt;&gt;0,VLOOKUP($A56,'[4]Données investissements'!$A$48:$D$65,4,FALSE),0))</f>
        <v>0</v>
      </c>
      <c r="CO79" s="16">
        <f>IF(CO56=1,VLOOKUP($A79,'[4]Données investissements'!$A$48:$D$65,2,FALSE),IF(CO32&lt;&gt;0,VLOOKUP($A56,'[4]Données investissements'!$A$48:$D$65,4,FALSE),0))</f>
        <v>0</v>
      </c>
      <c r="CP79" s="16">
        <f>IF(CP56=1,VLOOKUP($A79,'[4]Données investissements'!$A$48:$D$65,2,FALSE),IF(CP32&lt;&gt;0,VLOOKUP($A56,'[4]Données investissements'!$A$48:$D$65,4,FALSE),0))</f>
        <v>0</v>
      </c>
      <c r="CQ79" s="16">
        <f>IF(CQ56=1,VLOOKUP($A79,'[4]Données investissements'!$A$48:$D$65,2,FALSE),IF(CQ32&lt;&gt;0,VLOOKUP($A56,'[4]Données investissements'!$A$48:$D$65,4,FALSE),0))</f>
        <v>0</v>
      </c>
      <c r="CR79" s="16">
        <f>IF(CR56=1,VLOOKUP($A79,'[4]Données investissements'!$A$48:$D$65,2,FALSE),IF(CR32&lt;&gt;0,VLOOKUP($A56,'[4]Données investissements'!$A$48:$D$65,4,FALSE),0))</f>
        <v>0</v>
      </c>
      <c r="CS79" s="16">
        <f>IF(CS56=1,VLOOKUP($A79,'[4]Données investissements'!$A$48:$D$65,2,FALSE),IF(CS32&lt;&gt;0,VLOOKUP($A56,'[4]Données investissements'!$A$48:$D$65,4,FALSE),0))</f>
        <v>0</v>
      </c>
      <c r="CT79" s="16">
        <f>IF(CT56=1,VLOOKUP($A79,'[4]Données investissements'!$A$48:$D$65,2,FALSE),IF(CT32&lt;&gt;0,VLOOKUP($A56,'[4]Données investissements'!$A$48:$D$65,4,FALSE),0))</f>
        <v>0</v>
      </c>
      <c r="CU79" s="16">
        <f>IF(CU56=1,VLOOKUP($A79,'[4]Données investissements'!$A$48:$D$65,2,FALSE),IF(CU32&lt;&gt;0,VLOOKUP($A56,'[4]Données investissements'!$A$48:$D$65,4,FALSE),0))</f>
        <v>0</v>
      </c>
      <c r="CV79" s="16">
        <f>IF(CV56=1,VLOOKUP($A79,'[4]Données investissements'!$A$48:$D$65,2,FALSE),IF(CV32&lt;&gt;0,VLOOKUP($A56,'[4]Données investissements'!$A$48:$D$65,4,FALSE),0))</f>
        <v>0</v>
      </c>
      <c r="CW79" s="16">
        <f>IF(CW56=1,VLOOKUP($A79,'[4]Données investissements'!$A$48:$D$65,2,FALSE),IF(CW32&lt;&gt;0,VLOOKUP($A56,'[4]Données investissements'!$A$48:$D$65,4,FALSE),0))</f>
        <v>0</v>
      </c>
      <c r="CX79" s="16">
        <f>IF(CX56=1,VLOOKUP($A79,'[4]Données investissements'!$A$48:$D$65,2,FALSE),IF(CX32&lt;&gt;0,VLOOKUP($A56,'[4]Données investissements'!$A$48:$D$65,4,FALSE),0))</f>
        <v>0</v>
      </c>
      <c r="CY79" s="16">
        <f>IF(CY56=1,VLOOKUP($A79,'[4]Données investissements'!$A$48:$D$65,2,FALSE),IF(CY32&lt;&gt;0,VLOOKUP($A56,'[4]Données investissements'!$A$48:$D$65,4,FALSE),0))</f>
        <v>0</v>
      </c>
      <c r="CZ79" s="16">
        <f>IF(CZ56=1,VLOOKUP($A79,'[4]Données investissements'!$A$48:$D$65,2,FALSE),IF(CZ32&lt;&gt;0,VLOOKUP($A56,'[4]Données investissements'!$A$48:$D$65,4,FALSE),0))</f>
        <v>0</v>
      </c>
      <c r="DA79" s="16">
        <f>IF(DA56=1,VLOOKUP($A79,'[4]Données investissements'!$A$48:$D$65,2,FALSE),IF(DA32&lt;&gt;0,VLOOKUP($A56,'[4]Données investissements'!$A$48:$D$65,4,FALSE),0))</f>
        <v>0</v>
      </c>
      <c r="DB79" s="16">
        <f>IF(DB56=1,VLOOKUP($A79,'[4]Données investissements'!$A$48:$D$65,2,FALSE),IF(DB32&lt;&gt;0,VLOOKUP($A56,'[4]Données investissements'!$A$48:$D$65,4,FALSE),0))</f>
        <v>0</v>
      </c>
      <c r="DC79" s="16">
        <f>IF(DC56=1,VLOOKUP($A79,'[4]Données investissements'!$A$48:$D$65,2,FALSE),IF(DC32&lt;&gt;0,VLOOKUP($A56,'[4]Données investissements'!$A$48:$D$65,4,FALSE),0))</f>
        <v>0</v>
      </c>
      <c r="DD79" s="16">
        <f>IF(DD56=1,VLOOKUP($A79,'[4]Données investissements'!$A$48:$D$65,2,FALSE),IF(DD32&lt;&gt;0,VLOOKUP($A56,'[4]Données investissements'!$A$48:$D$65,4,FALSE),0))</f>
        <v>0</v>
      </c>
      <c r="DE79" s="16">
        <f>IF(DE56=1,VLOOKUP($A79,'[4]Données investissements'!$A$48:$D$65,2,FALSE),IF(DE32&lt;&gt;0,VLOOKUP($A56,'[4]Données investissements'!$A$48:$D$65,4,FALSE),0))</f>
        <v>0</v>
      </c>
      <c r="DF79" s="16">
        <f>IF(DF56=1,VLOOKUP($A79,'[4]Données investissements'!$A$48:$D$65,2,FALSE),IF(DF32&lt;&gt;0,VLOOKUP($A56,'[4]Données investissements'!$A$48:$D$65,4,FALSE),0))</f>
        <v>0</v>
      </c>
    </row>
    <row r="80" spans="1:110" ht="12.75" hidden="1" customHeight="1" x14ac:dyDescent="0.2">
      <c r="A80" s="15" t="str">
        <f t="shared" si="40"/>
        <v>Annexe VAR : nettoyage haute pression</v>
      </c>
      <c r="B80" s="16">
        <f t="shared" si="40"/>
        <v>0.28999999999999998</v>
      </c>
      <c r="C80" s="16">
        <f>IF(C57=1,VLOOKUP($A80,'[4]Données investissements'!$A$48:$D$65,2,FALSE),IF(C33&lt;&gt;0,VLOOKUP($A57,'[4]Données investissements'!$A$48:$D$65,4,FALSE),0))</f>
        <v>0</v>
      </c>
      <c r="D80" s="16">
        <f>IF(D57=1,VLOOKUP($A80,'[4]Données investissements'!$A$48:$D$65,2,FALSE),IF(D33&lt;&gt;0,VLOOKUP($A57,'[4]Données investissements'!$A$48:$D$65,4,FALSE),0))</f>
        <v>0</v>
      </c>
      <c r="E80" s="16">
        <f>IF(E57=1,VLOOKUP($A80,'[4]Données investissements'!$A$48:$D$65,2,FALSE),IF(E33&lt;&gt;0,VLOOKUP($A57,'[4]Données investissements'!$A$48:$D$65,4,FALSE),0))</f>
        <v>0</v>
      </c>
      <c r="F80" s="16">
        <f>IF(F57=1,VLOOKUP($A80,'[4]Données investissements'!$A$48:$D$65,2,FALSE),IF(F33&lt;&gt;0,VLOOKUP($A57,'[4]Données investissements'!$A$48:$D$65,4,FALSE),0))</f>
        <v>0</v>
      </c>
      <c r="G80" s="16">
        <f>IF(G57=1,VLOOKUP($A80,'[4]Données investissements'!$A$48:$D$65,2,FALSE),IF(G33&lt;&gt;0,VLOOKUP($A57,'[4]Données investissements'!$A$48:$D$65,4,FALSE),0))</f>
        <v>0</v>
      </c>
      <c r="H80" s="16">
        <f>IF(H57=1,VLOOKUP($A80,'[4]Données investissements'!$A$48:$D$65,2,FALSE),IF(H33&lt;&gt;0,VLOOKUP($A57,'[4]Données investissements'!$A$48:$D$65,4,FALSE),0))</f>
        <v>0</v>
      </c>
      <c r="I80" s="16">
        <f>IF(I57=1,VLOOKUP($A80,'[4]Données investissements'!$A$48:$D$65,2,FALSE),IF(I33&lt;&gt;0,VLOOKUP($A57,'[4]Données investissements'!$A$48:$D$65,4,FALSE),0))</f>
        <v>0</v>
      </c>
      <c r="J80" s="16">
        <f>IF(J57=1,VLOOKUP($A80,'[4]Données investissements'!$A$48:$D$65,2,FALSE),IF(J33&lt;&gt;0,VLOOKUP($A57,'[4]Données investissements'!$A$48:$D$65,4,FALSE),0))</f>
        <v>0</v>
      </c>
      <c r="K80" s="16">
        <f>IF(K57=1,VLOOKUP($A80,'[4]Données investissements'!$A$48:$D$65,2,FALSE),IF(K33&lt;&gt;0,VLOOKUP($A57,'[4]Données investissements'!$A$48:$D$65,4,FALSE),0))</f>
        <v>0</v>
      </c>
      <c r="L80" s="16">
        <f>IF(L57=1,VLOOKUP($A80,'[4]Données investissements'!$A$48:$D$65,2,FALSE),IF(L33&lt;&gt;0,VLOOKUP($A57,'[4]Données investissements'!$A$48:$D$65,4,FALSE),0))</f>
        <v>0</v>
      </c>
      <c r="M80" s="16">
        <f>IF(M57=1,VLOOKUP($A80,'[4]Données investissements'!$A$48:$D$65,2,FALSE),IF(M33&lt;&gt;0,VLOOKUP($A57,'[4]Données investissements'!$A$48:$D$65,4,FALSE),0))</f>
        <v>0</v>
      </c>
      <c r="N80" s="16">
        <f>IF(N57=1,VLOOKUP($A80,'[4]Données investissements'!$A$48:$D$65,2,FALSE),IF(N33&lt;&gt;0,VLOOKUP($A57,'[4]Données investissements'!$A$48:$D$65,4,FALSE),0))</f>
        <v>0</v>
      </c>
      <c r="O80" s="16">
        <f>IF(O57=1,VLOOKUP($A80,'[4]Données investissements'!$A$48:$D$65,2,FALSE),IF(O33&lt;&gt;0,VLOOKUP($A57,'[4]Données investissements'!$A$48:$D$65,4,FALSE),0))</f>
        <v>0</v>
      </c>
      <c r="P80" s="16">
        <f>IF(P57=1,VLOOKUP($A80,'[4]Données investissements'!$A$48:$D$65,2,FALSE),IF(P33&lt;&gt;0,VLOOKUP($A57,'[4]Données investissements'!$A$48:$D$65,4,FALSE),0))</f>
        <v>0</v>
      </c>
      <c r="Q80" s="16">
        <f>IF(Q57=1,VLOOKUP($A80,'[4]Données investissements'!$A$48:$D$65,2,FALSE),IF(Q33&lt;&gt;0,VLOOKUP($A57,'[4]Données investissements'!$A$48:$D$65,4,FALSE),0))</f>
        <v>0</v>
      </c>
      <c r="R80" s="16">
        <f>IF(R57=1,VLOOKUP($A80,'[4]Données investissements'!$A$48:$D$65,2,FALSE),IF(R33&lt;&gt;0,VLOOKUP($A57,'[4]Données investissements'!$A$48:$D$65,4,FALSE),0))</f>
        <v>1</v>
      </c>
      <c r="S80" s="16">
        <f>IF(S57=1,VLOOKUP($A80,'[4]Données investissements'!$A$48:$D$65,2,FALSE),IF(S33&lt;&gt;0,VLOOKUP($A57,'[4]Données investissements'!$A$48:$D$65,4,FALSE),0))</f>
        <v>2</v>
      </c>
      <c r="T80" s="16">
        <f>IF(T57=1,VLOOKUP($A80,'[4]Données investissements'!$A$48:$D$65,2,FALSE),IF(T33&lt;&gt;0,VLOOKUP($A57,'[4]Données investissements'!$A$48:$D$65,4,FALSE),0))</f>
        <v>0</v>
      </c>
      <c r="U80" s="16">
        <f>IF(U57=1,VLOOKUP($A80,'[4]Données investissements'!$A$48:$D$65,2,FALSE),IF(U33&lt;&gt;0,VLOOKUP($A57,'[4]Données investissements'!$A$48:$D$65,4,FALSE),0))</f>
        <v>0</v>
      </c>
      <c r="V80" s="16">
        <f>IF(V57=1,VLOOKUP($A80,'[4]Données investissements'!$A$48:$D$65,2,FALSE),IF(V33&lt;&gt;0,VLOOKUP($A57,'[4]Données investissements'!$A$48:$D$65,4,FALSE),0))</f>
        <v>0</v>
      </c>
      <c r="W80" s="16">
        <f>IF(W57=1,VLOOKUP($A80,'[4]Données investissements'!$A$48:$D$65,2,FALSE),IF(W33&lt;&gt;0,VLOOKUP($A57,'[4]Données investissements'!$A$48:$D$65,4,FALSE),0))</f>
        <v>0</v>
      </c>
      <c r="X80" s="16">
        <f>IF(X57=1,VLOOKUP($A80,'[4]Données investissements'!$A$48:$D$65,2,FALSE),IF(X33&lt;&gt;0,VLOOKUP($A57,'[4]Données investissements'!$A$48:$D$65,4,FALSE),0))</f>
        <v>0</v>
      </c>
      <c r="Y80" s="16">
        <f>IF(Y57=1,VLOOKUP($A80,'[4]Données investissements'!$A$48:$D$65,2,FALSE),IF(Y33&lt;&gt;0,VLOOKUP($A57,'[4]Données investissements'!$A$48:$D$65,4,FALSE),0))</f>
        <v>0</v>
      </c>
      <c r="Z80" s="16">
        <f>IF(Z57=1,VLOOKUP($A80,'[4]Données investissements'!$A$48:$D$65,2,FALSE),IF(Z33&lt;&gt;0,VLOOKUP($A57,'[4]Données investissements'!$A$48:$D$65,4,FALSE),0))</f>
        <v>2</v>
      </c>
      <c r="AA80" s="16">
        <f>IF(AA57=1,VLOOKUP($A80,'[4]Données investissements'!$A$48:$D$65,2,FALSE),IF(AA33&lt;&gt;0,VLOOKUP($A57,'[4]Données investissements'!$A$48:$D$65,4,FALSE),0))</f>
        <v>2</v>
      </c>
      <c r="AB80" s="16">
        <f>IF(AB57=1,VLOOKUP($A80,'[4]Données investissements'!$A$48:$D$65,2,FALSE),IF(AB33&lt;&gt;0,VLOOKUP($A57,'[4]Données investissements'!$A$48:$D$65,4,FALSE),0))</f>
        <v>2</v>
      </c>
      <c r="AC80" s="16">
        <f>IF(AC57=1,VLOOKUP($A80,'[4]Données investissements'!$A$48:$D$65,2,FALSE),IF(AC33&lt;&gt;0,VLOOKUP($A57,'[4]Données investissements'!$A$48:$D$65,4,FALSE),0))</f>
        <v>0</v>
      </c>
      <c r="AD80" s="16">
        <f>IF(AD57=1,VLOOKUP($A80,'[4]Données investissements'!$A$48:$D$65,2,FALSE),IF(AD33&lt;&gt;0,VLOOKUP($A57,'[4]Données investissements'!$A$48:$D$65,4,FALSE),0))</f>
        <v>2</v>
      </c>
      <c r="AE80" s="16">
        <f>IF(AE57=1,VLOOKUP($A80,'[4]Données investissements'!$A$48:$D$65,2,FALSE),IF(AE33&lt;&gt;0,VLOOKUP($A57,'[4]Données investissements'!$A$48:$D$65,4,FALSE),0))</f>
        <v>0</v>
      </c>
      <c r="AF80" s="16">
        <f>IF(AF57=1,VLOOKUP($A80,'[4]Données investissements'!$A$48:$D$65,2,FALSE),IF(AF33&lt;&gt;0,VLOOKUP($A57,'[4]Données investissements'!$A$48:$D$65,4,FALSE),0))</f>
        <v>0</v>
      </c>
      <c r="AG80" s="16">
        <f>IF(AG57=1,VLOOKUP($A80,'[4]Données investissements'!$A$48:$D$65,2,FALSE),IF(AG33&lt;&gt;0,VLOOKUP($A57,'[4]Données investissements'!$A$48:$D$65,4,FALSE),0))</f>
        <v>0</v>
      </c>
      <c r="AH80" s="16">
        <f>IF(AH57=1,VLOOKUP($A80,'[4]Données investissements'!$A$48:$D$65,2,FALSE),IF(AH33&lt;&gt;0,VLOOKUP($A57,'[4]Données investissements'!$A$48:$D$65,4,FALSE),0))</f>
        <v>0</v>
      </c>
      <c r="AI80" s="16">
        <f>IF(AI57=1,VLOOKUP($A80,'[4]Données investissements'!$A$48:$D$65,2,FALSE),IF(AI33&lt;&gt;0,VLOOKUP($A57,'[4]Données investissements'!$A$48:$D$65,4,FALSE),0))</f>
        <v>0</v>
      </c>
      <c r="AJ80" s="16">
        <f>IF(AJ57=1,VLOOKUP($A80,'[4]Données investissements'!$A$48:$D$65,2,FALSE),IF(AJ33&lt;&gt;0,VLOOKUP($A57,'[4]Données investissements'!$A$48:$D$65,4,FALSE),0))</f>
        <v>0</v>
      </c>
      <c r="AK80" s="16">
        <f>IF(AK57=1,VLOOKUP($A80,'[4]Données investissements'!$A$48:$D$65,2,FALSE),IF(AK33&lt;&gt;0,VLOOKUP($A57,'[4]Données investissements'!$A$48:$D$65,4,FALSE),0))</f>
        <v>0</v>
      </c>
      <c r="AL80" s="16">
        <f>IF(AL57=1,VLOOKUP($A80,'[4]Données investissements'!$A$48:$D$65,2,FALSE),IF(AL33&lt;&gt;0,VLOOKUP($A57,'[4]Données investissements'!$A$48:$D$65,4,FALSE),0))</f>
        <v>0</v>
      </c>
      <c r="AM80" s="16">
        <f>IF(AM57=1,VLOOKUP($A80,'[4]Données investissements'!$A$48:$D$65,2,FALSE),IF(AM33&lt;&gt;0,VLOOKUP($A57,'[4]Données investissements'!$A$48:$D$65,4,FALSE),0))</f>
        <v>0</v>
      </c>
      <c r="AN80" s="16">
        <f>IF(AN57=1,VLOOKUP($A80,'[4]Données investissements'!$A$48:$D$65,2,FALSE),IF(AN33&lt;&gt;0,VLOOKUP($A57,'[4]Données investissements'!$A$48:$D$65,4,FALSE),0))</f>
        <v>0</v>
      </c>
      <c r="AO80" s="16">
        <f>IF(AO57=1,VLOOKUP($A80,'[4]Données investissements'!$A$48:$D$65,2,FALSE),IF(AO33&lt;&gt;0,VLOOKUP($A57,'[4]Données investissements'!$A$48:$D$65,4,FALSE),0))</f>
        <v>0</v>
      </c>
      <c r="AP80" s="16">
        <f>IF(AP57=1,VLOOKUP($A80,'[4]Données investissements'!$A$48:$D$65,2,FALSE),IF(AP33&lt;&gt;0,VLOOKUP($A57,'[4]Données investissements'!$A$48:$D$65,4,FALSE),0))</f>
        <v>2</v>
      </c>
      <c r="AQ80" s="16">
        <f>IF(AQ57=1,VLOOKUP($A80,'[4]Données investissements'!$A$48:$D$65,2,FALSE),IF(AQ33&lt;&gt;0,VLOOKUP($A57,'[4]Données investissements'!$A$48:$D$65,4,FALSE),0))</f>
        <v>0</v>
      </c>
      <c r="AR80" s="16">
        <f>IF(AR57=1,VLOOKUP($A80,'[4]Données investissements'!$A$48:$D$65,2,FALSE),IF(AR33&lt;&gt;0,VLOOKUP($A57,'[4]Données investissements'!$A$48:$D$65,4,FALSE),0))</f>
        <v>0</v>
      </c>
      <c r="AS80" s="16">
        <f>IF(AS57=1,VLOOKUP($A80,'[4]Données investissements'!$A$48:$D$65,2,FALSE),IF(AS33&lt;&gt;0,VLOOKUP($A57,'[4]Données investissements'!$A$48:$D$65,4,FALSE),0))</f>
        <v>0</v>
      </c>
      <c r="AT80" s="16">
        <f>IF(AT57=1,VLOOKUP($A80,'[4]Données investissements'!$A$48:$D$65,2,FALSE),IF(AT33&lt;&gt;0,VLOOKUP($A57,'[4]Données investissements'!$A$48:$D$65,4,FALSE),0))</f>
        <v>0</v>
      </c>
      <c r="AU80" s="16">
        <f>IF(AU57=1,VLOOKUP($A80,'[4]Données investissements'!$A$48:$D$65,2,FALSE),IF(AU33&lt;&gt;0,VLOOKUP($A57,'[4]Données investissements'!$A$48:$D$65,4,FALSE),0))</f>
        <v>0</v>
      </c>
      <c r="AV80" s="16">
        <f>IF(AV57=1,VLOOKUP($A80,'[4]Données investissements'!$A$48:$D$65,2,FALSE),IF(AV33&lt;&gt;0,VLOOKUP($A57,'[4]Données investissements'!$A$48:$D$65,4,FALSE),0))</f>
        <v>0</v>
      </c>
      <c r="AW80" s="16">
        <f>IF(AW57=1,VLOOKUP($A80,'[4]Données investissements'!$A$48:$D$65,2,FALSE),IF(AW33&lt;&gt;0,VLOOKUP($A57,'[4]Données investissements'!$A$48:$D$65,4,FALSE),0))</f>
        <v>0</v>
      </c>
      <c r="AX80" s="16">
        <f>IF(AX57=1,VLOOKUP($A80,'[4]Données investissements'!$A$48:$D$65,2,FALSE),IF(AX33&lt;&gt;0,VLOOKUP($A57,'[4]Données investissements'!$A$48:$D$65,4,FALSE),0))</f>
        <v>0</v>
      </c>
      <c r="AY80" s="16">
        <f>IF(AY57=1,VLOOKUP($A80,'[4]Données investissements'!$A$48:$D$65,2,FALSE),IF(AY33&lt;&gt;0,VLOOKUP($A57,'[4]Données investissements'!$A$48:$D$65,4,FALSE),0))</f>
        <v>0</v>
      </c>
      <c r="AZ80" s="16">
        <f>IF(AZ57=1,VLOOKUP($A80,'[4]Données investissements'!$A$48:$D$65,2,FALSE),IF(AZ33&lt;&gt;0,VLOOKUP($A57,'[4]Données investissements'!$A$48:$D$65,4,FALSE),0))</f>
        <v>0</v>
      </c>
      <c r="BA80" s="16">
        <f>IF(BA57=1,VLOOKUP($A80,'[4]Données investissements'!$A$48:$D$65,2,FALSE),IF(BA33&lt;&gt;0,VLOOKUP($A57,'[4]Données investissements'!$A$48:$D$65,4,FALSE),0))</f>
        <v>0</v>
      </c>
      <c r="BB80" s="16">
        <f>IF(BB57=1,VLOOKUP($A80,'[4]Données investissements'!$A$48:$D$65,2,FALSE),IF(BB33&lt;&gt;0,VLOOKUP($A57,'[4]Données investissements'!$A$48:$D$65,4,FALSE),0))</f>
        <v>0</v>
      </c>
      <c r="BC80" s="16">
        <f>IF(BC57=1,VLOOKUP($A80,'[4]Données investissements'!$A$48:$D$65,2,FALSE),IF(BC33&lt;&gt;0,VLOOKUP($A57,'[4]Données investissements'!$A$48:$D$65,4,FALSE),0))</f>
        <v>0</v>
      </c>
      <c r="BD80" s="16">
        <f>IF(BD57=1,VLOOKUP($A80,'[4]Données investissements'!$A$48:$D$65,2,FALSE),IF(BD33&lt;&gt;0,VLOOKUP($A57,'[4]Données investissements'!$A$48:$D$65,4,FALSE),0))</f>
        <v>0</v>
      </c>
      <c r="BE80" s="16">
        <f>IF(BE57=1,VLOOKUP($A80,'[4]Données investissements'!$A$48:$D$65,2,FALSE),IF(BE33&lt;&gt;0,VLOOKUP($A57,'[4]Données investissements'!$A$48:$D$65,4,FALSE),0))</f>
        <v>0</v>
      </c>
      <c r="BF80" s="16">
        <f>IF(BF57=1,VLOOKUP($A80,'[4]Données investissements'!$A$48:$D$65,2,FALSE),IF(BF33&lt;&gt;0,VLOOKUP($A57,'[4]Données investissements'!$A$48:$D$65,4,FALSE),0))</f>
        <v>0</v>
      </c>
      <c r="BG80" s="16">
        <f>IF(BG57=1,VLOOKUP($A80,'[4]Données investissements'!$A$48:$D$65,2,FALSE),IF(BG33&lt;&gt;0,VLOOKUP($A57,'[4]Données investissements'!$A$48:$D$65,4,FALSE),0))</f>
        <v>0</v>
      </c>
      <c r="BH80" s="16">
        <f>IF(BH57=1,VLOOKUP($A80,'[4]Données investissements'!$A$48:$D$65,2,FALSE),IF(BH33&lt;&gt;0,VLOOKUP($A57,'[4]Données investissements'!$A$48:$D$65,4,FALSE),0))</f>
        <v>0</v>
      </c>
      <c r="BI80" s="16">
        <f>IF(BI57=1,VLOOKUP($A80,'[4]Données investissements'!$A$48:$D$65,2,FALSE),IF(BI33&lt;&gt;0,VLOOKUP($A57,'[4]Données investissements'!$A$48:$D$65,4,FALSE),0))</f>
        <v>0</v>
      </c>
      <c r="BJ80" s="16">
        <f>IF(BJ57=1,VLOOKUP($A80,'[4]Données investissements'!$A$48:$D$65,2,FALSE),IF(BJ33&lt;&gt;0,VLOOKUP($A57,'[4]Données investissements'!$A$48:$D$65,4,FALSE),0))</f>
        <v>0</v>
      </c>
      <c r="BK80" s="16">
        <f>IF(BK57=1,VLOOKUP($A80,'[4]Données investissements'!$A$48:$D$65,2,FALSE),IF(BK33&lt;&gt;0,VLOOKUP($A57,'[4]Données investissements'!$A$48:$D$65,4,FALSE),0))</f>
        <v>0</v>
      </c>
      <c r="BL80" s="16">
        <f>IF(BL57=1,VLOOKUP($A80,'[4]Données investissements'!$A$48:$D$65,2,FALSE),IF(BL33&lt;&gt;0,VLOOKUP($A57,'[4]Données investissements'!$A$48:$D$65,4,FALSE),0))</f>
        <v>0</v>
      </c>
      <c r="BM80" s="16">
        <f>IF(BM57=1,VLOOKUP($A80,'[4]Données investissements'!$A$48:$D$65,2,FALSE),IF(BM33&lt;&gt;0,VLOOKUP($A57,'[4]Données investissements'!$A$48:$D$65,4,FALSE),0))</f>
        <v>0</v>
      </c>
      <c r="BN80" s="16">
        <f>IF(BN57=1,VLOOKUP($A80,'[4]Données investissements'!$A$48:$D$65,2,FALSE),IF(BN33&lt;&gt;0,VLOOKUP($A57,'[4]Données investissements'!$A$48:$D$65,4,FALSE),0))</f>
        <v>0</v>
      </c>
      <c r="BO80" s="16">
        <f>IF(BO57=1,VLOOKUP($A80,'[4]Données investissements'!$A$48:$D$65,2,FALSE),IF(BO33&lt;&gt;0,VLOOKUP($A57,'[4]Données investissements'!$A$48:$D$65,4,FALSE),0))</f>
        <v>0</v>
      </c>
      <c r="BP80" s="16">
        <f>IF(BP57=1,VLOOKUP($A80,'[4]Données investissements'!$A$48:$D$65,2,FALSE),IF(BP33&lt;&gt;0,VLOOKUP($A57,'[4]Données investissements'!$A$48:$D$65,4,FALSE),0))</f>
        <v>0</v>
      </c>
      <c r="BQ80" s="16">
        <f>IF(BQ57=1,VLOOKUP($A80,'[4]Données investissements'!$A$48:$D$65,2,FALSE),IF(BQ33&lt;&gt;0,VLOOKUP($A57,'[4]Données investissements'!$A$48:$D$65,4,FALSE),0))</f>
        <v>0</v>
      </c>
      <c r="BR80" s="16">
        <f>IF(BR57=1,VLOOKUP($A80,'[4]Données investissements'!$A$48:$D$65,2,FALSE),IF(BR33&lt;&gt;0,VLOOKUP($A57,'[4]Données investissements'!$A$48:$D$65,4,FALSE),0))</f>
        <v>0</v>
      </c>
      <c r="BS80" s="16">
        <f>IF(BS57=1,VLOOKUP($A80,'[4]Données investissements'!$A$48:$D$65,2,FALSE),IF(BS33&lt;&gt;0,VLOOKUP($A57,'[4]Données investissements'!$A$48:$D$65,4,FALSE),0))</f>
        <v>0</v>
      </c>
      <c r="BT80" s="16">
        <f>IF(BT57=1,VLOOKUP($A80,'[4]Données investissements'!$A$48:$D$65,2,FALSE),IF(BT33&lt;&gt;0,VLOOKUP($A57,'[4]Données investissements'!$A$48:$D$65,4,FALSE),0))</f>
        <v>0</v>
      </c>
      <c r="BU80" s="16">
        <f>IF(BU57=1,VLOOKUP($A80,'[4]Données investissements'!$A$48:$D$65,2,FALSE),IF(BU33&lt;&gt;0,VLOOKUP($A57,'[4]Données investissements'!$A$48:$D$65,4,FALSE),0))</f>
        <v>0</v>
      </c>
      <c r="BV80" s="16">
        <f>IF(BV57=1,VLOOKUP($A80,'[4]Données investissements'!$A$48:$D$65,2,FALSE),IF(BV33&lt;&gt;0,VLOOKUP($A57,'[4]Données investissements'!$A$48:$D$65,4,FALSE),0))</f>
        <v>0</v>
      </c>
      <c r="BW80" s="16">
        <f>IF(BW57=1,VLOOKUP($A80,'[4]Données investissements'!$A$48:$D$65,2,FALSE),IF(BW33&lt;&gt;0,VLOOKUP($A57,'[4]Données investissements'!$A$48:$D$65,4,FALSE),0))</f>
        <v>0</v>
      </c>
      <c r="BX80" s="16">
        <f>IF(BX57=1,VLOOKUP($A80,'[4]Données investissements'!$A$48:$D$65,2,FALSE),IF(BX33&lt;&gt;0,VLOOKUP($A57,'[4]Données investissements'!$A$48:$D$65,4,FALSE),0))</f>
        <v>0</v>
      </c>
      <c r="BY80" s="16">
        <f>IF(BY57=1,VLOOKUP($A80,'[4]Données investissements'!$A$48:$D$65,2,FALSE),IF(BY33&lt;&gt;0,VLOOKUP($A57,'[4]Données investissements'!$A$48:$D$65,4,FALSE),0))</f>
        <v>0</v>
      </c>
      <c r="BZ80" s="16">
        <f>IF(BZ57=1,VLOOKUP($A80,'[4]Données investissements'!$A$48:$D$65,2,FALSE),IF(BZ33&lt;&gt;0,VLOOKUP($A57,'[4]Données investissements'!$A$48:$D$65,4,FALSE),0))</f>
        <v>0</v>
      </c>
      <c r="CA80" s="16">
        <f>IF(CA57=1,VLOOKUP($A80,'[4]Données investissements'!$A$48:$D$65,2,FALSE),IF(CA33&lt;&gt;0,VLOOKUP($A57,'[4]Données investissements'!$A$48:$D$65,4,FALSE),0))</f>
        <v>0</v>
      </c>
      <c r="CB80" s="16">
        <f>IF(CB57=1,VLOOKUP($A80,'[4]Données investissements'!$A$48:$D$65,2,FALSE),IF(CB33&lt;&gt;0,VLOOKUP($A57,'[4]Données investissements'!$A$48:$D$65,4,FALSE),0))</f>
        <v>0</v>
      </c>
      <c r="CC80" s="16">
        <f>IF(CC57=1,VLOOKUP($A80,'[4]Données investissements'!$A$48:$D$65,2,FALSE),IF(CC33&lt;&gt;0,VLOOKUP($A57,'[4]Données investissements'!$A$48:$D$65,4,FALSE),0))</f>
        <v>0</v>
      </c>
      <c r="CD80" s="16">
        <f>IF(CD57=1,VLOOKUP($A80,'[4]Données investissements'!$A$48:$D$65,2,FALSE),IF(CD33&lt;&gt;0,VLOOKUP($A57,'[4]Données investissements'!$A$48:$D$65,4,FALSE),0))</f>
        <v>0</v>
      </c>
      <c r="CE80" s="16">
        <f>IF(CE57=1,VLOOKUP($A80,'[4]Données investissements'!$A$48:$D$65,2,FALSE),IF(CE33&lt;&gt;0,VLOOKUP($A57,'[4]Données investissements'!$A$48:$D$65,4,FALSE),0))</f>
        <v>0</v>
      </c>
      <c r="CF80" s="16">
        <f>IF(CF57=1,VLOOKUP($A80,'[4]Données investissements'!$A$48:$D$65,2,FALSE),IF(CF33&lt;&gt;0,VLOOKUP($A57,'[4]Données investissements'!$A$48:$D$65,4,FALSE),0))</f>
        <v>0</v>
      </c>
      <c r="CG80" s="16">
        <f>IF(CG57=1,VLOOKUP($A80,'[4]Données investissements'!$A$48:$D$65,2,FALSE),IF(CG33&lt;&gt;0,VLOOKUP($A57,'[4]Données investissements'!$A$48:$D$65,4,FALSE),0))</f>
        <v>0</v>
      </c>
      <c r="CH80" s="16">
        <f>IF(CH57=1,VLOOKUP($A80,'[4]Données investissements'!$A$48:$D$65,2,FALSE),IF(CH33&lt;&gt;0,VLOOKUP($A57,'[4]Données investissements'!$A$48:$D$65,4,FALSE),0))</f>
        <v>0</v>
      </c>
      <c r="CI80" s="16">
        <f>IF(CI57=1,VLOOKUP($A80,'[4]Données investissements'!$A$48:$D$65,2,FALSE),IF(CI33&lt;&gt;0,VLOOKUP($A57,'[4]Données investissements'!$A$48:$D$65,4,FALSE),0))</f>
        <v>0</v>
      </c>
      <c r="CJ80" s="16">
        <f>IF(CJ57=1,VLOOKUP($A80,'[4]Données investissements'!$A$48:$D$65,2,FALSE),IF(CJ33&lt;&gt;0,VLOOKUP($A57,'[4]Données investissements'!$A$48:$D$65,4,FALSE),0))</f>
        <v>0</v>
      </c>
      <c r="CK80" s="16">
        <f>IF(CK57=1,VLOOKUP($A80,'[4]Données investissements'!$A$48:$D$65,2,FALSE),IF(CK33&lt;&gt;0,VLOOKUP($A57,'[4]Données investissements'!$A$48:$D$65,4,FALSE),0))</f>
        <v>0</v>
      </c>
      <c r="CL80" s="16">
        <f>IF(CL57=1,VLOOKUP($A80,'[4]Données investissements'!$A$48:$D$65,2,FALSE),IF(CL33&lt;&gt;0,VLOOKUP($A57,'[4]Données investissements'!$A$48:$D$65,4,FALSE),0))</f>
        <v>0</v>
      </c>
      <c r="CM80" s="16">
        <f>IF(CM57=1,VLOOKUP($A80,'[4]Données investissements'!$A$48:$D$65,2,FALSE),IF(CM33&lt;&gt;0,VLOOKUP($A57,'[4]Données investissements'!$A$48:$D$65,4,FALSE),0))</f>
        <v>0</v>
      </c>
      <c r="CN80" s="16">
        <f>IF(CN57=1,VLOOKUP($A80,'[4]Données investissements'!$A$48:$D$65,2,FALSE),IF(CN33&lt;&gt;0,VLOOKUP($A57,'[4]Données investissements'!$A$48:$D$65,4,FALSE),0))</f>
        <v>0</v>
      </c>
      <c r="CO80" s="16">
        <f>IF(CO57=1,VLOOKUP($A80,'[4]Données investissements'!$A$48:$D$65,2,FALSE),IF(CO33&lt;&gt;0,VLOOKUP($A57,'[4]Données investissements'!$A$48:$D$65,4,FALSE),0))</f>
        <v>0</v>
      </c>
      <c r="CP80" s="16">
        <f>IF(CP57=1,VLOOKUP($A80,'[4]Données investissements'!$A$48:$D$65,2,FALSE),IF(CP33&lt;&gt;0,VLOOKUP($A57,'[4]Données investissements'!$A$48:$D$65,4,FALSE),0))</f>
        <v>0</v>
      </c>
      <c r="CQ80" s="16">
        <f>IF(CQ57=1,VLOOKUP($A80,'[4]Données investissements'!$A$48:$D$65,2,FALSE),IF(CQ33&lt;&gt;0,VLOOKUP($A57,'[4]Données investissements'!$A$48:$D$65,4,FALSE),0))</f>
        <v>0</v>
      </c>
      <c r="CR80" s="16">
        <f>IF(CR57=1,VLOOKUP($A80,'[4]Données investissements'!$A$48:$D$65,2,FALSE),IF(CR33&lt;&gt;0,VLOOKUP($A57,'[4]Données investissements'!$A$48:$D$65,4,FALSE),0))</f>
        <v>0</v>
      </c>
      <c r="CS80" s="16">
        <f>IF(CS57=1,VLOOKUP($A80,'[4]Données investissements'!$A$48:$D$65,2,FALSE),IF(CS33&lt;&gt;0,VLOOKUP($A57,'[4]Données investissements'!$A$48:$D$65,4,FALSE),0))</f>
        <v>0</v>
      </c>
      <c r="CT80" s="16">
        <f>IF(CT57=1,VLOOKUP($A80,'[4]Données investissements'!$A$48:$D$65,2,FALSE),IF(CT33&lt;&gt;0,VLOOKUP($A57,'[4]Données investissements'!$A$48:$D$65,4,FALSE),0))</f>
        <v>0</v>
      </c>
      <c r="CU80" s="16">
        <f>IF(CU57=1,VLOOKUP($A80,'[4]Données investissements'!$A$48:$D$65,2,FALSE),IF(CU33&lt;&gt;0,VLOOKUP($A57,'[4]Données investissements'!$A$48:$D$65,4,FALSE),0))</f>
        <v>0</v>
      </c>
      <c r="CV80" s="16">
        <f>IF(CV57=1,VLOOKUP($A80,'[4]Données investissements'!$A$48:$D$65,2,FALSE),IF(CV33&lt;&gt;0,VLOOKUP($A57,'[4]Données investissements'!$A$48:$D$65,4,FALSE),0))</f>
        <v>0</v>
      </c>
      <c r="CW80" s="16">
        <f>IF(CW57=1,VLOOKUP($A80,'[4]Données investissements'!$A$48:$D$65,2,FALSE),IF(CW33&lt;&gt;0,VLOOKUP($A57,'[4]Données investissements'!$A$48:$D$65,4,FALSE),0))</f>
        <v>0</v>
      </c>
      <c r="CX80" s="16">
        <f>IF(CX57=1,VLOOKUP($A80,'[4]Données investissements'!$A$48:$D$65,2,FALSE),IF(CX33&lt;&gt;0,VLOOKUP($A57,'[4]Données investissements'!$A$48:$D$65,4,FALSE),0))</f>
        <v>0</v>
      </c>
      <c r="CY80" s="16">
        <f>IF(CY57=1,VLOOKUP($A80,'[4]Données investissements'!$A$48:$D$65,2,FALSE),IF(CY33&lt;&gt;0,VLOOKUP($A57,'[4]Données investissements'!$A$48:$D$65,4,FALSE),0))</f>
        <v>0</v>
      </c>
      <c r="CZ80" s="16">
        <f>IF(CZ57=1,VLOOKUP($A80,'[4]Données investissements'!$A$48:$D$65,2,FALSE),IF(CZ33&lt;&gt;0,VLOOKUP($A57,'[4]Données investissements'!$A$48:$D$65,4,FALSE),0))</f>
        <v>0</v>
      </c>
      <c r="DA80" s="16">
        <f>IF(DA57=1,VLOOKUP($A80,'[4]Données investissements'!$A$48:$D$65,2,FALSE),IF(DA33&lt;&gt;0,VLOOKUP($A57,'[4]Données investissements'!$A$48:$D$65,4,FALSE),0))</f>
        <v>0</v>
      </c>
      <c r="DB80" s="16">
        <f>IF(DB57=1,VLOOKUP($A80,'[4]Données investissements'!$A$48:$D$65,2,FALSE),IF(DB33&lt;&gt;0,VLOOKUP($A57,'[4]Données investissements'!$A$48:$D$65,4,FALSE),0))</f>
        <v>0</v>
      </c>
      <c r="DC80" s="16">
        <f>IF(DC57=1,VLOOKUP($A80,'[4]Données investissements'!$A$48:$D$65,2,FALSE),IF(DC33&lt;&gt;0,VLOOKUP($A57,'[4]Données investissements'!$A$48:$D$65,4,FALSE),0))</f>
        <v>0</v>
      </c>
      <c r="DD80" s="16">
        <f>IF(DD57=1,VLOOKUP($A80,'[4]Données investissements'!$A$48:$D$65,2,FALSE),IF(DD33&lt;&gt;0,VLOOKUP($A57,'[4]Données investissements'!$A$48:$D$65,4,FALSE),0))</f>
        <v>0</v>
      </c>
      <c r="DE80" s="16">
        <f>IF(DE57=1,VLOOKUP($A80,'[4]Données investissements'!$A$48:$D$65,2,FALSE),IF(DE33&lt;&gt;0,VLOOKUP($A57,'[4]Données investissements'!$A$48:$D$65,4,FALSE),0))</f>
        <v>0</v>
      </c>
      <c r="DF80" s="16">
        <f>IF(DF57=1,VLOOKUP($A80,'[4]Données investissements'!$A$48:$D$65,2,FALSE),IF(DF33&lt;&gt;0,VLOOKUP($A57,'[4]Données investissements'!$A$48:$D$65,4,FALSE),0))</f>
        <v>0</v>
      </c>
    </row>
    <row r="81" spans="1:110" ht="12.75" hidden="1" customHeight="1" x14ac:dyDescent="0.2">
      <c r="A81" s="15" t="str">
        <f t="shared" si="40"/>
        <v>Annexe VAR : outillage (scie)</v>
      </c>
      <c r="B81" s="16">
        <f t="shared" si="40"/>
        <v>0.3</v>
      </c>
      <c r="C81" s="16">
        <f>IF(C58=1,VLOOKUP($A81,'[4]Données investissements'!$A$48:$D$65,2,FALSE),IF(C34&lt;&gt;0,VLOOKUP($A58,'[4]Données investissements'!$A$48:$D$65,4,FALSE),0))</f>
        <v>0</v>
      </c>
      <c r="D81" s="16">
        <f>IF(D58=1,VLOOKUP($A81,'[4]Données investissements'!$A$48:$D$65,2,FALSE),IF(D34&lt;&gt;0,VLOOKUP($A58,'[4]Données investissements'!$A$48:$D$65,4,FALSE),0))</f>
        <v>0</v>
      </c>
      <c r="E81" s="16">
        <f>IF(E58=1,VLOOKUP($A81,'[4]Données investissements'!$A$48:$D$65,2,FALSE),IF(E34&lt;&gt;0,VLOOKUP($A58,'[4]Données investissements'!$A$48:$D$65,4,FALSE),0))</f>
        <v>0</v>
      </c>
      <c r="F81" s="16">
        <f>IF(F58=1,VLOOKUP($A81,'[4]Données investissements'!$A$48:$D$65,2,FALSE),IF(F34&lt;&gt;0,VLOOKUP($A58,'[4]Données investissements'!$A$48:$D$65,4,FALSE),0))</f>
        <v>0</v>
      </c>
      <c r="G81" s="16">
        <f>IF(G58=1,VLOOKUP($A81,'[4]Données investissements'!$A$48:$D$65,2,FALSE),IF(G34&lt;&gt;0,VLOOKUP($A58,'[4]Données investissements'!$A$48:$D$65,4,FALSE),0))</f>
        <v>0</v>
      </c>
      <c r="H81" s="16">
        <f>IF(H58=1,VLOOKUP($A81,'[4]Données investissements'!$A$48:$D$65,2,FALSE),IF(H34&lt;&gt;0,VLOOKUP($A58,'[4]Données investissements'!$A$48:$D$65,4,FALSE),0))</f>
        <v>0</v>
      </c>
      <c r="I81" s="16">
        <f>IF(I58=1,VLOOKUP($A81,'[4]Données investissements'!$A$48:$D$65,2,FALSE),IF(I34&lt;&gt;0,VLOOKUP($A58,'[4]Données investissements'!$A$48:$D$65,4,FALSE),0))</f>
        <v>0</v>
      </c>
      <c r="J81" s="16">
        <f>IF(J58=1,VLOOKUP($A81,'[4]Données investissements'!$A$48:$D$65,2,FALSE),IF(J34&lt;&gt;0,VLOOKUP($A58,'[4]Données investissements'!$A$48:$D$65,4,FALSE),0))</f>
        <v>0</v>
      </c>
      <c r="K81" s="16">
        <f>IF(K58=1,VLOOKUP($A81,'[4]Données investissements'!$A$48:$D$65,2,FALSE),IF(K34&lt;&gt;0,VLOOKUP($A58,'[4]Données investissements'!$A$48:$D$65,4,FALSE),0))</f>
        <v>0</v>
      </c>
      <c r="L81" s="16">
        <f>IF(L58=1,VLOOKUP($A81,'[4]Données investissements'!$A$48:$D$65,2,FALSE),IF(L34&lt;&gt;0,VLOOKUP($A58,'[4]Données investissements'!$A$48:$D$65,4,FALSE),0))</f>
        <v>0</v>
      </c>
      <c r="M81" s="16">
        <f>IF(M58=1,VLOOKUP($A81,'[4]Données investissements'!$A$48:$D$65,2,FALSE),IF(M34&lt;&gt;0,VLOOKUP($A58,'[4]Données investissements'!$A$48:$D$65,4,FALSE),0))</f>
        <v>0</v>
      </c>
      <c r="N81" s="16">
        <f>IF(N58=1,VLOOKUP($A81,'[4]Données investissements'!$A$48:$D$65,2,FALSE),IF(N34&lt;&gt;0,VLOOKUP($A58,'[4]Données investissements'!$A$48:$D$65,4,FALSE),0))</f>
        <v>0</v>
      </c>
      <c r="O81" s="16">
        <f>IF(O58=1,VLOOKUP($A81,'[4]Données investissements'!$A$48:$D$65,2,FALSE),IF(O34&lt;&gt;0,VLOOKUP($A58,'[4]Données investissements'!$A$48:$D$65,4,FALSE),0))</f>
        <v>0</v>
      </c>
      <c r="P81" s="16">
        <f>IF(P58=1,VLOOKUP($A81,'[4]Données investissements'!$A$48:$D$65,2,FALSE),IF(P34&lt;&gt;0,VLOOKUP($A58,'[4]Données investissements'!$A$48:$D$65,4,FALSE),0))</f>
        <v>0</v>
      </c>
      <c r="Q81" s="16">
        <f>IF(Q58=1,VLOOKUP($A81,'[4]Données investissements'!$A$48:$D$65,2,FALSE),IF(Q34&lt;&gt;0,VLOOKUP($A58,'[4]Données investissements'!$A$48:$D$65,4,FALSE),0))</f>
        <v>0</v>
      </c>
      <c r="R81" s="16">
        <f>IF(R58=1,VLOOKUP($A81,'[4]Données investissements'!$A$48:$D$65,2,FALSE),IF(R34&lt;&gt;0,VLOOKUP($A58,'[4]Données investissements'!$A$48:$D$65,4,FALSE),0))</f>
        <v>0</v>
      </c>
      <c r="S81" s="16">
        <f>IF(S58=1,VLOOKUP($A81,'[4]Données investissements'!$A$48:$D$65,2,FALSE),IF(S34&lt;&gt;0,VLOOKUP($A58,'[4]Données investissements'!$A$48:$D$65,4,FALSE),0))</f>
        <v>0</v>
      </c>
      <c r="T81" s="16">
        <f>IF(T58=1,VLOOKUP($A81,'[4]Données investissements'!$A$48:$D$65,2,FALSE),IF(T34&lt;&gt;0,VLOOKUP($A58,'[4]Données investissements'!$A$48:$D$65,4,FALSE),0))</f>
        <v>0</v>
      </c>
      <c r="U81" s="16">
        <f>IF(U58=1,VLOOKUP($A81,'[4]Données investissements'!$A$48:$D$65,2,FALSE),IF(U34&lt;&gt;0,VLOOKUP($A58,'[4]Données investissements'!$A$48:$D$65,4,FALSE),0))</f>
        <v>1</v>
      </c>
      <c r="V81" s="16">
        <f>IF(V58=1,VLOOKUP($A81,'[4]Données investissements'!$A$48:$D$65,2,FALSE),IF(V34&lt;&gt;0,VLOOKUP($A58,'[4]Données investissements'!$A$48:$D$65,4,FALSE),0))</f>
        <v>3</v>
      </c>
      <c r="W81" s="16">
        <f>IF(W58=1,VLOOKUP($A81,'[4]Données investissements'!$A$48:$D$65,2,FALSE),IF(W34&lt;&gt;0,VLOOKUP($A58,'[4]Données investissements'!$A$48:$D$65,4,FALSE),0))</f>
        <v>0</v>
      </c>
      <c r="X81" s="16">
        <f>IF(X58=1,VLOOKUP($A81,'[4]Données investissements'!$A$48:$D$65,2,FALSE),IF(X34&lt;&gt;0,VLOOKUP($A58,'[4]Données investissements'!$A$48:$D$65,4,FALSE),0))</f>
        <v>0</v>
      </c>
      <c r="Y81" s="16">
        <f>IF(Y58=1,VLOOKUP($A81,'[4]Données investissements'!$A$48:$D$65,2,FALSE),IF(Y34&lt;&gt;0,VLOOKUP($A58,'[4]Données investissements'!$A$48:$D$65,4,FALSE),0))</f>
        <v>0</v>
      </c>
      <c r="Z81" s="16">
        <f>IF(Z58=1,VLOOKUP($A81,'[4]Données investissements'!$A$48:$D$65,2,FALSE),IF(Z34&lt;&gt;0,VLOOKUP($A58,'[4]Données investissements'!$A$48:$D$65,4,FALSE),0))</f>
        <v>3</v>
      </c>
      <c r="AA81" s="16">
        <f>IF(AA58=1,VLOOKUP($A81,'[4]Données investissements'!$A$48:$D$65,2,FALSE),IF(AA34&lt;&gt;0,VLOOKUP($A58,'[4]Données investissements'!$A$48:$D$65,4,FALSE),0))</f>
        <v>3</v>
      </c>
      <c r="AB81" s="16">
        <f>IF(AB58=1,VLOOKUP($A81,'[4]Données investissements'!$A$48:$D$65,2,FALSE),IF(AB34&lt;&gt;0,VLOOKUP($A58,'[4]Données investissements'!$A$48:$D$65,4,FALSE),0))</f>
        <v>3</v>
      </c>
      <c r="AC81" s="16">
        <f>IF(AC58=1,VLOOKUP($A81,'[4]Données investissements'!$A$48:$D$65,2,FALSE),IF(AC34&lt;&gt;0,VLOOKUP($A58,'[4]Données investissements'!$A$48:$D$65,4,FALSE),0))</f>
        <v>0</v>
      </c>
      <c r="AD81" s="16">
        <f>IF(AD58=1,VLOOKUP($A81,'[4]Données investissements'!$A$48:$D$65,2,FALSE),IF(AD34&lt;&gt;0,VLOOKUP($A58,'[4]Données investissements'!$A$48:$D$65,4,FALSE),0))</f>
        <v>3</v>
      </c>
      <c r="AE81" s="16">
        <f>IF(AE58=1,VLOOKUP($A81,'[4]Données investissements'!$A$48:$D$65,2,FALSE),IF(AE34&lt;&gt;0,VLOOKUP($A58,'[4]Données investissements'!$A$48:$D$65,4,FALSE),0))</f>
        <v>0</v>
      </c>
      <c r="AF81" s="16">
        <f>IF(AF58=1,VLOOKUP($A81,'[4]Données investissements'!$A$48:$D$65,2,FALSE),IF(AF34&lt;&gt;0,VLOOKUP($A58,'[4]Données investissements'!$A$48:$D$65,4,FALSE),0))</f>
        <v>0</v>
      </c>
      <c r="AG81" s="16">
        <f>IF(AG58=1,VLOOKUP($A81,'[4]Données investissements'!$A$48:$D$65,2,FALSE),IF(AG34&lt;&gt;0,VLOOKUP($A58,'[4]Données investissements'!$A$48:$D$65,4,FALSE),0))</f>
        <v>0</v>
      </c>
      <c r="AH81" s="16">
        <f>IF(AH58=1,VLOOKUP($A81,'[4]Données investissements'!$A$48:$D$65,2,FALSE),IF(AH34&lt;&gt;0,VLOOKUP($A58,'[4]Données investissements'!$A$48:$D$65,4,FALSE),0))</f>
        <v>0</v>
      </c>
      <c r="AI81" s="16">
        <f>IF(AI58=1,VLOOKUP($A81,'[4]Données investissements'!$A$48:$D$65,2,FALSE),IF(AI34&lt;&gt;0,VLOOKUP($A58,'[4]Données investissements'!$A$48:$D$65,4,FALSE),0))</f>
        <v>0</v>
      </c>
      <c r="AJ81" s="16">
        <f>IF(AJ58=1,VLOOKUP($A81,'[4]Données investissements'!$A$48:$D$65,2,FALSE),IF(AJ34&lt;&gt;0,VLOOKUP($A58,'[4]Données investissements'!$A$48:$D$65,4,FALSE),0))</f>
        <v>0</v>
      </c>
      <c r="AK81" s="16">
        <f>IF(AK58=1,VLOOKUP($A81,'[4]Données investissements'!$A$48:$D$65,2,FALSE),IF(AK34&lt;&gt;0,VLOOKUP($A58,'[4]Données investissements'!$A$48:$D$65,4,FALSE),0))</f>
        <v>0</v>
      </c>
      <c r="AL81" s="16">
        <f>IF(AL58=1,VLOOKUP($A81,'[4]Données investissements'!$A$48:$D$65,2,FALSE),IF(AL34&lt;&gt;0,VLOOKUP($A58,'[4]Données investissements'!$A$48:$D$65,4,FALSE),0))</f>
        <v>0</v>
      </c>
      <c r="AM81" s="16">
        <f>IF(AM58=1,VLOOKUP($A81,'[4]Données investissements'!$A$48:$D$65,2,FALSE),IF(AM34&lt;&gt;0,VLOOKUP($A58,'[4]Données investissements'!$A$48:$D$65,4,FALSE),0))</f>
        <v>0</v>
      </c>
      <c r="AN81" s="16">
        <f>IF(AN58=1,VLOOKUP($A81,'[4]Données investissements'!$A$48:$D$65,2,FALSE),IF(AN34&lt;&gt;0,VLOOKUP($A58,'[4]Données investissements'!$A$48:$D$65,4,FALSE),0))</f>
        <v>0</v>
      </c>
      <c r="AO81" s="16">
        <f>IF(AO58=1,VLOOKUP($A81,'[4]Données investissements'!$A$48:$D$65,2,FALSE),IF(AO34&lt;&gt;0,VLOOKUP($A58,'[4]Données investissements'!$A$48:$D$65,4,FALSE),0))</f>
        <v>0</v>
      </c>
      <c r="AP81" s="16">
        <f>IF(AP58=1,VLOOKUP($A81,'[4]Données investissements'!$A$48:$D$65,2,FALSE),IF(AP34&lt;&gt;0,VLOOKUP($A58,'[4]Données investissements'!$A$48:$D$65,4,FALSE),0))</f>
        <v>3</v>
      </c>
      <c r="AQ81" s="16">
        <f>IF(AQ58=1,VLOOKUP($A81,'[4]Données investissements'!$A$48:$D$65,2,FALSE),IF(AQ34&lt;&gt;0,VLOOKUP($A58,'[4]Données investissements'!$A$48:$D$65,4,FALSE),0))</f>
        <v>0</v>
      </c>
      <c r="AR81" s="16">
        <f>IF(AR58=1,VLOOKUP($A81,'[4]Données investissements'!$A$48:$D$65,2,FALSE),IF(AR34&lt;&gt;0,VLOOKUP($A58,'[4]Données investissements'!$A$48:$D$65,4,FALSE),0))</f>
        <v>0</v>
      </c>
      <c r="AS81" s="16">
        <f>IF(AS58=1,VLOOKUP($A81,'[4]Données investissements'!$A$48:$D$65,2,FALSE),IF(AS34&lt;&gt;0,VLOOKUP($A58,'[4]Données investissements'!$A$48:$D$65,4,FALSE),0))</f>
        <v>0</v>
      </c>
      <c r="AT81" s="16">
        <f>IF(AT58=1,VLOOKUP($A81,'[4]Données investissements'!$A$48:$D$65,2,FALSE),IF(AT34&lt;&gt;0,VLOOKUP($A58,'[4]Données investissements'!$A$48:$D$65,4,FALSE),0))</f>
        <v>0</v>
      </c>
      <c r="AU81" s="16">
        <f>IF(AU58=1,VLOOKUP($A81,'[4]Données investissements'!$A$48:$D$65,2,FALSE),IF(AU34&lt;&gt;0,VLOOKUP($A58,'[4]Données investissements'!$A$48:$D$65,4,FALSE),0))</f>
        <v>0</v>
      </c>
      <c r="AV81" s="16">
        <f>IF(AV58=1,VLOOKUP($A81,'[4]Données investissements'!$A$48:$D$65,2,FALSE),IF(AV34&lt;&gt;0,VLOOKUP($A58,'[4]Données investissements'!$A$48:$D$65,4,FALSE),0))</f>
        <v>0</v>
      </c>
      <c r="AW81" s="16">
        <f>IF(AW58=1,VLOOKUP($A81,'[4]Données investissements'!$A$48:$D$65,2,FALSE),IF(AW34&lt;&gt;0,VLOOKUP($A58,'[4]Données investissements'!$A$48:$D$65,4,FALSE),0))</f>
        <v>0</v>
      </c>
      <c r="AX81" s="16">
        <f>IF(AX58=1,VLOOKUP($A81,'[4]Données investissements'!$A$48:$D$65,2,FALSE),IF(AX34&lt;&gt;0,VLOOKUP($A58,'[4]Données investissements'!$A$48:$D$65,4,FALSE),0))</f>
        <v>0</v>
      </c>
      <c r="AY81" s="16">
        <f>IF(AY58=1,VLOOKUP($A81,'[4]Données investissements'!$A$48:$D$65,2,FALSE),IF(AY34&lt;&gt;0,VLOOKUP($A58,'[4]Données investissements'!$A$48:$D$65,4,FALSE),0))</f>
        <v>0</v>
      </c>
      <c r="AZ81" s="16">
        <f>IF(AZ58=1,VLOOKUP($A81,'[4]Données investissements'!$A$48:$D$65,2,FALSE),IF(AZ34&lt;&gt;0,VLOOKUP($A58,'[4]Données investissements'!$A$48:$D$65,4,FALSE),0))</f>
        <v>0</v>
      </c>
      <c r="BA81" s="16">
        <f>IF(BA58=1,VLOOKUP($A81,'[4]Données investissements'!$A$48:$D$65,2,FALSE),IF(BA34&lt;&gt;0,VLOOKUP($A58,'[4]Données investissements'!$A$48:$D$65,4,FALSE),0))</f>
        <v>0</v>
      </c>
      <c r="BB81" s="16">
        <f>IF(BB58=1,VLOOKUP($A81,'[4]Données investissements'!$A$48:$D$65,2,FALSE),IF(BB34&lt;&gt;0,VLOOKUP($A58,'[4]Données investissements'!$A$48:$D$65,4,FALSE),0))</f>
        <v>0</v>
      </c>
      <c r="BC81" s="16">
        <f>IF(BC58=1,VLOOKUP($A81,'[4]Données investissements'!$A$48:$D$65,2,FALSE),IF(BC34&lt;&gt;0,VLOOKUP($A58,'[4]Données investissements'!$A$48:$D$65,4,FALSE),0))</f>
        <v>0</v>
      </c>
      <c r="BD81" s="16">
        <f>IF(BD58=1,VLOOKUP($A81,'[4]Données investissements'!$A$48:$D$65,2,FALSE),IF(BD34&lt;&gt;0,VLOOKUP($A58,'[4]Données investissements'!$A$48:$D$65,4,FALSE),0))</f>
        <v>0</v>
      </c>
      <c r="BE81" s="16">
        <f>IF(BE58=1,VLOOKUP($A81,'[4]Données investissements'!$A$48:$D$65,2,FALSE),IF(BE34&lt;&gt;0,VLOOKUP($A58,'[4]Données investissements'!$A$48:$D$65,4,FALSE),0))</f>
        <v>0</v>
      </c>
      <c r="BF81" s="16">
        <f>IF(BF58=1,VLOOKUP($A81,'[4]Données investissements'!$A$48:$D$65,2,FALSE),IF(BF34&lt;&gt;0,VLOOKUP($A58,'[4]Données investissements'!$A$48:$D$65,4,FALSE),0))</f>
        <v>0</v>
      </c>
      <c r="BG81" s="16">
        <f>IF(BG58=1,VLOOKUP($A81,'[4]Données investissements'!$A$48:$D$65,2,FALSE),IF(BG34&lt;&gt;0,VLOOKUP($A58,'[4]Données investissements'!$A$48:$D$65,4,FALSE),0))</f>
        <v>0</v>
      </c>
      <c r="BH81" s="16">
        <f>IF(BH58=1,VLOOKUP($A81,'[4]Données investissements'!$A$48:$D$65,2,FALSE),IF(BH34&lt;&gt;0,VLOOKUP($A58,'[4]Données investissements'!$A$48:$D$65,4,FALSE),0))</f>
        <v>0</v>
      </c>
      <c r="BI81" s="16">
        <f>IF(BI58=1,VLOOKUP($A81,'[4]Données investissements'!$A$48:$D$65,2,FALSE),IF(BI34&lt;&gt;0,VLOOKUP($A58,'[4]Données investissements'!$A$48:$D$65,4,FALSE),0))</f>
        <v>0</v>
      </c>
      <c r="BJ81" s="16">
        <f>IF(BJ58=1,VLOOKUP($A81,'[4]Données investissements'!$A$48:$D$65,2,FALSE),IF(BJ34&lt;&gt;0,VLOOKUP($A58,'[4]Données investissements'!$A$48:$D$65,4,FALSE),0))</f>
        <v>0</v>
      </c>
      <c r="BK81" s="16">
        <f>IF(BK58=1,VLOOKUP($A81,'[4]Données investissements'!$A$48:$D$65,2,FALSE),IF(BK34&lt;&gt;0,VLOOKUP($A58,'[4]Données investissements'!$A$48:$D$65,4,FALSE),0))</f>
        <v>0</v>
      </c>
      <c r="BL81" s="16">
        <f>IF(BL58=1,VLOOKUP($A81,'[4]Données investissements'!$A$48:$D$65,2,FALSE),IF(BL34&lt;&gt;0,VLOOKUP($A58,'[4]Données investissements'!$A$48:$D$65,4,FALSE),0))</f>
        <v>0</v>
      </c>
      <c r="BM81" s="16">
        <f>IF(BM58=1,VLOOKUP($A81,'[4]Données investissements'!$A$48:$D$65,2,FALSE),IF(BM34&lt;&gt;0,VLOOKUP($A58,'[4]Données investissements'!$A$48:$D$65,4,FALSE),0))</f>
        <v>0</v>
      </c>
      <c r="BN81" s="16">
        <f>IF(BN58=1,VLOOKUP($A81,'[4]Données investissements'!$A$48:$D$65,2,FALSE),IF(BN34&lt;&gt;0,VLOOKUP($A58,'[4]Données investissements'!$A$48:$D$65,4,FALSE),0))</f>
        <v>0</v>
      </c>
      <c r="BO81" s="16">
        <f>IF(BO58=1,VLOOKUP($A81,'[4]Données investissements'!$A$48:$D$65,2,FALSE),IF(BO34&lt;&gt;0,VLOOKUP($A58,'[4]Données investissements'!$A$48:$D$65,4,FALSE),0))</f>
        <v>0</v>
      </c>
      <c r="BP81" s="16">
        <f>IF(BP58=1,VLOOKUP($A81,'[4]Données investissements'!$A$48:$D$65,2,FALSE),IF(BP34&lt;&gt;0,VLOOKUP($A58,'[4]Données investissements'!$A$48:$D$65,4,FALSE),0))</f>
        <v>0</v>
      </c>
      <c r="BQ81" s="16">
        <f>IF(BQ58=1,VLOOKUP($A81,'[4]Données investissements'!$A$48:$D$65,2,FALSE),IF(BQ34&lt;&gt;0,VLOOKUP($A58,'[4]Données investissements'!$A$48:$D$65,4,FALSE),0))</f>
        <v>0</v>
      </c>
      <c r="BR81" s="16">
        <f>IF(BR58=1,VLOOKUP($A81,'[4]Données investissements'!$A$48:$D$65,2,FALSE),IF(BR34&lt;&gt;0,VLOOKUP($A58,'[4]Données investissements'!$A$48:$D$65,4,FALSE),0))</f>
        <v>0</v>
      </c>
      <c r="BS81" s="16">
        <f>IF(BS58=1,VLOOKUP($A81,'[4]Données investissements'!$A$48:$D$65,2,FALSE),IF(BS34&lt;&gt;0,VLOOKUP($A58,'[4]Données investissements'!$A$48:$D$65,4,FALSE),0))</f>
        <v>0</v>
      </c>
      <c r="BT81" s="16">
        <f>IF(BT58=1,VLOOKUP($A81,'[4]Données investissements'!$A$48:$D$65,2,FALSE),IF(BT34&lt;&gt;0,VLOOKUP($A58,'[4]Données investissements'!$A$48:$D$65,4,FALSE),0))</f>
        <v>0</v>
      </c>
      <c r="BU81" s="16">
        <f>IF(BU58=1,VLOOKUP($A81,'[4]Données investissements'!$A$48:$D$65,2,FALSE),IF(BU34&lt;&gt;0,VLOOKUP($A58,'[4]Données investissements'!$A$48:$D$65,4,FALSE),0))</f>
        <v>0</v>
      </c>
      <c r="BV81" s="16">
        <f>IF(BV58=1,VLOOKUP($A81,'[4]Données investissements'!$A$48:$D$65,2,FALSE),IF(BV34&lt;&gt;0,VLOOKUP($A58,'[4]Données investissements'!$A$48:$D$65,4,FALSE),0))</f>
        <v>0</v>
      </c>
      <c r="BW81" s="16">
        <f>IF(BW58=1,VLOOKUP($A81,'[4]Données investissements'!$A$48:$D$65,2,FALSE),IF(BW34&lt;&gt;0,VLOOKUP($A58,'[4]Données investissements'!$A$48:$D$65,4,FALSE),0))</f>
        <v>0</v>
      </c>
      <c r="BX81" s="16">
        <f>IF(BX58=1,VLOOKUP($A81,'[4]Données investissements'!$A$48:$D$65,2,FALSE),IF(BX34&lt;&gt;0,VLOOKUP($A58,'[4]Données investissements'!$A$48:$D$65,4,FALSE),0))</f>
        <v>0</v>
      </c>
      <c r="BY81" s="16">
        <f>IF(BY58=1,VLOOKUP($A81,'[4]Données investissements'!$A$48:$D$65,2,FALSE),IF(BY34&lt;&gt;0,VLOOKUP($A58,'[4]Données investissements'!$A$48:$D$65,4,FALSE),0))</f>
        <v>0</v>
      </c>
      <c r="BZ81" s="16">
        <f>IF(BZ58=1,VLOOKUP($A81,'[4]Données investissements'!$A$48:$D$65,2,FALSE),IF(BZ34&lt;&gt;0,VLOOKUP($A58,'[4]Données investissements'!$A$48:$D$65,4,FALSE),0))</f>
        <v>0</v>
      </c>
      <c r="CA81" s="16">
        <f>IF(CA58=1,VLOOKUP($A81,'[4]Données investissements'!$A$48:$D$65,2,FALSE),IF(CA34&lt;&gt;0,VLOOKUP($A58,'[4]Données investissements'!$A$48:$D$65,4,FALSE),0))</f>
        <v>0</v>
      </c>
      <c r="CB81" s="16">
        <f>IF(CB58=1,VLOOKUP($A81,'[4]Données investissements'!$A$48:$D$65,2,FALSE),IF(CB34&lt;&gt;0,VLOOKUP($A58,'[4]Données investissements'!$A$48:$D$65,4,FALSE),0))</f>
        <v>0</v>
      </c>
      <c r="CC81" s="16">
        <f>IF(CC58=1,VLOOKUP($A81,'[4]Données investissements'!$A$48:$D$65,2,FALSE),IF(CC34&lt;&gt;0,VLOOKUP($A58,'[4]Données investissements'!$A$48:$D$65,4,FALSE),0))</f>
        <v>0</v>
      </c>
      <c r="CD81" s="16">
        <f>IF(CD58=1,VLOOKUP($A81,'[4]Données investissements'!$A$48:$D$65,2,FALSE),IF(CD34&lt;&gt;0,VLOOKUP($A58,'[4]Données investissements'!$A$48:$D$65,4,FALSE),0))</f>
        <v>0</v>
      </c>
      <c r="CE81" s="16">
        <f>IF(CE58=1,VLOOKUP($A81,'[4]Données investissements'!$A$48:$D$65,2,FALSE),IF(CE34&lt;&gt;0,VLOOKUP($A58,'[4]Données investissements'!$A$48:$D$65,4,FALSE),0))</f>
        <v>0</v>
      </c>
      <c r="CF81" s="16">
        <f>IF(CF58=1,VLOOKUP($A81,'[4]Données investissements'!$A$48:$D$65,2,FALSE),IF(CF34&lt;&gt;0,VLOOKUP($A58,'[4]Données investissements'!$A$48:$D$65,4,FALSE),0))</f>
        <v>0</v>
      </c>
      <c r="CG81" s="16">
        <f>IF(CG58=1,VLOOKUP($A81,'[4]Données investissements'!$A$48:$D$65,2,FALSE),IF(CG34&lt;&gt;0,VLOOKUP($A58,'[4]Données investissements'!$A$48:$D$65,4,FALSE),0))</f>
        <v>0</v>
      </c>
      <c r="CH81" s="16">
        <f>IF(CH58=1,VLOOKUP($A81,'[4]Données investissements'!$A$48:$D$65,2,FALSE),IF(CH34&lt;&gt;0,VLOOKUP($A58,'[4]Données investissements'!$A$48:$D$65,4,FALSE),0))</f>
        <v>0</v>
      </c>
      <c r="CI81" s="16">
        <f>IF(CI58=1,VLOOKUP($A81,'[4]Données investissements'!$A$48:$D$65,2,FALSE),IF(CI34&lt;&gt;0,VLOOKUP($A58,'[4]Données investissements'!$A$48:$D$65,4,FALSE),0))</f>
        <v>0</v>
      </c>
      <c r="CJ81" s="16">
        <f>IF(CJ58=1,VLOOKUP($A81,'[4]Données investissements'!$A$48:$D$65,2,FALSE),IF(CJ34&lt;&gt;0,VLOOKUP($A58,'[4]Données investissements'!$A$48:$D$65,4,FALSE),0))</f>
        <v>0</v>
      </c>
      <c r="CK81" s="16">
        <f>IF(CK58=1,VLOOKUP($A81,'[4]Données investissements'!$A$48:$D$65,2,FALSE),IF(CK34&lt;&gt;0,VLOOKUP($A58,'[4]Données investissements'!$A$48:$D$65,4,FALSE),0))</f>
        <v>0</v>
      </c>
      <c r="CL81" s="16">
        <f>IF(CL58=1,VLOOKUP($A81,'[4]Données investissements'!$A$48:$D$65,2,FALSE),IF(CL34&lt;&gt;0,VLOOKUP($A58,'[4]Données investissements'!$A$48:$D$65,4,FALSE),0))</f>
        <v>0</v>
      </c>
      <c r="CM81" s="16">
        <f>IF(CM58=1,VLOOKUP($A81,'[4]Données investissements'!$A$48:$D$65,2,FALSE),IF(CM34&lt;&gt;0,VLOOKUP($A58,'[4]Données investissements'!$A$48:$D$65,4,FALSE),0))</f>
        <v>0</v>
      </c>
      <c r="CN81" s="16">
        <f>IF(CN58=1,VLOOKUP($A81,'[4]Données investissements'!$A$48:$D$65,2,FALSE),IF(CN34&lt;&gt;0,VLOOKUP($A58,'[4]Données investissements'!$A$48:$D$65,4,FALSE),0))</f>
        <v>0</v>
      </c>
      <c r="CO81" s="16">
        <f>IF(CO58=1,VLOOKUP($A81,'[4]Données investissements'!$A$48:$D$65,2,FALSE),IF(CO34&lt;&gt;0,VLOOKUP($A58,'[4]Données investissements'!$A$48:$D$65,4,FALSE),0))</f>
        <v>0</v>
      </c>
      <c r="CP81" s="16">
        <f>IF(CP58=1,VLOOKUP($A81,'[4]Données investissements'!$A$48:$D$65,2,FALSE),IF(CP34&lt;&gt;0,VLOOKUP($A58,'[4]Données investissements'!$A$48:$D$65,4,FALSE),0))</f>
        <v>0</v>
      </c>
      <c r="CQ81" s="16">
        <f>IF(CQ58=1,VLOOKUP($A81,'[4]Données investissements'!$A$48:$D$65,2,FALSE),IF(CQ34&lt;&gt;0,VLOOKUP($A58,'[4]Données investissements'!$A$48:$D$65,4,FALSE),0))</f>
        <v>0</v>
      </c>
      <c r="CR81" s="16">
        <f>IF(CR58=1,VLOOKUP($A81,'[4]Données investissements'!$A$48:$D$65,2,FALSE),IF(CR34&lt;&gt;0,VLOOKUP($A58,'[4]Données investissements'!$A$48:$D$65,4,FALSE),0))</f>
        <v>0</v>
      </c>
      <c r="CS81" s="16">
        <f>IF(CS58=1,VLOOKUP($A81,'[4]Données investissements'!$A$48:$D$65,2,FALSE),IF(CS34&lt;&gt;0,VLOOKUP($A58,'[4]Données investissements'!$A$48:$D$65,4,FALSE),0))</f>
        <v>0</v>
      </c>
      <c r="CT81" s="16">
        <f>IF(CT58=1,VLOOKUP($A81,'[4]Données investissements'!$A$48:$D$65,2,FALSE),IF(CT34&lt;&gt;0,VLOOKUP($A58,'[4]Données investissements'!$A$48:$D$65,4,FALSE),0))</f>
        <v>0</v>
      </c>
      <c r="CU81" s="16">
        <f>IF(CU58=1,VLOOKUP($A81,'[4]Données investissements'!$A$48:$D$65,2,FALSE),IF(CU34&lt;&gt;0,VLOOKUP($A58,'[4]Données investissements'!$A$48:$D$65,4,FALSE),0))</f>
        <v>0</v>
      </c>
      <c r="CV81" s="16">
        <f>IF(CV58=1,VLOOKUP($A81,'[4]Données investissements'!$A$48:$D$65,2,FALSE),IF(CV34&lt;&gt;0,VLOOKUP($A58,'[4]Données investissements'!$A$48:$D$65,4,FALSE),0))</f>
        <v>0</v>
      </c>
      <c r="CW81" s="16">
        <f>IF(CW58=1,VLOOKUP($A81,'[4]Données investissements'!$A$48:$D$65,2,FALSE),IF(CW34&lt;&gt;0,VLOOKUP($A58,'[4]Données investissements'!$A$48:$D$65,4,FALSE),0))</f>
        <v>0</v>
      </c>
      <c r="CX81" s="16">
        <f>IF(CX58=1,VLOOKUP($A81,'[4]Données investissements'!$A$48:$D$65,2,FALSE),IF(CX34&lt;&gt;0,VLOOKUP($A58,'[4]Données investissements'!$A$48:$D$65,4,FALSE),0))</f>
        <v>0</v>
      </c>
      <c r="CY81" s="16">
        <f>IF(CY58=1,VLOOKUP($A81,'[4]Données investissements'!$A$48:$D$65,2,FALSE),IF(CY34&lt;&gt;0,VLOOKUP($A58,'[4]Données investissements'!$A$48:$D$65,4,FALSE),0))</f>
        <v>0</v>
      </c>
      <c r="CZ81" s="16">
        <f>IF(CZ58=1,VLOOKUP($A81,'[4]Données investissements'!$A$48:$D$65,2,FALSE),IF(CZ34&lt;&gt;0,VLOOKUP($A58,'[4]Données investissements'!$A$48:$D$65,4,FALSE),0))</f>
        <v>0</v>
      </c>
      <c r="DA81" s="16">
        <f>IF(DA58=1,VLOOKUP($A81,'[4]Données investissements'!$A$48:$D$65,2,FALSE),IF(DA34&lt;&gt;0,VLOOKUP($A58,'[4]Données investissements'!$A$48:$D$65,4,FALSE),0))</f>
        <v>0</v>
      </c>
      <c r="DB81" s="16">
        <f>IF(DB58=1,VLOOKUP($A81,'[4]Données investissements'!$A$48:$D$65,2,FALSE),IF(DB34&lt;&gt;0,VLOOKUP($A58,'[4]Données investissements'!$A$48:$D$65,4,FALSE),0))</f>
        <v>0</v>
      </c>
      <c r="DC81" s="16">
        <f>IF(DC58=1,VLOOKUP($A81,'[4]Données investissements'!$A$48:$D$65,2,FALSE),IF(DC34&lt;&gt;0,VLOOKUP($A58,'[4]Données investissements'!$A$48:$D$65,4,FALSE),0))</f>
        <v>0</v>
      </c>
      <c r="DD81" s="16">
        <f>IF(DD58=1,VLOOKUP($A81,'[4]Données investissements'!$A$48:$D$65,2,FALSE),IF(DD34&lt;&gt;0,VLOOKUP($A58,'[4]Données investissements'!$A$48:$D$65,4,FALSE),0))</f>
        <v>0</v>
      </c>
      <c r="DE81" s="16">
        <f>IF(DE58=1,VLOOKUP($A81,'[4]Données investissements'!$A$48:$D$65,2,FALSE),IF(DE34&lt;&gt;0,VLOOKUP($A58,'[4]Données investissements'!$A$48:$D$65,4,FALSE),0))</f>
        <v>0</v>
      </c>
      <c r="DF81" s="16">
        <f>IF(DF58=1,VLOOKUP($A81,'[4]Données investissements'!$A$48:$D$65,2,FALSE),IF(DF34&lt;&gt;0,VLOOKUP($A58,'[4]Données investissements'!$A$48:$D$65,4,FALSE),0))</f>
        <v>0</v>
      </c>
    </row>
    <row r="82" spans="1:110" ht="12.75" hidden="1" customHeight="1" x14ac:dyDescent="0.2">
      <c r="A82" s="15" t="str">
        <f t="shared" si="40"/>
        <v>Retourneur à lingot</v>
      </c>
      <c r="B82" s="16">
        <f t="shared" si="40"/>
        <v>0.14000000000000001</v>
      </c>
      <c r="C82" s="16">
        <f>IF(C59=1,VLOOKUP($A82,'[4]Données investissements'!$A$48:$D$65,2,FALSE),IF(C35&lt;&gt;0,VLOOKUP($A59,'[4]Données investissements'!$A$48:$D$65,4,FALSE),0))</f>
        <v>0</v>
      </c>
      <c r="D82" s="16">
        <f>IF(D59=1,VLOOKUP($A82,'[4]Données investissements'!$A$48:$D$65,2,FALSE),IF(D35&lt;&gt;0,VLOOKUP($A59,'[4]Données investissements'!$A$48:$D$65,4,FALSE),0))</f>
        <v>0</v>
      </c>
      <c r="E82" s="16">
        <f>IF(E59=1,VLOOKUP($A82,'[4]Données investissements'!$A$48:$D$65,2,FALSE),IF(E35&lt;&gt;0,VLOOKUP($A59,'[4]Données investissements'!$A$48:$D$65,4,FALSE),0))</f>
        <v>0</v>
      </c>
      <c r="F82" s="16">
        <f>IF(F59=1,VLOOKUP($A82,'[4]Données investissements'!$A$48:$D$65,2,FALSE),IF(F35&lt;&gt;0,VLOOKUP($A59,'[4]Données investissements'!$A$48:$D$65,4,FALSE),0))</f>
        <v>0</v>
      </c>
      <c r="G82" s="16">
        <f>IF(G59=1,VLOOKUP($A82,'[4]Données investissements'!$A$48:$D$65,2,FALSE),IF(G35&lt;&gt;0,VLOOKUP($A59,'[4]Données investissements'!$A$48:$D$65,4,FALSE),0))</f>
        <v>0</v>
      </c>
      <c r="H82" s="16">
        <f>IF(H59=1,VLOOKUP($A82,'[4]Données investissements'!$A$48:$D$65,2,FALSE),IF(H35&lt;&gt;0,VLOOKUP($A59,'[4]Données investissements'!$A$48:$D$65,4,FALSE),0))</f>
        <v>0</v>
      </c>
      <c r="I82" s="16">
        <f>IF(I59=1,VLOOKUP($A82,'[4]Données investissements'!$A$48:$D$65,2,FALSE),IF(I35&lt;&gt;0,VLOOKUP($A59,'[4]Données investissements'!$A$48:$D$65,4,FALSE),0))</f>
        <v>0</v>
      </c>
      <c r="J82" s="16">
        <f>IF(J59=1,VLOOKUP($A82,'[4]Données investissements'!$A$48:$D$65,2,FALSE),IF(J35&lt;&gt;0,VLOOKUP($A59,'[4]Données investissements'!$A$48:$D$65,4,FALSE),0))</f>
        <v>0</v>
      </c>
      <c r="K82" s="16">
        <f>IF(K59=1,VLOOKUP($A82,'[4]Données investissements'!$A$48:$D$65,2,FALSE),IF(K35&lt;&gt;0,VLOOKUP($A59,'[4]Données investissements'!$A$48:$D$65,4,FALSE),0))</f>
        <v>0</v>
      </c>
      <c r="L82" s="16">
        <f>IF(L59=1,VLOOKUP($A82,'[4]Données investissements'!$A$48:$D$65,2,FALSE),IF(L35&lt;&gt;0,VLOOKUP($A59,'[4]Données investissements'!$A$48:$D$65,4,FALSE),0))</f>
        <v>0</v>
      </c>
      <c r="M82" s="16">
        <f>IF(M59=1,VLOOKUP($A82,'[4]Données investissements'!$A$48:$D$65,2,FALSE),IF(M35&lt;&gt;0,VLOOKUP($A59,'[4]Données investissements'!$A$48:$D$65,4,FALSE),0))</f>
        <v>0</v>
      </c>
      <c r="N82" s="16">
        <f>IF(N59=1,VLOOKUP($A82,'[4]Données investissements'!$A$48:$D$65,2,FALSE),IF(N35&lt;&gt;0,VLOOKUP($A59,'[4]Données investissements'!$A$48:$D$65,4,FALSE),0))</f>
        <v>0</v>
      </c>
      <c r="O82" s="16">
        <f>IF(O59=1,VLOOKUP($A82,'[4]Données investissements'!$A$48:$D$65,2,FALSE),IF(O35&lt;&gt;0,VLOOKUP($A59,'[4]Données investissements'!$A$48:$D$65,4,FALSE),0))</f>
        <v>0</v>
      </c>
      <c r="P82" s="16">
        <f>IF(P59=1,VLOOKUP($A82,'[4]Données investissements'!$A$48:$D$65,2,FALSE),IF(P35&lt;&gt;0,VLOOKUP($A59,'[4]Données investissements'!$A$48:$D$65,4,FALSE),0))</f>
        <v>0</v>
      </c>
      <c r="Q82" s="16">
        <f>IF(Q59=1,VLOOKUP($A82,'[4]Données investissements'!$A$48:$D$65,2,FALSE),IF(Q35&lt;&gt;0,VLOOKUP($A59,'[4]Données investissements'!$A$48:$D$65,4,FALSE),0))</f>
        <v>0</v>
      </c>
      <c r="R82" s="16">
        <f>IF(R59=1,VLOOKUP($A82,'[4]Données investissements'!$A$48:$D$65,2,FALSE),IF(R35&lt;&gt;0,VLOOKUP($A59,'[4]Données investissements'!$A$48:$D$65,4,FALSE),0))</f>
        <v>0</v>
      </c>
      <c r="S82" s="16">
        <f>IF(S59=1,VLOOKUP($A82,'[4]Données investissements'!$A$48:$D$65,2,FALSE),IF(S35&lt;&gt;0,VLOOKUP($A59,'[4]Données investissements'!$A$48:$D$65,4,FALSE),0))</f>
        <v>1</v>
      </c>
      <c r="T82" s="16">
        <f>IF(T59=1,VLOOKUP($A82,'[4]Données investissements'!$A$48:$D$65,2,FALSE),IF(T35&lt;&gt;0,VLOOKUP($A59,'[4]Données investissements'!$A$48:$D$65,4,FALSE),0))</f>
        <v>2</v>
      </c>
      <c r="U82" s="16">
        <f>IF(U59=1,VLOOKUP($A82,'[4]Données investissements'!$A$48:$D$65,2,FALSE),IF(U35&lt;&gt;0,VLOOKUP($A59,'[4]Données investissements'!$A$48:$D$65,4,FALSE),0))</f>
        <v>0</v>
      </c>
      <c r="V82" s="16">
        <f>IF(V59=1,VLOOKUP($A82,'[4]Données investissements'!$A$48:$D$65,2,FALSE),IF(V35&lt;&gt;0,VLOOKUP($A59,'[4]Données investissements'!$A$48:$D$65,4,FALSE),0))</f>
        <v>0</v>
      </c>
      <c r="W82" s="16">
        <f>IF(W59=1,VLOOKUP($A82,'[4]Données investissements'!$A$48:$D$65,2,FALSE),IF(W35&lt;&gt;0,VLOOKUP($A59,'[4]Données investissements'!$A$48:$D$65,4,FALSE),0))</f>
        <v>0</v>
      </c>
      <c r="X82" s="16">
        <f>IF(X59=1,VLOOKUP($A82,'[4]Données investissements'!$A$48:$D$65,2,FALSE),IF(X35&lt;&gt;0,VLOOKUP($A59,'[4]Données investissements'!$A$48:$D$65,4,FALSE),0))</f>
        <v>0</v>
      </c>
      <c r="Y82" s="16">
        <f>IF(Y59=1,VLOOKUP($A82,'[4]Données investissements'!$A$48:$D$65,2,FALSE),IF(Y35&lt;&gt;0,VLOOKUP($A59,'[4]Données investissements'!$A$48:$D$65,4,FALSE),0))</f>
        <v>2</v>
      </c>
      <c r="Z82" s="16">
        <f>IF(Z59=1,VLOOKUP($A82,'[4]Données investissements'!$A$48:$D$65,2,FALSE),IF(Z35&lt;&gt;0,VLOOKUP($A59,'[4]Données investissements'!$A$48:$D$65,4,FALSE),0))</f>
        <v>0</v>
      </c>
      <c r="AA82" s="16">
        <f>IF(AA59=1,VLOOKUP($A82,'[4]Données investissements'!$A$48:$D$65,2,FALSE),IF(AA35&lt;&gt;0,VLOOKUP($A59,'[4]Données investissements'!$A$48:$D$65,4,FALSE),0))</f>
        <v>2</v>
      </c>
      <c r="AB82" s="16">
        <f>IF(AB59=1,VLOOKUP($A82,'[4]Données investissements'!$A$48:$D$65,2,FALSE),IF(AB35&lt;&gt;0,VLOOKUP($A59,'[4]Données investissements'!$A$48:$D$65,4,FALSE),0))</f>
        <v>2</v>
      </c>
      <c r="AC82" s="16">
        <f>IF(AC59=1,VLOOKUP($A82,'[4]Données investissements'!$A$48:$D$65,2,FALSE),IF(AC35&lt;&gt;0,VLOOKUP($A59,'[4]Données investissements'!$A$48:$D$65,4,FALSE),0))</f>
        <v>0</v>
      </c>
      <c r="AD82" s="16">
        <f>IF(AD59=1,VLOOKUP($A82,'[4]Données investissements'!$A$48:$D$65,2,FALSE),IF(AD35&lt;&gt;0,VLOOKUP($A59,'[4]Données investissements'!$A$48:$D$65,4,FALSE),0))</f>
        <v>2</v>
      </c>
      <c r="AE82" s="16">
        <f>IF(AE59=1,VLOOKUP($A82,'[4]Données investissements'!$A$48:$D$65,2,FALSE),IF(AE35&lt;&gt;0,VLOOKUP($A59,'[4]Données investissements'!$A$48:$D$65,4,FALSE),0))</f>
        <v>0</v>
      </c>
      <c r="AF82" s="16">
        <f>IF(AF59=1,VLOOKUP($A82,'[4]Données investissements'!$A$48:$D$65,2,FALSE),IF(AF35&lt;&gt;0,VLOOKUP($A59,'[4]Données investissements'!$A$48:$D$65,4,FALSE),0))</f>
        <v>0</v>
      </c>
      <c r="AG82" s="16">
        <f>IF(AG59=1,VLOOKUP($A82,'[4]Données investissements'!$A$48:$D$65,2,FALSE),IF(AG35&lt;&gt;0,VLOOKUP($A59,'[4]Données investissements'!$A$48:$D$65,4,FALSE),0))</f>
        <v>0</v>
      </c>
      <c r="AH82" s="16">
        <f>IF(AH59=1,VLOOKUP($A82,'[4]Données investissements'!$A$48:$D$65,2,FALSE),IF(AH35&lt;&gt;0,VLOOKUP($A59,'[4]Données investissements'!$A$48:$D$65,4,FALSE),0))</f>
        <v>0</v>
      </c>
      <c r="AI82" s="16">
        <f>IF(AI59=1,VLOOKUP($A82,'[4]Données investissements'!$A$48:$D$65,2,FALSE),IF(AI35&lt;&gt;0,VLOOKUP($A59,'[4]Données investissements'!$A$48:$D$65,4,FALSE),0))</f>
        <v>0</v>
      </c>
      <c r="AJ82" s="16">
        <f>IF(AJ59=1,VLOOKUP($A82,'[4]Données investissements'!$A$48:$D$65,2,FALSE),IF(AJ35&lt;&gt;0,VLOOKUP($A59,'[4]Données investissements'!$A$48:$D$65,4,FALSE),0))</f>
        <v>0</v>
      </c>
      <c r="AK82" s="16">
        <f>IF(AK59=1,VLOOKUP($A82,'[4]Données investissements'!$A$48:$D$65,2,FALSE),IF(AK35&lt;&gt;0,VLOOKUP($A59,'[4]Données investissements'!$A$48:$D$65,4,FALSE),0))</f>
        <v>0</v>
      </c>
      <c r="AL82" s="16">
        <f>IF(AL59=1,VLOOKUP($A82,'[4]Données investissements'!$A$48:$D$65,2,FALSE),IF(AL35&lt;&gt;0,VLOOKUP($A59,'[4]Données investissements'!$A$48:$D$65,4,FALSE),0))</f>
        <v>0</v>
      </c>
      <c r="AM82" s="16">
        <f>IF(AM59=1,VLOOKUP($A82,'[4]Données investissements'!$A$48:$D$65,2,FALSE),IF(AM35&lt;&gt;0,VLOOKUP($A59,'[4]Données investissements'!$A$48:$D$65,4,FALSE),0))</f>
        <v>0</v>
      </c>
      <c r="AN82" s="16">
        <f>IF(AN59=1,VLOOKUP($A82,'[4]Données investissements'!$A$48:$D$65,2,FALSE),IF(AN35&lt;&gt;0,VLOOKUP($A59,'[4]Données investissements'!$A$48:$D$65,4,FALSE),0))</f>
        <v>0</v>
      </c>
      <c r="AO82" s="16">
        <f>IF(AO59=1,VLOOKUP($A82,'[4]Données investissements'!$A$48:$D$65,2,FALSE),IF(AO35&lt;&gt;0,VLOOKUP($A59,'[4]Données investissements'!$A$48:$D$65,4,FALSE),0))</f>
        <v>0</v>
      </c>
      <c r="AP82" s="16">
        <f>IF(AP59=1,VLOOKUP($A82,'[4]Données investissements'!$A$48:$D$65,2,FALSE),IF(AP35&lt;&gt;0,VLOOKUP($A59,'[4]Données investissements'!$A$48:$D$65,4,FALSE),0))</f>
        <v>2</v>
      </c>
      <c r="AQ82" s="16">
        <f>IF(AQ59=1,VLOOKUP($A82,'[4]Données investissements'!$A$48:$D$65,2,FALSE),IF(AQ35&lt;&gt;0,VLOOKUP($A59,'[4]Données investissements'!$A$48:$D$65,4,FALSE),0))</f>
        <v>0</v>
      </c>
      <c r="AR82" s="16">
        <f>IF(AR59=1,VLOOKUP($A82,'[4]Données investissements'!$A$48:$D$65,2,FALSE),IF(AR35&lt;&gt;0,VLOOKUP($A59,'[4]Données investissements'!$A$48:$D$65,4,FALSE),0))</f>
        <v>0</v>
      </c>
      <c r="AS82" s="16">
        <f>IF(AS59=1,VLOOKUP($A82,'[4]Données investissements'!$A$48:$D$65,2,FALSE),IF(AS35&lt;&gt;0,VLOOKUP($A59,'[4]Données investissements'!$A$48:$D$65,4,FALSE),0))</f>
        <v>0</v>
      </c>
      <c r="AT82" s="16">
        <f>IF(AT59=1,VLOOKUP($A82,'[4]Données investissements'!$A$48:$D$65,2,FALSE),IF(AT35&lt;&gt;0,VLOOKUP($A59,'[4]Données investissements'!$A$48:$D$65,4,FALSE),0))</f>
        <v>0</v>
      </c>
      <c r="AU82" s="16">
        <f>IF(AU59=1,VLOOKUP($A82,'[4]Données investissements'!$A$48:$D$65,2,FALSE),IF(AU35&lt;&gt;0,VLOOKUP($A59,'[4]Données investissements'!$A$48:$D$65,4,FALSE),0))</f>
        <v>0</v>
      </c>
      <c r="AV82" s="16">
        <f>IF(AV59=1,VLOOKUP($A82,'[4]Données investissements'!$A$48:$D$65,2,FALSE),IF(AV35&lt;&gt;0,VLOOKUP($A59,'[4]Données investissements'!$A$48:$D$65,4,FALSE),0))</f>
        <v>0</v>
      </c>
      <c r="AW82" s="16">
        <f>IF(AW59=1,VLOOKUP($A82,'[4]Données investissements'!$A$48:$D$65,2,FALSE),IF(AW35&lt;&gt;0,VLOOKUP($A59,'[4]Données investissements'!$A$48:$D$65,4,FALSE),0))</f>
        <v>0</v>
      </c>
      <c r="AX82" s="16">
        <f>IF(AX59=1,VLOOKUP($A82,'[4]Données investissements'!$A$48:$D$65,2,FALSE),IF(AX35&lt;&gt;0,VLOOKUP($A59,'[4]Données investissements'!$A$48:$D$65,4,FALSE),0))</f>
        <v>0</v>
      </c>
      <c r="AY82" s="16">
        <f>IF(AY59=1,VLOOKUP($A82,'[4]Données investissements'!$A$48:$D$65,2,FALSE),IF(AY35&lt;&gt;0,VLOOKUP($A59,'[4]Données investissements'!$A$48:$D$65,4,FALSE),0))</f>
        <v>0</v>
      </c>
      <c r="AZ82" s="16">
        <f>IF(AZ59=1,VLOOKUP($A82,'[4]Données investissements'!$A$48:$D$65,2,FALSE),IF(AZ35&lt;&gt;0,VLOOKUP($A59,'[4]Données investissements'!$A$48:$D$65,4,FALSE),0))</f>
        <v>0</v>
      </c>
      <c r="BA82" s="16">
        <f>IF(BA59=1,VLOOKUP($A82,'[4]Données investissements'!$A$48:$D$65,2,FALSE),IF(BA35&lt;&gt;0,VLOOKUP($A59,'[4]Données investissements'!$A$48:$D$65,4,FALSE),0))</f>
        <v>0</v>
      </c>
      <c r="BB82" s="16">
        <f>IF(BB59=1,VLOOKUP($A82,'[4]Données investissements'!$A$48:$D$65,2,FALSE),IF(BB35&lt;&gt;0,VLOOKUP($A59,'[4]Données investissements'!$A$48:$D$65,4,FALSE),0))</f>
        <v>0</v>
      </c>
      <c r="BC82" s="16">
        <f>IF(BC59=1,VLOOKUP($A82,'[4]Données investissements'!$A$48:$D$65,2,FALSE),IF(BC35&lt;&gt;0,VLOOKUP($A59,'[4]Données investissements'!$A$48:$D$65,4,FALSE),0))</f>
        <v>0</v>
      </c>
      <c r="BD82" s="16">
        <f>IF(BD59=1,VLOOKUP($A82,'[4]Données investissements'!$A$48:$D$65,2,FALSE),IF(BD35&lt;&gt;0,VLOOKUP($A59,'[4]Données investissements'!$A$48:$D$65,4,FALSE),0))</f>
        <v>0</v>
      </c>
      <c r="BE82" s="16">
        <f>IF(BE59=1,VLOOKUP($A82,'[4]Données investissements'!$A$48:$D$65,2,FALSE),IF(BE35&lt;&gt;0,VLOOKUP($A59,'[4]Données investissements'!$A$48:$D$65,4,FALSE),0))</f>
        <v>0</v>
      </c>
      <c r="BF82" s="16">
        <f>IF(BF59=1,VLOOKUP($A82,'[4]Données investissements'!$A$48:$D$65,2,FALSE),IF(BF35&lt;&gt;0,VLOOKUP($A59,'[4]Données investissements'!$A$48:$D$65,4,FALSE),0))</f>
        <v>0</v>
      </c>
      <c r="BG82" s="16">
        <f>IF(BG59=1,VLOOKUP($A82,'[4]Données investissements'!$A$48:$D$65,2,FALSE),IF(BG35&lt;&gt;0,VLOOKUP($A59,'[4]Données investissements'!$A$48:$D$65,4,FALSE),0))</f>
        <v>0</v>
      </c>
      <c r="BH82" s="16">
        <f>IF(BH59=1,VLOOKUP($A82,'[4]Données investissements'!$A$48:$D$65,2,FALSE),IF(BH35&lt;&gt;0,VLOOKUP($A59,'[4]Données investissements'!$A$48:$D$65,4,FALSE),0))</f>
        <v>0</v>
      </c>
      <c r="BI82" s="16">
        <f>IF(BI59=1,VLOOKUP($A82,'[4]Données investissements'!$A$48:$D$65,2,FALSE),IF(BI35&lt;&gt;0,VLOOKUP($A59,'[4]Données investissements'!$A$48:$D$65,4,FALSE),0))</f>
        <v>0</v>
      </c>
      <c r="BJ82" s="16">
        <f>IF(BJ59=1,VLOOKUP($A82,'[4]Données investissements'!$A$48:$D$65,2,FALSE),IF(BJ35&lt;&gt;0,VLOOKUP($A59,'[4]Données investissements'!$A$48:$D$65,4,FALSE),0))</f>
        <v>0</v>
      </c>
      <c r="BK82" s="16">
        <f>IF(BK59=1,VLOOKUP($A82,'[4]Données investissements'!$A$48:$D$65,2,FALSE),IF(BK35&lt;&gt;0,VLOOKUP($A59,'[4]Données investissements'!$A$48:$D$65,4,FALSE),0))</f>
        <v>0</v>
      </c>
      <c r="BL82" s="16">
        <f>IF(BL59=1,VLOOKUP($A82,'[4]Données investissements'!$A$48:$D$65,2,FALSE),IF(BL35&lt;&gt;0,VLOOKUP($A59,'[4]Données investissements'!$A$48:$D$65,4,FALSE),0))</f>
        <v>0</v>
      </c>
      <c r="BM82" s="16">
        <f>IF(BM59=1,VLOOKUP($A82,'[4]Données investissements'!$A$48:$D$65,2,FALSE),IF(BM35&lt;&gt;0,VLOOKUP($A59,'[4]Données investissements'!$A$48:$D$65,4,FALSE),0))</f>
        <v>0</v>
      </c>
      <c r="BN82" s="16">
        <f>IF(BN59=1,VLOOKUP($A82,'[4]Données investissements'!$A$48:$D$65,2,FALSE),IF(BN35&lt;&gt;0,VLOOKUP($A59,'[4]Données investissements'!$A$48:$D$65,4,FALSE),0))</f>
        <v>0</v>
      </c>
      <c r="BO82" s="16">
        <f>IF(BO59=1,VLOOKUP($A82,'[4]Données investissements'!$A$48:$D$65,2,FALSE),IF(BO35&lt;&gt;0,VLOOKUP($A59,'[4]Données investissements'!$A$48:$D$65,4,FALSE),0))</f>
        <v>0</v>
      </c>
      <c r="BP82" s="16">
        <f>IF(BP59=1,VLOOKUP($A82,'[4]Données investissements'!$A$48:$D$65,2,FALSE),IF(BP35&lt;&gt;0,VLOOKUP($A59,'[4]Données investissements'!$A$48:$D$65,4,FALSE),0))</f>
        <v>0</v>
      </c>
      <c r="BQ82" s="16">
        <f>IF(BQ59=1,VLOOKUP($A82,'[4]Données investissements'!$A$48:$D$65,2,FALSE),IF(BQ35&lt;&gt;0,VLOOKUP($A59,'[4]Données investissements'!$A$48:$D$65,4,FALSE),0))</f>
        <v>0</v>
      </c>
      <c r="BR82" s="16">
        <f>IF(BR59=1,VLOOKUP($A82,'[4]Données investissements'!$A$48:$D$65,2,FALSE),IF(BR35&lt;&gt;0,VLOOKUP($A59,'[4]Données investissements'!$A$48:$D$65,4,FALSE),0))</f>
        <v>0</v>
      </c>
      <c r="BS82" s="16">
        <f>IF(BS59=1,VLOOKUP($A82,'[4]Données investissements'!$A$48:$D$65,2,FALSE),IF(BS35&lt;&gt;0,VLOOKUP($A59,'[4]Données investissements'!$A$48:$D$65,4,FALSE),0))</f>
        <v>0</v>
      </c>
      <c r="BT82" s="16">
        <f>IF(BT59=1,VLOOKUP($A82,'[4]Données investissements'!$A$48:$D$65,2,FALSE),IF(BT35&lt;&gt;0,VLOOKUP($A59,'[4]Données investissements'!$A$48:$D$65,4,FALSE),0))</f>
        <v>0</v>
      </c>
      <c r="BU82" s="16">
        <f>IF(BU59=1,VLOOKUP($A82,'[4]Données investissements'!$A$48:$D$65,2,FALSE),IF(BU35&lt;&gt;0,VLOOKUP($A59,'[4]Données investissements'!$A$48:$D$65,4,FALSE),0))</f>
        <v>0</v>
      </c>
      <c r="BV82" s="16">
        <f>IF(BV59=1,VLOOKUP($A82,'[4]Données investissements'!$A$48:$D$65,2,FALSE),IF(BV35&lt;&gt;0,VLOOKUP($A59,'[4]Données investissements'!$A$48:$D$65,4,FALSE),0))</f>
        <v>0</v>
      </c>
      <c r="BW82" s="16">
        <f>IF(BW59=1,VLOOKUP($A82,'[4]Données investissements'!$A$48:$D$65,2,FALSE),IF(BW35&lt;&gt;0,VLOOKUP($A59,'[4]Données investissements'!$A$48:$D$65,4,FALSE),0))</f>
        <v>0</v>
      </c>
      <c r="BX82" s="16">
        <f>IF(BX59=1,VLOOKUP($A82,'[4]Données investissements'!$A$48:$D$65,2,FALSE),IF(BX35&lt;&gt;0,VLOOKUP($A59,'[4]Données investissements'!$A$48:$D$65,4,FALSE),0))</f>
        <v>0</v>
      </c>
      <c r="BY82" s="16">
        <f>IF(BY59=1,VLOOKUP($A82,'[4]Données investissements'!$A$48:$D$65,2,FALSE),IF(BY35&lt;&gt;0,VLOOKUP($A59,'[4]Données investissements'!$A$48:$D$65,4,FALSE),0))</f>
        <v>0</v>
      </c>
      <c r="BZ82" s="16">
        <f>IF(BZ59=1,VLOOKUP($A82,'[4]Données investissements'!$A$48:$D$65,2,FALSE),IF(BZ35&lt;&gt;0,VLOOKUP($A59,'[4]Données investissements'!$A$48:$D$65,4,FALSE),0))</f>
        <v>0</v>
      </c>
      <c r="CA82" s="16">
        <f>IF(CA59=1,VLOOKUP($A82,'[4]Données investissements'!$A$48:$D$65,2,FALSE),IF(CA35&lt;&gt;0,VLOOKUP($A59,'[4]Données investissements'!$A$48:$D$65,4,FALSE),0))</f>
        <v>0</v>
      </c>
      <c r="CB82" s="16">
        <f>IF(CB59=1,VLOOKUP($A82,'[4]Données investissements'!$A$48:$D$65,2,FALSE),IF(CB35&lt;&gt;0,VLOOKUP($A59,'[4]Données investissements'!$A$48:$D$65,4,FALSE),0))</f>
        <v>0</v>
      </c>
      <c r="CC82" s="16">
        <f>IF(CC59=1,VLOOKUP($A82,'[4]Données investissements'!$A$48:$D$65,2,FALSE),IF(CC35&lt;&gt;0,VLOOKUP($A59,'[4]Données investissements'!$A$48:$D$65,4,FALSE),0))</f>
        <v>0</v>
      </c>
      <c r="CD82" s="16">
        <f>IF(CD59=1,VLOOKUP($A82,'[4]Données investissements'!$A$48:$D$65,2,FALSE),IF(CD35&lt;&gt;0,VLOOKUP($A59,'[4]Données investissements'!$A$48:$D$65,4,FALSE),0))</f>
        <v>0</v>
      </c>
      <c r="CE82" s="16">
        <f>IF(CE59=1,VLOOKUP($A82,'[4]Données investissements'!$A$48:$D$65,2,FALSE),IF(CE35&lt;&gt;0,VLOOKUP($A59,'[4]Données investissements'!$A$48:$D$65,4,FALSE),0))</f>
        <v>0</v>
      </c>
      <c r="CF82" s="16">
        <f>IF(CF59=1,VLOOKUP($A82,'[4]Données investissements'!$A$48:$D$65,2,FALSE),IF(CF35&lt;&gt;0,VLOOKUP($A59,'[4]Données investissements'!$A$48:$D$65,4,FALSE),0))</f>
        <v>0</v>
      </c>
      <c r="CG82" s="16">
        <f>IF(CG59=1,VLOOKUP($A82,'[4]Données investissements'!$A$48:$D$65,2,FALSE),IF(CG35&lt;&gt;0,VLOOKUP($A59,'[4]Données investissements'!$A$48:$D$65,4,FALSE),0))</f>
        <v>0</v>
      </c>
      <c r="CH82" s="16">
        <f>IF(CH59=1,VLOOKUP($A82,'[4]Données investissements'!$A$48:$D$65,2,FALSE),IF(CH35&lt;&gt;0,VLOOKUP($A59,'[4]Données investissements'!$A$48:$D$65,4,FALSE),0))</f>
        <v>0</v>
      </c>
      <c r="CI82" s="16">
        <f>IF(CI59=1,VLOOKUP($A82,'[4]Données investissements'!$A$48:$D$65,2,FALSE),IF(CI35&lt;&gt;0,VLOOKUP($A59,'[4]Données investissements'!$A$48:$D$65,4,FALSE),0))</f>
        <v>0</v>
      </c>
      <c r="CJ82" s="16">
        <f>IF(CJ59=1,VLOOKUP($A82,'[4]Données investissements'!$A$48:$D$65,2,FALSE),IF(CJ35&lt;&gt;0,VLOOKUP($A59,'[4]Données investissements'!$A$48:$D$65,4,FALSE),0))</f>
        <v>0</v>
      </c>
      <c r="CK82" s="16">
        <f>IF(CK59=1,VLOOKUP($A82,'[4]Données investissements'!$A$48:$D$65,2,FALSE),IF(CK35&lt;&gt;0,VLOOKUP($A59,'[4]Données investissements'!$A$48:$D$65,4,FALSE),0))</f>
        <v>0</v>
      </c>
      <c r="CL82" s="16">
        <f>IF(CL59=1,VLOOKUP($A82,'[4]Données investissements'!$A$48:$D$65,2,FALSE),IF(CL35&lt;&gt;0,VLOOKUP($A59,'[4]Données investissements'!$A$48:$D$65,4,FALSE),0))</f>
        <v>0</v>
      </c>
      <c r="CM82" s="16">
        <f>IF(CM59=1,VLOOKUP($A82,'[4]Données investissements'!$A$48:$D$65,2,FALSE),IF(CM35&lt;&gt;0,VLOOKUP($A59,'[4]Données investissements'!$A$48:$D$65,4,FALSE),0))</f>
        <v>0</v>
      </c>
      <c r="CN82" s="16">
        <f>IF(CN59=1,VLOOKUP($A82,'[4]Données investissements'!$A$48:$D$65,2,FALSE),IF(CN35&lt;&gt;0,VLOOKUP($A59,'[4]Données investissements'!$A$48:$D$65,4,FALSE),0))</f>
        <v>0</v>
      </c>
      <c r="CO82" s="16">
        <f>IF(CO59=1,VLOOKUP($A82,'[4]Données investissements'!$A$48:$D$65,2,FALSE),IF(CO35&lt;&gt;0,VLOOKUP($A59,'[4]Données investissements'!$A$48:$D$65,4,FALSE),0))</f>
        <v>0</v>
      </c>
      <c r="CP82" s="16">
        <f>IF(CP59=1,VLOOKUP($A82,'[4]Données investissements'!$A$48:$D$65,2,FALSE),IF(CP35&lt;&gt;0,VLOOKUP($A59,'[4]Données investissements'!$A$48:$D$65,4,FALSE),0))</f>
        <v>0</v>
      </c>
      <c r="CQ82" s="16">
        <f>IF(CQ59=1,VLOOKUP($A82,'[4]Données investissements'!$A$48:$D$65,2,FALSE),IF(CQ35&lt;&gt;0,VLOOKUP($A59,'[4]Données investissements'!$A$48:$D$65,4,FALSE),0))</f>
        <v>0</v>
      </c>
      <c r="CR82" s="16">
        <f>IF(CR59=1,VLOOKUP($A82,'[4]Données investissements'!$A$48:$D$65,2,FALSE),IF(CR35&lt;&gt;0,VLOOKUP($A59,'[4]Données investissements'!$A$48:$D$65,4,FALSE),0))</f>
        <v>0</v>
      </c>
      <c r="CS82" s="16">
        <f>IF(CS59=1,VLOOKUP($A82,'[4]Données investissements'!$A$48:$D$65,2,FALSE),IF(CS35&lt;&gt;0,VLOOKUP($A59,'[4]Données investissements'!$A$48:$D$65,4,FALSE),0))</f>
        <v>0</v>
      </c>
      <c r="CT82" s="16">
        <f>IF(CT59=1,VLOOKUP($A82,'[4]Données investissements'!$A$48:$D$65,2,FALSE),IF(CT35&lt;&gt;0,VLOOKUP($A59,'[4]Données investissements'!$A$48:$D$65,4,FALSE),0))</f>
        <v>0</v>
      </c>
      <c r="CU82" s="16">
        <f>IF(CU59=1,VLOOKUP($A82,'[4]Données investissements'!$A$48:$D$65,2,FALSE),IF(CU35&lt;&gt;0,VLOOKUP($A59,'[4]Données investissements'!$A$48:$D$65,4,FALSE),0))</f>
        <v>0</v>
      </c>
      <c r="CV82" s="16">
        <f>IF(CV59=1,VLOOKUP($A82,'[4]Données investissements'!$A$48:$D$65,2,FALSE),IF(CV35&lt;&gt;0,VLOOKUP($A59,'[4]Données investissements'!$A$48:$D$65,4,FALSE),0))</f>
        <v>0</v>
      </c>
      <c r="CW82" s="16">
        <f>IF(CW59=1,VLOOKUP($A82,'[4]Données investissements'!$A$48:$D$65,2,FALSE),IF(CW35&lt;&gt;0,VLOOKUP($A59,'[4]Données investissements'!$A$48:$D$65,4,FALSE),0))</f>
        <v>0</v>
      </c>
      <c r="CX82" s="16">
        <f>IF(CX59=1,VLOOKUP($A82,'[4]Données investissements'!$A$48:$D$65,2,FALSE),IF(CX35&lt;&gt;0,VLOOKUP($A59,'[4]Données investissements'!$A$48:$D$65,4,FALSE),0))</f>
        <v>0</v>
      </c>
      <c r="CY82" s="16">
        <f>IF(CY59=1,VLOOKUP($A82,'[4]Données investissements'!$A$48:$D$65,2,FALSE),IF(CY35&lt;&gt;0,VLOOKUP($A59,'[4]Données investissements'!$A$48:$D$65,4,FALSE),0))</f>
        <v>0</v>
      </c>
      <c r="CZ82" s="16">
        <f>IF(CZ59=1,VLOOKUP($A82,'[4]Données investissements'!$A$48:$D$65,2,FALSE),IF(CZ35&lt;&gt;0,VLOOKUP($A59,'[4]Données investissements'!$A$48:$D$65,4,FALSE),0))</f>
        <v>0</v>
      </c>
      <c r="DA82" s="16">
        <f>IF(DA59=1,VLOOKUP($A82,'[4]Données investissements'!$A$48:$D$65,2,FALSE),IF(DA35&lt;&gt;0,VLOOKUP($A59,'[4]Données investissements'!$A$48:$D$65,4,FALSE),0))</f>
        <v>0</v>
      </c>
      <c r="DB82" s="16">
        <f>IF(DB59=1,VLOOKUP($A82,'[4]Données investissements'!$A$48:$D$65,2,FALSE),IF(DB35&lt;&gt;0,VLOOKUP($A59,'[4]Données investissements'!$A$48:$D$65,4,FALSE),0))</f>
        <v>0</v>
      </c>
      <c r="DC82" s="16">
        <f>IF(DC59=1,VLOOKUP($A82,'[4]Données investissements'!$A$48:$D$65,2,FALSE),IF(DC35&lt;&gt;0,VLOOKUP($A59,'[4]Données investissements'!$A$48:$D$65,4,FALSE),0))</f>
        <v>0</v>
      </c>
      <c r="DD82" s="16">
        <f>IF(DD59=1,VLOOKUP($A82,'[4]Données investissements'!$A$48:$D$65,2,FALSE),IF(DD35&lt;&gt;0,VLOOKUP($A59,'[4]Données investissements'!$A$48:$D$65,4,FALSE),0))</f>
        <v>0</v>
      </c>
      <c r="DE82" s="16">
        <f>IF(DE59=1,VLOOKUP($A82,'[4]Données investissements'!$A$48:$D$65,2,FALSE),IF(DE35&lt;&gt;0,VLOOKUP($A59,'[4]Données investissements'!$A$48:$D$65,4,FALSE),0))</f>
        <v>0</v>
      </c>
      <c r="DF82" s="16">
        <f>IF(DF59=1,VLOOKUP($A82,'[4]Données investissements'!$A$48:$D$65,2,FALSE),IF(DF35&lt;&gt;0,VLOOKUP($A59,'[4]Données investissements'!$A$48:$D$65,4,FALSE),0))</f>
        <v>0</v>
      </c>
    </row>
    <row r="83" spans="1:110" ht="12.75" hidden="1" customHeight="1" x14ac:dyDescent="0.2">
      <c r="A83" s="15" t="str">
        <f t="shared" si="40"/>
        <v>Unité de pesage et briquetage :</v>
      </c>
      <c r="B83" s="16">
        <f t="shared" si="40"/>
        <v>2.95</v>
      </c>
      <c r="C83" s="16">
        <f>IF(C60=1,VLOOKUP($A83,'[4]Données investissements'!$A$48:$D$65,2,FALSE),IF(C36&lt;&gt;0,VLOOKUP($A60,'[4]Données investissements'!$A$48:$D$65,4,FALSE),0))</f>
        <v>0</v>
      </c>
      <c r="D83" s="16">
        <f>IF(D60=1,VLOOKUP($A83,'[4]Données investissements'!$A$48:$D$65,2,FALSE),IF(D36&lt;&gt;0,VLOOKUP($A60,'[4]Données investissements'!$A$48:$D$65,4,FALSE),0))</f>
        <v>0</v>
      </c>
      <c r="E83" s="16">
        <f>IF(E60=1,VLOOKUP($A83,'[4]Données investissements'!$A$48:$D$65,2,FALSE),IF(E36&lt;&gt;0,VLOOKUP($A60,'[4]Données investissements'!$A$48:$D$65,4,FALSE),0))</f>
        <v>0</v>
      </c>
      <c r="F83" s="16">
        <f>IF(F60=1,VLOOKUP($A83,'[4]Données investissements'!$A$48:$D$65,2,FALSE),IF(F36&lt;&gt;0,VLOOKUP($A60,'[4]Données investissements'!$A$48:$D$65,4,FALSE),0))</f>
        <v>0</v>
      </c>
      <c r="G83" s="16">
        <f>IF(G60=1,VLOOKUP($A83,'[4]Données investissements'!$A$48:$D$65,2,FALSE),IF(G36&lt;&gt;0,VLOOKUP($A60,'[4]Données investissements'!$A$48:$D$65,4,FALSE),0))</f>
        <v>0</v>
      </c>
      <c r="H83" s="16">
        <f>IF(H60=1,VLOOKUP($A83,'[4]Données investissements'!$A$48:$D$65,2,FALSE),IF(H36&lt;&gt;0,VLOOKUP($A60,'[4]Données investissements'!$A$48:$D$65,4,FALSE),0))</f>
        <v>0</v>
      </c>
      <c r="I83" s="16">
        <f>IF(I60=1,VLOOKUP($A83,'[4]Données investissements'!$A$48:$D$65,2,FALSE),IF(I36&lt;&gt;0,VLOOKUP($A60,'[4]Données investissements'!$A$48:$D$65,4,FALSE),0))</f>
        <v>0</v>
      </c>
      <c r="J83" s="16">
        <f>IF(J60=1,VLOOKUP($A83,'[4]Données investissements'!$A$48:$D$65,2,FALSE),IF(J36&lt;&gt;0,VLOOKUP($A60,'[4]Données investissements'!$A$48:$D$65,4,FALSE),0))</f>
        <v>0</v>
      </c>
      <c r="K83" s="16">
        <f>IF(K60=1,VLOOKUP($A83,'[4]Données investissements'!$A$48:$D$65,2,FALSE),IF(K36&lt;&gt;0,VLOOKUP($A60,'[4]Données investissements'!$A$48:$D$65,4,FALSE),0))</f>
        <v>0</v>
      </c>
      <c r="L83" s="16">
        <f>IF(L60=1,VLOOKUP($A83,'[4]Données investissements'!$A$48:$D$65,2,FALSE),IF(L36&lt;&gt;0,VLOOKUP($A60,'[4]Données investissements'!$A$48:$D$65,4,FALSE),0))</f>
        <v>0</v>
      </c>
      <c r="M83" s="16">
        <f>IF(M60=1,VLOOKUP($A83,'[4]Données investissements'!$A$48:$D$65,2,FALSE),IF(M36&lt;&gt;0,VLOOKUP($A60,'[4]Données investissements'!$A$48:$D$65,4,FALSE),0))</f>
        <v>0</v>
      </c>
      <c r="N83" s="16">
        <f>IF(N60=1,VLOOKUP($A83,'[4]Données investissements'!$A$48:$D$65,2,FALSE),IF(N36&lt;&gt;0,VLOOKUP($A60,'[4]Données investissements'!$A$48:$D$65,4,FALSE),0))</f>
        <v>0</v>
      </c>
      <c r="O83" s="16">
        <f>IF(O60=1,VLOOKUP($A83,'[4]Données investissements'!$A$48:$D$65,2,FALSE),IF(O36&lt;&gt;0,VLOOKUP($A60,'[4]Données investissements'!$A$48:$D$65,4,FALSE),0))</f>
        <v>1</v>
      </c>
      <c r="P83" s="16">
        <f>IF(P60=1,VLOOKUP($A83,'[4]Données investissements'!$A$48:$D$65,2,FALSE),IF(P36&lt;&gt;0,VLOOKUP($A60,'[4]Données investissements'!$A$48:$D$65,4,FALSE),0))</f>
        <v>0</v>
      </c>
      <c r="Q83" s="16">
        <f>IF(Q60=1,VLOOKUP($A83,'[4]Données investissements'!$A$48:$D$65,2,FALSE),IF(Q36&lt;&gt;0,VLOOKUP($A60,'[4]Données investissements'!$A$48:$D$65,4,FALSE),0))</f>
        <v>3</v>
      </c>
      <c r="R83" s="16">
        <f>IF(R60=1,VLOOKUP($A83,'[4]Données investissements'!$A$48:$D$65,2,FALSE),IF(R36&lt;&gt;0,VLOOKUP($A60,'[4]Données investissements'!$A$48:$D$65,4,FALSE),0))</f>
        <v>0</v>
      </c>
      <c r="S83" s="16">
        <f>IF(S60=1,VLOOKUP($A83,'[4]Données investissements'!$A$48:$D$65,2,FALSE),IF(S36&lt;&gt;0,VLOOKUP($A60,'[4]Données investissements'!$A$48:$D$65,4,FALSE),0))</f>
        <v>0</v>
      </c>
      <c r="T83" s="16">
        <f>IF(T60=1,VLOOKUP($A83,'[4]Données investissements'!$A$48:$D$65,2,FALSE),IF(T36&lt;&gt;0,VLOOKUP($A60,'[4]Données investissements'!$A$48:$D$65,4,FALSE),0))</f>
        <v>0</v>
      </c>
      <c r="U83" s="16">
        <f>IF(U60=1,VLOOKUP($A83,'[4]Données investissements'!$A$48:$D$65,2,FALSE),IF(U36&lt;&gt;0,VLOOKUP($A60,'[4]Données investissements'!$A$48:$D$65,4,FALSE),0))</f>
        <v>3</v>
      </c>
      <c r="V83" s="16">
        <f>IF(V60=1,VLOOKUP($A83,'[4]Données investissements'!$A$48:$D$65,2,FALSE),IF(V36&lt;&gt;0,VLOOKUP($A60,'[4]Données investissements'!$A$48:$D$65,4,FALSE),0))</f>
        <v>0</v>
      </c>
      <c r="W83" s="16">
        <f>IF(W60=1,VLOOKUP($A83,'[4]Données investissements'!$A$48:$D$65,2,FALSE),IF(W36&lt;&gt;0,VLOOKUP($A60,'[4]Données investissements'!$A$48:$D$65,4,FALSE),0))</f>
        <v>3</v>
      </c>
      <c r="X83" s="16">
        <f>IF(X60=1,VLOOKUP($A83,'[4]Données investissements'!$A$48:$D$65,2,FALSE),IF(X36&lt;&gt;0,VLOOKUP($A60,'[4]Données investissements'!$A$48:$D$65,4,FALSE),0))</f>
        <v>0</v>
      </c>
      <c r="Y83" s="16">
        <f>IF(Y60=1,VLOOKUP($A83,'[4]Données investissements'!$A$48:$D$65,2,FALSE),IF(Y36&lt;&gt;0,VLOOKUP($A60,'[4]Données investissements'!$A$48:$D$65,4,FALSE),0))</f>
        <v>3</v>
      </c>
      <c r="Z83" s="16">
        <f>IF(Z60=1,VLOOKUP($A83,'[4]Données investissements'!$A$48:$D$65,2,FALSE),IF(Z36&lt;&gt;0,VLOOKUP($A60,'[4]Données investissements'!$A$48:$D$65,4,FALSE),0))</f>
        <v>0</v>
      </c>
      <c r="AA83" s="16">
        <f>IF(AA60=1,VLOOKUP($A83,'[4]Données investissements'!$A$48:$D$65,2,FALSE),IF(AA36&lt;&gt;0,VLOOKUP($A60,'[4]Données investissements'!$A$48:$D$65,4,FALSE),0))</f>
        <v>3</v>
      </c>
      <c r="AB83" s="16">
        <f>IF(AB60=1,VLOOKUP($A83,'[4]Données investissements'!$A$48:$D$65,2,FALSE),IF(AB36&lt;&gt;0,VLOOKUP($A60,'[4]Données investissements'!$A$48:$D$65,4,FALSE),0))</f>
        <v>0</v>
      </c>
      <c r="AC83" s="16">
        <f>IF(AC60=1,VLOOKUP($A83,'[4]Données investissements'!$A$48:$D$65,2,FALSE),IF(AC36&lt;&gt;0,VLOOKUP($A60,'[4]Données investissements'!$A$48:$D$65,4,FALSE),0))</f>
        <v>0</v>
      </c>
      <c r="AD83" s="16">
        <f>IF(AD60=1,VLOOKUP($A83,'[4]Données investissements'!$A$48:$D$65,2,FALSE),IF(AD36&lt;&gt;0,VLOOKUP($A60,'[4]Données investissements'!$A$48:$D$65,4,FALSE),0))</f>
        <v>0</v>
      </c>
      <c r="AE83" s="16">
        <f>IF(AE60=1,VLOOKUP($A83,'[4]Données investissements'!$A$48:$D$65,2,FALSE),IF(AE36&lt;&gt;0,VLOOKUP($A60,'[4]Données investissements'!$A$48:$D$65,4,FALSE),0))</f>
        <v>0</v>
      </c>
      <c r="AF83" s="16">
        <f>IF(AF60=1,VLOOKUP($A83,'[4]Données investissements'!$A$48:$D$65,2,FALSE),IF(AF36&lt;&gt;0,VLOOKUP($A60,'[4]Données investissements'!$A$48:$D$65,4,FALSE),0))</f>
        <v>0</v>
      </c>
      <c r="AG83" s="16">
        <f>IF(AG60=1,VLOOKUP($A83,'[4]Données investissements'!$A$48:$D$65,2,FALSE),IF(AG36&lt;&gt;0,VLOOKUP($A60,'[4]Données investissements'!$A$48:$D$65,4,FALSE),0))</f>
        <v>0</v>
      </c>
      <c r="AH83" s="16">
        <f>IF(AH60=1,VLOOKUP($A83,'[4]Données investissements'!$A$48:$D$65,2,FALSE),IF(AH36&lt;&gt;0,VLOOKUP($A60,'[4]Données investissements'!$A$48:$D$65,4,FALSE),0))</f>
        <v>0</v>
      </c>
      <c r="AI83" s="16">
        <f>IF(AI60=1,VLOOKUP($A83,'[4]Données investissements'!$A$48:$D$65,2,FALSE),IF(AI36&lt;&gt;0,VLOOKUP($A60,'[4]Données investissements'!$A$48:$D$65,4,FALSE),0))</f>
        <v>0</v>
      </c>
      <c r="AJ83" s="16">
        <f>IF(AJ60=1,VLOOKUP($A83,'[4]Données investissements'!$A$48:$D$65,2,FALSE),IF(AJ36&lt;&gt;0,VLOOKUP($A60,'[4]Données investissements'!$A$48:$D$65,4,FALSE),0))</f>
        <v>0</v>
      </c>
      <c r="AK83" s="16">
        <f>IF(AK60=1,VLOOKUP($A83,'[4]Données investissements'!$A$48:$D$65,2,FALSE),IF(AK36&lt;&gt;0,VLOOKUP($A60,'[4]Données investissements'!$A$48:$D$65,4,FALSE),0))</f>
        <v>0</v>
      </c>
      <c r="AL83" s="16">
        <f>IF(AL60=1,VLOOKUP($A83,'[4]Données investissements'!$A$48:$D$65,2,FALSE),IF(AL36&lt;&gt;0,VLOOKUP($A60,'[4]Données investissements'!$A$48:$D$65,4,FALSE),0))</f>
        <v>0</v>
      </c>
      <c r="AM83" s="16">
        <f>IF(AM60=1,VLOOKUP($A83,'[4]Données investissements'!$A$48:$D$65,2,FALSE),IF(AM36&lt;&gt;0,VLOOKUP($A60,'[4]Données investissements'!$A$48:$D$65,4,FALSE),0))</f>
        <v>3</v>
      </c>
      <c r="AN83" s="16">
        <f>IF(AN60=1,VLOOKUP($A83,'[4]Données investissements'!$A$48:$D$65,2,FALSE),IF(AN36&lt;&gt;0,VLOOKUP($A60,'[4]Données investissements'!$A$48:$D$65,4,FALSE),0))</f>
        <v>0</v>
      </c>
      <c r="AO83" s="16">
        <f>IF(AO60=1,VLOOKUP($A83,'[4]Données investissements'!$A$48:$D$65,2,FALSE),IF(AO36&lt;&gt;0,VLOOKUP($A60,'[4]Données investissements'!$A$48:$D$65,4,FALSE),0))</f>
        <v>0</v>
      </c>
      <c r="AP83" s="16">
        <f>IF(AP60=1,VLOOKUP($A83,'[4]Données investissements'!$A$48:$D$65,2,FALSE),IF(AP36&lt;&gt;0,VLOOKUP($A60,'[4]Données investissements'!$A$48:$D$65,4,FALSE),0))</f>
        <v>0</v>
      </c>
      <c r="AQ83" s="16">
        <f>IF(AQ60=1,VLOOKUP($A83,'[4]Données investissements'!$A$48:$D$65,2,FALSE),IF(AQ36&lt;&gt;0,VLOOKUP($A60,'[4]Données investissements'!$A$48:$D$65,4,FALSE),0))</f>
        <v>0</v>
      </c>
      <c r="AR83" s="16">
        <f>IF(AR60=1,VLOOKUP($A83,'[4]Données investissements'!$A$48:$D$65,2,FALSE),IF(AR36&lt;&gt;0,VLOOKUP($A60,'[4]Données investissements'!$A$48:$D$65,4,FALSE),0))</f>
        <v>0</v>
      </c>
      <c r="AS83" s="16">
        <f>IF(AS60=1,VLOOKUP($A83,'[4]Données investissements'!$A$48:$D$65,2,FALSE),IF(AS36&lt;&gt;0,VLOOKUP($A60,'[4]Données investissements'!$A$48:$D$65,4,FALSE),0))</f>
        <v>0</v>
      </c>
      <c r="AT83" s="16">
        <f>IF(AT60=1,VLOOKUP($A83,'[4]Données investissements'!$A$48:$D$65,2,FALSE),IF(AT36&lt;&gt;0,VLOOKUP($A60,'[4]Données investissements'!$A$48:$D$65,4,FALSE),0))</f>
        <v>0</v>
      </c>
      <c r="AU83" s="16">
        <f>IF(AU60=1,VLOOKUP($A83,'[4]Données investissements'!$A$48:$D$65,2,FALSE),IF(AU36&lt;&gt;0,VLOOKUP($A60,'[4]Données investissements'!$A$48:$D$65,4,FALSE),0))</f>
        <v>0</v>
      </c>
      <c r="AV83" s="16">
        <f>IF(AV60=1,VLOOKUP($A83,'[4]Données investissements'!$A$48:$D$65,2,FALSE),IF(AV36&lt;&gt;0,VLOOKUP($A60,'[4]Données investissements'!$A$48:$D$65,4,FALSE),0))</f>
        <v>0</v>
      </c>
      <c r="AW83" s="16">
        <f>IF(AW60=1,VLOOKUP($A83,'[4]Données investissements'!$A$48:$D$65,2,FALSE),IF(AW36&lt;&gt;0,VLOOKUP($A60,'[4]Données investissements'!$A$48:$D$65,4,FALSE),0))</f>
        <v>0</v>
      </c>
      <c r="AX83" s="16">
        <f>IF(AX60=1,VLOOKUP($A83,'[4]Données investissements'!$A$48:$D$65,2,FALSE),IF(AX36&lt;&gt;0,VLOOKUP($A60,'[4]Données investissements'!$A$48:$D$65,4,FALSE),0))</f>
        <v>0</v>
      </c>
      <c r="AY83" s="16">
        <f>IF(AY60=1,VLOOKUP($A83,'[4]Données investissements'!$A$48:$D$65,2,FALSE),IF(AY36&lt;&gt;0,VLOOKUP($A60,'[4]Données investissements'!$A$48:$D$65,4,FALSE),0))</f>
        <v>0</v>
      </c>
      <c r="AZ83" s="16">
        <f>IF(AZ60=1,VLOOKUP($A83,'[4]Données investissements'!$A$48:$D$65,2,FALSE),IF(AZ36&lt;&gt;0,VLOOKUP($A60,'[4]Données investissements'!$A$48:$D$65,4,FALSE),0))</f>
        <v>0</v>
      </c>
      <c r="BA83" s="16">
        <f>IF(BA60=1,VLOOKUP($A83,'[4]Données investissements'!$A$48:$D$65,2,FALSE),IF(BA36&lt;&gt;0,VLOOKUP($A60,'[4]Données investissements'!$A$48:$D$65,4,FALSE),0))</f>
        <v>0</v>
      </c>
      <c r="BB83" s="16">
        <f>IF(BB60=1,VLOOKUP($A83,'[4]Données investissements'!$A$48:$D$65,2,FALSE),IF(BB36&lt;&gt;0,VLOOKUP($A60,'[4]Données investissements'!$A$48:$D$65,4,FALSE),0))</f>
        <v>0</v>
      </c>
      <c r="BC83" s="16">
        <f>IF(BC60=1,VLOOKUP($A83,'[4]Données investissements'!$A$48:$D$65,2,FALSE),IF(BC36&lt;&gt;0,VLOOKUP($A60,'[4]Données investissements'!$A$48:$D$65,4,FALSE),0))</f>
        <v>0</v>
      </c>
      <c r="BD83" s="16">
        <f>IF(BD60=1,VLOOKUP($A83,'[4]Données investissements'!$A$48:$D$65,2,FALSE),IF(BD36&lt;&gt;0,VLOOKUP($A60,'[4]Données investissements'!$A$48:$D$65,4,FALSE),0))</f>
        <v>0</v>
      </c>
      <c r="BE83" s="16">
        <f>IF(BE60=1,VLOOKUP($A83,'[4]Données investissements'!$A$48:$D$65,2,FALSE),IF(BE36&lt;&gt;0,VLOOKUP($A60,'[4]Données investissements'!$A$48:$D$65,4,FALSE),0))</f>
        <v>0</v>
      </c>
      <c r="BF83" s="16">
        <f>IF(BF60=1,VLOOKUP($A83,'[4]Données investissements'!$A$48:$D$65,2,FALSE),IF(BF36&lt;&gt;0,VLOOKUP($A60,'[4]Données investissements'!$A$48:$D$65,4,FALSE),0))</f>
        <v>0</v>
      </c>
      <c r="BG83" s="16">
        <f>IF(BG60=1,VLOOKUP($A83,'[4]Données investissements'!$A$48:$D$65,2,FALSE),IF(BG36&lt;&gt;0,VLOOKUP($A60,'[4]Données investissements'!$A$48:$D$65,4,FALSE),0))</f>
        <v>0</v>
      </c>
      <c r="BH83" s="16">
        <f>IF(BH60=1,VLOOKUP($A83,'[4]Données investissements'!$A$48:$D$65,2,FALSE),IF(BH36&lt;&gt;0,VLOOKUP($A60,'[4]Données investissements'!$A$48:$D$65,4,FALSE),0))</f>
        <v>0</v>
      </c>
      <c r="BI83" s="16">
        <f>IF(BI60=1,VLOOKUP($A83,'[4]Données investissements'!$A$48:$D$65,2,FALSE),IF(BI36&lt;&gt;0,VLOOKUP($A60,'[4]Données investissements'!$A$48:$D$65,4,FALSE),0))</f>
        <v>0</v>
      </c>
      <c r="BJ83" s="16">
        <f>IF(BJ60=1,VLOOKUP($A83,'[4]Données investissements'!$A$48:$D$65,2,FALSE),IF(BJ36&lt;&gt;0,VLOOKUP($A60,'[4]Données investissements'!$A$48:$D$65,4,FALSE),0))</f>
        <v>0</v>
      </c>
      <c r="BK83" s="16">
        <f>IF(BK60=1,VLOOKUP($A83,'[4]Données investissements'!$A$48:$D$65,2,FALSE),IF(BK36&lt;&gt;0,VLOOKUP($A60,'[4]Données investissements'!$A$48:$D$65,4,FALSE),0))</f>
        <v>0</v>
      </c>
      <c r="BL83" s="16">
        <f>IF(BL60=1,VLOOKUP($A83,'[4]Données investissements'!$A$48:$D$65,2,FALSE),IF(BL36&lt;&gt;0,VLOOKUP($A60,'[4]Données investissements'!$A$48:$D$65,4,FALSE),0))</f>
        <v>0</v>
      </c>
      <c r="BM83" s="16">
        <f>IF(BM60=1,VLOOKUP($A83,'[4]Données investissements'!$A$48:$D$65,2,FALSE),IF(BM36&lt;&gt;0,VLOOKUP($A60,'[4]Données investissements'!$A$48:$D$65,4,FALSE),0))</f>
        <v>0</v>
      </c>
      <c r="BN83" s="16">
        <f>IF(BN60=1,VLOOKUP($A83,'[4]Données investissements'!$A$48:$D$65,2,FALSE),IF(BN36&lt;&gt;0,VLOOKUP($A60,'[4]Données investissements'!$A$48:$D$65,4,FALSE),0))</f>
        <v>0</v>
      </c>
      <c r="BO83" s="16">
        <f>IF(BO60=1,VLOOKUP($A83,'[4]Données investissements'!$A$48:$D$65,2,FALSE),IF(BO36&lt;&gt;0,VLOOKUP($A60,'[4]Données investissements'!$A$48:$D$65,4,FALSE),0))</f>
        <v>0</v>
      </c>
      <c r="BP83" s="16">
        <f>IF(BP60=1,VLOOKUP($A83,'[4]Données investissements'!$A$48:$D$65,2,FALSE),IF(BP36&lt;&gt;0,VLOOKUP($A60,'[4]Données investissements'!$A$48:$D$65,4,FALSE),0))</f>
        <v>0</v>
      </c>
      <c r="BQ83" s="16">
        <f>IF(BQ60=1,VLOOKUP($A83,'[4]Données investissements'!$A$48:$D$65,2,FALSE),IF(BQ36&lt;&gt;0,VLOOKUP($A60,'[4]Données investissements'!$A$48:$D$65,4,FALSE),0))</f>
        <v>0</v>
      </c>
      <c r="BR83" s="16">
        <f>IF(BR60=1,VLOOKUP($A83,'[4]Données investissements'!$A$48:$D$65,2,FALSE),IF(BR36&lt;&gt;0,VLOOKUP($A60,'[4]Données investissements'!$A$48:$D$65,4,FALSE),0))</f>
        <v>0</v>
      </c>
      <c r="BS83" s="16">
        <f>IF(BS60=1,VLOOKUP($A83,'[4]Données investissements'!$A$48:$D$65,2,FALSE),IF(BS36&lt;&gt;0,VLOOKUP($A60,'[4]Données investissements'!$A$48:$D$65,4,FALSE),0))</f>
        <v>0</v>
      </c>
      <c r="BT83" s="16">
        <f>IF(BT60=1,VLOOKUP($A83,'[4]Données investissements'!$A$48:$D$65,2,FALSE),IF(BT36&lt;&gt;0,VLOOKUP($A60,'[4]Données investissements'!$A$48:$D$65,4,FALSE),0))</f>
        <v>0</v>
      </c>
      <c r="BU83" s="16">
        <f>IF(BU60=1,VLOOKUP($A83,'[4]Données investissements'!$A$48:$D$65,2,FALSE),IF(BU36&lt;&gt;0,VLOOKUP($A60,'[4]Données investissements'!$A$48:$D$65,4,FALSE),0))</f>
        <v>0</v>
      </c>
      <c r="BV83" s="16">
        <f>IF(BV60=1,VLOOKUP($A83,'[4]Données investissements'!$A$48:$D$65,2,FALSE),IF(BV36&lt;&gt;0,VLOOKUP($A60,'[4]Données investissements'!$A$48:$D$65,4,FALSE),0))</f>
        <v>0</v>
      </c>
      <c r="BW83" s="16">
        <f>IF(BW60=1,VLOOKUP($A83,'[4]Données investissements'!$A$48:$D$65,2,FALSE),IF(BW36&lt;&gt;0,VLOOKUP($A60,'[4]Données investissements'!$A$48:$D$65,4,FALSE),0))</f>
        <v>0</v>
      </c>
      <c r="BX83" s="16">
        <f>IF(BX60=1,VLOOKUP($A83,'[4]Données investissements'!$A$48:$D$65,2,FALSE),IF(BX36&lt;&gt;0,VLOOKUP($A60,'[4]Données investissements'!$A$48:$D$65,4,FALSE),0))</f>
        <v>0</v>
      </c>
      <c r="BY83" s="16">
        <f>IF(BY60=1,VLOOKUP($A83,'[4]Données investissements'!$A$48:$D$65,2,FALSE),IF(BY36&lt;&gt;0,VLOOKUP($A60,'[4]Données investissements'!$A$48:$D$65,4,FALSE),0))</f>
        <v>0</v>
      </c>
      <c r="BZ83" s="16">
        <f>IF(BZ60=1,VLOOKUP($A83,'[4]Données investissements'!$A$48:$D$65,2,FALSE),IF(BZ36&lt;&gt;0,VLOOKUP($A60,'[4]Données investissements'!$A$48:$D$65,4,FALSE),0))</f>
        <v>0</v>
      </c>
      <c r="CA83" s="16">
        <f>IF(CA60=1,VLOOKUP($A83,'[4]Données investissements'!$A$48:$D$65,2,FALSE),IF(CA36&lt;&gt;0,VLOOKUP($A60,'[4]Données investissements'!$A$48:$D$65,4,FALSE),0))</f>
        <v>0</v>
      </c>
      <c r="CB83" s="16">
        <f>IF(CB60=1,VLOOKUP($A83,'[4]Données investissements'!$A$48:$D$65,2,FALSE),IF(CB36&lt;&gt;0,VLOOKUP($A60,'[4]Données investissements'!$A$48:$D$65,4,FALSE),0))</f>
        <v>0</v>
      </c>
      <c r="CC83" s="16">
        <f>IF(CC60=1,VLOOKUP($A83,'[4]Données investissements'!$A$48:$D$65,2,FALSE),IF(CC36&lt;&gt;0,VLOOKUP($A60,'[4]Données investissements'!$A$48:$D$65,4,FALSE),0))</f>
        <v>0</v>
      </c>
      <c r="CD83" s="16">
        <f>IF(CD60=1,VLOOKUP($A83,'[4]Données investissements'!$A$48:$D$65,2,FALSE),IF(CD36&lt;&gt;0,VLOOKUP($A60,'[4]Données investissements'!$A$48:$D$65,4,FALSE),0))</f>
        <v>0</v>
      </c>
      <c r="CE83" s="16">
        <f>IF(CE60=1,VLOOKUP($A83,'[4]Données investissements'!$A$48:$D$65,2,FALSE),IF(CE36&lt;&gt;0,VLOOKUP($A60,'[4]Données investissements'!$A$48:$D$65,4,FALSE),0))</f>
        <v>0</v>
      </c>
      <c r="CF83" s="16">
        <f>IF(CF60=1,VLOOKUP($A83,'[4]Données investissements'!$A$48:$D$65,2,FALSE),IF(CF36&lt;&gt;0,VLOOKUP($A60,'[4]Données investissements'!$A$48:$D$65,4,FALSE),0))</f>
        <v>0</v>
      </c>
      <c r="CG83" s="16">
        <f>IF(CG60=1,VLOOKUP($A83,'[4]Données investissements'!$A$48:$D$65,2,FALSE),IF(CG36&lt;&gt;0,VLOOKUP($A60,'[4]Données investissements'!$A$48:$D$65,4,FALSE),0))</f>
        <v>0</v>
      </c>
      <c r="CH83" s="16">
        <f>IF(CH60=1,VLOOKUP($A83,'[4]Données investissements'!$A$48:$D$65,2,FALSE),IF(CH36&lt;&gt;0,VLOOKUP($A60,'[4]Données investissements'!$A$48:$D$65,4,FALSE),0))</f>
        <v>0</v>
      </c>
      <c r="CI83" s="16">
        <f>IF(CI60=1,VLOOKUP($A83,'[4]Données investissements'!$A$48:$D$65,2,FALSE),IF(CI36&lt;&gt;0,VLOOKUP($A60,'[4]Données investissements'!$A$48:$D$65,4,FALSE),0))</f>
        <v>0</v>
      </c>
      <c r="CJ83" s="16">
        <f>IF(CJ60=1,VLOOKUP($A83,'[4]Données investissements'!$A$48:$D$65,2,FALSE),IF(CJ36&lt;&gt;0,VLOOKUP($A60,'[4]Données investissements'!$A$48:$D$65,4,FALSE),0))</f>
        <v>0</v>
      </c>
      <c r="CK83" s="16">
        <f>IF(CK60=1,VLOOKUP($A83,'[4]Données investissements'!$A$48:$D$65,2,FALSE),IF(CK36&lt;&gt;0,VLOOKUP($A60,'[4]Données investissements'!$A$48:$D$65,4,FALSE),0))</f>
        <v>0</v>
      </c>
      <c r="CL83" s="16">
        <f>IF(CL60=1,VLOOKUP($A83,'[4]Données investissements'!$A$48:$D$65,2,FALSE),IF(CL36&lt;&gt;0,VLOOKUP($A60,'[4]Données investissements'!$A$48:$D$65,4,FALSE),0))</f>
        <v>0</v>
      </c>
      <c r="CM83" s="16">
        <f>IF(CM60=1,VLOOKUP($A83,'[4]Données investissements'!$A$48:$D$65,2,FALSE),IF(CM36&lt;&gt;0,VLOOKUP($A60,'[4]Données investissements'!$A$48:$D$65,4,FALSE),0))</f>
        <v>0</v>
      </c>
      <c r="CN83" s="16">
        <f>IF(CN60=1,VLOOKUP($A83,'[4]Données investissements'!$A$48:$D$65,2,FALSE),IF(CN36&lt;&gt;0,VLOOKUP($A60,'[4]Données investissements'!$A$48:$D$65,4,FALSE),0))</f>
        <v>0</v>
      </c>
      <c r="CO83" s="16">
        <f>IF(CO60=1,VLOOKUP($A83,'[4]Données investissements'!$A$48:$D$65,2,FALSE),IF(CO36&lt;&gt;0,VLOOKUP($A60,'[4]Données investissements'!$A$48:$D$65,4,FALSE),0))</f>
        <v>0</v>
      </c>
      <c r="CP83" s="16">
        <f>IF(CP60=1,VLOOKUP($A83,'[4]Données investissements'!$A$48:$D$65,2,FALSE),IF(CP36&lt;&gt;0,VLOOKUP($A60,'[4]Données investissements'!$A$48:$D$65,4,FALSE),0))</f>
        <v>0</v>
      </c>
      <c r="CQ83" s="16">
        <f>IF(CQ60=1,VLOOKUP($A83,'[4]Données investissements'!$A$48:$D$65,2,FALSE),IF(CQ36&lt;&gt;0,VLOOKUP($A60,'[4]Données investissements'!$A$48:$D$65,4,FALSE),0))</f>
        <v>0</v>
      </c>
      <c r="CR83" s="16">
        <f>IF(CR60=1,VLOOKUP($A83,'[4]Données investissements'!$A$48:$D$65,2,FALSE),IF(CR36&lt;&gt;0,VLOOKUP($A60,'[4]Données investissements'!$A$48:$D$65,4,FALSE),0))</f>
        <v>0</v>
      </c>
      <c r="CS83" s="16">
        <f>IF(CS60=1,VLOOKUP($A83,'[4]Données investissements'!$A$48:$D$65,2,FALSE),IF(CS36&lt;&gt;0,VLOOKUP($A60,'[4]Données investissements'!$A$48:$D$65,4,FALSE),0))</f>
        <v>0</v>
      </c>
      <c r="CT83" s="16">
        <f>IF(CT60=1,VLOOKUP($A83,'[4]Données investissements'!$A$48:$D$65,2,FALSE),IF(CT36&lt;&gt;0,VLOOKUP($A60,'[4]Données investissements'!$A$48:$D$65,4,FALSE),0))</f>
        <v>0</v>
      </c>
      <c r="CU83" s="16">
        <f>IF(CU60=1,VLOOKUP($A83,'[4]Données investissements'!$A$48:$D$65,2,FALSE),IF(CU36&lt;&gt;0,VLOOKUP($A60,'[4]Données investissements'!$A$48:$D$65,4,FALSE),0))</f>
        <v>0</v>
      </c>
      <c r="CV83" s="16">
        <f>IF(CV60=1,VLOOKUP($A83,'[4]Données investissements'!$A$48:$D$65,2,FALSE),IF(CV36&lt;&gt;0,VLOOKUP($A60,'[4]Données investissements'!$A$48:$D$65,4,FALSE),0))</f>
        <v>0</v>
      </c>
      <c r="CW83" s="16">
        <f>IF(CW60=1,VLOOKUP($A83,'[4]Données investissements'!$A$48:$D$65,2,FALSE),IF(CW36&lt;&gt;0,VLOOKUP($A60,'[4]Données investissements'!$A$48:$D$65,4,FALSE),0))</f>
        <v>0</v>
      </c>
      <c r="CX83" s="16">
        <f>IF(CX60=1,VLOOKUP($A83,'[4]Données investissements'!$A$48:$D$65,2,FALSE),IF(CX36&lt;&gt;0,VLOOKUP($A60,'[4]Données investissements'!$A$48:$D$65,4,FALSE),0))</f>
        <v>0</v>
      </c>
      <c r="CY83" s="16">
        <f>IF(CY60=1,VLOOKUP($A83,'[4]Données investissements'!$A$48:$D$65,2,FALSE),IF(CY36&lt;&gt;0,VLOOKUP($A60,'[4]Données investissements'!$A$48:$D$65,4,FALSE),0))</f>
        <v>0</v>
      </c>
      <c r="CZ83" s="16">
        <f>IF(CZ60=1,VLOOKUP($A83,'[4]Données investissements'!$A$48:$D$65,2,FALSE),IF(CZ36&lt;&gt;0,VLOOKUP($A60,'[4]Données investissements'!$A$48:$D$65,4,FALSE),0))</f>
        <v>0</v>
      </c>
      <c r="DA83" s="16">
        <f>IF(DA60=1,VLOOKUP($A83,'[4]Données investissements'!$A$48:$D$65,2,FALSE),IF(DA36&lt;&gt;0,VLOOKUP($A60,'[4]Données investissements'!$A$48:$D$65,4,FALSE),0))</f>
        <v>0</v>
      </c>
      <c r="DB83" s="16">
        <f>IF(DB60=1,VLOOKUP($A83,'[4]Données investissements'!$A$48:$D$65,2,FALSE),IF(DB36&lt;&gt;0,VLOOKUP($A60,'[4]Données investissements'!$A$48:$D$65,4,FALSE),0))</f>
        <v>0</v>
      </c>
      <c r="DC83" s="16">
        <f>IF(DC60=1,VLOOKUP($A83,'[4]Données investissements'!$A$48:$D$65,2,FALSE),IF(DC36&lt;&gt;0,VLOOKUP($A60,'[4]Données investissements'!$A$48:$D$65,4,FALSE),0))</f>
        <v>0</v>
      </c>
      <c r="DD83" s="16">
        <f>IF(DD60=1,VLOOKUP($A83,'[4]Données investissements'!$A$48:$D$65,2,FALSE),IF(DD36&lt;&gt;0,VLOOKUP($A60,'[4]Données investissements'!$A$48:$D$65,4,FALSE),0))</f>
        <v>0</v>
      </c>
      <c r="DE83" s="16">
        <f>IF(DE60=1,VLOOKUP($A83,'[4]Données investissements'!$A$48:$D$65,2,FALSE),IF(DE36&lt;&gt;0,VLOOKUP($A60,'[4]Données investissements'!$A$48:$D$65,4,FALSE),0))</f>
        <v>0</v>
      </c>
      <c r="DF83" s="16">
        <f>IF(DF60=1,VLOOKUP($A83,'[4]Données investissements'!$A$48:$D$65,2,FALSE),IF(DF36&lt;&gt;0,VLOOKUP($A60,'[4]Données investissements'!$A$48:$D$65,4,FALSE),0))</f>
        <v>0</v>
      </c>
    </row>
    <row r="84" spans="1:110" ht="12.75" hidden="1" customHeight="1" x14ac:dyDescent="0.2">
      <c r="A84" s="15" t="str">
        <f t="shared" si="40"/>
        <v>Equipement prépa chutes et parachèvement :</v>
      </c>
      <c r="B84" s="16">
        <f t="shared" si="40"/>
        <v>1.7</v>
      </c>
      <c r="C84" s="16">
        <f>IF(C61=1,VLOOKUP($A84,'[4]Données investissements'!$A$48:$D$65,2,FALSE),IF(C37&lt;&gt;0,VLOOKUP($A61,'[4]Données investissements'!$A$48:$D$65,4,FALSE),0))</f>
        <v>0</v>
      </c>
      <c r="D84" s="16">
        <f>IF(D61=1,VLOOKUP($A84,'[4]Données investissements'!$A$48:$D$65,2,FALSE),IF(D37&lt;&gt;0,VLOOKUP($A61,'[4]Données investissements'!$A$48:$D$65,4,FALSE),0))</f>
        <v>0</v>
      </c>
      <c r="E84" s="16">
        <f>IF(E61=1,VLOOKUP($A84,'[4]Données investissements'!$A$48:$D$65,2,FALSE),IF(E37&lt;&gt;0,VLOOKUP($A61,'[4]Données investissements'!$A$48:$D$65,4,FALSE),0))</f>
        <v>0</v>
      </c>
      <c r="F84" s="16">
        <f>IF(F61=1,VLOOKUP($A84,'[4]Données investissements'!$A$48:$D$65,2,FALSE),IF(F37&lt;&gt;0,VLOOKUP($A61,'[4]Données investissements'!$A$48:$D$65,4,FALSE),0))</f>
        <v>0</v>
      </c>
      <c r="G84" s="16">
        <f>IF(G61=1,VLOOKUP($A84,'[4]Données investissements'!$A$48:$D$65,2,FALSE),IF(G37&lt;&gt;0,VLOOKUP($A61,'[4]Données investissements'!$A$48:$D$65,4,FALSE),0))</f>
        <v>0</v>
      </c>
      <c r="H84" s="16">
        <f>IF(H61=1,VLOOKUP($A84,'[4]Données investissements'!$A$48:$D$65,2,FALSE),IF(H37&lt;&gt;0,VLOOKUP($A61,'[4]Données investissements'!$A$48:$D$65,4,FALSE),0))</f>
        <v>0</v>
      </c>
      <c r="I84" s="16">
        <f>IF(I61=1,VLOOKUP($A84,'[4]Données investissements'!$A$48:$D$65,2,FALSE),IF(I37&lt;&gt;0,VLOOKUP($A61,'[4]Données investissements'!$A$48:$D$65,4,FALSE),0))</f>
        <v>0</v>
      </c>
      <c r="J84" s="16">
        <f>IF(J61=1,VLOOKUP($A84,'[4]Données investissements'!$A$48:$D$65,2,FALSE),IF(J37&lt;&gt;0,VLOOKUP($A61,'[4]Données investissements'!$A$48:$D$65,4,FALSE),0))</f>
        <v>0</v>
      </c>
      <c r="K84" s="16">
        <f>IF(K61=1,VLOOKUP($A84,'[4]Données investissements'!$A$48:$D$65,2,FALSE),IF(K37&lt;&gt;0,VLOOKUP($A61,'[4]Données investissements'!$A$48:$D$65,4,FALSE),0))</f>
        <v>0</v>
      </c>
      <c r="L84" s="16">
        <f>IF(L61=1,VLOOKUP($A84,'[4]Données investissements'!$A$48:$D$65,2,FALSE),IF(L37&lt;&gt;0,VLOOKUP($A61,'[4]Données investissements'!$A$48:$D$65,4,FALSE),0))</f>
        <v>0</v>
      </c>
      <c r="M84" s="16">
        <f>IF(M61=1,VLOOKUP($A84,'[4]Données investissements'!$A$48:$D$65,2,FALSE),IF(M37&lt;&gt;0,VLOOKUP($A61,'[4]Données investissements'!$A$48:$D$65,4,FALSE),0))</f>
        <v>0</v>
      </c>
      <c r="N84" s="16">
        <f>IF(N61=1,VLOOKUP($A84,'[4]Données investissements'!$A$48:$D$65,2,FALSE),IF(N37&lt;&gt;0,VLOOKUP($A61,'[4]Données investissements'!$A$48:$D$65,4,FALSE),0))</f>
        <v>0</v>
      </c>
      <c r="O84" s="16">
        <f>IF(O61=1,VLOOKUP($A84,'[4]Données investissements'!$A$48:$D$65,2,FALSE),IF(O37&lt;&gt;0,VLOOKUP($A61,'[4]Données investissements'!$A$48:$D$65,4,FALSE),0))</f>
        <v>1</v>
      </c>
      <c r="P84" s="16">
        <f>IF(P61=1,VLOOKUP($A84,'[4]Données investissements'!$A$48:$D$65,2,FALSE),IF(P37&lt;&gt;0,VLOOKUP($A61,'[4]Données investissements'!$A$48:$D$65,4,FALSE),0))</f>
        <v>0</v>
      </c>
      <c r="Q84" s="16">
        <f>IF(Q61=1,VLOOKUP($A84,'[4]Données investissements'!$A$48:$D$65,2,FALSE),IF(Q37&lt;&gt;0,VLOOKUP($A61,'[4]Données investissements'!$A$48:$D$65,4,FALSE),0))</f>
        <v>2</v>
      </c>
      <c r="R84" s="16">
        <f>IF(R61=1,VLOOKUP($A84,'[4]Données investissements'!$A$48:$D$65,2,FALSE),IF(R37&lt;&gt;0,VLOOKUP($A61,'[4]Données investissements'!$A$48:$D$65,4,FALSE),0))</f>
        <v>0</v>
      </c>
      <c r="S84" s="16">
        <f>IF(S61=1,VLOOKUP($A84,'[4]Données investissements'!$A$48:$D$65,2,FALSE),IF(S37&lt;&gt;0,VLOOKUP($A61,'[4]Données investissements'!$A$48:$D$65,4,FALSE),0))</f>
        <v>0</v>
      </c>
      <c r="T84" s="16">
        <f>IF(T61=1,VLOOKUP($A84,'[4]Données investissements'!$A$48:$D$65,2,FALSE),IF(T37&lt;&gt;0,VLOOKUP($A61,'[4]Données investissements'!$A$48:$D$65,4,FALSE),0))</f>
        <v>0</v>
      </c>
      <c r="U84" s="16">
        <f>IF(U61=1,VLOOKUP($A84,'[4]Données investissements'!$A$48:$D$65,2,FALSE),IF(U37&lt;&gt;0,VLOOKUP($A61,'[4]Données investissements'!$A$48:$D$65,4,FALSE),0))</f>
        <v>0</v>
      </c>
      <c r="V84" s="16">
        <f>IF(V61=1,VLOOKUP($A84,'[4]Données investissements'!$A$48:$D$65,2,FALSE),IF(V37&lt;&gt;0,VLOOKUP($A61,'[4]Données investissements'!$A$48:$D$65,4,FALSE),0))</f>
        <v>2</v>
      </c>
      <c r="W84" s="16">
        <f>IF(W61=1,VLOOKUP($A84,'[4]Données investissements'!$A$48:$D$65,2,FALSE),IF(W37&lt;&gt;0,VLOOKUP($A61,'[4]Données investissements'!$A$48:$D$65,4,FALSE),0))</f>
        <v>0</v>
      </c>
      <c r="X84" s="16">
        <f>IF(X61=1,VLOOKUP($A84,'[4]Données investissements'!$A$48:$D$65,2,FALSE),IF(X37&lt;&gt;0,VLOOKUP($A61,'[4]Données investissements'!$A$48:$D$65,4,FALSE),0))</f>
        <v>2</v>
      </c>
      <c r="Y84" s="16">
        <f>IF(Y61=1,VLOOKUP($A84,'[4]Données investissements'!$A$48:$D$65,2,FALSE),IF(Y37&lt;&gt;0,VLOOKUP($A61,'[4]Données investissements'!$A$48:$D$65,4,FALSE),0))</f>
        <v>0</v>
      </c>
      <c r="Z84" s="16">
        <f>IF(Z61=1,VLOOKUP($A84,'[4]Données investissements'!$A$48:$D$65,2,FALSE),IF(Z37&lt;&gt;0,VLOOKUP($A61,'[4]Données investissements'!$A$48:$D$65,4,FALSE),0))</f>
        <v>2</v>
      </c>
      <c r="AA84" s="16">
        <f>IF(AA61=1,VLOOKUP($A84,'[4]Données investissements'!$A$48:$D$65,2,FALSE),IF(AA37&lt;&gt;0,VLOOKUP($A61,'[4]Données investissements'!$A$48:$D$65,4,FALSE),0))</f>
        <v>0</v>
      </c>
      <c r="AB84" s="16">
        <f>IF(AB61=1,VLOOKUP($A84,'[4]Données investissements'!$A$48:$D$65,2,FALSE),IF(AB37&lt;&gt;0,VLOOKUP($A61,'[4]Données investissements'!$A$48:$D$65,4,FALSE),0))</f>
        <v>2</v>
      </c>
      <c r="AC84" s="16">
        <f>IF(AC61=1,VLOOKUP($A84,'[4]Données investissements'!$A$48:$D$65,2,FALSE),IF(AC37&lt;&gt;0,VLOOKUP($A61,'[4]Données investissements'!$A$48:$D$65,4,FALSE),0))</f>
        <v>0</v>
      </c>
      <c r="AD84" s="16">
        <f>IF(AD61=1,VLOOKUP($A84,'[4]Données investissements'!$A$48:$D$65,2,FALSE),IF(AD37&lt;&gt;0,VLOOKUP($A61,'[4]Données investissements'!$A$48:$D$65,4,FALSE),0))</f>
        <v>0</v>
      </c>
      <c r="AE84" s="16">
        <f>IF(AE61=1,VLOOKUP($A84,'[4]Données investissements'!$A$48:$D$65,2,FALSE),IF(AE37&lt;&gt;0,VLOOKUP($A61,'[4]Données investissements'!$A$48:$D$65,4,FALSE),0))</f>
        <v>0</v>
      </c>
      <c r="AF84" s="16">
        <f>IF(AF61=1,VLOOKUP($A84,'[4]Données investissements'!$A$48:$D$65,2,FALSE),IF(AF37&lt;&gt;0,VLOOKUP($A61,'[4]Données investissements'!$A$48:$D$65,4,FALSE),0))</f>
        <v>0</v>
      </c>
      <c r="AG84" s="16">
        <f>IF(AG61=1,VLOOKUP($A84,'[4]Données investissements'!$A$48:$D$65,2,FALSE),IF(AG37&lt;&gt;0,VLOOKUP($A61,'[4]Données investissements'!$A$48:$D$65,4,FALSE),0))</f>
        <v>0</v>
      </c>
      <c r="AH84" s="16">
        <f>IF(AH61=1,VLOOKUP($A84,'[4]Données investissements'!$A$48:$D$65,2,FALSE),IF(AH37&lt;&gt;0,VLOOKUP($A61,'[4]Données investissements'!$A$48:$D$65,4,FALSE),0))</f>
        <v>0</v>
      </c>
      <c r="AI84" s="16">
        <f>IF(AI61=1,VLOOKUP($A84,'[4]Données investissements'!$A$48:$D$65,2,FALSE),IF(AI37&lt;&gt;0,VLOOKUP($A61,'[4]Données investissements'!$A$48:$D$65,4,FALSE),0))</f>
        <v>0</v>
      </c>
      <c r="AJ84" s="16">
        <f>IF(AJ61=1,VLOOKUP($A84,'[4]Données investissements'!$A$48:$D$65,2,FALSE),IF(AJ37&lt;&gt;0,VLOOKUP($A61,'[4]Données investissements'!$A$48:$D$65,4,FALSE),0))</f>
        <v>0</v>
      </c>
      <c r="AK84" s="16">
        <f>IF(AK61=1,VLOOKUP($A84,'[4]Données investissements'!$A$48:$D$65,2,FALSE),IF(AK37&lt;&gt;0,VLOOKUP($A61,'[4]Données investissements'!$A$48:$D$65,4,FALSE),0))</f>
        <v>0</v>
      </c>
      <c r="AL84" s="16">
        <f>IF(AL61=1,VLOOKUP($A84,'[4]Données investissements'!$A$48:$D$65,2,FALSE),IF(AL37&lt;&gt;0,VLOOKUP($A61,'[4]Données investissements'!$A$48:$D$65,4,FALSE),0))</f>
        <v>0</v>
      </c>
      <c r="AM84" s="16">
        <f>IF(AM61=1,VLOOKUP($A84,'[4]Données investissements'!$A$48:$D$65,2,FALSE),IF(AM37&lt;&gt;0,VLOOKUP($A61,'[4]Données investissements'!$A$48:$D$65,4,FALSE),0))</f>
        <v>0</v>
      </c>
      <c r="AN84" s="16">
        <f>IF(AN61=1,VLOOKUP($A84,'[4]Données investissements'!$A$48:$D$65,2,FALSE),IF(AN37&lt;&gt;0,VLOOKUP($A61,'[4]Données investissements'!$A$48:$D$65,4,FALSE),0))</f>
        <v>2</v>
      </c>
      <c r="AO84" s="16">
        <f>IF(AO61=1,VLOOKUP($A84,'[4]Données investissements'!$A$48:$D$65,2,FALSE),IF(AO37&lt;&gt;0,VLOOKUP($A61,'[4]Données investissements'!$A$48:$D$65,4,FALSE),0))</f>
        <v>0</v>
      </c>
      <c r="AP84" s="16">
        <f>IF(AP61=1,VLOOKUP($A84,'[4]Données investissements'!$A$48:$D$65,2,FALSE),IF(AP37&lt;&gt;0,VLOOKUP($A61,'[4]Données investissements'!$A$48:$D$65,4,FALSE),0))</f>
        <v>0</v>
      </c>
      <c r="AQ84" s="16">
        <f>IF(AQ61=1,VLOOKUP($A84,'[4]Données investissements'!$A$48:$D$65,2,FALSE),IF(AQ37&lt;&gt;0,VLOOKUP($A61,'[4]Données investissements'!$A$48:$D$65,4,FALSE),0))</f>
        <v>0</v>
      </c>
      <c r="AR84" s="16">
        <f>IF(AR61=1,VLOOKUP($A84,'[4]Données investissements'!$A$48:$D$65,2,FALSE),IF(AR37&lt;&gt;0,VLOOKUP($A61,'[4]Données investissements'!$A$48:$D$65,4,FALSE),0))</f>
        <v>0</v>
      </c>
      <c r="AS84" s="16">
        <f>IF(AS61=1,VLOOKUP($A84,'[4]Données investissements'!$A$48:$D$65,2,FALSE),IF(AS37&lt;&gt;0,VLOOKUP($A61,'[4]Données investissements'!$A$48:$D$65,4,FALSE),0))</f>
        <v>0</v>
      </c>
      <c r="AT84" s="16">
        <f>IF(AT61=1,VLOOKUP($A84,'[4]Données investissements'!$A$48:$D$65,2,FALSE),IF(AT37&lt;&gt;0,VLOOKUP($A61,'[4]Données investissements'!$A$48:$D$65,4,FALSE),0))</f>
        <v>0</v>
      </c>
      <c r="AU84" s="16">
        <f>IF(AU61=1,VLOOKUP($A84,'[4]Données investissements'!$A$48:$D$65,2,FALSE),IF(AU37&lt;&gt;0,VLOOKUP($A61,'[4]Données investissements'!$A$48:$D$65,4,FALSE),0))</f>
        <v>0</v>
      </c>
      <c r="AV84" s="16">
        <f>IF(AV61=1,VLOOKUP($A84,'[4]Données investissements'!$A$48:$D$65,2,FALSE),IF(AV37&lt;&gt;0,VLOOKUP($A61,'[4]Données investissements'!$A$48:$D$65,4,FALSE),0))</f>
        <v>0</v>
      </c>
      <c r="AW84" s="16">
        <f>IF(AW61=1,VLOOKUP($A84,'[4]Données investissements'!$A$48:$D$65,2,FALSE),IF(AW37&lt;&gt;0,VLOOKUP($A61,'[4]Données investissements'!$A$48:$D$65,4,FALSE),0))</f>
        <v>0</v>
      </c>
      <c r="AX84" s="16">
        <f>IF(AX61=1,VLOOKUP($A84,'[4]Données investissements'!$A$48:$D$65,2,FALSE),IF(AX37&lt;&gt;0,VLOOKUP($A61,'[4]Données investissements'!$A$48:$D$65,4,FALSE),0))</f>
        <v>0</v>
      </c>
      <c r="AY84" s="16">
        <f>IF(AY61=1,VLOOKUP($A84,'[4]Données investissements'!$A$48:$D$65,2,FALSE),IF(AY37&lt;&gt;0,VLOOKUP($A61,'[4]Données investissements'!$A$48:$D$65,4,FALSE),0))</f>
        <v>0</v>
      </c>
      <c r="AZ84" s="16">
        <f>IF(AZ61=1,VLOOKUP($A84,'[4]Données investissements'!$A$48:$D$65,2,FALSE),IF(AZ37&lt;&gt;0,VLOOKUP($A61,'[4]Données investissements'!$A$48:$D$65,4,FALSE),0))</f>
        <v>0</v>
      </c>
      <c r="BA84" s="16">
        <f>IF(BA61=1,VLOOKUP($A84,'[4]Données investissements'!$A$48:$D$65,2,FALSE),IF(BA37&lt;&gt;0,VLOOKUP($A61,'[4]Données investissements'!$A$48:$D$65,4,FALSE),0))</f>
        <v>0</v>
      </c>
      <c r="BB84" s="16">
        <f>IF(BB61=1,VLOOKUP($A84,'[4]Données investissements'!$A$48:$D$65,2,FALSE),IF(BB37&lt;&gt;0,VLOOKUP($A61,'[4]Données investissements'!$A$48:$D$65,4,FALSE),0))</f>
        <v>0</v>
      </c>
      <c r="BC84" s="16">
        <f>IF(BC61=1,VLOOKUP($A84,'[4]Données investissements'!$A$48:$D$65,2,FALSE),IF(BC37&lt;&gt;0,VLOOKUP($A61,'[4]Données investissements'!$A$48:$D$65,4,FALSE),0))</f>
        <v>0</v>
      </c>
      <c r="BD84" s="16">
        <f>IF(BD61=1,VLOOKUP($A84,'[4]Données investissements'!$A$48:$D$65,2,FALSE),IF(BD37&lt;&gt;0,VLOOKUP($A61,'[4]Données investissements'!$A$48:$D$65,4,FALSE),0))</f>
        <v>0</v>
      </c>
      <c r="BE84" s="16">
        <f>IF(BE61=1,VLOOKUP($A84,'[4]Données investissements'!$A$48:$D$65,2,FALSE),IF(BE37&lt;&gt;0,VLOOKUP($A61,'[4]Données investissements'!$A$48:$D$65,4,FALSE),0))</f>
        <v>0</v>
      </c>
      <c r="BF84" s="16">
        <f>IF(BF61=1,VLOOKUP($A84,'[4]Données investissements'!$A$48:$D$65,2,FALSE),IF(BF37&lt;&gt;0,VLOOKUP($A61,'[4]Données investissements'!$A$48:$D$65,4,FALSE),0))</f>
        <v>0</v>
      </c>
      <c r="BG84" s="16">
        <f>IF(BG61=1,VLOOKUP($A84,'[4]Données investissements'!$A$48:$D$65,2,FALSE),IF(BG37&lt;&gt;0,VLOOKUP($A61,'[4]Données investissements'!$A$48:$D$65,4,FALSE),0))</f>
        <v>0</v>
      </c>
      <c r="BH84" s="16">
        <f>IF(BH61=1,VLOOKUP($A84,'[4]Données investissements'!$A$48:$D$65,2,FALSE),IF(BH37&lt;&gt;0,VLOOKUP($A61,'[4]Données investissements'!$A$48:$D$65,4,FALSE),0))</f>
        <v>0</v>
      </c>
      <c r="BI84" s="16">
        <f>IF(BI61=1,VLOOKUP($A84,'[4]Données investissements'!$A$48:$D$65,2,FALSE),IF(BI37&lt;&gt;0,VLOOKUP($A61,'[4]Données investissements'!$A$48:$D$65,4,FALSE),0))</f>
        <v>0</v>
      </c>
      <c r="BJ84" s="16">
        <f>IF(BJ61=1,VLOOKUP($A84,'[4]Données investissements'!$A$48:$D$65,2,FALSE),IF(BJ37&lt;&gt;0,VLOOKUP($A61,'[4]Données investissements'!$A$48:$D$65,4,FALSE),0))</f>
        <v>0</v>
      </c>
      <c r="BK84" s="16">
        <f>IF(BK61=1,VLOOKUP($A84,'[4]Données investissements'!$A$48:$D$65,2,FALSE),IF(BK37&lt;&gt;0,VLOOKUP($A61,'[4]Données investissements'!$A$48:$D$65,4,FALSE),0))</f>
        <v>0</v>
      </c>
      <c r="BL84" s="16">
        <f>IF(BL61=1,VLOOKUP($A84,'[4]Données investissements'!$A$48:$D$65,2,FALSE),IF(BL37&lt;&gt;0,VLOOKUP($A61,'[4]Données investissements'!$A$48:$D$65,4,FALSE),0))</f>
        <v>0</v>
      </c>
      <c r="BM84" s="16">
        <f>IF(BM61=1,VLOOKUP($A84,'[4]Données investissements'!$A$48:$D$65,2,FALSE),IF(BM37&lt;&gt;0,VLOOKUP($A61,'[4]Données investissements'!$A$48:$D$65,4,FALSE),0))</f>
        <v>0</v>
      </c>
      <c r="BN84" s="16">
        <f>IF(BN61=1,VLOOKUP($A84,'[4]Données investissements'!$A$48:$D$65,2,FALSE),IF(BN37&lt;&gt;0,VLOOKUP($A61,'[4]Données investissements'!$A$48:$D$65,4,FALSE),0))</f>
        <v>0</v>
      </c>
      <c r="BO84" s="16">
        <f>IF(BO61=1,VLOOKUP($A84,'[4]Données investissements'!$A$48:$D$65,2,FALSE),IF(BO37&lt;&gt;0,VLOOKUP($A61,'[4]Données investissements'!$A$48:$D$65,4,FALSE),0))</f>
        <v>0</v>
      </c>
      <c r="BP84" s="16">
        <f>IF(BP61=1,VLOOKUP($A84,'[4]Données investissements'!$A$48:$D$65,2,FALSE),IF(BP37&lt;&gt;0,VLOOKUP($A61,'[4]Données investissements'!$A$48:$D$65,4,FALSE),0))</f>
        <v>0</v>
      </c>
      <c r="BQ84" s="16">
        <f>IF(BQ61=1,VLOOKUP($A84,'[4]Données investissements'!$A$48:$D$65,2,FALSE),IF(BQ37&lt;&gt;0,VLOOKUP($A61,'[4]Données investissements'!$A$48:$D$65,4,FALSE),0))</f>
        <v>0</v>
      </c>
      <c r="BR84" s="16">
        <f>IF(BR61=1,VLOOKUP($A84,'[4]Données investissements'!$A$48:$D$65,2,FALSE),IF(BR37&lt;&gt;0,VLOOKUP($A61,'[4]Données investissements'!$A$48:$D$65,4,FALSE),0))</f>
        <v>0</v>
      </c>
      <c r="BS84" s="16">
        <f>IF(BS61=1,VLOOKUP($A84,'[4]Données investissements'!$A$48:$D$65,2,FALSE),IF(BS37&lt;&gt;0,VLOOKUP($A61,'[4]Données investissements'!$A$48:$D$65,4,FALSE),0))</f>
        <v>0</v>
      </c>
      <c r="BT84" s="16">
        <f>IF(BT61=1,VLOOKUP($A84,'[4]Données investissements'!$A$48:$D$65,2,FALSE),IF(BT37&lt;&gt;0,VLOOKUP($A61,'[4]Données investissements'!$A$48:$D$65,4,FALSE),0))</f>
        <v>0</v>
      </c>
      <c r="BU84" s="16">
        <f>IF(BU61=1,VLOOKUP($A84,'[4]Données investissements'!$A$48:$D$65,2,FALSE),IF(BU37&lt;&gt;0,VLOOKUP($A61,'[4]Données investissements'!$A$48:$D$65,4,FALSE),0))</f>
        <v>0</v>
      </c>
      <c r="BV84" s="16">
        <f>IF(BV61=1,VLOOKUP($A84,'[4]Données investissements'!$A$48:$D$65,2,FALSE),IF(BV37&lt;&gt;0,VLOOKUP($A61,'[4]Données investissements'!$A$48:$D$65,4,FALSE),0))</f>
        <v>0</v>
      </c>
      <c r="BW84" s="16">
        <f>IF(BW61=1,VLOOKUP($A84,'[4]Données investissements'!$A$48:$D$65,2,FALSE),IF(BW37&lt;&gt;0,VLOOKUP($A61,'[4]Données investissements'!$A$48:$D$65,4,FALSE),0))</f>
        <v>0</v>
      </c>
      <c r="BX84" s="16">
        <f>IF(BX61=1,VLOOKUP($A84,'[4]Données investissements'!$A$48:$D$65,2,FALSE),IF(BX37&lt;&gt;0,VLOOKUP($A61,'[4]Données investissements'!$A$48:$D$65,4,FALSE),0))</f>
        <v>0</v>
      </c>
      <c r="BY84" s="16">
        <f>IF(BY61=1,VLOOKUP($A84,'[4]Données investissements'!$A$48:$D$65,2,FALSE),IF(BY37&lt;&gt;0,VLOOKUP($A61,'[4]Données investissements'!$A$48:$D$65,4,FALSE),0))</f>
        <v>0</v>
      </c>
      <c r="BZ84" s="16">
        <f>IF(BZ61=1,VLOOKUP($A84,'[4]Données investissements'!$A$48:$D$65,2,FALSE),IF(BZ37&lt;&gt;0,VLOOKUP($A61,'[4]Données investissements'!$A$48:$D$65,4,FALSE),0))</f>
        <v>0</v>
      </c>
      <c r="CA84" s="16">
        <f>IF(CA61=1,VLOOKUP($A84,'[4]Données investissements'!$A$48:$D$65,2,FALSE),IF(CA37&lt;&gt;0,VLOOKUP($A61,'[4]Données investissements'!$A$48:$D$65,4,FALSE),0))</f>
        <v>0</v>
      </c>
      <c r="CB84" s="16">
        <f>IF(CB61=1,VLOOKUP($A84,'[4]Données investissements'!$A$48:$D$65,2,FALSE),IF(CB37&lt;&gt;0,VLOOKUP($A61,'[4]Données investissements'!$A$48:$D$65,4,FALSE),0))</f>
        <v>0</v>
      </c>
      <c r="CC84" s="16">
        <f>IF(CC61=1,VLOOKUP($A84,'[4]Données investissements'!$A$48:$D$65,2,FALSE),IF(CC37&lt;&gt;0,VLOOKUP($A61,'[4]Données investissements'!$A$48:$D$65,4,FALSE),0))</f>
        <v>0</v>
      </c>
      <c r="CD84" s="16">
        <f>IF(CD61=1,VLOOKUP($A84,'[4]Données investissements'!$A$48:$D$65,2,FALSE),IF(CD37&lt;&gt;0,VLOOKUP($A61,'[4]Données investissements'!$A$48:$D$65,4,FALSE),0))</f>
        <v>0</v>
      </c>
      <c r="CE84" s="16">
        <f>IF(CE61=1,VLOOKUP($A84,'[4]Données investissements'!$A$48:$D$65,2,FALSE),IF(CE37&lt;&gt;0,VLOOKUP($A61,'[4]Données investissements'!$A$48:$D$65,4,FALSE),0))</f>
        <v>0</v>
      </c>
      <c r="CF84" s="16">
        <f>IF(CF61=1,VLOOKUP($A84,'[4]Données investissements'!$A$48:$D$65,2,FALSE),IF(CF37&lt;&gt;0,VLOOKUP($A61,'[4]Données investissements'!$A$48:$D$65,4,FALSE),0))</f>
        <v>0</v>
      </c>
      <c r="CG84" s="16">
        <f>IF(CG61=1,VLOOKUP($A84,'[4]Données investissements'!$A$48:$D$65,2,FALSE),IF(CG37&lt;&gt;0,VLOOKUP($A61,'[4]Données investissements'!$A$48:$D$65,4,FALSE),0))</f>
        <v>0</v>
      </c>
      <c r="CH84" s="16">
        <f>IF(CH61=1,VLOOKUP($A84,'[4]Données investissements'!$A$48:$D$65,2,FALSE),IF(CH37&lt;&gt;0,VLOOKUP($A61,'[4]Données investissements'!$A$48:$D$65,4,FALSE),0))</f>
        <v>0</v>
      </c>
      <c r="CI84" s="16">
        <f>IF(CI61=1,VLOOKUP($A84,'[4]Données investissements'!$A$48:$D$65,2,FALSE),IF(CI37&lt;&gt;0,VLOOKUP($A61,'[4]Données investissements'!$A$48:$D$65,4,FALSE),0))</f>
        <v>0</v>
      </c>
      <c r="CJ84" s="16">
        <f>IF(CJ61=1,VLOOKUP($A84,'[4]Données investissements'!$A$48:$D$65,2,FALSE),IF(CJ37&lt;&gt;0,VLOOKUP($A61,'[4]Données investissements'!$A$48:$D$65,4,FALSE),0))</f>
        <v>0</v>
      </c>
      <c r="CK84" s="16">
        <f>IF(CK61=1,VLOOKUP($A84,'[4]Données investissements'!$A$48:$D$65,2,FALSE),IF(CK37&lt;&gt;0,VLOOKUP($A61,'[4]Données investissements'!$A$48:$D$65,4,FALSE),0))</f>
        <v>0</v>
      </c>
      <c r="CL84" s="16">
        <f>IF(CL61=1,VLOOKUP($A84,'[4]Données investissements'!$A$48:$D$65,2,FALSE),IF(CL37&lt;&gt;0,VLOOKUP($A61,'[4]Données investissements'!$A$48:$D$65,4,FALSE),0))</f>
        <v>0</v>
      </c>
      <c r="CM84" s="16">
        <f>IF(CM61=1,VLOOKUP($A84,'[4]Données investissements'!$A$48:$D$65,2,FALSE),IF(CM37&lt;&gt;0,VLOOKUP($A61,'[4]Données investissements'!$A$48:$D$65,4,FALSE),0))</f>
        <v>0</v>
      </c>
      <c r="CN84" s="16">
        <f>IF(CN61=1,VLOOKUP($A84,'[4]Données investissements'!$A$48:$D$65,2,FALSE),IF(CN37&lt;&gt;0,VLOOKUP($A61,'[4]Données investissements'!$A$48:$D$65,4,FALSE),0))</f>
        <v>0</v>
      </c>
      <c r="CO84" s="16">
        <f>IF(CO61=1,VLOOKUP($A84,'[4]Données investissements'!$A$48:$D$65,2,FALSE),IF(CO37&lt;&gt;0,VLOOKUP($A61,'[4]Données investissements'!$A$48:$D$65,4,FALSE),0))</f>
        <v>0</v>
      </c>
      <c r="CP84" s="16">
        <f>IF(CP61=1,VLOOKUP($A84,'[4]Données investissements'!$A$48:$D$65,2,FALSE),IF(CP37&lt;&gt;0,VLOOKUP($A61,'[4]Données investissements'!$A$48:$D$65,4,FALSE),0))</f>
        <v>0</v>
      </c>
      <c r="CQ84" s="16">
        <f>IF(CQ61=1,VLOOKUP($A84,'[4]Données investissements'!$A$48:$D$65,2,FALSE),IF(CQ37&lt;&gt;0,VLOOKUP($A61,'[4]Données investissements'!$A$48:$D$65,4,FALSE),0))</f>
        <v>0</v>
      </c>
      <c r="CR84" s="16">
        <f>IF(CR61=1,VLOOKUP($A84,'[4]Données investissements'!$A$48:$D$65,2,FALSE),IF(CR37&lt;&gt;0,VLOOKUP($A61,'[4]Données investissements'!$A$48:$D$65,4,FALSE),0))</f>
        <v>0</v>
      </c>
      <c r="CS84" s="16">
        <f>IF(CS61=1,VLOOKUP($A84,'[4]Données investissements'!$A$48:$D$65,2,FALSE),IF(CS37&lt;&gt;0,VLOOKUP($A61,'[4]Données investissements'!$A$48:$D$65,4,FALSE),0))</f>
        <v>0</v>
      </c>
      <c r="CT84" s="16">
        <f>IF(CT61=1,VLOOKUP($A84,'[4]Données investissements'!$A$48:$D$65,2,FALSE),IF(CT37&lt;&gt;0,VLOOKUP($A61,'[4]Données investissements'!$A$48:$D$65,4,FALSE),0))</f>
        <v>0</v>
      </c>
      <c r="CU84" s="16">
        <f>IF(CU61=1,VLOOKUP($A84,'[4]Données investissements'!$A$48:$D$65,2,FALSE),IF(CU37&lt;&gt;0,VLOOKUP($A61,'[4]Données investissements'!$A$48:$D$65,4,FALSE),0))</f>
        <v>0</v>
      </c>
      <c r="CV84" s="16">
        <f>IF(CV61=1,VLOOKUP($A84,'[4]Données investissements'!$A$48:$D$65,2,FALSE),IF(CV37&lt;&gt;0,VLOOKUP($A61,'[4]Données investissements'!$A$48:$D$65,4,FALSE),0))</f>
        <v>0</v>
      </c>
      <c r="CW84" s="16">
        <f>IF(CW61=1,VLOOKUP($A84,'[4]Données investissements'!$A$48:$D$65,2,FALSE),IF(CW37&lt;&gt;0,VLOOKUP($A61,'[4]Données investissements'!$A$48:$D$65,4,FALSE),0))</f>
        <v>0</v>
      </c>
      <c r="CX84" s="16">
        <f>IF(CX61=1,VLOOKUP($A84,'[4]Données investissements'!$A$48:$D$65,2,FALSE),IF(CX37&lt;&gt;0,VLOOKUP($A61,'[4]Données investissements'!$A$48:$D$65,4,FALSE),0))</f>
        <v>0</v>
      </c>
      <c r="CY84" s="16">
        <f>IF(CY61=1,VLOOKUP($A84,'[4]Données investissements'!$A$48:$D$65,2,FALSE),IF(CY37&lt;&gt;0,VLOOKUP($A61,'[4]Données investissements'!$A$48:$D$65,4,FALSE),0))</f>
        <v>0</v>
      </c>
      <c r="CZ84" s="16">
        <f>IF(CZ61=1,VLOOKUP($A84,'[4]Données investissements'!$A$48:$D$65,2,FALSE),IF(CZ37&lt;&gt;0,VLOOKUP($A61,'[4]Données investissements'!$A$48:$D$65,4,FALSE),0))</f>
        <v>0</v>
      </c>
      <c r="DA84" s="16">
        <f>IF(DA61=1,VLOOKUP($A84,'[4]Données investissements'!$A$48:$D$65,2,FALSE),IF(DA37&lt;&gt;0,VLOOKUP($A61,'[4]Données investissements'!$A$48:$D$65,4,FALSE),0))</f>
        <v>0</v>
      </c>
      <c r="DB84" s="16">
        <f>IF(DB61=1,VLOOKUP($A84,'[4]Données investissements'!$A$48:$D$65,2,FALSE),IF(DB37&lt;&gt;0,VLOOKUP($A61,'[4]Données investissements'!$A$48:$D$65,4,FALSE),0))</f>
        <v>0</v>
      </c>
      <c r="DC84" s="16">
        <f>IF(DC61=1,VLOOKUP($A84,'[4]Données investissements'!$A$48:$D$65,2,FALSE),IF(DC37&lt;&gt;0,VLOOKUP($A61,'[4]Données investissements'!$A$48:$D$65,4,FALSE),0))</f>
        <v>0</v>
      </c>
      <c r="DD84" s="16">
        <f>IF(DD61=1,VLOOKUP($A84,'[4]Données investissements'!$A$48:$D$65,2,FALSE),IF(DD37&lt;&gt;0,VLOOKUP($A61,'[4]Données investissements'!$A$48:$D$65,4,FALSE),0))</f>
        <v>0</v>
      </c>
      <c r="DE84" s="16">
        <f>IF(DE61=1,VLOOKUP($A84,'[4]Données investissements'!$A$48:$D$65,2,FALSE),IF(DE37&lt;&gt;0,VLOOKUP($A61,'[4]Données investissements'!$A$48:$D$65,4,FALSE),0))</f>
        <v>0</v>
      </c>
      <c r="DF84" s="16">
        <f>IF(DF61=1,VLOOKUP($A84,'[4]Données investissements'!$A$48:$D$65,2,FALSE),IF(DF37&lt;&gt;0,VLOOKUP($A61,'[4]Données investissements'!$A$48:$D$65,4,FALSE),0))</f>
        <v>0</v>
      </c>
    </row>
    <row r="85" spans="1:110" ht="12.75" hidden="1" customHeight="1" x14ac:dyDescent="0.2">
      <c r="A85" s="15" t="str">
        <f t="shared" si="40"/>
        <v>Terrain (Avril 2014)</v>
      </c>
      <c r="B85" s="23">
        <f t="shared" si="40"/>
        <v>0.43</v>
      </c>
      <c r="C85" s="16">
        <f>IF(C62=1,VLOOKUP($A85,'[4]Données investissements'!$A$48:$D$65,2,FALSE),IF(C38&lt;&gt;0,VLOOKUP($A62,'[4]Données investissements'!$A$48:$D$65,4,FALSE),0))</f>
        <v>0</v>
      </c>
      <c r="D85" s="16">
        <f>IF(D62=1,VLOOKUP($A85,'[4]Données investissements'!$A$48:$D$65,2,FALSE),IF(D38&lt;&gt;0,VLOOKUP($A62,'[4]Données investissements'!$A$48:$D$65,4,FALSE),0))</f>
        <v>0</v>
      </c>
      <c r="E85" s="16">
        <f>IF(E62=1,VLOOKUP($A85,'[4]Données investissements'!$A$48:$D$65,2,FALSE),IF(E38&lt;&gt;0,VLOOKUP($A62,'[4]Données investissements'!$A$48:$D$65,4,FALSE),0))</f>
        <v>0</v>
      </c>
      <c r="F85" s="16">
        <f>IF(F62=1,VLOOKUP($A85,'[4]Données investissements'!$A$48:$D$65,2,FALSE),IF(F38&lt;&gt;0,VLOOKUP($A62,'[4]Données investissements'!$A$48:$D$65,4,FALSE),0))</f>
        <v>0</v>
      </c>
      <c r="G85" s="16">
        <f>IF(G62=1,VLOOKUP($A85,'[4]Données investissements'!$A$48:$D$65,2,FALSE),IF(G38&lt;&gt;0,VLOOKUP($A62,'[4]Données investissements'!$A$48:$D$65,4,FALSE),0))</f>
        <v>0</v>
      </c>
      <c r="H85" s="16">
        <f>IF(H62=1,VLOOKUP($A85,'[4]Données investissements'!$A$48:$D$65,2,FALSE),IF(H38&lt;&gt;0,VLOOKUP($A62,'[4]Données investissements'!$A$48:$D$65,4,FALSE),0))</f>
        <v>0</v>
      </c>
      <c r="I85" s="16">
        <f>IF(I62=1,VLOOKUP($A85,'[4]Données investissements'!$A$48:$D$65,2,FALSE),IF(I38&lt;&gt;0,VLOOKUP($A62,'[4]Données investissements'!$A$48:$D$65,4,FALSE),0))</f>
        <v>0</v>
      </c>
      <c r="J85" s="16">
        <f>IF(J62=1,VLOOKUP($A85,'[4]Données investissements'!$A$48:$D$65,2,FALSE),IF(J38&lt;&gt;0,VLOOKUP($A62,'[4]Données investissements'!$A$48:$D$65,4,FALSE),0))</f>
        <v>0</v>
      </c>
      <c r="K85" s="16">
        <f>IF(K62=1,VLOOKUP($A85,'[4]Données investissements'!$A$48:$D$65,2,FALSE),IF(K38&lt;&gt;0,VLOOKUP($A62,'[4]Données investissements'!$A$48:$D$65,4,FALSE),0))</f>
        <v>0</v>
      </c>
      <c r="L85" s="16">
        <f>IF(L62=1,VLOOKUP($A85,'[4]Données investissements'!$A$48:$D$65,2,FALSE),IF(L38&lt;&gt;0,VLOOKUP($A62,'[4]Données investissements'!$A$48:$D$65,4,FALSE),0))</f>
        <v>0</v>
      </c>
      <c r="M85" s="16">
        <f>IF(M62=1,VLOOKUP($A85,'[4]Données investissements'!$A$48:$D$65,2,FALSE),IF(M38&lt;&gt;0,VLOOKUP($A62,'[4]Données investissements'!$A$48:$D$65,4,FALSE),0))</f>
        <v>0</v>
      </c>
      <c r="N85" s="16">
        <f>IF(N62=1,VLOOKUP($A85,'[4]Données investissements'!$A$48:$D$65,2,FALSE),IF(N38&lt;&gt;0,VLOOKUP($A62,'[4]Données investissements'!$A$48:$D$65,4,FALSE),0))</f>
        <v>0</v>
      </c>
      <c r="O85" s="16">
        <f>IF(O62=1,VLOOKUP($A85,'[4]Données investissements'!$A$48:$D$65,2,FALSE),IF(O38&lt;&gt;0,VLOOKUP($A62,'[4]Données investissements'!$A$48:$D$65,4,FALSE),0))</f>
        <v>0</v>
      </c>
      <c r="P85" s="16">
        <f>IF(P62=1,VLOOKUP($A85,'[4]Données investissements'!$A$48:$D$65,2,FALSE),IF(P38&lt;&gt;0,VLOOKUP($A62,'[4]Données investissements'!$A$48:$D$65,4,FALSE),0))</f>
        <v>0</v>
      </c>
      <c r="Q85" s="16">
        <f>IF(Q62=1,VLOOKUP($A85,'[4]Données investissements'!$A$48:$D$65,2,FALSE),IF(Q38&lt;&gt;0,VLOOKUP($A62,'[4]Données investissements'!$A$48:$D$65,4,FALSE),0))</f>
        <v>0</v>
      </c>
      <c r="R85" s="16">
        <f>IF(R62=1,VLOOKUP($A85,'[4]Données investissements'!$A$48:$D$65,2,FALSE),IF(R38&lt;&gt;0,VLOOKUP($A62,'[4]Données investissements'!$A$48:$D$65,4,FALSE),0))</f>
        <v>0</v>
      </c>
      <c r="S85" s="16">
        <f>IF(S62=1,VLOOKUP($A85,'[4]Données investissements'!$A$48:$D$65,2,FALSE),IF(S38&lt;&gt;0,VLOOKUP($A62,'[4]Données investissements'!$A$48:$D$65,4,FALSE),0))</f>
        <v>0</v>
      </c>
      <c r="T85" s="16">
        <f>IF(T62=1,VLOOKUP($A85,'[4]Données investissements'!$A$48:$D$65,2,FALSE),IF(T38&lt;&gt;0,VLOOKUP($A62,'[4]Données investissements'!$A$48:$D$65,4,FALSE),0))</f>
        <v>0</v>
      </c>
      <c r="U85" s="16">
        <f>IF(U62=1,VLOOKUP($A85,'[4]Données investissements'!$A$48:$D$65,2,FALSE),IF(U38&lt;&gt;0,VLOOKUP($A62,'[4]Données investissements'!$A$48:$D$65,4,FALSE),0))</f>
        <v>0</v>
      </c>
      <c r="V85" s="16">
        <f>IF(V62=1,VLOOKUP($A85,'[4]Données investissements'!$A$48:$D$65,2,FALSE),IF(V38&lt;&gt;0,VLOOKUP($A62,'[4]Données investissements'!$A$48:$D$65,4,FALSE),0))</f>
        <v>0</v>
      </c>
      <c r="W85" s="16">
        <f>IF(W62=1,VLOOKUP($A85,'[4]Données investissements'!$A$48:$D$65,2,FALSE),IF(W38&lt;&gt;0,VLOOKUP($A62,'[4]Données investissements'!$A$48:$D$65,4,FALSE),0))</f>
        <v>0</v>
      </c>
      <c r="X85" s="16">
        <f>IF(X62=1,VLOOKUP($A85,'[4]Données investissements'!$A$48:$D$65,2,FALSE),IF(X38&lt;&gt;0,VLOOKUP($A62,'[4]Données investissements'!$A$48:$D$65,4,FALSE),0))</f>
        <v>0</v>
      </c>
      <c r="Y85" s="16">
        <f>IF(Y62=1,VLOOKUP($A85,'[4]Données investissements'!$A$48:$D$65,2,FALSE),IF(Y38&lt;&gt;0,VLOOKUP($A62,'[4]Données investissements'!$A$48:$D$65,4,FALSE),0))</f>
        <v>0</v>
      </c>
      <c r="Z85" s="16">
        <f>IF(Z62=1,VLOOKUP($A85,'[4]Données investissements'!$A$48:$D$65,2,FALSE),IF(Z38&lt;&gt;0,VLOOKUP($A62,'[4]Données investissements'!$A$48:$D$65,4,FALSE),0))</f>
        <v>0</v>
      </c>
      <c r="AA85" s="16">
        <f>IF(AA62=1,VLOOKUP($A85,'[4]Données investissements'!$A$48:$D$65,2,FALSE),IF(AA38&lt;&gt;0,VLOOKUP($A62,'[4]Données investissements'!$A$48:$D$65,4,FALSE),0))</f>
        <v>0</v>
      </c>
      <c r="AB85" s="16">
        <f>IF(AB62=1,VLOOKUP($A85,'[4]Données investissements'!$A$48:$D$65,2,FALSE),IF(AB38&lt;&gt;0,VLOOKUP($A62,'[4]Données investissements'!$A$48:$D$65,4,FALSE),0))</f>
        <v>0</v>
      </c>
      <c r="AC85" s="16">
        <f>IF(AC62=1,VLOOKUP($A85,'[4]Données investissements'!$A$48:$D$65,2,FALSE),IF(AC38&lt;&gt;0,VLOOKUP($A62,'[4]Données investissements'!$A$48:$D$65,4,FALSE),0))</f>
        <v>0</v>
      </c>
      <c r="AD85" s="16">
        <f>IF(AD62=1,VLOOKUP($A85,'[4]Données investissements'!$A$48:$D$65,2,FALSE),IF(AD38&lt;&gt;0,VLOOKUP($A62,'[4]Données investissements'!$A$48:$D$65,4,FALSE),0))</f>
        <v>0</v>
      </c>
      <c r="AE85" s="16">
        <f>IF(AE62=1,VLOOKUP($A85,'[4]Données investissements'!$A$48:$D$65,2,FALSE),IF(AE38&lt;&gt;0,VLOOKUP($A62,'[4]Données investissements'!$A$48:$D$65,4,FALSE),0))</f>
        <v>0</v>
      </c>
      <c r="AF85" s="16">
        <f>IF(AF62=1,VLOOKUP($A85,'[4]Données investissements'!$A$48:$D$65,2,FALSE),IF(AF38&lt;&gt;0,VLOOKUP($A62,'[4]Données investissements'!$A$48:$D$65,4,FALSE),0))</f>
        <v>0</v>
      </c>
      <c r="AG85" s="16">
        <f>IF(AG62=1,VLOOKUP($A85,'[4]Données investissements'!$A$48:$D$65,2,FALSE),IF(AG38&lt;&gt;0,VLOOKUP($A62,'[4]Données investissements'!$A$48:$D$65,4,FALSE),0))</f>
        <v>0</v>
      </c>
      <c r="AH85" s="16">
        <f>IF(AH62=1,VLOOKUP($A85,'[4]Données investissements'!$A$48:$D$65,2,FALSE),IF(AH38&lt;&gt;0,VLOOKUP($A62,'[4]Données investissements'!$A$48:$D$65,4,FALSE),0))</f>
        <v>0</v>
      </c>
      <c r="AI85" s="16">
        <f>IF(AI62=1,VLOOKUP($A85,'[4]Données investissements'!$A$48:$D$65,2,FALSE),IF(AI38&lt;&gt;0,VLOOKUP($A62,'[4]Données investissements'!$A$48:$D$65,4,FALSE),0))</f>
        <v>0</v>
      </c>
      <c r="AJ85" s="16">
        <f>IF(AJ62=1,VLOOKUP($A85,'[4]Données investissements'!$A$48:$D$65,2,FALSE),IF(AJ38&lt;&gt;0,VLOOKUP($A62,'[4]Données investissements'!$A$48:$D$65,4,FALSE),0))</f>
        <v>0</v>
      </c>
      <c r="AK85" s="16">
        <f>IF(AK62=1,VLOOKUP($A85,'[4]Données investissements'!$A$48:$D$65,2,FALSE),IF(AK38&lt;&gt;0,VLOOKUP($A62,'[4]Données investissements'!$A$48:$D$65,4,FALSE),0))</f>
        <v>0</v>
      </c>
      <c r="AL85" s="16">
        <f>IF(AL62=1,VLOOKUP($A85,'[4]Données investissements'!$A$48:$D$65,2,FALSE),IF(AL38&lt;&gt;0,VLOOKUP($A62,'[4]Données investissements'!$A$48:$D$65,4,FALSE),0))</f>
        <v>0</v>
      </c>
      <c r="AM85" s="16">
        <f>IF(AM62=1,VLOOKUP($A85,'[4]Données investissements'!$A$48:$D$65,2,FALSE),IF(AM38&lt;&gt;0,VLOOKUP($A62,'[4]Données investissements'!$A$48:$D$65,4,FALSE),0))</f>
        <v>0</v>
      </c>
      <c r="AN85" s="16">
        <f>IF(AN62=1,VLOOKUP($A85,'[4]Données investissements'!$A$48:$D$65,2,FALSE),IF(AN38&lt;&gt;0,VLOOKUP($A62,'[4]Données investissements'!$A$48:$D$65,4,FALSE),0))</f>
        <v>0</v>
      </c>
      <c r="AO85" s="16">
        <f>IF(AO62=1,VLOOKUP($A85,'[4]Données investissements'!$A$48:$D$65,2,FALSE),IF(AO38&lt;&gt;0,VLOOKUP($A62,'[4]Données investissements'!$A$48:$D$65,4,FALSE),0))</f>
        <v>0</v>
      </c>
      <c r="AP85" s="16">
        <f>IF(AP62=1,VLOOKUP($A85,'[4]Données investissements'!$A$48:$D$65,2,FALSE),IF(AP38&lt;&gt;0,VLOOKUP($A62,'[4]Données investissements'!$A$48:$D$65,4,FALSE),0))</f>
        <v>0</v>
      </c>
      <c r="AQ85" s="16">
        <f>IF(AQ62=1,VLOOKUP($A85,'[4]Données investissements'!$A$48:$D$65,2,FALSE),IF(AQ38&lt;&gt;0,VLOOKUP($A62,'[4]Données investissements'!$A$48:$D$65,4,FALSE),0))</f>
        <v>0</v>
      </c>
      <c r="AR85" s="16">
        <f>IF(AR62=1,VLOOKUP($A85,'[4]Données investissements'!$A$48:$D$65,2,FALSE),IF(AR38&lt;&gt;0,VLOOKUP($A62,'[4]Données investissements'!$A$48:$D$65,4,FALSE),0))</f>
        <v>0</v>
      </c>
      <c r="AS85" s="16">
        <f>IF(AS62=1,VLOOKUP($A85,'[4]Données investissements'!$A$48:$D$65,2,FALSE),IF(AS38&lt;&gt;0,VLOOKUP($A62,'[4]Données investissements'!$A$48:$D$65,4,FALSE),0))</f>
        <v>0</v>
      </c>
      <c r="AT85" s="16">
        <f>IF(AT62=1,VLOOKUP($A85,'[4]Données investissements'!$A$48:$D$65,2,FALSE),IF(AT38&lt;&gt;0,VLOOKUP($A62,'[4]Données investissements'!$A$48:$D$65,4,FALSE),0))</f>
        <v>0</v>
      </c>
      <c r="AU85" s="16">
        <f>IF(AU62=1,VLOOKUP($A85,'[4]Données investissements'!$A$48:$D$65,2,FALSE),IF(AU38&lt;&gt;0,VLOOKUP($A62,'[4]Données investissements'!$A$48:$D$65,4,FALSE),0))</f>
        <v>0</v>
      </c>
      <c r="AV85" s="16">
        <f>IF(AV62=1,VLOOKUP($A85,'[4]Données investissements'!$A$48:$D$65,2,FALSE),IF(AV38&lt;&gt;0,VLOOKUP($A62,'[4]Données investissements'!$A$48:$D$65,4,FALSE),0))</f>
        <v>0</v>
      </c>
      <c r="AW85" s="16">
        <f>IF(AW62=1,VLOOKUP($A85,'[4]Données investissements'!$A$48:$D$65,2,FALSE),IF(AW38&lt;&gt;0,VLOOKUP($A62,'[4]Données investissements'!$A$48:$D$65,4,FALSE),0))</f>
        <v>0</v>
      </c>
      <c r="AX85" s="16">
        <f>IF(AX62=1,VLOOKUP($A85,'[4]Données investissements'!$A$48:$D$65,2,FALSE),IF(AX38&lt;&gt;0,VLOOKUP($A62,'[4]Données investissements'!$A$48:$D$65,4,FALSE),0))</f>
        <v>0</v>
      </c>
      <c r="AY85" s="16">
        <f>IF(AY62=1,VLOOKUP($A85,'[4]Données investissements'!$A$48:$D$65,2,FALSE),IF(AY38&lt;&gt;0,VLOOKUP($A62,'[4]Données investissements'!$A$48:$D$65,4,FALSE),0))</f>
        <v>0</v>
      </c>
      <c r="AZ85" s="16">
        <f>IF(AZ62=1,VLOOKUP($A85,'[4]Données investissements'!$A$48:$D$65,2,FALSE),IF(AZ38&lt;&gt;0,VLOOKUP($A62,'[4]Données investissements'!$A$48:$D$65,4,FALSE),0))</f>
        <v>0</v>
      </c>
      <c r="BA85" s="16">
        <f>IF(BA62=1,VLOOKUP($A85,'[4]Données investissements'!$A$48:$D$65,2,FALSE),IF(BA38&lt;&gt;0,VLOOKUP($A62,'[4]Données investissements'!$A$48:$D$65,4,FALSE),0))</f>
        <v>0</v>
      </c>
      <c r="BB85" s="16">
        <f>IF(BB62=1,VLOOKUP($A85,'[4]Données investissements'!$A$48:$D$65,2,FALSE),IF(BB38&lt;&gt;0,VLOOKUP($A62,'[4]Données investissements'!$A$48:$D$65,4,FALSE),0))</f>
        <v>0</v>
      </c>
      <c r="BC85" s="16">
        <f>IF(BC62=1,VLOOKUP($A85,'[4]Données investissements'!$A$48:$D$65,2,FALSE),IF(BC38&lt;&gt;0,VLOOKUP($A62,'[4]Données investissements'!$A$48:$D$65,4,FALSE),0))</f>
        <v>0</v>
      </c>
      <c r="BD85" s="16">
        <f>IF(BD62=1,VLOOKUP($A85,'[4]Données investissements'!$A$48:$D$65,2,FALSE),IF(BD38&lt;&gt;0,VLOOKUP($A62,'[4]Données investissements'!$A$48:$D$65,4,FALSE),0))</f>
        <v>0</v>
      </c>
      <c r="BE85" s="16">
        <f>IF(BE62=1,VLOOKUP($A85,'[4]Données investissements'!$A$48:$D$65,2,FALSE),IF(BE38&lt;&gt;0,VLOOKUP($A62,'[4]Données investissements'!$A$48:$D$65,4,FALSE),0))</f>
        <v>0</v>
      </c>
      <c r="BF85" s="16">
        <f>IF(BF62=1,VLOOKUP($A85,'[4]Données investissements'!$A$48:$D$65,2,FALSE),IF(BF38&lt;&gt;0,VLOOKUP($A62,'[4]Données investissements'!$A$48:$D$65,4,FALSE),0))</f>
        <v>0</v>
      </c>
      <c r="BG85" s="16">
        <f>IF(BG62=1,VLOOKUP($A85,'[4]Données investissements'!$A$48:$D$65,2,FALSE),IF(BG38&lt;&gt;0,VLOOKUP($A62,'[4]Données investissements'!$A$48:$D$65,4,FALSE),0))</f>
        <v>0</v>
      </c>
      <c r="BH85" s="16">
        <f>IF(BH62=1,VLOOKUP($A85,'[4]Données investissements'!$A$48:$D$65,2,FALSE),IF(BH38&lt;&gt;0,VLOOKUP($A62,'[4]Données investissements'!$A$48:$D$65,4,FALSE),0))</f>
        <v>0</v>
      </c>
      <c r="BI85" s="16">
        <f>IF(BI62=1,VLOOKUP($A85,'[4]Données investissements'!$A$48:$D$65,2,FALSE),IF(BI38&lt;&gt;0,VLOOKUP($A62,'[4]Données investissements'!$A$48:$D$65,4,FALSE),0))</f>
        <v>0</v>
      </c>
      <c r="BJ85" s="16">
        <f>IF(BJ62=1,VLOOKUP($A85,'[4]Données investissements'!$A$48:$D$65,2,FALSE),IF(BJ38&lt;&gt;0,VLOOKUP($A62,'[4]Données investissements'!$A$48:$D$65,4,FALSE),0))</f>
        <v>0</v>
      </c>
      <c r="BK85" s="16">
        <f>IF(BK62=1,VLOOKUP($A85,'[4]Données investissements'!$A$48:$D$65,2,FALSE),IF(BK38&lt;&gt;0,VLOOKUP($A62,'[4]Données investissements'!$A$48:$D$65,4,FALSE),0))</f>
        <v>0</v>
      </c>
      <c r="BL85" s="16">
        <f>IF(BL62=1,VLOOKUP($A85,'[4]Données investissements'!$A$48:$D$65,2,FALSE),IF(BL38&lt;&gt;0,VLOOKUP($A62,'[4]Données investissements'!$A$48:$D$65,4,FALSE),0))</f>
        <v>0</v>
      </c>
      <c r="BM85" s="16">
        <f>IF(BM62=1,VLOOKUP($A85,'[4]Données investissements'!$A$48:$D$65,2,FALSE),IF(BM38&lt;&gt;0,VLOOKUP($A62,'[4]Données investissements'!$A$48:$D$65,4,FALSE),0))</f>
        <v>0</v>
      </c>
      <c r="BN85" s="16">
        <f>IF(BN62=1,VLOOKUP($A85,'[4]Données investissements'!$A$48:$D$65,2,FALSE),IF(BN38&lt;&gt;0,VLOOKUP($A62,'[4]Données investissements'!$A$48:$D$65,4,FALSE),0))</f>
        <v>0</v>
      </c>
      <c r="BO85" s="16">
        <f>IF(BO62=1,VLOOKUP($A85,'[4]Données investissements'!$A$48:$D$65,2,FALSE),IF(BO38&lt;&gt;0,VLOOKUP($A62,'[4]Données investissements'!$A$48:$D$65,4,FALSE),0))</f>
        <v>0</v>
      </c>
      <c r="BP85" s="16">
        <f>IF(BP62=1,VLOOKUP($A85,'[4]Données investissements'!$A$48:$D$65,2,FALSE),IF(BP38&lt;&gt;0,VLOOKUP($A62,'[4]Données investissements'!$A$48:$D$65,4,FALSE),0))</f>
        <v>0</v>
      </c>
      <c r="BQ85" s="16">
        <f>IF(BQ62=1,VLOOKUP($A85,'[4]Données investissements'!$A$48:$D$65,2,FALSE),IF(BQ38&lt;&gt;0,VLOOKUP($A62,'[4]Données investissements'!$A$48:$D$65,4,FALSE),0))</f>
        <v>0</v>
      </c>
      <c r="BR85" s="16">
        <f>IF(BR62=1,VLOOKUP($A85,'[4]Données investissements'!$A$48:$D$65,2,FALSE),IF(BR38&lt;&gt;0,VLOOKUP($A62,'[4]Données investissements'!$A$48:$D$65,4,FALSE),0))</f>
        <v>0</v>
      </c>
      <c r="BS85" s="16">
        <f>IF(BS62=1,VLOOKUP($A85,'[4]Données investissements'!$A$48:$D$65,2,FALSE),IF(BS38&lt;&gt;0,VLOOKUP($A62,'[4]Données investissements'!$A$48:$D$65,4,FALSE),0))</f>
        <v>0</v>
      </c>
      <c r="BT85" s="16">
        <f>IF(BT62=1,VLOOKUP($A85,'[4]Données investissements'!$A$48:$D$65,2,FALSE),IF(BT38&lt;&gt;0,VLOOKUP($A62,'[4]Données investissements'!$A$48:$D$65,4,FALSE),0))</f>
        <v>0</v>
      </c>
      <c r="BU85" s="16">
        <f>IF(BU62=1,VLOOKUP($A85,'[4]Données investissements'!$A$48:$D$65,2,FALSE),IF(BU38&lt;&gt;0,VLOOKUP($A62,'[4]Données investissements'!$A$48:$D$65,4,FALSE),0))</f>
        <v>0</v>
      </c>
      <c r="BV85" s="16">
        <f>IF(BV62=1,VLOOKUP($A85,'[4]Données investissements'!$A$48:$D$65,2,FALSE),IF(BV38&lt;&gt;0,VLOOKUP($A62,'[4]Données investissements'!$A$48:$D$65,4,FALSE),0))</f>
        <v>0</v>
      </c>
      <c r="BW85" s="16">
        <f>IF(BW62=1,VLOOKUP($A85,'[4]Données investissements'!$A$48:$D$65,2,FALSE),IF(BW38&lt;&gt;0,VLOOKUP($A62,'[4]Données investissements'!$A$48:$D$65,4,FALSE),0))</f>
        <v>0</v>
      </c>
      <c r="BX85" s="16">
        <f>IF(BX62=1,VLOOKUP($A85,'[4]Données investissements'!$A$48:$D$65,2,FALSE),IF(BX38&lt;&gt;0,VLOOKUP($A62,'[4]Données investissements'!$A$48:$D$65,4,FALSE),0))</f>
        <v>0</v>
      </c>
      <c r="BY85" s="16">
        <f>IF(BY62=1,VLOOKUP($A85,'[4]Données investissements'!$A$48:$D$65,2,FALSE),IF(BY38&lt;&gt;0,VLOOKUP($A62,'[4]Données investissements'!$A$48:$D$65,4,FALSE),0))</f>
        <v>0</v>
      </c>
      <c r="BZ85" s="16">
        <f>IF(BZ62=1,VLOOKUP($A85,'[4]Données investissements'!$A$48:$D$65,2,FALSE),IF(BZ38&lt;&gt;0,VLOOKUP($A62,'[4]Données investissements'!$A$48:$D$65,4,FALSE),0))</f>
        <v>0</v>
      </c>
      <c r="CA85" s="16">
        <f>IF(CA62=1,VLOOKUP($A85,'[4]Données investissements'!$A$48:$D$65,2,FALSE),IF(CA38&lt;&gt;0,VLOOKUP($A62,'[4]Données investissements'!$A$48:$D$65,4,FALSE),0))</f>
        <v>0</v>
      </c>
      <c r="CB85" s="16">
        <f>IF(CB62=1,VLOOKUP($A85,'[4]Données investissements'!$A$48:$D$65,2,FALSE),IF(CB38&lt;&gt;0,VLOOKUP($A62,'[4]Données investissements'!$A$48:$D$65,4,FALSE),0))</f>
        <v>0</v>
      </c>
      <c r="CC85" s="16">
        <f>IF(CC62=1,VLOOKUP($A85,'[4]Données investissements'!$A$48:$D$65,2,FALSE),IF(CC38&lt;&gt;0,VLOOKUP($A62,'[4]Données investissements'!$A$48:$D$65,4,FALSE),0))</f>
        <v>0</v>
      </c>
      <c r="CD85" s="16">
        <f>IF(CD62=1,VLOOKUP($A85,'[4]Données investissements'!$A$48:$D$65,2,FALSE),IF(CD38&lt;&gt;0,VLOOKUP($A62,'[4]Données investissements'!$A$48:$D$65,4,FALSE),0))</f>
        <v>0</v>
      </c>
      <c r="CE85" s="16">
        <f>IF(CE62=1,VLOOKUP($A85,'[4]Données investissements'!$A$48:$D$65,2,FALSE),IF(CE38&lt;&gt;0,VLOOKUP($A62,'[4]Données investissements'!$A$48:$D$65,4,FALSE),0))</f>
        <v>0</v>
      </c>
      <c r="CF85" s="16">
        <f>IF(CF62=1,VLOOKUP($A85,'[4]Données investissements'!$A$48:$D$65,2,FALSE),IF(CF38&lt;&gt;0,VLOOKUP($A62,'[4]Données investissements'!$A$48:$D$65,4,FALSE),0))</f>
        <v>0</v>
      </c>
      <c r="CG85" s="16">
        <f>IF(CG62=1,VLOOKUP($A85,'[4]Données investissements'!$A$48:$D$65,2,FALSE),IF(CG38&lt;&gt;0,VLOOKUP($A62,'[4]Données investissements'!$A$48:$D$65,4,FALSE),0))</f>
        <v>0</v>
      </c>
      <c r="CH85" s="16">
        <f>IF(CH62=1,VLOOKUP($A85,'[4]Données investissements'!$A$48:$D$65,2,FALSE),IF(CH38&lt;&gt;0,VLOOKUP($A62,'[4]Données investissements'!$A$48:$D$65,4,FALSE),0))</f>
        <v>0</v>
      </c>
      <c r="CI85" s="16">
        <f>IF(CI62=1,VLOOKUP($A85,'[4]Données investissements'!$A$48:$D$65,2,FALSE),IF(CI38&lt;&gt;0,VLOOKUP($A62,'[4]Données investissements'!$A$48:$D$65,4,FALSE),0))</f>
        <v>0</v>
      </c>
      <c r="CJ85" s="16">
        <f>IF(CJ62=1,VLOOKUP($A85,'[4]Données investissements'!$A$48:$D$65,2,FALSE),IF(CJ38&lt;&gt;0,VLOOKUP($A62,'[4]Données investissements'!$A$48:$D$65,4,FALSE),0))</f>
        <v>0</v>
      </c>
      <c r="CK85" s="16">
        <f>IF(CK62=1,VLOOKUP($A85,'[4]Données investissements'!$A$48:$D$65,2,FALSE),IF(CK38&lt;&gt;0,VLOOKUP($A62,'[4]Données investissements'!$A$48:$D$65,4,FALSE),0))</f>
        <v>0</v>
      </c>
      <c r="CL85" s="16">
        <f>IF(CL62=1,VLOOKUP($A85,'[4]Données investissements'!$A$48:$D$65,2,FALSE),IF(CL38&lt;&gt;0,VLOOKUP($A62,'[4]Données investissements'!$A$48:$D$65,4,FALSE),0))</f>
        <v>0</v>
      </c>
      <c r="CM85" s="16">
        <f>IF(CM62=1,VLOOKUP($A85,'[4]Données investissements'!$A$48:$D$65,2,FALSE),IF(CM38&lt;&gt;0,VLOOKUP($A62,'[4]Données investissements'!$A$48:$D$65,4,FALSE),0))</f>
        <v>0</v>
      </c>
      <c r="CN85" s="16">
        <f>IF(CN62=1,VLOOKUP($A85,'[4]Données investissements'!$A$48:$D$65,2,FALSE),IF(CN38&lt;&gt;0,VLOOKUP($A62,'[4]Données investissements'!$A$48:$D$65,4,FALSE),0))</f>
        <v>0</v>
      </c>
      <c r="CO85" s="16">
        <f>IF(CO62=1,VLOOKUP($A85,'[4]Données investissements'!$A$48:$D$65,2,FALSE),IF(CO38&lt;&gt;0,VLOOKUP($A62,'[4]Données investissements'!$A$48:$D$65,4,FALSE),0))</f>
        <v>0</v>
      </c>
      <c r="CP85" s="16">
        <f>IF(CP62=1,VLOOKUP($A85,'[4]Données investissements'!$A$48:$D$65,2,FALSE),IF(CP38&lt;&gt;0,VLOOKUP($A62,'[4]Données investissements'!$A$48:$D$65,4,FALSE),0))</f>
        <v>0</v>
      </c>
      <c r="CQ85" s="16">
        <f>IF(CQ62=1,VLOOKUP($A85,'[4]Données investissements'!$A$48:$D$65,2,FALSE),IF(CQ38&lt;&gt;0,VLOOKUP($A62,'[4]Données investissements'!$A$48:$D$65,4,FALSE),0))</f>
        <v>0</v>
      </c>
      <c r="CR85" s="16">
        <f>IF(CR62=1,VLOOKUP($A85,'[4]Données investissements'!$A$48:$D$65,2,FALSE),IF(CR38&lt;&gt;0,VLOOKUP($A62,'[4]Données investissements'!$A$48:$D$65,4,FALSE),0))</f>
        <v>0</v>
      </c>
      <c r="CS85" s="16">
        <f>IF(CS62=1,VLOOKUP($A85,'[4]Données investissements'!$A$48:$D$65,2,FALSE),IF(CS38&lt;&gt;0,VLOOKUP($A62,'[4]Données investissements'!$A$48:$D$65,4,FALSE),0))</f>
        <v>0</v>
      </c>
      <c r="CT85" s="16">
        <f>IF(CT62=1,VLOOKUP($A85,'[4]Données investissements'!$A$48:$D$65,2,FALSE),IF(CT38&lt;&gt;0,VLOOKUP($A62,'[4]Données investissements'!$A$48:$D$65,4,FALSE),0))</f>
        <v>0</v>
      </c>
      <c r="CU85" s="16">
        <f>IF(CU62=1,VLOOKUP($A85,'[4]Données investissements'!$A$48:$D$65,2,FALSE),IF(CU38&lt;&gt;0,VLOOKUP($A62,'[4]Données investissements'!$A$48:$D$65,4,FALSE),0))</f>
        <v>0</v>
      </c>
      <c r="CV85" s="16">
        <f>IF(CV62=1,VLOOKUP($A85,'[4]Données investissements'!$A$48:$D$65,2,FALSE),IF(CV38&lt;&gt;0,VLOOKUP($A62,'[4]Données investissements'!$A$48:$D$65,4,FALSE),0))</f>
        <v>0</v>
      </c>
      <c r="CW85" s="16">
        <f>IF(CW62=1,VLOOKUP($A85,'[4]Données investissements'!$A$48:$D$65,2,FALSE),IF(CW38&lt;&gt;0,VLOOKUP($A62,'[4]Données investissements'!$A$48:$D$65,4,FALSE),0))</f>
        <v>0</v>
      </c>
      <c r="CX85" s="16">
        <f>IF(CX62=1,VLOOKUP($A85,'[4]Données investissements'!$A$48:$D$65,2,FALSE),IF(CX38&lt;&gt;0,VLOOKUP($A62,'[4]Données investissements'!$A$48:$D$65,4,FALSE),0))</f>
        <v>0</v>
      </c>
      <c r="CY85" s="16">
        <f>IF(CY62=1,VLOOKUP($A85,'[4]Données investissements'!$A$48:$D$65,2,FALSE),IF(CY38&lt;&gt;0,VLOOKUP($A62,'[4]Données investissements'!$A$48:$D$65,4,FALSE),0))</f>
        <v>0</v>
      </c>
      <c r="CZ85" s="16">
        <f>IF(CZ62=1,VLOOKUP($A85,'[4]Données investissements'!$A$48:$D$65,2,FALSE),IF(CZ38&lt;&gt;0,VLOOKUP($A62,'[4]Données investissements'!$A$48:$D$65,4,FALSE),0))</f>
        <v>0</v>
      </c>
      <c r="DA85" s="16">
        <f>IF(DA62=1,VLOOKUP($A85,'[4]Données investissements'!$A$48:$D$65,2,FALSE),IF(DA38&lt;&gt;0,VLOOKUP($A62,'[4]Données investissements'!$A$48:$D$65,4,FALSE),0))</f>
        <v>0</v>
      </c>
      <c r="DB85" s="16">
        <f>IF(DB62=1,VLOOKUP($A85,'[4]Données investissements'!$A$48:$D$65,2,FALSE),IF(DB38&lt;&gt;0,VLOOKUP($A62,'[4]Données investissements'!$A$48:$D$65,4,FALSE),0))</f>
        <v>0</v>
      </c>
      <c r="DC85" s="16">
        <f>IF(DC62=1,VLOOKUP($A85,'[4]Données investissements'!$A$48:$D$65,2,FALSE),IF(DC38&lt;&gt;0,VLOOKUP($A62,'[4]Données investissements'!$A$48:$D$65,4,FALSE),0))</f>
        <v>0</v>
      </c>
      <c r="DD85" s="16">
        <f>IF(DD62=1,VLOOKUP($A85,'[4]Données investissements'!$A$48:$D$65,2,FALSE),IF(DD38&lt;&gt;0,VLOOKUP($A62,'[4]Données investissements'!$A$48:$D$65,4,FALSE),0))</f>
        <v>0</v>
      </c>
      <c r="DE85" s="16">
        <f>IF(DE62=1,VLOOKUP($A85,'[4]Données investissements'!$A$48:$D$65,2,FALSE),IF(DE38&lt;&gt;0,VLOOKUP($A62,'[4]Données investissements'!$A$48:$D$65,4,FALSE),0))</f>
        <v>0</v>
      </c>
      <c r="DF85" s="16">
        <f>IF(DF62=1,VLOOKUP($A85,'[4]Données investissements'!$A$48:$D$65,2,FALSE),IF(DF38&lt;&gt;0,VLOOKUP($A62,'[4]Données investissements'!$A$48:$D$65,4,FALSE),0))</f>
        <v>0</v>
      </c>
    </row>
    <row r="86" spans="1:110" ht="12.75" hidden="1" customHeight="1" x14ac:dyDescent="0.2">
      <c r="A86" s="15" t="str">
        <f t="shared" si="40"/>
        <v>SI + MES</v>
      </c>
      <c r="B86" s="23">
        <f t="shared" si="40"/>
        <v>1.4</v>
      </c>
      <c r="C86" s="16">
        <f>IF(C63=1,VLOOKUP($A86,'[4]Données investissements'!$A$48:$D$65,2,FALSE),IF(C39&lt;&gt;0,VLOOKUP($A63,'[4]Données investissements'!$A$48:$D$65,4,FALSE),0))</f>
        <v>0</v>
      </c>
      <c r="D86" s="16">
        <f>IF(D63=1,VLOOKUP($A86,'[4]Données investissements'!$A$48:$D$65,2,FALSE),IF(D39&lt;&gt;0,VLOOKUP($A63,'[4]Données investissements'!$A$48:$D$65,4,FALSE),0))</f>
        <v>0</v>
      </c>
      <c r="E86" s="16">
        <f>IF(E63=1,VLOOKUP($A86,'[4]Données investissements'!$A$48:$D$65,2,FALSE),IF(E39&lt;&gt;0,VLOOKUP($A63,'[4]Données investissements'!$A$48:$D$65,4,FALSE),0))</f>
        <v>0</v>
      </c>
      <c r="F86" s="16">
        <f>IF(F63=1,VLOOKUP($A86,'[4]Données investissements'!$A$48:$D$65,2,FALSE),IF(F39&lt;&gt;0,VLOOKUP($A63,'[4]Données investissements'!$A$48:$D$65,4,FALSE),0))</f>
        <v>0</v>
      </c>
      <c r="G86" s="16">
        <f>IF(G63=1,VLOOKUP($A86,'[4]Données investissements'!$A$48:$D$65,2,FALSE),IF(G39&lt;&gt;0,VLOOKUP($A63,'[4]Données investissements'!$A$48:$D$65,4,FALSE),0))</f>
        <v>0</v>
      </c>
      <c r="H86" s="16">
        <f>IF(H63=1,VLOOKUP($A86,'[4]Données investissements'!$A$48:$D$65,2,FALSE),IF(H39&lt;&gt;0,VLOOKUP($A63,'[4]Données investissements'!$A$48:$D$65,4,FALSE),0))</f>
        <v>0</v>
      </c>
      <c r="I86" s="16">
        <f>IF(I63=1,VLOOKUP($A86,'[4]Données investissements'!$A$48:$D$65,2,FALSE),IF(I39&lt;&gt;0,VLOOKUP($A63,'[4]Données investissements'!$A$48:$D$65,4,FALSE),0))</f>
        <v>0</v>
      </c>
      <c r="J86" s="16">
        <f>IF(J63=1,VLOOKUP($A86,'[4]Données investissements'!$A$48:$D$65,2,FALSE),IF(J39&lt;&gt;0,VLOOKUP($A63,'[4]Données investissements'!$A$48:$D$65,4,FALSE),0))</f>
        <v>0</v>
      </c>
      <c r="K86" s="16">
        <f>IF(K63=1,VLOOKUP($A86,'[4]Données investissements'!$A$48:$D$65,2,FALSE),IF(K39&lt;&gt;0,VLOOKUP($A63,'[4]Données investissements'!$A$48:$D$65,4,FALSE),0))</f>
        <v>1</v>
      </c>
      <c r="L86" s="16">
        <f>IF(L63=1,VLOOKUP($A86,'[4]Données investissements'!$A$48:$D$65,2,FALSE),IF(L39&lt;&gt;0,VLOOKUP($A63,'[4]Données investissements'!$A$48:$D$65,4,FALSE),0))</f>
        <v>0</v>
      </c>
      <c r="M86" s="16">
        <f>IF(M63=1,VLOOKUP($A86,'[4]Données investissements'!$A$48:$D$65,2,FALSE),IF(M39&lt;&gt;0,VLOOKUP($A63,'[4]Données investissements'!$A$48:$D$65,4,FALSE),0))</f>
        <v>0</v>
      </c>
      <c r="N86" s="16">
        <f>IF(N63=1,VLOOKUP($A86,'[4]Données investissements'!$A$48:$D$65,2,FALSE),IF(N39&lt;&gt;0,VLOOKUP($A63,'[4]Données investissements'!$A$48:$D$65,4,FALSE),0))</f>
        <v>2</v>
      </c>
      <c r="O86" s="16">
        <f>IF(O63=1,VLOOKUP($A86,'[4]Données investissements'!$A$48:$D$65,2,FALSE),IF(O39&lt;&gt;0,VLOOKUP($A63,'[4]Données investissements'!$A$48:$D$65,4,FALSE),0))</f>
        <v>0</v>
      </c>
      <c r="P86" s="16">
        <f>IF(P63=1,VLOOKUP($A86,'[4]Données investissements'!$A$48:$D$65,2,FALSE),IF(P39&lt;&gt;0,VLOOKUP($A63,'[4]Données investissements'!$A$48:$D$65,4,FALSE),0))</f>
        <v>0</v>
      </c>
      <c r="Q86" s="16">
        <f>IF(Q63=1,VLOOKUP($A86,'[4]Données investissements'!$A$48:$D$65,2,FALSE),IF(Q39&lt;&gt;0,VLOOKUP($A63,'[4]Données investissements'!$A$48:$D$65,4,FALSE),0))</f>
        <v>2</v>
      </c>
      <c r="R86" s="16">
        <f>IF(R63=1,VLOOKUP($A86,'[4]Données investissements'!$A$48:$D$65,2,FALSE),IF(R39&lt;&gt;0,VLOOKUP($A63,'[4]Données investissements'!$A$48:$D$65,4,FALSE),0))</f>
        <v>0</v>
      </c>
      <c r="S86" s="16">
        <f>IF(S63=1,VLOOKUP($A86,'[4]Données investissements'!$A$48:$D$65,2,FALSE),IF(S39&lt;&gt;0,VLOOKUP($A63,'[4]Données investissements'!$A$48:$D$65,4,FALSE),0))</f>
        <v>0</v>
      </c>
      <c r="T86" s="16">
        <f>IF(T63=1,VLOOKUP($A86,'[4]Données investissements'!$A$48:$D$65,2,FALSE),IF(T39&lt;&gt;0,VLOOKUP($A63,'[4]Données investissements'!$A$48:$D$65,4,FALSE),0))</f>
        <v>2</v>
      </c>
      <c r="U86" s="16">
        <f>IF(U63=1,VLOOKUP($A86,'[4]Données investissements'!$A$48:$D$65,2,FALSE),IF(U39&lt;&gt;0,VLOOKUP($A63,'[4]Données investissements'!$A$48:$D$65,4,FALSE),0))</f>
        <v>0</v>
      </c>
      <c r="V86" s="16">
        <f>IF(V63=1,VLOOKUP($A86,'[4]Données investissements'!$A$48:$D$65,2,FALSE),IF(V39&lt;&gt;0,VLOOKUP($A63,'[4]Données investissements'!$A$48:$D$65,4,FALSE),0))</f>
        <v>0</v>
      </c>
      <c r="W86" s="16">
        <f>IF(W63=1,VLOOKUP($A86,'[4]Données investissements'!$A$48:$D$65,2,FALSE),IF(W39&lt;&gt;0,VLOOKUP($A63,'[4]Données investissements'!$A$48:$D$65,4,FALSE),0))</f>
        <v>2</v>
      </c>
      <c r="X86" s="16">
        <f>IF(X63=1,VLOOKUP($A86,'[4]Données investissements'!$A$48:$D$65,2,FALSE),IF(X39&lt;&gt;0,VLOOKUP($A63,'[4]Données investissements'!$A$48:$D$65,4,FALSE),0))</f>
        <v>0</v>
      </c>
      <c r="Y86" s="16">
        <f>IF(Y63=1,VLOOKUP($A86,'[4]Données investissements'!$A$48:$D$65,2,FALSE),IF(Y39&lt;&gt;0,VLOOKUP($A63,'[4]Données investissements'!$A$48:$D$65,4,FALSE),0))</f>
        <v>2</v>
      </c>
      <c r="Z86" s="16">
        <f>IF(Z63=1,VLOOKUP($A86,'[4]Données investissements'!$A$48:$D$65,2,FALSE),IF(Z39&lt;&gt;0,VLOOKUP($A63,'[4]Données investissements'!$A$48:$D$65,4,FALSE),0))</f>
        <v>0</v>
      </c>
      <c r="AA86" s="16">
        <f>IF(AA63=1,VLOOKUP($A86,'[4]Données investissements'!$A$48:$D$65,2,FALSE),IF(AA39&lt;&gt;0,VLOOKUP($A63,'[4]Données investissements'!$A$48:$D$65,4,FALSE),0))</f>
        <v>0</v>
      </c>
      <c r="AB86" s="16">
        <f>IF(AB63=1,VLOOKUP($A86,'[4]Données investissements'!$A$48:$D$65,2,FALSE),IF(AB39&lt;&gt;0,VLOOKUP($A63,'[4]Données investissements'!$A$48:$D$65,4,FALSE),0))</f>
        <v>0</v>
      </c>
      <c r="AC86" s="16">
        <f>IF(AC63=1,VLOOKUP($A86,'[4]Données investissements'!$A$48:$D$65,2,FALSE),IF(AC39&lt;&gt;0,VLOOKUP($A63,'[4]Données investissements'!$A$48:$D$65,4,FALSE),0))</f>
        <v>0</v>
      </c>
      <c r="AD86" s="16">
        <f>IF(AD63=1,VLOOKUP($A86,'[4]Données investissements'!$A$48:$D$65,2,FALSE),IF(AD39&lt;&gt;0,VLOOKUP($A63,'[4]Données investissements'!$A$48:$D$65,4,FALSE),0))</f>
        <v>0</v>
      </c>
      <c r="AE86" s="16">
        <f>IF(AE63=1,VLOOKUP($A86,'[4]Données investissements'!$A$48:$D$65,2,FALSE),IF(AE39&lt;&gt;0,VLOOKUP($A63,'[4]Données investissements'!$A$48:$D$65,4,FALSE),0))</f>
        <v>0</v>
      </c>
      <c r="AF86" s="16">
        <f>IF(AF63=1,VLOOKUP($A86,'[4]Données investissements'!$A$48:$D$65,2,FALSE),IF(AF39&lt;&gt;0,VLOOKUP($A63,'[4]Données investissements'!$A$48:$D$65,4,FALSE),0))</f>
        <v>0</v>
      </c>
      <c r="AG86" s="16">
        <f>IF(AG63=1,VLOOKUP($A86,'[4]Données investissements'!$A$48:$D$65,2,FALSE),IF(AG39&lt;&gt;0,VLOOKUP($A63,'[4]Données investissements'!$A$48:$D$65,4,FALSE),0))</f>
        <v>0</v>
      </c>
      <c r="AH86" s="16">
        <f>IF(AH63=1,VLOOKUP($A86,'[4]Données investissements'!$A$48:$D$65,2,FALSE),IF(AH39&lt;&gt;0,VLOOKUP($A63,'[4]Données investissements'!$A$48:$D$65,4,FALSE),0))</f>
        <v>0</v>
      </c>
      <c r="AI86" s="16">
        <f>IF(AI63=1,VLOOKUP($A86,'[4]Données investissements'!$A$48:$D$65,2,FALSE),IF(AI39&lt;&gt;0,VLOOKUP($A63,'[4]Données investissements'!$A$48:$D$65,4,FALSE),0))</f>
        <v>0</v>
      </c>
      <c r="AJ86" s="16">
        <f>IF(AJ63=1,VLOOKUP($A86,'[4]Données investissements'!$A$48:$D$65,2,FALSE),IF(AJ39&lt;&gt;0,VLOOKUP($A63,'[4]Données investissements'!$A$48:$D$65,4,FALSE),0))</f>
        <v>0</v>
      </c>
      <c r="AK86" s="16">
        <f>IF(AK63=1,VLOOKUP($A86,'[4]Données investissements'!$A$48:$D$65,2,FALSE),IF(AK39&lt;&gt;0,VLOOKUP($A63,'[4]Données investissements'!$A$48:$D$65,4,FALSE),0))</f>
        <v>2</v>
      </c>
      <c r="AL86" s="16">
        <f>IF(AL63=1,VLOOKUP($A86,'[4]Données investissements'!$A$48:$D$65,2,FALSE),IF(AL39&lt;&gt;0,VLOOKUP($A63,'[4]Données investissements'!$A$48:$D$65,4,FALSE),0))</f>
        <v>0</v>
      </c>
      <c r="AM86" s="16">
        <f>IF(AM63=1,VLOOKUP($A86,'[4]Données investissements'!$A$48:$D$65,2,FALSE),IF(AM39&lt;&gt;0,VLOOKUP($A63,'[4]Données investissements'!$A$48:$D$65,4,FALSE),0))</f>
        <v>0</v>
      </c>
      <c r="AN86" s="16">
        <f>IF(AN63=1,VLOOKUP($A86,'[4]Données investissements'!$A$48:$D$65,2,FALSE),IF(AN39&lt;&gt;0,VLOOKUP($A63,'[4]Données investissements'!$A$48:$D$65,4,FALSE),0))</f>
        <v>0</v>
      </c>
      <c r="AO86" s="16">
        <f>IF(AO63=1,VLOOKUP($A86,'[4]Données investissements'!$A$48:$D$65,2,FALSE),IF(AO39&lt;&gt;0,VLOOKUP($A63,'[4]Données investissements'!$A$48:$D$65,4,FALSE),0))</f>
        <v>0</v>
      </c>
      <c r="AP86" s="16">
        <f>IF(AP63=1,VLOOKUP($A86,'[4]Données investissements'!$A$48:$D$65,2,FALSE),IF(AP39&lt;&gt;0,VLOOKUP($A63,'[4]Données investissements'!$A$48:$D$65,4,FALSE),0))</f>
        <v>0</v>
      </c>
      <c r="AQ86" s="16">
        <f>IF(AQ63=1,VLOOKUP($A86,'[4]Données investissements'!$A$48:$D$65,2,FALSE),IF(AQ39&lt;&gt;0,VLOOKUP($A63,'[4]Données investissements'!$A$48:$D$65,4,FALSE),0))</f>
        <v>0</v>
      </c>
      <c r="AR86" s="16">
        <f>IF(AR63=1,VLOOKUP($A86,'[4]Données investissements'!$A$48:$D$65,2,FALSE),IF(AR39&lt;&gt;0,VLOOKUP($A63,'[4]Données investissements'!$A$48:$D$65,4,FALSE),0))</f>
        <v>0</v>
      </c>
      <c r="AS86" s="16">
        <f>IF(AS63=1,VLOOKUP($A86,'[4]Données investissements'!$A$48:$D$65,2,FALSE),IF(AS39&lt;&gt;0,VLOOKUP($A63,'[4]Données investissements'!$A$48:$D$65,4,FALSE),0))</f>
        <v>0</v>
      </c>
      <c r="AT86" s="16">
        <f>IF(AT63=1,VLOOKUP($A86,'[4]Données investissements'!$A$48:$D$65,2,FALSE),IF(AT39&lt;&gt;0,VLOOKUP($A63,'[4]Données investissements'!$A$48:$D$65,4,FALSE),0))</f>
        <v>0</v>
      </c>
      <c r="AU86" s="16">
        <f>IF(AU63=1,VLOOKUP($A86,'[4]Données investissements'!$A$48:$D$65,2,FALSE),IF(AU39&lt;&gt;0,VLOOKUP($A63,'[4]Données investissements'!$A$48:$D$65,4,FALSE),0))</f>
        <v>0</v>
      </c>
      <c r="AV86" s="16">
        <f>IF(AV63=1,VLOOKUP($A86,'[4]Données investissements'!$A$48:$D$65,2,FALSE),IF(AV39&lt;&gt;0,VLOOKUP($A63,'[4]Données investissements'!$A$48:$D$65,4,FALSE),0))</f>
        <v>0</v>
      </c>
      <c r="AW86" s="16">
        <f>IF(AW63=1,VLOOKUP($A86,'[4]Données investissements'!$A$48:$D$65,2,FALSE),IF(AW39&lt;&gt;0,VLOOKUP($A63,'[4]Données investissements'!$A$48:$D$65,4,FALSE),0))</f>
        <v>0</v>
      </c>
      <c r="AX86" s="16">
        <f>IF(AX63=1,VLOOKUP($A86,'[4]Données investissements'!$A$48:$D$65,2,FALSE),IF(AX39&lt;&gt;0,VLOOKUP($A63,'[4]Données investissements'!$A$48:$D$65,4,FALSE),0))</f>
        <v>0</v>
      </c>
      <c r="AY86" s="16">
        <f>IF(AY63=1,VLOOKUP($A86,'[4]Données investissements'!$A$48:$D$65,2,FALSE),IF(AY39&lt;&gt;0,VLOOKUP($A63,'[4]Données investissements'!$A$48:$D$65,4,FALSE),0))</f>
        <v>0</v>
      </c>
      <c r="AZ86" s="16">
        <f>IF(AZ63=1,VLOOKUP($A86,'[4]Données investissements'!$A$48:$D$65,2,FALSE),IF(AZ39&lt;&gt;0,VLOOKUP($A63,'[4]Données investissements'!$A$48:$D$65,4,FALSE),0))</f>
        <v>0</v>
      </c>
      <c r="BA86" s="16">
        <f>IF(BA63=1,VLOOKUP($A86,'[4]Données investissements'!$A$48:$D$65,2,FALSE),IF(BA39&lt;&gt;0,VLOOKUP($A63,'[4]Données investissements'!$A$48:$D$65,4,FALSE),0))</f>
        <v>0</v>
      </c>
      <c r="BB86" s="16">
        <f>IF(BB63=1,VLOOKUP($A86,'[4]Données investissements'!$A$48:$D$65,2,FALSE),IF(BB39&lt;&gt;0,VLOOKUP($A63,'[4]Données investissements'!$A$48:$D$65,4,FALSE),0))</f>
        <v>0</v>
      </c>
      <c r="BC86" s="16">
        <f>IF(BC63=1,VLOOKUP($A86,'[4]Données investissements'!$A$48:$D$65,2,FALSE),IF(BC39&lt;&gt;0,VLOOKUP($A63,'[4]Données investissements'!$A$48:$D$65,4,FALSE),0))</f>
        <v>0</v>
      </c>
      <c r="BD86" s="16">
        <f>IF(BD63=1,VLOOKUP($A86,'[4]Données investissements'!$A$48:$D$65,2,FALSE),IF(BD39&lt;&gt;0,VLOOKUP($A63,'[4]Données investissements'!$A$48:$D$65,4,FALSE),0))</f>
        <v>0</v>
      </c>
      <c r="BE86" s="16">
        <f>IF(BE63=1,VLOOKUP($A86,'[4]Données investissements'!$A$48:$D$65,2,FALSE),IF(BE39&lt;&gt;0,VLOOKUP($A63,'[4]Données investissements'!$A$48:$D$65,4,FALSE),0))</f>
        <v>0</v>
      </c>
      <c r="BF86" s="16">
        <f>IF(BF63=1,VLOOKUP($A86,'[4]Données investissements'!$A$48:$D$65,2,FALSE),IF(BF39&lt;&gt;0,VLOOKUP($A63,'[4]Données investissements'!$A$48:$D$65,4,FALSE),0))</f>
        <v>0</v>
      </c>
      <c r="BG86" s="16">
        <f>IF(BG63=1,VLOOKUP($A86,'[4]Données investissements'!$A$48:$D$65,2,FALSE),IF(BG39&lt;&gt;0,VLOOKUP($A63,'[4]Données investissements'!$A$48:$D$65,4,FALSE),0))</f>
        <v>0</v>
      </c>
      <c r="BH86" s="16">
        <f>IF(BH63=1,VLOOKUP($A86,'[4]Données investissements'!$A$48:$D$65,2,FALSE),IF(BH39&lt;&gt;0,VLOOKUP($A63,'[4]Données investissements'!$A$48:$D$65,4,FALSE),0))</f>
        <v>0</v>
      </c>
      <c r="BI86" s="16">
        <f>IF(BI63=1,VLOOKUP($A86,'[4]Données investissements'!$A$48:$D$65,2,FALSE),IF(BI39&lt;&gt;0,VLOOKUP($A63,'[4]Données investissements'!$A$48:$D$65,4,FALSE),0))</f>
        <v>0</v>
      </c>
      <c r="BJ86" s="16">
        <f>IF(BJ63=1,VLOOKUP($A86,'[4]Données investissements'!$A$48:$D$65,2,FALSE),IF(BJ39&lt;&gt;0,VLOOKUP($A63,'[4]Données investissements'!$A$48:$D$65,4,FALSE),0))</f>
        <v>0</v>
      </c>
      <c r="BK86" s="16">
        <f>IF(BK63=1,VLOOKUP($A86,'[4]Données investissements'!$A$48:$D$65,2,FALSE),IF(BK39&lt;&gt;0,VLOOKUP($A63,'[4]Données investissements'!$A$48:$D$65,4,FALSE),0))</f>
        <v>0</v>
      </c>
      <c r="BL86" s="16">
        <f>IF(BL63=1,VLOOKUP($A86,'[4]Données investissements'!$A$48:$D$65,2,FALSE),IF(BL39&lt;&gt;0,VLOOKUP($A63,'[4]Données investissements'!$A$48:$D$65,4,FALSE),0))</f>
        <v>0</v>
      </c>
      <c r="BM86" s="16">
        <f>IF(BM63=1,VLOOKUP($A86,'[4]Données investissements'!$A$48:$D$65,2,FALSE),IF(BM39&lt;&gt;0,VLOOKUP($A63,'[4]Données investissements'!$A$48:$D$65,4,FALSE),0))</f>
        <v>0</v>
      </c>
      <c r="BN86" s="16">
        <f>IF(BN63=1,VLOOKUP($A86,'[4]Données investissements'!$A$48:$D$65,2,FALSE),IF(BN39&lt;&gt;0,VLOOKUP($A63,'[4]Données investissements'!$A$48:$D$65,4,FALSE),0))</f>
        <v>0</v>
      </c>
      <c r="BO86" s="16">
        <f>IF(BO63=1,VLOOKUP($A86,'[4]Données investissements'!$A$48:$D$65,2,FALSE),IF(BO39&lt;&gt;0,VLOOKUP($A63,'[4]Données investissements'!$A$48:$D$65,4,FALSE),0))</f>
        <v>0</v>
      </c>
      <c r="BP86" s="16">
        <f>IF(BP63=1,VLOOKUP($A86,'[4]Données investissements'!$A$48:$D$65,2,FALSE),IF(BP39&lt;&gt;0,VLOOKUP($A63,'[4]Données investissements'!$A$48:$D$65,4,FALSE),0))</f>
        <v>0</v>
      </c>
      <c r="BQ86" s="16">
        <f>IF(BQ63=1,VLOOKUP($A86,'[4]Données investissements'!$A$48:$D$65,2,FALSE),IF(BQ39&lt;&gt;0,VLOOKUP($A63,'[4]Données investissements'!$A$48:$D$65,4,FALSE),0))</f>
        <v>0</v>
      </c>
      <c r="BR86" s="16">
        <f>IF(BR63=1,VLOOKUP($A86,'[4]Données investissements'!$A$48:$D$65,2,FALSE),IF(BR39&lt;&gt;0,VLOOKUP($A63,'[4]Données investissements'!$A$48:$D$65,4,FALSE),0))</f>
        <v>0</v>
      </c>
      <c r="BS86" s="16">
        <f>IF(BS63=1,VLOOKUP($A86,'[4]Données investissements'!$A$48:$D$65,2,FALSE),IF(BS39&lt;&gt;0,VLOOKUP($A63,'[4]Données investissements'!$A$48:$D$65,4,FALSE),0))</f>
        <v>0</v>
      </c>
      <c r="BT86" s="16">
        <f>IF(BT63=1,VLOOKUP($A86,'[4]Données investissements'!$A$48:$D$65,2,FALSE),IF(BT39&lt;&gt;0,VLOOKUP($A63,'[4]Données investissements'!$A$48:$D$65,4,FALSE),0))</f>
        <v>0</v>
      </c>
      <c r="BU86" s="16">
        <f>IF(BU63=1,VLOOKUP($A86,'[4]Données investissements'!$A$48:$D$65,2,FALSE),IF(BU39&lt;&gt;0,VLOOKUP($A63,'[4]Données investissements'!$A$48:$D$65,4,FALSE),0))</f>
        <v>0</v>
      </c>
      <c r="BV86" s="16">
        <f>IF(BV63=1,VLOOKUP($A86,'[4]Données investissements'!$A$48:$D$65,2,FALSE),IF(BV39&lt;&gt;0,VLOOKUP($A63,'[4]Données investissements'!$A$48:$D$65,4,FALSE),0))</f>
        <v>0</v>
      </c>
      <c r="BW86" s="16">
        <f>IF(BW63=1,VLOOKUP($A86,'[4]Données investissements'!$A$48:$D$65,2,FALSE),IF(BW39&lt;&gt;0,VLOOKUP($A63,'[4]Données investissements'!$A$48:$D$65,4,FALSE),0))</f>
        <v>0</v>
      </c>
      <c r="BX86" s="16">
        <f>IF(BX63=1,VLOOKUP($A86,'[4]Données investissements'!$A$48:$D$65,2,FALSE),IF(BX39&lt;&gt;0,VLOOKUP($A63,'[4]Données investissements'!$A$48:$D$65,4,FALSE),0))</f>
        <v>0</v>
      </c>
      <c r="BY86" s="16">
        <f>IF(BY63=1,VLOOKUP($A86,'[4]Données investissements'!$A$48:$D$65,2,FALSE),IF(BY39&lt;&gt;0,VLOOKUP($A63,'[4]Données investissements'!$A$48:$D$65,4,FALSE),0))</f>
        <v>0</v>
      </c>
      <c r="BZ86" s="16">
        <f>IF(BZ63=1,VLOOKUP($A86,'[4]Données investissements'!$A$48:$D$65,2,FALSE),IF(BZ39&lt;&gt;0,VLOOKUP($A63,'[4]Données investissements'!$A$48:$D$65,4,FALSE),0))</f>
        <v>0</v>
      </c>
      <c r="CA86" s="16">
        <f>IF(CA63=1,VLOOKUP($A86,'[4]Données investissements'!$A$48:$D$65,2,FALSE),IF(CA39&lt;&gt;0,VLOOKUP($A63,'[4]Données investissements'!$A$48:$D$65,4,FALSE),0))</f>
        <v>0</v>
      </c>
      <c r="CB86" s="16">
        <f>IF(CB63=1,VLOOKUP($A86,'[4]Données investissements'!$A$48:$D$65,2,FALSE),IF(CB39&lt;&gt;0,VLOOKUP($A63,'[4]Données investissements'!$A$48:$D$65,4,FALSE),0))</f>
        <v>0</v>
      </c>
      <c r="CC86" s="16">
        <f>IF(CC63=1,VLOOKUP($A86,'[4]Données investissements'!$A$48:$D$65,2,FALSE),IF(CC39&lt;&gt;0,VLOOKUP($A63,'[4]Données investissements'!$A$48:$D$65,4,FALSE),0))</f>
        <v>0</v>
      </c>
      <c r="CD86" s="16">
        <f>IF(CD63=1,VLOOKUP($A86,'[4]Données investissements'!$A$48:$D$65,2,FALSE),IF(CD39&lt;&gt;0,VLOOKUP($A63,'[4]Données investissements'!$A$48:$D$65,4,FALSE),0))</f>
        <v>0</v>
      </c>
      <c r="CE86" s="16">
        <f>IF(CE63=1,VLOOKUP($A86,'[4]Données investissements'!$A$48:$D$65,2,FALSE),IF(CE39&lt;&gt;0,VLOOKUP($A63,'[4]Données investissements'!$A$48:$D$65,4,FALSE),0))</f>
        <v>0</v>
      </c>
      <c r="CF86" s="16">
        <f>IF(CF63=1,VLOOKUP($A86,'[4]Données investissements'!$A$48:$D$65,2,FALSE),IF(CF39&lt;&gt;0,VLOOKUP($A63,'[4]Données investissements'!$A$48:$D$65,4,FALSE),0))</f>
        <v>0</v>
      </c>
      <c r="CG86" s="16">
        <f>IF(CG63=1,VLOOKUP($A86,'[4]Données investissements'!$A$48:$D$65,2,FALSE),IF(CG39&lt;&gt;0,VLOOKUP($A63,'[4]Données investissements'!$A$48:$D$65,4,FALSE),0))</f>
        <v>0</v>
      </c>
      <c r="CH86" s="16">
        <f>IF(CH63=1,VLOOKUP($A86,'[4]Données investissements'!$A$48:$D$65,2,FALSE),IF(CH39&lt;&gt;0,VLOOKUP($A63,'[4]Données investissements'!$A$48:$D$65,4,FALSE),0))</f>
        <v>0</v>
      </c>
      <c r="CI86" s="16">
        <f>IF(CI63=1,VLOOKUP($A86,'[4]Données investissements'!$A$48:$D$65,2,FALSE),IF(CI39&lt;&gt;0,VLOOKUP($A63,'[4]Données investissements'!$A$48:$D$65,4,FALSE),0))</f>
        <v>0</v>
      </c>
      <c r="CJ86" s="16">
        <f>IF(CJ63=1,VLOOKUP($A86,'[4]Données investissements'!$A$48:$D$65,2,FALSE),IF(CJ39&lt;&gt;0,VLOOKUP($A63,'[4]Données investissements'!$A$48:$D$65,4,FALSE),0))</f>
        <v>0</v>
      </c>
      <c r="CK86" s="16">
        <f>IF(CK63=1,VLOOKUP($A86,'[4]Données investissements'!$A$48:$D$65,2,FALSE),IF(CK39&lt;&gt;0,VLOOKUP($A63,'[4]Données investissements'!$A$48:$D$65,4,FALSE),0))</f>
        <v>0</v>
      </c>
      <c r="CL86" s="16">
        <f>IF(CL63=1,VLOOKUP($A86,'[4]Données investissements'!$A$48:$D$65,2,FALSE),IF(CL39&lt;&gt;0,VLOOKUP($A63,'[4]Données investissements'!$A$48:$D$65,4,FALSE),0))</f>
        <v>0</v>
      </c>
      <c r="CM86" s="16">
        <f>IF(CM63=1,VLOOKUP($A86,'[4]Données investissements'!$A$48:$D$65,2,FALSE),IF(CM39&lt;&gt;0,VLOOKUP($A63,'[4]Données investissements'!$A$48:$D$65,4,FALSE),0))</f>
        <v>0</v>
      </c>
      <c r="CN86" s="16">
        <f>IF(CN63=1,VLOOKUP($A86,'[4]Données investissements'!$A$48:$D$65,2,FALSE),IF(CN39&lt;&gt;0,VLOOKUP($A63,'[4]Données investissements'!$A$48:$D$65,4,FALSE),0))</f>
        <v>0</v>
      </c>
      <c r="CO86" s="16">
        <f>IF(CO63=1,VLOOKUP($A86,'[4]Données investissements'!$A$48:$D$65,2,FALSE),IF(CO39&lt;&gt;0,VLOOKUP($A63,'[4]Données investissements'!$A$48:$D$65,4,FALSE),0))</f>
        <v>0</v>
      </c>
      <c r="CP86" s="16">
        <f>IF(CP63=1,VLOOKUP($A86,'[4]Données investissements'!$A$48:$D$65,2,FALSE),IF(CP39&lt;&gt;0,VLOOKUP($A63,'[4]Données investissements'!$A$48:$D$65,4,FALSE),0))</f>
        <v>0</v>
      </c>
      <c r="CQ86" s="16">
        <f>IF(CQ63=1,VLOOKUP($A86,'[4]Données investissements'!$A$48:$D$65,2,FALSE),IF(CQ39&lt;&gt;0,VLOOKUP($A63,'[4]Données investissements'!$A$48:$D$65,4,FALSE),0))</f>
        <v>0</v>
      </c>
      <c r="CR86" s="16">
        <f>IF(CR63=1,VLOOKUP($A86,'[4]Données investissements'!$A$48:$D$65,2,FALSE),IF(CR39&lt;&gt;0,VLOOKUP($A63,'[4]Données investissements'!$A$48:$D$65,4,FALSE),0))</f>
        <v>0</v>
      </c>
      <c r="CS86" s="16">
        <f>IF(CS63=1,VLOOKUP($A86,'[4]Données investissements'!$A$48:$D$65,2,FALSE),IF(CS39&lt;&gt;0,VLOOKUP($A63,'[4]Données investissements'!$A$48:$D$65,4,FALSE),0))</f>
        <v>0</v>
      </c>
      <c r="CT86" s="16">
        <f>IF(CT63=1,VLOOKUP($A86,'[4]Données investissements'!$A$48:$D$65,2,FALSE),IF(CT39&lt;&gt;0,VLOOKUP($A63,'[4]Données investissements'!$A$48:$D$65,4,FALSE),0))</f>
        <v>0</v>
      </c>
      <c r="CU86" s="16">
        <f>IF(CU63=1,VLOOKUP($A86,'[4]Données investissements'!$A$48:$D$65,2,FALSE),IF(CU39&lt;&gt;0,VLOOKUP($A63,'[4]Données investissements'!$A$48:$D$65,4,FALSE),0))</f>
        <v>0</v>
      </c>
      <c r="CV86" s="16">
        <f>IF(CV63=1,VLOOKUP($A86,'[4]Données investissements'!$A$48:$D$65,2,FALSE),IF(CV39&lt;&gt;0,VLOOKUP($A63,'[4]Données investissements'!$A$48:$D$65,4,FALSE),0))</f>
        <v>0</v>
      </c>
      <c r="CW86" s="16">
        <f>IF(CW63=1,VLOOKUP($A86,'[4]Données investissements'!$A$48:$D$65,2,FALSE),IF(CW39&lt;&gt;0,VLOOKUP($A63,'[4]Données investissements'!$A$48:$D$65,4,FALSE),0))</f>
        <v>0</v>
      </c>
      <c r="CX86" s="16">
        <f>IF(CX63=1,VLOOKUP($A86,'[4]Données investissements'!$A$48:$D$65,2,FALSE),IF(CX39&lt;&gt;0,VLOOKUP($A63,'[4]Données investissements'!$A$48:$D$65,4,FALSE),0))</f>
        <v>0</v>
      </c>
      <c r="CY86" s="16">
        <f>IF(CY63=1,VLOOKUP($A86,'[4]Données investissements'!$A$48:$D$65,2,FALSE),IF(CY39&lt;&gt;0,VLOOKUP($A63,'[4]Données investissements'!$A$48:$D$65,4,FALSE),0))</f>
        <v>0</v>
      </c>
      <c r="CZ86" s="16">
        <f>IF(CZ63=1,VLOOKUP($A86,'[4]Données investissements'!$A$48:$D$65,2,FALSE),IF(CZ39&lt;&gt;0,VLOOKUP($A63,'[4]Données investissements'!$A$48:$D$65,4,FALSE),0))</f>
        <v>0</v>
      </c>
      <c r="DA86" s="16">
        <f>IF(DA63=1,VLOOKUP($A86,'[4]Données investissements'!$A$48:$D$65,2,FALSE),IF(DA39&lt;&gt;0,VLOOKUP($A63,'[4]Données investissements'!$A$48:$D$65,4,FALSE),0))</f>
        <v>0</v>
      </c>
      <c r="DB86" s="16">
        <f>IF(DB63=1,VLOOKUP($A86,'[4]Données investissements'!$A$48:$D$65,2,FALSE),IF(DB39&lt;&gt;0,VLOOKUP($A63,'[4]Données investissements'!$A$48:$D$65,4,FALSE),0))</f>
        <v>0</v>
      </c>
      <c r="DC86" s="16">
        <f>IF(DC63=1,VLOOKUP($A86,'[4]Données investissements'!$A$48:$D$65,2,FALSE),IF(DC39&lt;&gt;0,VLOOKUP($A63,'[4]Données investissements'!$A$48:$D$65,4,FALSE),0))</f>
        <v>0</v>
      </c>
      <c r="DD86" s="16">
        <f>IF(DD63=1,VLOOKUP($A86,'[4]Données investissements'!$A$48:$D$65,2,FALSE),IF(DD39&lt;&gt;0,VLOOKUP($A63,'[4]Données investissements'!$A$48:$D$65,4,FALSE),0))</f>
        <v>0</v>
      </c>
      <c r="DE86" s="16">
        <f>IF(DE63=1,VLOOKUP($A86,'[4]Données investissements'!$A$48:$D$65,2,FALSE),IF(DE39&lt;&gt;0,VLOOKUP($A63,'[4]Données investissements'!$A$48:$D$65,4,FALSE),0))</f>
        <v>0</v>
      </c>
      <c r="DF86" s="16">
        <f>IF(DF63=1,VLOOKUP($A86,'[4]Données investissements'!$A$48:$D$65,2,FALSE),IF(DF39&lt;&gt;0,VLOOKUP($A63,'[4]Données investissements'!$A$48:$D$65,4,FALSE),0))</f>
        <v>0</v>
      </c>
    </row>
    <row r="87" spans="1:110" ht="12.75" hidden="1" customHeight="1" x14ac:dyDescent="0.2">
      <c r="A87" s="15" t="str">
        <f t="shared" si="40"/>
        <v>Batiment (charpente, GCs, bureaux)</v>
      </c>
      <c r="B87" s="23">
        <f t="shared" si="40"/>
        <v>9</v>
      </c>
      <c r="C87" s="16">
        <f>IF(C64=1,VLOOKUP($A87,'[4]Données investissements'!$A$48:$D$65,2,FALSE),IF(C40&lt;&gt;0,VLOOKUP($A64,'[4]Données investissements'!$A$48:$D$65,4,FALSE),0))</f>
        <v>0</v>
      </c>
      <c r="D87" s="16">
        <f>IF(D64=1,VLOOKUP($A87,'[4]Données investissements'!$A$48:$D$65,2,FALSE),IF(D40&lt;&gt;0,VLOOKUP($A64,'[4]Données investissements'!$A$48:$D$65,4,FALSE),0))</f>
        <v>0</v>
      </c>
      <c r="E87" s="16">
        <f>IF(E64=1,VLOOKUP($A87,'[4]Données investissements'!$A$48:$D$65,2,FALSE),IF(E40&lt;&gt;0,VLOOKUP($A64,'[4]Données investissements'!$A$48:$D$65,4,FALSE),0))</f>
        <v>1</v>
      </c>
      <c r="F87" s="16">
        <f>IF(F64=1,VLOOKUP($A87,'[4]Données investissements'!$A$48:$D$65,2,FALSE),IF(F40&lt;&gt;0,VLOOKUP($A64,'[4]Données investissements'!$A$48:$D$65,4,FALSE),0))</f>
        <v>0</v>
      </c>
      <c r="G87" s="16">
        <f>IF(G64=1,VLOOKUP($A87,'[4]Données investissements'!$A$48:$D$65,2,FALSE),IF(G40&lt;&gt;0,VLOOKUP($A64,'[4]Données investissements'!$A$48:$D$65,4,FALSE),0))</f>
        <v>2</v>
      </c>
      <c r="H87" s="16">
        <f>IF(H64=1,VLOOKUP($A87,'[4]Données investissements'!$A$48:$D$65,2,FALSE),IF(H40&lt;&gt;0,VLOOKUP($A64,'[4]Données investissements'!$A$48:$D$65,4,FALSE),0))</f>
        <v>0</v>
      </c>
      <c r="I87" s="16">
        <f>IF(I64=1,VLOOKUP($A87,'[4]Données investissements'!$A$48:$D$65,2,FALSE),IF(I40&lt;&gt;0,VLOOKUP($A64,'[4]Données investissements'!$A$48:$D$65,4,FALSE),0))</f>
        <v>0</v>
      </c>
      <c r="J87" s="16">
        <f>IF(J64=1,VLOOKUP($A87,'[4]Données investissements'!$A$48:$D$65,2,FALSE),IF(J40&lt;&gt;0,VLOOKUP($A64,'[4]Données investissements'!$A$48:$D$65,4,FALSE),0))</f>
        <v>0</v>
      </c>
      <c r="K87" s="16">
        <f>IF(K64=1,VLOOKUP($A87,'[4]Données investissements'!$A$48:$D$65,2,FALSE),IF(K40&lt;&gt;0,VLOOKUP($A64,'[4]Données investissements'!$A$48:$D$65,4,FALSE),0))</f>
        <v>0</v>
      </c>
      <c r="L87" s="16">
        <f>IF(L64=1,VLOOKUP($A87,'[4]Données investissements'!$A$48:$D$65,2,FALSE),IF(L40&lt;&gt;0,VLOOKUP($A64,'[4]Données investissements'!$A$48:$D$65,4,FALSE),0))</f>
        <v>2</v>
      </c>
      <c r="M87" s="16">
        <f>IF(M64=1,VLOOKUP($A87,'[4]Données investissements'!$A$48:$D$65,2,FALSE),IF(M40&lt;&gt;0,VLOOKUP($A64,'[4]Données investissements'!$A$48:$D$65,4,FALSE),0))</f>
        <v>0</v>
      </c>
      <c r="N87" s="16">
        <f>IF(N64=1,VLOOKUP($A87,'[4]Données investissements'!$A$48:$D$65,2,FALSE),IF(N40&lt;&gt;0,VLOOKUP($A64,'[4]Données investissements'!$A$48:$D$65,4,FALSE),0))</f>
        <v>0</v>
      </c>
      <c r="O87" s="16">
        <f>IF(O64=1,VLOOKUP($A87,'[4]Données investissements'!$A$48:$D$65,2,FALSE),IF(O40&lt;&gt;0,VLOOKUP($A64,'[4]Données investissements'!$A$48:$D$65,4,FALSE),0))</f>
        <v>0</v>
      </c>
      <c r="P87" s="16">
        <f>IF(P64=1,VLOOKUP($A87,'[4]Données investissements'!$A$48:$D$65,2,FALSE),IF(P40&lt;&gt;0,VLOOKUP($A64,'[4]Données investissements'!$A$48:$D$65,4,FALSE),0))</f>
        <v>2</v>
      </c>
      <c r="Q87" s="16">
        <f>IF(Q64=1,VLOOKUP($A87,'[4]Données investissements'!$A$48:$D$65,2,FALSE),IF(Q40&lt;&gt;0,VLOOKUP($A64,'[4]Données investissements'!$A$48:$D$65,4,FALSE),0))</f>
        <v>0</v>
      </c>
      <c r="R87" s="16">
        <f>IF(R64=1,VLOOKUP($A87,'[4]Données investissements'!$A$48:$D$65,2,FALSE),IF(R40&lt;&gt;0,VLOOKUP($A64,'[4]Données investissements'!$A$48:$D$65,4,FALSE),0))</f>
        <v>0</v>
      </c>
      <c r="S87" s="16">
        <f>IF(S64=1,VLOOKUP($A87,'[4]Données investissements'!$A$48:$D$65,2,FALSE),IF(S40&lt;&gt;0,VLOOKUP($A64,'[4]Données investissements'!$A$48:$D$65,4,FALSE),0))</f>
        <v>0</v>
      </c>
      <c r="T87" s="16">
        <f>IF(T64=1,VLOOKUP($A87,'[4]Données investissements'!$A$48:$D$65,2,FALSE),IF(T40&lt;&gt;0,VLOOKUP($A64,'[4]Données investissements'!$A$48:$D$65,4,FALSE),0))</f>
        <v>2</v>
      </c>
      <c r="U87" s="16">
        <f>IF(U64=1,VLOOKUP($A87,'[4]Données investissements'!$A$48:$D$65,2,FALSE),IF(U40&lt;&gt;0,VLOOKUP($A64,'[4]Données investissements'!$A$48:$D$65,4,FALSE),0))</f>
        <v>0</v>
      </c>
      <c r="V87" s="16">
        <f>IF(V64=1,VLOOKUP($A87,'[4]Données investissements'!$A$48:$D$65,2,FALSE),IF(V40&lt;&gt;0,VLOOKUP($A64,'[4]Données investissements'!$A$48:$D$65,4,FALSE),0))</f>
        <v>0</v>
      </c>
      <c r="W87" s="16">
        <f>IF(W64=1,VLOOKUP($A87,'[4]Données investissements'!$A$48:$D$65,2,FALSE),IF(W40&lt;&gt;0,VLOOKUP($A64,'[4]Données investissements'!$A$48:$D$65,4,FALSE),0))</f>
        <v>0</v>
      </c>
      <c r="X87" s="16">
        <f>IF(X64=1,VLOOKUP($A87,'[4]Données investissements'!$A$48:$D$65,2,FALSE),IF(X40&lt;&gt;0,VLOOKUP($A64,'[4]Données investissements'!$A$48:$D$65,4,FALSE),0))</f>
        <v>0</v>
      </c>
      <c r="Y87" s="16">
        <f>IF(Y64=1,VLOOKUP($A87,'[4]Données investissements'!$A$48:$D$65,2,FALSE),IF(Y40&lt;&gt;0,VLOOKUP($A64,'[4]Données investissements'!$A$48:$D$65,4,FALSE),0))</f>
        <v>2</v>
      </c>
      <c r="Z87" s="16">
        <f>IF(Z64=1,VLOOKUP($A87,'[4]Données investissements'!$A$48:$D$65,2,FALSE),IF(Z40&lt;&gt;0,VLOOKUP($A64,'[4]Données investissements'!$A$48:$D$65,4,FALSE),0))</f>
        <v>0</v>
      </c>
      <c r="AA87" s="16">
        <f>IF(AA64=1,VLOOKUP($A87,'[4]Données investissements'!$A$48:$D$65,2,FALSE),IF(AA40&lt;&gt;0,VLOOKUP($A64,'[4]Données investissements'!$A$48:$D$65,4,FALSE),0))</f>
        <v>0</v>
      </c>
      <c r="AB87" s="16">
        <f>IF(AB64=1,VLOOKUP($A87,'[4]Données investissements'!$A$48:$D$65,2,FALSE),IF(AB40&lt;&gt;0,VLOOKUP($A64,'[4]Données investissements'!$A$48:$D$65,4,FALSE),0))</f>
        <v>0</v>
      </c>
      <c r="AC87" s="16">
        <f>IF(AC64=1,VLOOKUP($A87,'[4]Données investissements'!$A$48:$D$65,2,FALSE),IF(AC40&lt;&gt;0,VLOOKUP($A64,'[4]Données investissements'!$A$48:$D$65,4,FALSE),0))</f>
        <v>0</v>
      </c>
      <c r="AD87" s="16">
        <f>IF(AD64=1,VLOOKUP($A87,'[4]Données investissements'!$A$48:$D$65,2,FALSE),IF(AD40&lt;&gt;0,VLOOKUP($A64,'[4]Données investissements'!$A$48:$D$65,4,FALSE),0))</f>
        <v>0</v>
      </c>
      <c r="AE87" s="16">
        <f>IF(AE64=1,VLOOKUP($A87,'[4]Données investissements'!$A$48:$D$65,2,FALSE),IF(AE40&lt;&gt;0,VLOOKUP($A64,'[4]Données investissements'!$A$48:$D$65,4,FALSE),0))</f>
        <v>0</v>
      </c>
      <c r="AF87" s="16">
        <f>IF(AF64=1,VLOOKUP($A87,'[4]Données investissements'!$A$48:$D$65,2,FALSE),IF(AF40&lt;&gt;0,VLOOKUP($A64,'[4]Données investissements'!$A$48:$D$65,4,FALSE),0))</f>
        <v>0</v>
      </c>
      <c r="AG87" s="16">
        <f>IF(AG64=1,VLOOKUP($A87,'[4]Données investissements'!$A$48:$D$65,2,FALSE),IF(AG40&lt;&gt;0,VLOOKUP($A64,'[4]Données investissements'!$A$48:$D$65,4,FALSE),0))</f>
        <v>0</v>
      </c>
      <c r="AH87" s="16">
        <f>IF(AH64=1,VLOOKUP($A87,'[4]Données investissements'!$A$48:$D$65,2,FALSE),IF(AH40&lt;&gt;0,VLOOKUP($A64,'[4]Données investissements'!$A$48:$D$65,4,FALSE),0))</f>
        <v>0</v>
      </c>
      <c r="AI87" s="16">
        <f>IF(AI64=1,VLOOKUP($A87,'[4]Données investissements'!$A$48:$D$65,2,FALSE),IF(AI40&lt;&gt;0,VLOOKUP($A64,'[4]Données investissements'!$A$48:$D$65,4,FALSE),0))</f>
        <v>0</v>
      </c>
      <c r="AJ87" s="16">
        <f>IF(AJ64=1,VLOOKUP($A87,'[4]Données investissements'!$A$48:$D$65,2,FALSE),IF(AJ40&lt;&gt;0,VLOOKUP($A64,'[4]Données investissements'!$A$48:$D$65,4,FALSE),0))</f>
        <v>0</v>
      </c>
      <c r="AK87" s="16">
        <f>IF(AK64=1,VLOOKUP($A87,'[4]Données investissements'!$A$48:$D$65,2,FALSE),IF(AK40&lt;&gt;0,VLOOKUP($A64,'[4]Données investissements'!$A$48:$D$65,4,FALSE),0))</f>
        <v>0</v>
      </c>
      <c r="AL87" s="16">
        <f>IF(AL64=1,VLOOKUP($A87,'[4]Données investissements'!$A$48:$D$65,2,FALSE),IF(AL40&lt;&gt;0,VLOOKUP($A64,'[4]Données investissements'!$A$48:$D$65,4,FALSE),0))</f>
        <v>0</v>
      </c>
      <c r="AM87" s="16">
        <f>IF(AM64=1,VLOOKUP($A87,'[4]Données investissements'!$A$48:$D$65,2,FALSE),IF(AM40&lt;&gt;0,VLOOKUP($A64,'[4]Données investissements'!$A$48:$D$65,4,FALSE),0))</f>
        <v>0</v>
      </c>
      <c r="AN87" s="16">
        <f>IF(AN64=1,VLOOKUP($A87,'[4]Données investissements'!$A$48:$D$65,2,FALSE),IF(AN40&lt;&gt;0,VLOOKUP($A64,'[4]Données investissements'!$A$48:$D$65,4,FALSE),0))</f>
        <v>0</v>
      </c>
      <c r="AO87" s="16">
        <f>IF(AO64=1,VLOOKUP($A87,'[4]Données investissements'!$A$48:$D$65,2,FALSE),IF(AO40&lt;&gt;0,VLOOKUP($A64,'[4]Données investissements'!$A$48:$D$65,4,FALSE),0))</f>
        <v>0</v>
      </c>
      <c r="AP87" s="16">
        <f>IF(AP64=1,VLOOKUP($A87,'[4]Données investissements'!$A$48:$D$65,2,FALSE),IF(AP40&lt;&gt;0,VLOOKUP($A64,'[4]Données investissements'!$A$48:$D$65,4,FALSE),0))</f>
        <v>0</v>
      </c>
      <c r="AQ87" s="16">
        <f>IF(AQ64=1,VLOOKUP($A87,'[4]Données investissements'!$A$48:$D$65,2,FALSE),IF(AQ40&lt;&gt;0,VLOOKUP($A64,'[4]Données investissements'!$A$48:$D$65,4,FALSE),0))</f>
        <v>0</v>
      </c>
      <c r="AR87" s="16">
        <f>IF(AR64=1,VLOOKUP($A87,'[4]Données investissements'!$A$48:$D$65,2,FALSE),IF(AR40&lt;&gt;0,VLOOKUP($A64,'[4]Données investissements'!$A$48:$D$65,4,FALSE),0))</f>
        <v>0</v>
      </c>
      <c r="AS87" s="16">
        <f>IF(AS64=1,VLOOKUP($A87,'[4]Données investissements'!$A$48:$D$65,2,FALSE),IF(AS40&lt;&gt;0,VLOOKUP($A64,'[4]Données investissements'!$A$48:$D$65,4,FALSE),0))</f>
        <v>0</v>
      </c>
      <c r="AT87" s="16">
        <f>IF(AT64=1,VLOOKUP($A87,'[4]Données investissements'!$A$48:$D$65,2,FALSE),IF(AT40&lt;&gt;0,VLOOKUP($A64,'[4]Données investissements'!$A$48:$D$65,4,FALSE),0))</f>
        <v>0</v>
      </c>
      <c r="AU87" s="16">
        <f>IF(AU64=1,VLOOKUP($A87,'[4]Données investissements'!$A$48:$D$65,2,FALSE),IF(AU40&lt;&gt;0,VLOOKUP($A64,'[4]Données investissements'!$A$48:$D$65,4,FALSE),0))</f>
        <v>0</v>
      </c>
      <c r="AV87" s="16">
        <f>IF(AV64=1,VLOOKUP($A87,'[4]Données investissements'!$A$48:$D$65,2,FALSE),IF(AV40&lt;&gt;0,VLOOKUP($A64,'[4]Données investissements'!$A$48:$D$65,4,FALSE),0))</f>
        <v>0</v>
      </c>
      <c r="AW87" s="16">
        <f>IF(AW64=1,VLOOKUP($A87,'[4]Données investissements'!$A$48:$D$65,2,FALSE),IF(AW40&lt;&gt;0,VLOOKUP($A64,'[4]Données investissements'!$A$48:$D$65,4,FALSE),0))</f>
        <v>0</v>
      </c>
      <c r="AX87" s="16">
        <f>IF(AX64=1,VLOOKUP($A87,'[4]Données investissements'!$A$48:$D$65,2,FALSE),IF(AX40&lt;&gt;0,VLOOKUP($A64,'[4]Données investissements'!$A$48:$D$65,4,FALSE),0))</f>
        <v>0</v>
      </c>
      <c r="AY87" s="16">
        <f>IF(AY64=1,VLOOKUP($A87,'[4]Données investissements'!$A$48:$D$65,2,FALSE),IF(AY40&lt;&gt;0,VLOOKUP($A64,'[4]Données investissements'!$A$48:$D$65,4,FALSE),0))</f>
        <v>0</v>
      </c>
      <c r="AZ87" s="16">
        <f>IF(AZ64=1,VLOOKUP($A87,'[4]Données investissements'!$A$48:$D$65,2,FALSE),IF(AZ40&lt;&gt;0,VLOOKUP($A64,'[4]Données investissements'!$A$48:$D$65,4,FALSE),0))</f>
        <v>0</v>
      </c>
      <c r="BA87" s="16">
        <f>IF(BA64=1,VLOOKUP($A87,'[4]Données investissements'!$A$48:$D$65,2,FALSE),IF(BA40&lt;&gt;0,VLOOKUP($A64,'[4]Données investissements'!$A$48:$D$65,4,FALSE),0))</f>
        <v>0</v>
      </c>
      <c r="BB87" s="16">
        <f>IF(BB64=1,VLOOKUP($A87,'[4]Données investissements'!$A$48:$D$65,2,FALSE),IF(BB40&lt;&gt;0,VLOOKUP($A64,'[4]Données investissements'!$A$48:$D$65,4,FALSE),0))</f>
        <v>0</v>
      </c>
      <c r="BC87" s="16">
        <f>IF(BC64=1,VLOOKUP($A87,'[4]Données investissements'!$A$48:$D$65,2,FALSE),IF(BC40&lt;&gt;0,VLOOKUP($A64,'[4]Données investissements'!$A$48:$D$65,4,FALSE),0))</f>
        <v>0</v>
      </c>
      <c r="BD87" s="16">
        <f>IF(BD64=1,VLOOKUP($A87,'[4]Données investissements'!$A$48:$D$65,2,FALSE),IF(BD40&lt;&gt;0,VLOOKUP($A64,'[4]Données investissements'!$A$48:$D$65,4,FALSE),0))</f>
        <v>0</v>
      </c>
      <c r="BE87" s="16">
        <f>IF(BE64=1,VLOOKUP($A87,'[4]Données investissements'!$A$48:$D$65,2,FALSE),IF(BE40&lt;&gt;0,VLOOKUP($A64,'[4]Données investissements'!$A$48:$D$65,4,FALSE),0))</f>
        <v>0</v>
      </c>
      <c r="BF87" s="16">
        <f>IF(BF64=1,VLOOKUP($A87,'[4]Données investissements'!$A$48:$D$65,2,FALSE),IF(BF40&lt;&gt;0,VLOOKUP($A64,'[4]Données investissements'!$A$48:$D$65,4,FALSE),0))</f>
        <v>0</v>
      </c>
      <c r="BG87" s="16">
        <f>IF(BG64=1,VLOOKUP($A87,'[4]Données investissements'!$A$48:$D$65,2,FALSE),IF(BG40&lt;&gt;0,VLOOKUP($A64,'[4]Données investissements'!$A$48:$D$65,4,FALSE),0))</f>
        <v>0</v>
      </c>
      <c r="BH87" s="16">
        <f>IF(BH64=1,VLOOKUP($A87,'[4]Données investissements'!$A$48:$D$65,2,FALSE),IF(BH40&lt;&gt;0,VLOOKUP($A64,'[4]Données investissements'!$A$48:$D$65,4,FALSE),0))</f>
        <v>0</v>
      </c>
      <c r="BI87" s="16">
        <f>IF(BI64=1,VLOOKUP($A87,'[4]Données investissements'!$A$48:$D$65,2,FALSE),IF(BI40&lt;&gt;0,VLOOKUP($A64,'[4]Données investissements'!$A$48:$D$65,4,FALSE),0))</f>
        <v>0</v>
      </c>
      <c r="BJ87" s="16">
        <f>IF(BJ64=1,VLOOKUP($A87,'[4]Données investissements'!$A$48:$D$65,2,FALSE),IF(BJ40&lt;&gt;0,VLOOKUP($A64,'[4]Données investissements'!$A$48:$D$65,4,FALSE),0))</f>
        <v>0</v>
      </c>
      <c r="BK87" s="16">
        <f>IF(BK64=1,VLOOKUP($A87,'[4]Données investissements'!$A$48:$D$65,2,FALSE),IF(BK40&lt;&gt;0,VLOOKUP($A64,'[4]Données investissements'!$A$48:$D$65,4,FALSE),0))</f>
        <v>0</v>
      </c>
      <c r="BL87" s="16">
        <f>IF(BL64=1,VLOOKUP($A87,'[4]Données investissements'!$A$48:$D$65,2,FALSE),IF(BL40&lt;&gt;0,VLOOKUP($A64,'[4]Données investissements'!$A$48:$D$65,4,FALSE),0))</f>
        <v>0</v>
      </c>
      <c r="BM87" s="16">
        <f>IF(BM64=1,VLOOKUP($A87,'[4]Données investissements'!$A$48:$D$65,2,FALSE),IF(BM40&lt;&gt;0,VLOOKUP($A64,'[4]Données investissements'!$A$48:$D$65,4,FALSE),0))</f>
        <v>0</v>
      </c>
      <c r="BN87" s="16">
        <f>IF(BN64=1,VLOOKUP($A87,'[4]Données investissements'!$A$48:$D$65,2,FALSE),IF(BN40&lt;&gt;0,VLOOKUP($A64,'[4]Données investissements'!$A$48:$D$65,4,FALSE),0))</f>
        <v>0</v>
      </c>
      <c r="BO87" s="16">
        <f>IF(BO64=1,VLOOKUP($A87,'[4]Données investissements'!$A$48:$D$65,2,FALSE),IF(BO40&lt;&gt;0,VLOOKUP($A64,'[4]Données investissements'!$A$48:$D$65,4,FALSE),0))</f>
        <v>0</v>
      </c>
      <c r="BP87" s="16">
        <f>IF(BP64=1,VLOOKUP($A87,'[4]Données investissements'!$A$48:$D$65,2,FALSE),IF(BP40&lt;&gt;0,VLOOKUP($A64,'[4]Données investissements'!$A$48:$D$65,4,FALSE),0))</f>
        <v>0</v>
      </c>
      <c r="BQ87" s="16">
        <f>IF(BQ64=1,VLOOKUP($A87,'[4]Données investissements'!$A$48:$D$65,2,FALSE),IF(BQ40&lt;&gt;0,VLOOKUP($A64,'[4]Données investissements'!$A$48:$D$65,4,FALSE),0))</f>
        <v>0</v>
      </c>
      <c r="BR87" s="16">
        <f>IF(BR64=1,VLOOKUP($A87,'[4]Données investissements'!$A$48:$D$65,2,FALSE),IF(BR40&lt;&gt;0,VLOOKUP($A64,'[4]Données investissements'!$A$48:$D$65,4,FALSE),0))</f>
        <v>0</v>
      </c>
      <c r="BS87" s="16">
        <f>IF(BS64=1,VLOOKUP($A87,'[4]Données investissements'!$A$48:$D$65,2,FALSE),IF(BS40&lt;&gt;0,VLOOKUP($A64,'[4]Données investissements'!$A$48:$D$65,4,FALSE),0))</f>
        <v>0</v>
      </c>
      <c r="BT87" s="16">
        <f>IF(BT64=1,VLOOKUP($A87,'[4]Données investissements'!$A$48:$D$65,2,FALSE),IF(BT40&lt;&gt;0,VLOOKUP($A64,'[4]Données investissements'!$A$48:$D$65,4,FALSE),0))</f>
        <v>0</v>
      </c>
      <c r="BU87" s="16">
        <f>IF(BU64=1,VLOOKUP($A87,'[4]Données investissements'!$A$48:$D$65,2,FALSE),IF(BU40&lt;&gt;0,VLOOKUP($A64,'[4]Données investissements'!$A$48:$D$65,4,FALSE),0))</f>
        <v>0</v>
      </c>
      <c r="BV87" s="16">
        <f>IF(BV64=1,VLOOKUP($A87,'[4]Données investissements'!$A$48:$D$65,2,FALSE),IF(BV40&lt;&gt;0,VLOOKUP($A64,'[4]Données investissements'!$A$48:$D$65,4,FALSE),0))</f>
        <v>0</v>
      </c>
      <c r="BW87" s="16">
        <f>IF(BW64=1,VLOOKUP($A87,'[4]Données investissements'!$A$48:$D$65,2,FALSE),IF(BW40&lt;&gt;0,VLOOKUP($A64,'[4]Données investissements'!$A$48:$D$65,4,FALSE),0))</f>
        <v>0</v>
      </c>
      <c r="BX87" s="16">
        <f>IF(BX64=1,VLOOKUP($A87,'[4]Données investissements'!$A$48:$D$65,2,FALSE),IF(BX40&lt;&gt;0,VLOOKUP($A64,'[4]Données investissements'!$A$48:$D$65,4,FALSE),0))</f>
        <v>0</v>
      </c>
      <c r="BY87" s="16">
        <f>IF(BY64=1,VLOOKUP($A87,'[4]Données investissements'!$A$48:$D$65,2,FALSE),IF(BY40&lt;&gt;0,VLOOKUP($A64,'[4]Données investissements'!$A$48:$D$65,4,FALSE),0))</f>
        <v>0</v>
      </c>
      <c r="BZ87" s="16">
        <f>IF(BZ64=1,VLOOKUP($A87,'[4]Données investissements'!$A$48:$D$65,2,FALSE),IF(BZ40&lt;&gt;0,VLOOKUP($A64,'[4]Données investissements'!$A$48:$D$65,4,FALSE),0))</f>
        <v>0</v>
      </c>
      <c r="CA87" s="16">
        <f>IF(CA64=1,VLOOKUP($A87,'[4]Données investissements'!$A$48:$D$65,2,FALSE),IF(CA40&lt;&gt;0,VLOOKUP($A64,'[4]Données investissements'!$A$48:$D$65,4,FALSE),0))</f>
        <v>0</v>
      </c>
      <c r="CB87" s="16">
        <f>IF(CB64=1,VLOOKUP($A87,'[4]Données investissements'!$A$48:$D$65,2,FALSE),IF(CB40&lt;&gt;0,VLOOKUP($A64,'[4]Données investissements'!$A$48:$D$65,4,FALSE),0))</f>
        <v>0</v>
      </c>
      <c r="CC87" s="16">
        <f>IF(CC64=1,VLOOKUP($A87,'[4]Données investissements'!$A$48:$D$65,2,FALSE),IF(CC40&lt;&gt;0,VLOOKUP($A64,'[4]Données investissements'!$A$48:$D$65,4,FALSE),0))</f>
        <v>0</v>
      </c>
      <c r="CD87" s="16">
        <f>IF(CD64=1,VLOOKUP($A87,'[4]Données investissements'!$A$48:$D$65,2,FALSE),IF(CD40&lt;&gt;0,VLOOKUP($A64,'[4]Données investissements'!$A$48:$D$65,4,FALSE),0))</f>
        <v>0</v>
      </c>
      <c r="CE87" s="16">
        <f>IF(CE64=1,VLOOKUP($A87,'[4]Données investissements'!$A$48:$D$65,2,FALSE),IF(CE40&lt;&gt;0,VLOOKUP($A64,'[4]Données investissements'!$A$48:$D$65,4,FALSE),0))</f>
        <v>0</v>
      </c>
      <c r="CF87" s="16">
        <f>IF(CF64=1,VLOOKUP($A87,'[4]Données investissements'!$A$48:$D$65,2,FALSE),IF(CF40&lt;&gt;0,VLOOKUP($A64,'[4]Données investissements'!$A$48:$D$65,4,FALSE),0))</f>
        <v>0</v>
      </c>
      <c r="CG87" s="16">
        <f>IF(CG64=1,VLOOKUP($A87,'[4]Données investissements'!$A$48:$D$65,2,FALSE),IF(CG40&lt;&gt;0,VLOOKUP($A64,'[4]Données investissements'!$A$48:$D$65,4,FALSE),0))</f>
        <v>0</v>
      </c>
      <c r="CH87" s="16">
        <f>IF(CH64=1,VLOOKUP($A87,'[4]Données investissements'!$A$48:$D$65,2,FALSE),IF(CH40&lt;&gt;0,VLOOKUP($A64,'[4]Données investissements'!$A$48:$D$65,4,FALSE),0))</f>
        <v>0</v>
      </c>
      <c r="CI87" s="16">
        <f>IF(CI64=1,VLOOKUP($A87,'[4]Données investissements'!$A$48:$D$65,2,FALSE),IF(CI40&lt;&gt;0,VLOOKUP($A64,'[4]Données investissements'!$A$48:$D$65,4,FALSE),0))</f>
        <v>0</v>
      </c>
      <c r="CJ87" s="16">
        <f>IF(CJ64=1,VLOOKUP($A87,'[4]Données investissements'!$A$48:$D$65,2,FALSE),IF(CJ40&lt;&gt;0,VLOOKUP($A64,'[4]Données investissements'!$A$48:$D$65,4,FALSE),0))</f>
        <v>0</v>
      </c>
      <c r="CK87" s="16">
        <f>IF(CK64=1,VLOOKUP($A87,'[4]Données investissements'!$A$48:$D$65,2,FALSE),IF(CK40&lt;&gt;0,VLOOKUP($A64,'[4]Données investissements'!$A$48:$D$65,4,FALSE),0))</f>
        <v>0</v>
      </c>
      <c r="CL87" s="16">
        <f>IF(CL64=1,VLOOKUP($A87,'[4]Données investissements'!$A$48:$D$65,2,FALSE),IF(CL40&lt;&gt;0,VLOOKUP($A64,'[4]Données investissements'!$A$48:$D$65,4,FALSE),0))</f>
        <v>0</v>
      </c>
      <c r="CM87" s="16">
        <f>IF(CM64=1,VLOOKUP($A87,'[4]Données investissements'!$A$48:$D$65,2,FALSE),IF(CM40&lt;&gt;0,VLOOKUP($A64,'[4]Données investissements'!$A$48:$D$65,4,FALSE),0))</f>
        <v>0</v>
      </c>
      <c r="CN87" s="16">
        <f>IF(CN64=1,VLOOKUP($A87,'[4]Données investissements'!$A$48:$D$65,2,FALSE),IF(CN40&lt;&gt;0,VLOOKUP($A64,'[4]Données investissements'!$A$48:$D$65,4,FALSE),0))</f>
        <v>0</v>
      </c>
      <c r="CO87" s="16">
        <f>IF(CO64=1,VLOOKUP($A87,'[4]Données investissements'!$A$48:$D$65,2,FALSE),IF(CO40&lt;&gt;0,VLOOKUP($A64,'[4]Données investissements'!$A$48:$D$65,4,FALSE),0))</f>
        <v>0</v>
      </c>
      <c r="CP87" s="16">
        <f>IF(CP64=1,VLOOKUP($A87,'[4]Données investissements'!$A$48:$D$65,2,FALSE),IF(CP40&lt;&gt;0,VLOOKUP($A64,'[4]Données investissements'!$A$48:$D$65,4,FALSE),0))</f>
        <v>0</v>
      </c>
      <c r="CQ87" s="16">
        <f>IF(CQ64=1,VLOOKUP($A87,'[4]Données investissements'!$A$48:$D$65,2,FALSE),IF(CQ40&lt;&gt;0,VLOOKUP($A64,'[4]Données investissements'!$A$48:$D$65,4,FALSE),0))</f>
        <v>0</v>
      </c>
      <c r="CR87" s="16">
        <f>IF(CR64=1,VLOOKUP($A87,'[4]Données investissements'!$A$48:$D$65,2,FALSE),IF(CR40&lt;&gt;0,VLOOKUP($A64,'[4]Données investissements'!$A$48:$D$65,4,FALSE),0))</f>
        <v>0</v>
      </c>
      <c r="CS87" s="16">
        <f>IF(CS64=1,VLOOKUP($A87,'[4]Données investissements'!$A$48:$D$65,2,FALSE),IF(CS40&lt;&gt;0,VLOOKUP($A64,'[4]Données investissements'!$A$48:$D$65,4,FALSE),0))</f>
        <v>0</v>
      </c>
      <c r="CT87" s="16">
        <f>IF(CT64=1,VLOOKUP($A87,'[4]Données investissements'!$A$48:$D$65,2,FALSE),IF(CT40&lt;&gt;0,VLOOKUP($A64,'[4]Données investissements'!$A$48:$D$65,4,FALSE),0))</f>
        <v>0</v>
      </c>
      <c r="CU87" s="16">
        <f>IF(CU64=1,VLOOKUP($A87,'[4]Données investissements'!$A$48:$D$65,2,FALSE),IF(CU40&lt;&gt;0,VLOOKUP($A64,'[4]Données investissements'!$A$48:$D$65,4,FALSE),0))</f>
        <v>0</v>
      </c>
      <c r="CV87" s="16">
        <f>IF(CV64=1,VLOOKUP($A87,'[4]Données investissements'!$A$48:$D$65,2,FALSE),IF(CV40&lt;&gt;0,VLOOKUP($A64,'[4]Données investissements'!$A$48:$D$65,4,FALSE),0))</f>
        <v>0</v>
      </c>
      <c r="CW87" s="16">
        <f>IF(CW64=1,VLOOKUP($A87,'[4]Données investissements'!$A$48:$D$65,2,FALSE),IF(CW40&lt;&gt;0,VLOOKUP($A64,'[4]Données investissements'!$A$48:$D$65,4,FALSE),0))</f>
        <v>0</v>
      </c>
      <c r="CX87" s="16">
        <f>IF(CX64=1,VLOOKUP($A87,'[4]Données investissements'!$A$48:$D$65,2,FALSE),IF(CX40&lt;&gt;0,VLOOKUP($A64,'[4]Données investissements'!$A$48:$D$65,4,FALSE),0))</f>
        <v>0</v>
      </c>
      <c r="CY87" s="16">
        <f>IF(CY64=1,VLOOKUP($A87,'[4]Données investissements'!$A$48:$D$65,2,FALSE),IF(CY40&lt;&gt;0,VLOOKUP($A64,'[4]Données investissements'!$A$48:$D$65,4,FALSE),0))</f>
        <v>0</v>
      </c>
      <c r="CZ87" s="16">
        <f>IF(CZ64=1,VLOOKUP($A87,'[4]Données investissements'!$A$48:$D$65,2,FALSE),IF(CZ40&lt;&gt;0,VLOOKUP($A64,'[4]Données investissements'!$A$48:$D$65,4,FALSE),0))</f>
        <v>0</v>
      </c>
      <c r="DA87" s="16">
        <f>IF(DA64=1,VLOOKUP($A87,'[4]Données investissements'!$A$48:$D$65,2,FALSE),IF(DA40&lt;&gt;0,VLOOKUP($A64,'[4]Données investissements'!$A$48:$D$65,4,FALSE),0))</f>
        <v>0</v>
      </c>
      <c r="DB87" s="16">
        <f>IF(DB64=1,VLOOKUP($A87,'[4]Données investissements'!$A$48:$D$65,2,FALSE),IF(DB40&lt;&gt;0,VLOOKUP($A64,'[4]Données investissements'!$A$48:$D$65,4,FALSE),0))</f>
        <v>0</v>
      </c>
      <c r="DC87" s="16">
        <f>IF(DC64=1,VLOOKUP($A87,'[4]Données investissements'!$A$48:$D$65,2,FALSE),IF(DC40&lt;&gt;0,VLOOKUP($A64,'[4]Données investissements'!$A$48:$D$65,4,FALSE),0))</f>
        <v>0</v>
      </c>
      <c r="DD87" s="16">
        <f>IF(DD64=1,VLOOKUP($A87,'[4]Données investissements'!$A$48:$D$65,2,FALSE),IF(DD40&lt;&gt;0,VLOOKUP($A64,'[4]Données investissements'!$A$48:$D$65,4,FALSE),0))</f>
        <v>0</v>
      </c>
      <c r="DE87" s="16">
        <f>IF(DE64=1,VLOOKUP($A87,'[4]Données investissements'!$A$48:$D$65,2,FALSE),IF(DE40&lt;&gt;0,VLOOKUP($A64,'[4]Données investissements'!$A$48:$D$65,4,FALSE),0))</f>
        <v>0</v>
      </c>
      <c r="DF87" s="16">
        <f>IF(DF64=1,VLOOKUP($A87,'[4]Données investissements'!$A$48:$D$65,2,FALSE),IF(DF40&lt;&gt;0,VLOOKUP($A64,'[4]Données investissements'!$A$48:$D$65,4,FALSE),0))</f>
        <v>0</v>
      </c>
    </row>
    <row r="88" spans="1:110" ht="12.75" hidden="1" customHeight="1" x14ac:dyDescent="0.2">
      <c r="A88" s="15" t="str">
        <f t="shared" si="40"/>
        <v>Ponts (1 pour EB, 1 pour VAR, 2 prépa)</v>
      </c>
      <c r="B88" s="23">
        <f t="shared" si="40"/>
        <v>0.45</v>
      </c>
      <c r="C88" s="16">
        <f>IF(C65=1,VLOOKUP($A88,'[4]Données investissements'!$A$48:$D$65,2,FALSE),IF(C41&lt;&gt;0,VLOOKUP($A65,'[4]Données investissements'!$A$48:$D$65,4,FALSE),0))</f>
        <v>0</v>
      </c>
      <c r="D88" s="16">
        <f>IF(D65=1,VLOOKUP($A88,'[4]Données investissements'!$A$48:$D$65,2,FALSE),IF(D41&lt;&gt;0,VLOOKUP($A65,'[4]Données investissements'!$A$48:$D$65,4,FALSE),0))</f>
        <v>0</v>
      </c>
      <c r="E88" s="16">
        <f>IF(E65=1,VLOOKUP($A88,'[4]Données investissements'!$A$48:$D$65,2,FALSE),IF(E41&lt;&gt;0,VLOOKUP($A65,'[4]Données investissements'!$A$48:$D$65,4,FALSE),0))</f>
        <v>0</v>
      </c>
      <c r="F88" s="16">
        <f>IF(F65=1,VLOOKUP($A88,'[4]Données investissements'!$A$48:$D$65,2,FALSE),IF(F41&lt;&gt;0,VLOOKUP($A65,'[4]Données investissements'!$A$48:$D$65,4,FALSE),0))</f>
        <v>0</v>
      </c>
      <c r="G88" s="16">
        <f>IF(G65=1,VLOOKUP($A88,'[4]Données investissements'!$A$48:$D$65,2,FALSE),IF(G41&lt;&gt;0,VLOOKUP($A65,'[4]Données investissements'!$A$48:$D$65,4,FALSE),0))</f>
        <v>0</v>
      </c>
      <c r="H88" s="16">
        <f>IF(H65=1,VLOOKUP($A88,'[4]Données investissements'!$A$48:$D$65,2,FALSE),IF(H41&lt;&gt;0,VLOOKUP($A65,'[4]Données investissements'!$A$48:$D$65,4,FALSE),0))</f>
        <v>0</v>
      </c>
      <c r="I88" s="16">
        <f>IF(I65=1,VLOOKUP($A88,'[4]Données investissements'!$A$48:$D$65,2,FALSE),IF(I41&lt;&gt;0,VLOOKUP($A65,'[4]Données investissements'!$A$48:$D$65,4,FALSE),0))</f>
        <v>0</v>
      </c>
      <c r="J88" s="16">
        <f>IF(J65=1,VLOOKUP($A88,'[4]Données investissements'!$A$48:$D$65,2,FALSE),IF(J41&lt;&gt;0,VLOOKUP($A65,'[4]Données investissements'!$A$48:$D$65,4,FALSE),0))</f>
        <v>0</v>
      </c>
      <c r="K88" s="16">
        <f>IF(K65=1,VLOOKUP($A88,'[4]Données investissements'!$A$48:$D$65,2,FALSE),IF(K41&lt;&gt;0,VLOOKUP($A65,'[4]Données investissements'!$A$48:$D$65,4,FALSE),0))</f>
        <v>1</v>
      </c>
      <c r="L88" s="16">
        <f>IF(L65=1,VLOOKUP($A88,'[4]Données investissements'!$A$48:$D$65,2,FALSE),IF(L41&lt;&gt;0,VLOOKUP($A65,'[4]Données investissements'!$A$48:$D$65,4,FALSE),0))</f>
        <v>3</v>
      </c>
      <c r="M88" s="16">
        <f>IF(M65=1,VLOOKUP($A88,'[4]Données investissements'!$A$48:$D$65,2,FALSE),IF(M41&lt;&gt;0,VLOOKUP($A65,'[4]Données investissements'!$A$48:$D$65,4,FALSE),0))</f>
        <v>0</v>
      </c>
      <c r="N88" s="16">
        <f>IF(N65=1,VLOOKUP($A88,'[4]Données investissements'!$A$48:$D$65,2,FALSE),IF(N41&lt;&gt;0,VLOOKUP($A65,'[4]Données investissements'!$A$48:$D$65,4,FALSE),0))</f>
        <v>0</v>
      </c>
      <c r="O88" s="16">
        <f>IF(O65=1,VLOOKUP($A88,'[4]Données investissements'!$A$48:$D$65,2,FALSE),IF(O41&lt;&gt;0,VLOOKUP($A65,'[4]Données investissements'!$A$48:$D$65,4,FALSE),0))</f>
        <v>0</v>
      </c>
      <c r="P88" s="16">
        <f>IF(P65=1,VLOOKUP($A88,'[4]Données investissements'!$A$48:$D$65,2,FALSE),IF(P41&lt;&gt;0,VLOOKUP($A65,'[4]Données investissements'!$A$48:$D$65,4,FALSE),0))</f>
        <v>0</v>
      </c>
      <c r="Q88" s="16">
        <f>IF(Q65=1,VLOOKUP($A88,'[4]Données investissements'!$A$48:$D$65,2,FALSE),IF(Q41&lt;&gt;0,VLOOKUP($A65,'[4]Données investissements'!$A$48:$D$65,4,FALSE),0))</f>
        <v>3</v>
      </c>
      <c r="R88" s="16">
        <f>IF(R65=1,VLOOKUP($A88,'[4]Données investissements'!$A$48:$D$65,2,FALSE),IF(R41&lt;&gt;0,VLOOKUP($A65,'[4]Données investissements'!$A$48:$D$65,4,FALSE),0))</f>
        <v>0</v>
      </c>
      <c r="S88" s="16">
        <f>IF(S65=1,VLOOKUP($A88,'[4]Données investissements'!$A$48:$D$65,2,FALSE),IF(S41&lt;&gt;0,VLOOKUP($A65,'[4]Données investissements'!$A$48:$D$65,4,FALSE),0))</f>
        <v>3</v>
      </c>
      <c r="T88" s="16">
        <f>IF(T65=1,VLOOKUP($A88,'[4]Données investissements'!$A$48:$D$65,2,FALSE),IF(T41&lt;&gt;0,VLOOKUP($A65,'[4]Données investissements'!$A$48:$D$65,4,FALSE),0))</f>
        <v>3</v>
      </c>
      <c r="U88" s="16">
        <f>IF(U65=1,VLOOKUP($A88,'[4]Données investissements'!$A$48:$D$65,2,FALSE),IF(U41&lt;&gt;0,VLOOKUP($A65,'[4]Données investissements'!$A$48:$D$65,4,FALSE),0))</f>
        <v>0</v>
      </c>
      <c r="V88" s="16">
        <f>IF(V65=1,VLOOKUP($A88,'[4]Données investissements'!$A$48:$D$65,2,FALSE),IF(V41&lt;&gt;0,VLOOKUP($A65,'[4]Données investissements'!$A$48:$D$65,4,FALSE),0))</f>
        <v>3</v>
      </c>
      <c r="W88" s="16">
        <f>IF(W65=1,VLOOKUP($A88,'[4]Données investissements'!$A$48:$D$65,2,FALSE),IF(W41&lt;&gt;0,VLOOKUP($A65,'[4]Données investissements'!$A$48:$D$65,4,FALSE),0))</f>
        <v>0</v>
      </c>
      <c r="X88" s="16">
        <f>IF(X65=1,VLOOKUP($A88,'[4]Données investissements'!$A$48:$D$65,2,FALSE),IF(X41&lt;&gt;0,VLOOKUP($A65,'[4]Données investissements'!$A$48:$D$65,4,FALSE),0))</f>
        <v>0</v>
      </c>
      <c r="Y88" s="16">
        <f>IF(Y65=1,VLOOKUP($A88,'[4]Données investissements'!$A$48:$D$65,2,FALSE),IF(Y41&lt;&gt;0,VLOOKUP($A65,'[4]Données investissements'!$A$48:$D$65,4,FALSE),0))</f>
        <v>0</v>
      </c>
      <c r="Z88" s="16">
        <f>IF(Z65=1,VLOOKUP($A88,'[4]Données investissements'!$A$48:$D$65,2,FALSE),IF(Z41&lt;&gt;0,VLOOKUP($A65,'[4]Données investissements'!$A$48:$D$65,4,FALSE),0))</f>
        <v>0</v>
      </c>
      <c r="AA88" s="16">
        <f>IF(AA65=1,VLOOKUP($A88,'[4]Données investissements'!$A$48:$D$65,2,FALSE),IF(AA41&lt;&gt;0,VLOOKUP($A65,'[4]Données investissements'!$A$48:$D$65,4,FALSE),0))</f>
        <v>0</v>
      </c>
      <c r="AB88" s="16">
        <f>IF(AB65=1,VLOOKUP($A88,'[4]Données investissements'!$A$48:$D$65,2,FALSE),IF(AB41&lt;&gt;0,VLOOKUP($A65,'[4]Données investissements'!$A$48:$D$65,4,FALSE),0))</f>
        <v>0</v>
      </c>
      <c r="AC88" s="16">
        <f>IF(AC65=1,VLOOKUP($A88,'[4]Données investissements'!$A$48:$D$65,2,FALSE),IF(AC41&lt;&gt;0,VLOOKUP($A65,'[4]Données investissements'!$A$48:$D$65,4,FALSE),0))</f>
        <v>0</v>
      </c>
      <c r="AD88" s="16">
        <f>IF(AD65=1,VLOOKUP($A88,'[4]Données investissements'!$A$48:$D$65,2,FALSE),IF(AD41&lt;&gt;0,VLOOKUP($A65,'[4]Données investissements'!$A$48:$D$65,4,FALSE),0))</f>
        <v>0</v>
      </c>
      <c r="AE88" s="16">
        <f>IF(AE65=1,VLOOKUP($A88,'[4]Données investissements'!$A$48:$D$65,2,FALSE),IF(AE41&lt;&gt;0,VLOOKUP($A65,'[4]Données investissements'!$A$48:$D$65,4,FALSE),0))</f>
        <v>0</v>
      </c>
      <c r="AF88" s="16">
        <f>IF(AF65=1,VLOOKUP($A88,'[4]Données investissements'!$A$48:$D$65,2,FALSE),IF(AF41&lt;&gt;0,VLOOKUP($A65,'[4]Données investissements'!$A$48:$D$65,4,FALSE),0))</f>
        <v>0</v>
      </c>
      <c r="AG88" s="16">
        <f>IF(AG65=1,VLOOKUP($A88,'[4]Données investissements'!$A$48:$D$65,2,FALSE),IF(AG41&lt;&gt;0,VLOOKUP($A65,'[4]Données investissements'!$A$48:$D$65,4,FALSE),0))</f>
        <v>0</v>
      </c>
      <c r="AH88" s="16">
        <f>IF(AH65=1,VLOOKUP($A88,'[4]Données investissements'!$A$48:$D$65,2,FALSE),IF(AH41&lt;&gt;0,VLOOKUP($A65,'[4]Données investissements'!$A$48:$D$65,4,FALSE),0))</f>
        <v>3</v>
      </c>
      <c r="AI88" s="16">
        <f>IF(AI65=1,VLOOKUP($A88,'[4]Données investissements'!$A$48:$D$65,2,FALSE),IF(AI41&lt;&gt;0,VLOOKUP($A65,'[4]Données investissements'!$A$48:$D$65,4,FALSE),0))</f>
        <v>0</v>
      </c>
      <c r="AJ88" s="16">
        <f>IF(AJ65=1,VLOOKUP($A88,'[4]Données investissements'!$A$48:$D$65,2,FALSE),IF(AJ41&lt;&gt;0,VLOOKUP($A65,'[4]Données investissements'!$A$48:$D$65,4,FALSE),0))</f>
        <v>0</v>
      </c>
      <c r="AK88" s="16">
        <f>IF(AK65=1,VLOOKUP($A88,'[4]Données investissements'!$A$48:$D$65,2,FALSE),IF(AK41&lt;&gt;0,VLOOKUP($A65,'[4]Données investissements'!$A$48:$D$65,4,FALSE),0))</f>
        <v>0</v>
      </c>
      <c r="AL88" s="16">
        <f>IF(AL65=1,VLOOKUP($A88,'[4]Données investissements'!$A$48:$D$65,2,FALSE),IF(AL41&lt;&gt;0,VLOOKUP($A65,'[4]Données investissements'!$A$48:$D$65,4,FALSE),0))</f>
        <v>0</v>
      </c>
      <c r="AM88" s="16">
        <f>IF(AM65=1,VLOOKUP($A88,'[4]Données investissements'!$A$48:$D$65,2,FALSE),IF(AM41&lt;&gt;0,VLOOKUP($A65,'[4]Données investissements'!$A$48:$D$65,4,FALSE),0))</f>
        <v>0</v>
      </c>
      <c r="AN88" s="16">
        <f>IF(AN65=1,VLOOKUP($A88,'[4]Données investissements'!$A$48:$D$65,2,FALSE),IF(AN41&lt;&gt;0,VLOOKUP($A65,'[4]Données investissements'!$A$48:$D$65,4,FALSE),0))</f>
        <v>0</v>
      </c>
      <c r="AO88" s="16">
        <f>IF(AO65=1,VLOOKUP($A88,'[4]Données investissements'!$A$48:$D$65,2,FALSE),IF(AO41&lt;&gt;0,VLOOKUP($A65,'[4]Données investissements'!$A$48:$D$65,4,FALSE),0))</f>
        <v>0</v>
      </c>
      <c r="AP88" s="16">
        <f>IF(AP65=1,VLOOKUP($A88,'[4]Données investissements'!$A$48:$D$65,2,FALSE),IF(AP41&lt;&gt;0,VLOOKUP($A65,'[4]Données investissements'!$A$48:$D$65,4,FALSE),0))</f>
        <v>0</v>
      </c>
      <c r="AQ88" s="16">
        <f>IF(AQ65=1,VLOOKUP($A88,'[4]Données investissements'!$A$48:$D$65,2,FALSE),IF(AQ41&lt;&gt;0,VLOOKUP($A65,'[4]Données investissements'!$A$48:$D$65,4,FALSE),0))</f>
        <v>0</v>
      </c>
      <c r="AR88" s="16">
        <f>IF(AR65=1,VLOOKUP($A88,'[4]Données investissements'!$A$48:$D$65,2,FALSE),IF(AR41&lt;&gt;0,VLOOKUP($A65,'[4]Données investissements'!$A$48:$D$65,4,FALSE),0))</f>
        <v>0</v>
      </c>
      <c r="AS88" s="16">
        <f>IF(AS65=1,VLOOKUP($A88,'[4]Données investissements'!$A$48:$D$65,2,FALSE),IF(AS41&lt;&gt;0,VLOOKUP($A65,'[4]Données investissements'!$A$48:$D$65,4,FALSE),0))</f>
        <v>0</v>
      </c>
      <c r="AT88" s="16">
        <f>IF(AT65=1,VLOOKUP($A88,'[4]Données investissements'!$A$48:$D$65,2,FALSE),IF(AT41&lt;&gt;0,VLOOKUP($A65,'[4]Données investissements'!$A$48:$D$65,4,FALSE),0))</f>
        <v>0</v>
      </c>
      <c r="AU88" s="16">
        <f>IF(AU65=1,VLOOKUP($A88,'[4]Données investissements'!$A$48:$D$65,2,FALSE),IF(AU41&lt;&gt;0,VLOOKUP($A65,'[4]Données investissements'!$A$48:$D$65,4,FALSE),0))</f>
        <v>0</v>
      </c>
      <c r="AV88" s="16">
        <f>IF(AV65=1,VLOOKUP($A88,'[4]Données investissements'!$A$48:$D$65,2,FALSE),IF(AV41&lt;&gt;0,VLOOKUP($A65,'[4]Données investissements'!$A$48:$D$65,4,FALSE),0))</f>
        <v>0</v>
      </c>
      <c r="AW88" s="16">
        <f>IF(AW65=1,VLOOKUP($A88,'[4]Données investissements'!$A$48:$D$65,2,FALSE),IF(AW41&lt;&gt;0,VLOOKUP($A65,'[4]Données investissements'!$A$48:$D$65,4,FALSE),0))</f>
        <v>0</v>
      </c>
      <c r="AX88" s="16">
        <f>IF(AX65=1,VLOOKUP($A88,'[4]Données investissements'!$A$48:$D$65,2,FALSE),IF(AX41&lt;&gt;0,VLOOKUP($A65,'[4]Données investissements'!$A$48:$D$65,4,FALSE),0))</f>
        <v>0</v>
      </c>
      <c r="AY88" s="16">
        <f>IF(AY65=1,VLOOKUP($A88,'[4]Données investissements'!$A$48:$D$65,2,FALSE),IF(AY41&lt;&gt;0,VLOOKUP($A65,'[4]Données investissements'!$A$48:$D$65,4,FALSE),0))</f>
        <v>0</v>
      </c>
      <c r="AZ88" s="16">
        <f>IF(AZ65=1,VLOOKUP($A88,'[4]Données investissements'!$A$48:$D$65,2,FALSE),IF(AZ41&lt;&gt;0,VLOOKUP($A65,'[4]Données investissements'!$A$48:$D$65,4,FALSE),0))</f>
        <v>0</v>
      </c>
      <c r="BA88" s="16">
        <f>IF(BA65=1,VLOOKUP($A88,'[4]Données investissements'!$A$48:$D$65,2,FALSE),IF(BA41&lt;&gt;0,VLOOKUP($A65,'[4]Données investissements'!$A$48:$D$65,4,FALSE),0))</f>
        <v>0</v>
      </c>
      <c r="BB88" s="16">
        <f>IF(BB65=1,VLOOKUP($A88,'[4]Données investissements'!$A$48:$D$65,2,FALSE),IF(BB41&lt;&gt;0,VLOOKUP($A65,'[4]Données investissements'!$A$48:$D$65,4,FALSE),0))</f>
        <v>0</v>
      </c>
      <c r="BC88" s="16">
        <f>IF(BC65=1,VLOOKUP($A88,'[4]Données investissements'!$A$48:$D$65,2,FALSE),IF(BC41&lt;&gt;0,VLOOKUP($A65,'[4]Données investissements'!$A$48:$D$65,4,FALSE),0))</f>
        <v>0</v>
      </c>
      <c r="BD88" s="16">
        <f>IF(BD65=1,VLOOKUP($A88,'[4]Données investissements'!$A$48:$D$65,2,FALSE),IF(BD41&lt;&gt;0,VLOOKUP($A65,'[4]Données investissements'!$A$48:$D$65,4,FALSE),0))</f>
        <v>0</v>
      </c>
      <c r="BE88" s="16">
        <f>IF(BE65=1,VLOOKUP($A88,'[4]Données investissements'!$A$48:$D$65,2,FALSE),IF(BE41&lt;&gt;0,VLOOKUP($A65,'[4]Données investissements'!$A$48:$D$65,4,FALSE),0))</f>
        <v>0</v>
      </c>
      <c r="BF88" s="16">
        <f>IF(BF65=1,VLOOKUP($A88,'[4]Données investissements'!$A$48:$D$65,2,FALSE),IF(BF41&lt;&gt;0,VLOOKUP($A65,'[4]Données investissements'!$A$48:$D$65,4,FALSE),0))</f>
        <v>0</v>
      </c>
      <c r="BG88" s="16">
        <f>IF(BG65=1,VLOOKUP($A88,'[4]Données investissements'!$A$48:$D$65,2,FALSE),IF(BG41&lt;&gt;0,VLOOKUP($A65,'[4]Données investissements'!$A$48:$D$65,4,FALSE),0))</f>
        <v>0</v>
      </c>
      <c r="BH88" s="16">
        <f>IF(BH65=1,VLOOKUP($A88,'[4]Données investissements'!$A$48:$D$65,2,FALSE),IF(BH41&lt;&gt;0,VLOOKUP($A65,'[4]Données investissements'!$A$48:$D$65,4,FALSE),0))</f>
        <v>0</v>
      </c>
      <c r="BI88" s="16">
        <f>IF(BI65=1,VLOOKUP($A88,'[4]Données investissements'!$A$48:$D$65,2,FALSE),IF(BI41&lt;&gt;0,VLOOKUP($A65,'[4]Données investissements'!$A$48:$D$65,4,FALSE),0))</f>
        <v>0</v>
      </c>
      <c r="BJ88" s="16">
        <f>IF(BJ65=1,VLOOKUP($A88,'[4]Données investissements'!$A$48:$D$65,2,FALSE),IF(BJ41&lt;&gt;0,VLOOKUP($A65,'[4]Données investissements'!$A$48:$D$65,4,FALSE),0))</f>
        <v>0</v>
      </c>
      <c r="BK88" s="16">
        <f>IF(BK65=1,VLOOKUP($A88,'[4]Données investissements'!$A$48:$D$65,2,FALSE),IF(BK41&lt;&gt;0,VLOOKUP($A65,'[4]Données investissements'!$A$48:$D$65,4,FALSE),0))</f>
        <v>0</v>
      </c>
      <c r="BL88" s="16">
        <f>IF(BL65=1,VLOOKUP($A88,'[4]Données investissements'!$A$48:$D$65,2,FALSE),IF(BL41&lt;&gt;0,VLOOKUP($A65,'[4]Données investissements'!$A$48:$D$65,4,FALSE),0))</f>
        <v>0</v>
      </c>
      <c r="BM88" s="16">
        <f>IF(BM65=1,VLOOKUP($A88,'[4]Données investissements'!$A$48:$D$65,2,FALSE),IF(BM41&lt;&gt;0,VLOOKUP($A65,'[4]Données investissements'!$A$48:$D$65,4,FALSE),0))</f>
        <v>0</v>
      </c>
      <c r="BN88" s="16">
        <f>IF(BN65=1,VLOOKUP($A88,'[4]Données investissements'!$A$48:$D$65,2,FALSE),IF(BN41&lt;&gt;0,VLOOKUP($A65,'[4]Données investissements'!$A$48:$D$65,4,FALSE),0))</f>
        <v>0</v>
      </c>
      <c r="BO88" s="16">
        <f>IF(BO65=1,VLOOKUP($A88,'[4]Données investissements'!$A$48:$D$65,2,FALSE),IF(BO41&lt;&gt;0,VLOOKUP($A65,'[4]Données investissements'!$A$48:$D$65,4,FALSE),0))</f>
        <v>0</v>
      </c>
      <c r="BP88" s="16">
        <f>IF(BP65=1,VLOOKUP($A88,'[4]Données investissements'!$A$48:$D$65,2,FALSE),IF(BP41&lt;&gt;0,VLOOKUP($A65,'[4]Données investissements'!$A$48:$D$65,4,FALSE),0))</f>
        <v>0</v>
      </c>
      <c r="BQ88" s="16">
        <f>IF(BQ65=1,VLOOKUP($A88,'[4]Données investissements'!$A$48:$D$65,2,FALSE),IF(BQ41&lt;&gt;0,VLOOKUP($A65,'[4]Données investissements'!$A$48:$D$65,4,FALSE),0))</f>
        <v>0</v>
      </c>
      <c r="BR88" s="16">
        <f>IF(BR65=1,VLOOKUP($A88,'[4]Données investissements'!$A$48:$D$65,2,FALSE),IF(BR41&lt;&gt;0,VLOOKUP($A65,'[4]Données investissements'!$A$48:$D$65,4,FALSE),0))</f>
        <v>0</v>
      </c>
      <c r="BS88" s="16">
        <f>IF(BS65=1,VLOOKUP($A88,'[4]Données investissements'!$A$48:$D$65,2,FALSE),IF(BS41&lt;&gt;0,VLOOKUP($A65,'[4]Données investissements'!$A$48:$D$65,4,FALSE),0))</f>
        <v>0</v>
      </c>
      <c r="BT88" s="16">
        <f>IF(BT65=1,VLOOKUP($A88,'[4]Données investissements'!$A$48:$D$65,2,FALSE),IF(BT41&lt;&gt;0,VLOOKUP($A65,'[4]Données investissements'!$A$48:$D$65,4,FALSE),0))</f>
        <v>0</v>
      </c>
      <c r="BU88" s="16">
        <f>IF(BU65=1,VLOOKUP($A88,'[4]Données investissements'!$A$48:$D$65,2,FALSE),IF(BU41&lt;&gt;0,VLOOKUP($A65,'[4]Données investissements'!$A$48:$D$65,4,FALSE),0))</f>
        <v>0</v>
      </c>
      <c r="BV88" s="16">
        <f>IF(BV65=1,VLOOKUP($A88,'[4]Données investissements'!$A$48:$D$65,2,FALSE),IF(BV41&lt;&gt;0,VLOOKUP($A65,'[4]Données investissements'!$A$48:$D$65,4,FALSE),0))</f>
        <v>0</v>
      </c>
      <c r="BW88" s="16">
        <f>IF(BW65=1,VLOOKUP($A88,'[4]Données investissements'!$A$48:$D$65,2,FALSE),IF(BW41&lt;&gt;0,VLOOKUP($A65,'[4]Données investissements'!$A$48:$D$65,4,FALSE),0))</f>
        <v>0</v>
      </c>
      <c r="BX88" s="16">
        <f>IF(BX65=1,VLOOKUP($A88,'[4]Données investissements'!$A$48:$D$65,2,FALSE),IF(BX41&lt;&gt;0,VLOOKUP($A65,'[4]Données investissements'!$A$48:$D$65,4,FALSE),0))</f>
        <v>0</v>
      </c>
      <c r="BY88" s="16">
        <f>IF(BY65=1,VLOOKUP($A88,'[4]Données investissements'!$A$48:$D$65,2,FALSE),IF(BY41&lt;&gt;0,VLOOKUP($A65,'[4]Données investissements'!$A$48:$D$65,4,FALSE),0))</f>
        <v>0</v>
      </c>
      <c r="BZ88" s="16">
        <f>IF(BZ65=1,VLOOKUP($A88,'[4]Données investissements'!$A$48:$D$65,2,FALSE),IF(BZ41&lt;&gt;0,VLOOKUP($A65,'[4]Données investissements'!$A$48:$D$65,4,FALSE),0))</f>
        <v>0</v>
      </c>
      <c r="CA88" s="16">
        <f>IF(CA65=1,VLOOKUP($A88,'[4]Données investissements'!$A$48:$D$65,2,FALSE),IF(CA41&lt;&gt;0,VLOOKUP($A65,'[4]Données investissements'!$A$48:$D$65,4,FALSE),0))</f>
        <v>0</v>
      </c>
      <c r="CB88" s="16">
        <f>IF(CB65=1,VLOOKUP($A88,'[4]Données investissements'!$A$48:$D$65,2,FALSE),IF(CB41&lt;&gt;0,VLOOKUP($A65,'[4]Données investissements'!$A$48:$D$65,4,FALSE),0))</f>
        <v>0</v>
      </c>
      <c r="CC88" s="16">
        <f>IF(CC65=1,VLOOKUP($A88,'[4]Données investissements'!$A$48:$D$65,2,FALSE),IF(CC41&lt;&gt;0,VLOOKUP($A65,'[4]Données investissements'!$A$48:$D$65,4,FALSE),0))</f>
        <v>0</v>
      </c>
      <c r="CD88" s="16">
        <f>IF(CD65=1,VLOOKUP($A88,'[4]Données investissements'!$A$48:$D$65,2,FALSE),IF(CD41&lt;&gt;0,VLOOKUP($A65,'[4]Données investissements'!$A$48:$D$65,4,FALSE),0))</f>
        <v>0</v>
      </c>
      <c r="CE88" s="16">
        <f>IF(CE65=1,VLOOKUP($A88,'[4]Données investissements'!$A$48:$D$65,2,FALSE),IF(CE41&lt;&gt;0,VLOOKUP($A65,'[4]Données investissements'!$A$48:$D$65,4,FALSE),0))</f>
        <v>0</v>
      </c>
      <c r="CF88" s="16">
        <f>IF(CF65=1,VLOOKUP($A88,'[4]Données investissements'!$A$48:$D$65,2,FALSE),IF(CF41&lt;&gt;0,VLOOKUP($A65,'[4]Données investissements'!$A$48:$D$65,4,FALSE),0))</f>
        <v>0</v>
      </c>
      <c r="CG88" s="16">
        <f>IF(CG65=1,VLOOKUP($A88,'[4]Données investissements'!$A$48:$D$65,2,FALSE),IF(CG41&lt;&gt;0,VLOOKUP($A65,'[4]Données investissements'!$A$48:$D$65,4,FALSE),0))</f>
        <v>0</v>
      </c>
      <c r="CH88" s="16">
        <f>IF(CH65=1,VLOOKUP($A88,'[4]Données investissements'!$A$48:$D$65,2,FALSE),IF(CH41&lt;&gt;0,VLOOKUP($A65,'[4]Données investissements'!$A$48:$D$65,4,FALSE),0))</f>
        <v>0</v>
      </c>
      <c r="CI88" s="16">
        <f>IF(CI65=1,VLOOKUP($A88,'[4]Données investissements'!$A$48:$D$65,2,FALSE),IF(CI41&lt;&gt;0,VLOOKUP($A65,'[4]Données investissements'!$A$48:$D$65,4,FALSE),0))</f>
        <v>0</v>
      </c>
      <c r="CJ88" s="16">
        <f>IF(CJ65=1,VLOOKUP($A88,'[4]Données investissements'!$A$48:$D$65,2,FALSE),IF(CJ41&lt;&gt;0,VLOOKUP($A65,'[4]Données investissements'!$A$48:$D$65,4,FALSE),0))</f>
        <v>0</v>
      </c>
      <c r="CK88" s="16">
        <f>IF(CK65=1,VLOOKUP($A88,'[4]Données investissements'!$A$48:$D$65,2,FALSE),IF(CK41&lt;&gt;0,VLOOKUP($A65,'[4]Données investissements'!$A$48:$D$65,4,FALSE),0))</f>
        <v>0</v>
      </c>
      <c r="CL88" s="16">
        <f>IF(CL65=1,VLOOKUP($A88,'[4]Données investissements'!$A$48:$D$65,2,FALSE),IF(CL41&lt;&gt;0,VLOOKUP($A65,'[4]Données investissements'!$A$48:$D$65,4,FALSE),0))</f>
        <v>0</v>
      </c>
      <c r="CM88" s="16">
        <f>IF(CM65=1,VLOOKUP($A88,'[4]Données investissements'!$A$48:$D$65,2,FALSE),IF(CM41&lt;&gt;0,VLOOKUP($A65,'[4]Données investissements'!$A$48:$D$65,4,FALSE),0))</f>
        <v>0</v>
      </c>
      <c r="CN88" s="16">
        <f>IF(CN65=1,VLOOKUP($A88,'[4]Données investissements'!$A$48:$D$65,2,FALSE),IF(CN41&lt;&gt;0,VLOOKUP($A65,'[4]Données investissements'!$A$48:$D$65,4,FALSE),0))</f>
        <v>0</v>
      </c>
      <c r="CO88" s="16">
        <f>IF(CO65=1,VLOOKUP($A88,'[4]Données investissements'!$A$48:$D$65,2,FALSE),IF(CO41&lt;&gt;0,VLOOKUP($A65,'[4]Données investissements'!$A$48:$D$65,4,FALSE),0))</f>
        <v>0</v>
      </c>
      <c r="CP88" s="16">
        <f>IF(CP65=1,VLOOKUP($A88,'[4]Données investissements'!$A$48:$D$65,2,FALSE),IF(CP41&lt;&gt;0,VLOOKUP($A65,'[4]Données investissements'!$A$48:$D$65,4,FALSE),0))</f>
        <v>0</v>
      </c>
      <c r="CQ88" s="16">
        <f>IF(CQ65=1,VLOOKUP($A88,'[4]Données investissements'!$A$48:$D$65,2,FALSE),IF(CQ41&lt;&gt;0,VLOOKUP($A65,'[4]Données investissements'!$A$48:$D$65,4,FALSE),0))</f>
        <v>0</v>
      </c>
      <c r="CR88" s="16">
        <f>IF(CR65=1,VLOOKUP($A88,'[4]Données investissements'!$A$48:$D$65,2,FALSE),IF(CR41&lt;&gt;0,VLOOKUP($A65,'[4]Données investissements'!$A$48:$D$65,4,FALSE),0))</f>
        <v>0</v>
      </c>
      <c r="CS88" s="16">
        <f>IF(CS65=1,VLOOKUP($A88,'[4]Données investissements'!$A$48:$D$65,2,FALSE),IF(CS41&lt;&gt;0,VLOOKUP($A65,'[4]Données investissements'!$A$48:$D$65,4,FALSE),0))</f>
        <v>0</v>
      </c>
      <c r="CT88" s="16">
        <f>IF(CT65=1,VLOOKUP($A88,'[4]Données investissements'!$A$48:$D$65,2,FALSE),IF(CT41&lt;&gt;0,VLOOKUP($A65,'[4]Données investissements'!$A$48:$D$65,4,FALSE),0))</f>
        <v>0</v>
      </c>
      <c r="CU88" s="16">
        <f>IF(CU65=1,VLOOKUP($A88,'[4]Données investissements'!$A$48:$D$65,2,FALSE),IF(CU41&lt;&gt;0,VLOOKUP($A65,'[4]Données investissements'!$A$48:$D$65,4,FALSE),0))</f>
        <v>0</v>
      </c>
      <c r="CV88" s="16">
        <f>IF(CV65=1,VLOOKUP($A88,'[4]Données investissements'!$A$48:$D$65,2,FALSE),IF(CV41&lt;&gt;0,VLOOKUP($A65,'[4]Données investissements'!$A$48:$D$65,4,FALSE),0))</f>
        <v>0</v>
      </c>
      <c r="CW88" s="16">
        <f>IF(CW65=1,VLOOKUP($A88,'[4]Données investissements'!$A$48:$D$65,2,FALSE),IF(CW41&lt;&gt;0,VLOOKUP($A65,'[4]Données investissements'!$A$48:$D$65,4,FALSE),0))</f>
        <v>0</v>
      </c>
      <c r="CX88" s="16">
        <f>IF(CX65=1,VLOOKUP($A88,'[4]Données investissements'!$A$48:$D$65,2,FALSE),IF(CX41&lt;&gt;0,VLOOKUP($A65,'[4]Données investissements'!$A$48:$D$65,4,FALSE),0))</f>
        <v>0</v>
      </c>
      <c r="CY88" s="16">
        <f>IF(CY65=1,VLOOKUP($A88,'[4]Données investissements'!$A$48:$D$65,2,FALSE),IF(CY41&lt;&gt;0,VLOOKUP($A65,'[4]Données investissements'!$A$48:$D$65,4,FALSE),0))</f>
        <v>0</v>
      </c>
      <c r="CZ88" s="16">
        <f>IF(CZ65=1,VLOOKUP($A88,'[4]Données investissements'!$A$48:$D$65,2,FALSE),IF(CZ41&lt;&gt;0,VLOOKUP($A65,'[4]Données investissements'!$A$48:$D$65,4,FALSE),0))</f>
        <v>0</v>
      </c>
      <c r="DA88" s="16">
        <f>IF(DA65=1,VLOOKUP($A88,'[4]Données investissements'!$A$48:$D$65,2,FALSE),IF(DA41&lt;&gt;0,VLOOKUP($A65,'[4]Données investissements'!$A$48:$D$65,4,FALSE),0))</f>
        <v>0</v>
      </c>
      <c r="DB88" s="16">
        <f>IF(DB65=1,VLOOKUP($A88,'[4]Données investissements'!$A$48:$D$65,2,FALSE),IF(DB41&lt;&gt;0,VLOOKUP($A65,'[4]Données investissements'!$A$48:$D$65,4,FALSE),0))</f>
        <v>0</v>
      </c>
      <c r="DC88" s="16">
        <f>IF(DC65=1,VLOOKUP($A88,'[4]Données investissements'!$A$48:$D$65,2,FALSE),IF(DC41&lt;&gt;0,VLOOKUP($A65,'[4]Données investissements'!$A$48:$D$65,4,FALSE),0))</f>
        <v>0</v>
      </c>
      <c r="DD88" s="16">
        <f>IF(DD65=1,VLOOKUP($A88,'[4]Données investissements'!$A$48:$D$65,2,FALSE),IF(DD41&lt;&gt;0,VLOOKUP($A65,'[4]Données investissements'!$A$48:$D$65,4,FALSE),0))</f>
        <v>0</v>
      </c>
      <c r="DE88" s="16">
        <f>IF(DE65=1,VLOOKUP($A88,'[4]Données investissements'!$A$48:$D$65,2,FALSE),IF(DE41&lt;&gt;0,VLOOKUP($A65,'[4]Données investissements'!$A$48:$D$65,4,FALSE),0))</f>
        <v>0</v>
      </c>
      <c r="DF88" s="16">
        <f>IF(DF65=1,VLOOKUP($A88,'[4]Données investissements'!$A$48:$D$65,2,FALSE),IF(DF41&lt;&gt;0,VLOOKUP($A65,'[4]Données investissements'!$A$48:$D$65,4,FALSE),0))</f>
        <v>0</v>
      </c>
    </row>
    <row r="89" spans="1:110" ht="12.75" hidden="1" customHeight="1" x14ac:dyDescent="0.2">
      <c r="A89" s="15" t="str">
        <f>A66</f>
        <v>Electricité (poste en aout 2015 et 1,2 M€)</v>
      </c>
      <c r="B89" s="16">
        <f t="shared" si="40"/>
        <v>1.1399999999999999</v>
      </c>
      <c r="C89" s="16">
        <f>IF(C66=1,VLOOKUP($A89,'[4]Données investissements'!$A$48:$D$65,2,FALSE),IF(C42&lt;&gt;0,VLOOKUP($A66,'[4]Données investissements'!$A$48:$D$65,4,FALSE),0))</f>
        <v>0</v>
      </c>
      <c r="D89" s="16">
        <f>IF(D66=1,VLOOKUP($A89,'[4]Données investissements'!$A$48:$D$65,2,FALSE),IF(D42&lt;&gt;0,VLOOKUP($A66,'[4]Données investissements'!$A$48:$D$65,4,FALSE),0))</f>
        <v>0</v>
      </c>
      <c r="E89" s="16">
        <f>IF(E66=1,VLOOKUP($A89,'[4]Données investissements'!$A$48:$D$65,2,FALSE),IF(E42&lt;&gt;0,VLOOKUP($A66,'[4]Données investissements'!$A$48:$D$65,4,FALSE),0))</f>
        <v>0</v>
      </c>
      <c r="F89" s="16">
        <f>IF(F66=1,VLOOKUP($A89,'[4]Données investissements'!$A$48:$D$65,2,FALSE),IF(F42&lt;&gt;0,VLOOKUP($A66,'[4]Données investissements'!$A$48:$D$65,4,FALSE),0))</f>
        <v>0</v>
      </c>
      <c r="G89" s="16">
        <f>IF(G66=1,VLOOKUP($A89,'[4]Données investissements'!$A$48:$D$65,2,FALSE),IF(G42&lt;&gt;0,VLOOKUP($A66,'[4]Données investissements'!$A$48:$D$65,4,FALSE),0))</f>
        <v>0</v>
      </c>
      <c r="H89" s="16">
        <f>IF(H66=1,VLOOKUP($A89,'[4]Données investissements'!$A$48:$D$65,2,FALSE),IF(H42&lt;&gt;0,VLOOKUP($A66,'[4]Données investissements'!$A$48:$D$65,4,FALSE),0))</f>
        <v>0</v>
      </c>
      <c r="I89" s="16">
        <f>IF(I66=1,VLOOKUP($A89,'[4]Données investissements'!$A$48:$D$65,2,FALSE),IF(I42&lt;&gt;0,VLOOKUP($A66,'[4]Données investissements'!$A$48:$D$65,4,FALSE),0))</f>
        <v>0</v>
      </c>
      <c r="J89" s="16">
        <f>IF(J66=1,VLOOKUP($A89,'[4]Données investissements'!$A$48:$D$65,2,FALSE),IF(J42&lt;&gt;0,VLOOKUP($A66,'[4]Données investissements'!$A$48:$D$65,4,FALSE),0))</f>
        <v>0</v>
      </c>
      <c r="K89" s="16">
        <f>IF(K66=1,VLOOKUP($A89,'[4]Données investissements'!$A$48:$D$65,2,FALSE),IF(K42&lt;&gt;0,VLOOKUP($A66,'[4]Données investissements'!$A$48:$D$65,4,FALSE),0))</f>
        <v>0</v>
      </c>
      <c r="L89" s="16">
        <f>IF(L66=1,VLOOKUP($A89,'[4]Données investissements'!$A$48:$D$65,2,FALSE),IF(L42&lt;&gt;0,VLOOKUP($A66,'[4]Données investissements'!$A$48:$D$65,4,FALSE),0))</f>
        <v>1</v>
      </c>
      <c r="M89" s="16">
        <f>IF(M66=1,VLOOKUP($A89,'[4]Données investissements'!$A$48:$D$65,2,FALSE),IF(M42&lt;&gt;0,VLOOKUP($A66,'[4]Données investissements'!$A$48:$D$65,4,FALSE),0))</f>
        <v>2</v>
      </c>
      <c r="N89" s="16">
        <f>IF(N66=1,VLOOKUP($A89,'[4]Données investissements'!$A$48:$D$65,2,FALSE),IF(N42&lt;&gt;0,VLOOKUP($A66,'[4]Données investissements'!$A$48:$D$65,4,FALSE),0))</f>
        <v>0</v>
      </c>
      <c r="O89" s="16">
        <f>IF(O66=1,VLOOKUP($A89,'[4]Données investissements'!$A$48:$D$65,2,FALSE),IF(O42&lt;&gt;0,VLOOKUP($A66,'[4]Données investissements'!$A$48:$D$65,4,FALSE),0))</f>
        <v>0</v>
      </c>
      <c r="P89" s="16">
        <f>IF(P66=1,VLOOKUP($A89,'[4]Données investissements'!$A$48:$D$65,2,FALSE),IF(P42&lt;&gt;0,VLOOKUP($A66,'[4]Données investissements'!$A$48:$D$65,4,FALSE),0))</f>
        <v>0</v>
      </c>
      <c r="Q89" s="16">
        <f>IF(Q66=1,VLOOKUP($A89,'[4]Données investissements'!$A$48:$D$65,2,FALSE),IF(Q42&lt;&gt;0,VLOOKUP($A66,'[4]Données investissements'!$A$48:$D$65,4,FALSE),0))</f>
        <v>0</v>
      </c>
      <c r="R89" s="16">
        <f>IF(R66=1,VLOOKUP($A89,'[4]Données investissements'!$A$48:$D$65,2,FALSE),IF(R42&lt;&gt;0,VLOOKUP($A66,'[4]Données investissements'!$A$48:$D$65,4,FALSE),0))</f>
        <v>2</v>
      </c>
      <c r="S89" s="16">
        <f>IF(S66=1,VLOOKUP($A89,'[4]Données investissements'!$A$48:$D$65,2,FALSE),IF(S42&lt;&gt;0,VLOOKUP($A66,'[4]Données investissements'!$A$48:$D$65,4,FALSE),0))</f>
        <v>0</v>
      </c>
      <c r="T89" s="16">
        <f>IF(T66=1,VLOOKUP($A89,'[4]Données investissements'!$A$48:$D$65,2,FALSE),IF(T42&lt;&gt;0,VLOOKUP($A66,'[4]Données investissements'!$A$48:$D$65,4,FALSE),0))</f>
        <v>0</v>
      </c>
      <c r="U89" s="16">
        <f>IF(U66=1,VLOOKUP($A89,'[4]Données investissements'!$A$48:$D$65,2,FALSE),IF(U42&lt;&gt;0,VLOOKUP($A66,'[4]Données investissements'!$A$48:$D$65,4,FALSE),0))</f>
        <v>2</v>
      </c>
      <c r="V89" s="16">
        <f>IF(V66=1,VLOOKUP($A89,'[4]Données investissements'!$A$48:$D$65,2,FALSE),IF(V42&lt;&gt;0,VLOOKUP($A66,'[4]Données investissements'!$A$48:$D$65,4,FALSE),0))</f>
        <v>0</v>
      </c>
      <c r="W89" s="16">
        <f>IF(W66=1,VLOOKUP($A89,'[4]Données investissements'!$A$48:$D$65,2,FALSE),IF(W42&lt;&gt;0,VLOOKUP($A66,'[4]Données investissements'!$A$48:$D$65,4,FALSE),0))</f>
        <v>2</v>
      </c>
      <c r="X89" s="16">
        <f>IF(X66=1,VLOOKUP($A89,'[4]Données investissements'!$A$48:$D$65,2,FALSE),IF(X42&lt;&gt;0,VLOOKUP($A66,'[4]Données investissements'!$A$48:$D$65,4,FALSE),0))</f>
        <v>0</v>
      </c>
      <c r="Y89" s="16">
        <f>IF(Y66=1,VLOOKUP($A89,'[4]Données investissements'!$A$48:$D$65,2,FALSE),IF(Y42&lt;&gt;0,VLOOKUP($A66,'[4]Données investissements'!$A$48:$D$65,4,FALSE),0))</f>
        <v>2</v>
      </c>
      <c r="Z89" s="16">
        <f>IF(Z66=1,VLOOKUP($A89,'[4]Données investissements'!$A$48:$D$65,2,FALSE),IF(Z42&lt;&gt;0,VLOOKUP($A66,'[4]Données investissements'!$A$48:$D$65,4,FALSE),0))</f>
        <v>0</v>
      </c>
      <c r="AA89" s="16">
        <f>IF(AA66=1,VLOOKUP($A89,'[4]Données investissements'!$A$48:$D$65,2,FALSE),IF(AA42&lt;&gt;0,VLOOKUP($A66,'[4]Données investissements'!$A$48:$D$65,4,FALSE),0))</f>
        <v>0</v>
      </c>
      <c r="AB89" s="16">
        <f>IF(AB66=1,VLOOKUP($A89,'[4]Données investissements'!$A$48:$D$65,2,FALSE),IF(AB42&lt;&gt;0,VLOOKUP($A66,'[4]Données investissements'!$A$48:$D$65,4,FALSE),0))</f>
        <v>0</v>
      </c>
      <c r="AC89" s="16">
        <f>IF(AC66=1,VLOOKUP($A89,'[4]Données investissements'!$A$48:$D$65,2,FALSE),IF(AC42&lt;&gt;0,VLOOKUP($A66,'[4]Données investissements'!$A$48:$D$65,4,FALSE),0))</f>
        <v>0</v>
      </c>
      <c r="AD89" s="16">
        <f>IF(AD66=1,VLOOKUP($A89,'[4]Données investissements'!$A$48:$D$65,2,FALSE),IF(AD42&lt;&gt;0,VLOOKUP($A66,'[4]Données investissements'!$A$48:$D$65,4,FALSE),0))</f>
        <v>0</v>
      </c>
      <c r="AE89" s="16">
        <f>IF(AE66=1,VLOOKUP($A89,'[4]Données investissements'!$A$48:$D$65,2,FALSE),IF(AE42&lt;&gt;0,VLOOKUP($A66,'[4]Données investissements'!$A$48:$D$65,4,FALSE),0))</f>
        <v>0</v>
      </c>
      <c r="AF89" s="16">
        <f>IF(AF66=1,VLOOKUP($A89,'[4]Données investissements'!$A$48:$D$65,2,FALSE),IF(AF42&lt;&gt;0,VLOOKUP($A66,'[4]Données investissements'!$A$48:$D$65,4,FALSE),0))</f>
        <v>0</v>
      </c>
      <c r="AG89" s="16">
        <f>IF(AG66=1,VLOOKUP($A89,'[4]Données investissements'!$A$48:$D$65,2,FALSE),IF(AG42&lt;&gt;0,VLOOKUP($A66,'[4]Données investissements'!$A$48:$D$65,4,FALSE),0))</f>
        <v>0</v>
      </c>
      <c r="AH89" s="16">
        <f>IF(AH66=1,VLOOKUP($A89,'[4]Données investissements'!$A$48:$D$65,2,FALSE),IF(AH42&lt;&gt;0,VLOOKUP($A66,'[4]Données investissements'!$A$48:$D$65,4,FALSE),0))</f>
        <v>0</v>
      </c>
      <c r="AI89" s="16">
        <f>IF(AI66=1,VLOOKUP($A89,'[4]Données investissements'!$A$48:$D$65,2,FALSE),IF(AI42&lt;&gt;0,VLOOKUP($A66,'[4]Données investissements'!$A$48:$D$65,4,FALSE),0))</f>
        <v>0</v>
      </c>
      <c r="AJ89" s="16">
        <f>IF(AJ66=1,VLOOKUP($A89,'[4]Données investissements'!$A$48:$D$65,2,FALSE),IF(AJ42&lt;&gt;0,VLOOKUP($A66,'[4]Données investissements'!$A$48:$D$65,4,FALSE),0))</f>
        <v>0</v>
      </c>
      <c r="AK89" s="16">
        <f>IF(AK66=1,VLOOKUP($A89,'[4]Données investissements'!$A$48:$D$65,2,FALSE),IF(AK42&lt;&gt;0,VLOOKUP($A66,'[4]Données investissements'!$A$48:$D$65,4,FALSE),0))</f>
        <v>2</v>
      </c>
      <c r="AL89" s="16">
        <f>IF(AL66=1,VLOOKUP($A89,'[4]Données investissements'!$A$48:$D$65,2,FALSE),IF(AL42&lt;&gt;0,VLOOKUP($A66,'[4]Données investissements'!$A$48:$D$65,4,FALSE),0))</f>
        <v>0</v>
      </c>
      <c r="AM89" s="16">
        <f>IF(AM66=1,VLOOKUP($A89,'[4]Données investissements'!$A$48:$D$65,2,FALSE),IF(AM42&lt;&gt;0,VLOOKUP($A66,'[4]Données investissements'!$A$48:$D$65,4,FALSE),0))</f>
        <v>0</v>
      </c>
      <c r="AN89" s="16">
        <f>IF(AN66=1,VLOOKUP($A89,'[4]Données investissements'!$A$48:$D$65,2,FALSE),IF(AN42&lt;&gt;0,VLOOKUP($A66,'[4]Données investissements'!$A$48:$D$65,4,FALSE),0))</f>
        <v>0</v>
      </c>
      <c r="AO89" s="16">
        <f>IF(AO66=1,VLOOKUP($A89,'[4]Données investissements'!$A$48:$D$65,2,FALSE),IF(AO42&lt;&gt;0,VLOOKUP($A66,'[4]Données investissements'!$A$48:$D$65,4,FALSE),0))</f>
        <v>0</v>
      </c>
      <c r="AP89" s="16">
        <f>IF(AP66=1,VLOOKUP($A89,'[4]Données investissements'!$A$48:$D$65,2,FALSE),IF(AP42&lt;&gt;0,VLOOKUP($A66,'[4]Données investissements'!$A$48:$D$65,4,FALSE),0))</f>
        <v>0</v>
      </c>
      <c r="AQ89" s="16">
        <f>IF(AQ66=1,VLOOKUP($A89,'[4]Données investissements'!$A$48:$D$65,2,FALSE),IF(AQ42&lt;&gt;0,VLOOKUP($A66,'[4]Données investissements'!$A$48:$D$65,4,FALSE),0))</f>
        <v>0</v>
      </c>
      <c r="AR89" s="16">
        <f>IF(AR66=1,VLOOKUP($A89,'[4]Données investissements'!$A$48:$D$65,2,FALSE),IF(AR42&lt;&gt;0,VLOOKUP($A66,'[4]Données investissements'!$A$48:$D$65,4,FALSE),0))</f>
        <v>0</v>
      </c>
      <c r="AS89" s="16">
        <f>IF(AS66=1,VLOOKUP($A89,'[4]Données investissements'!$A$48:$D$65,2,FALSE),IF(AS42&lt;&gt;0,VLOOKUP($A66,'[4]Données investissements'!$A$48:$D$65,4,FALSE),0))</f>
        <v>0</v>
      </c>
      <c r="AT89" s="16">
        <f>IF(AT66=1,VLOOKUP($A89,'[4]Données investissements'!$A$48:$D$65,2,FALSE),IF(AT42&lt;&gt;0,VLOOKUP($A66,'[4]Données investissements'!$A$48:$D$65,4,FALSE),0))</f>
        <v>0</v>
      </c>
      <c r="AU89" s="16">
        <f>IF(AU66=1,VLOOKUP($A89,'[4]Données investissements'!$A$48:$D$65,2,FALSE),IF(AU42&lt;&gt;0,VLOOKUP($A66,'[4]Données investissements'!$A$48:$D$65,4,FALSE),0))</f>
        <v>0</v>
      </c>
      <c r="AV89" s="16">
        <f>IF(AV66=1,VLOOKUP($A89,'[4]Données investissements'!$A$48:$D$65,2,FALSE),IF(AV42&lt;&gt;0,VLOOKUP($A66,'[4]Données investissements'!$A$48:$D$65,4,FALSE),0))</f>
        <v>0</v>
      </c>
      <c r="AW89" s="16">
        <f>IF(AW66=1,VLOOKUP($A89,'[4]Données investissements'!$A$48:$D$65,2,FALSE),IF(AW42&lt;&gt;0,VLOOKUP($A66,'[4]Données investissements'!$A$48:$D$65,4,FALSE),0))</f>
        <v>0</v>
      </c>
      <c r="AX89" s="16">
        <f>IF(AX66=1,VLOOKUP($A89,'[4]Données investissements'!$A$48:$D$65,2,FALSE),IF(AX42&lt;&gt;0,VLOOKUP($A66,'[4]Données investissements'!$A$48:$D$65,4,FALSE),0))</f>
        <v>0</v>
      </c>
      <c r="AY89" s="16">
        <f>IF(AY66=1,VLOOKUP($A89,'[4]Données investissements'!$A$48:$D$65,2,FALSE),IF(AY42&lt;&gt;0,VLOOKUP($A66,'[4]Données investissements'!$A$48:$D$65,4,FALSE),0))</f>
        <v>0</v>
      </c>
      <c r="AZ89" s="16">
        <f>IF(AZ66=1,VLOOKUP($A89,'[4]Données investissements'!$A$48:$D$65,2,FALSE),IF(AZ42&lt;&gt;0,VLOOKUP($A66,'[4]Données investissements'!$A$48:$D$65,4,FALSE),0))</f>
        <v>0</v>
      </c>
      <c r="BA89" s="16">
        <f>IF(BA66=1,VLOOKUP($A89,'[4]Données investissements'!$A$48:$D$65,2,FALSE),IF(BA42&lt;&gt;0,VLOOKUP($A66,'[4]Données investissements'!$A$48:$D$65,4,FALSE),0))</f>
        <v>0</v>
      </c>
      <c r="BB89" s="16">
        <f>IF(BB66=1,VLOOKUP($A89,'[4]Données investissements'!$A$48:$D$65,2,FALSE),IF(BB42&lt;&gt;0,VLOOKUP($A66,'[4]Données investissements'!$A$48:$D$65,4,FALSE),0))</f>
        <v>0</v>
      </c>
      <c r="BC89" s="16">
        <f>IF(BC66=1,VLOOKUP($A89,'[4]Données investissements'!$A$48:$D$65,2,FALSE),IF(BC42&lt;&gt;0,VLOOKUP($A66,'[4]Données investissements'!$A$48:$D$65,4,FALSE),0))</f>
        <v>0</v>
      </c>
      <c r="BD89" s="16">
        <f>IF(BD66=1,VLOOKUP($A89,'[4]Données investissements'!$A$48:$D$65,2,FALSE),IF(BD42&lt;&gt;0,VLOOKUP($A66,'[4]Données investissements'!$A$48:$D$65,4,FALSE),0))</f>
        <v>0</v>
      </c>
      <c r="BE89" s="16">
        <f>IF(BE66=1,VLOOKUP($A89,'[4]Données investissements'!$A$48:$D$65,2,FALSE),IF(BE42&lt;&gt;0,VLOOKUP($A66,'[4]Données investissements'!$A$48:$D$65,4,FALSE),0))</f>
        <v>0</v>
      </c>
      <c r="BF89" s="16">
        <f>IF(BF66=1,VLOOKUP($A89,'[4]Données investissements'!$A$48:$D$65,2,FALSE),IF(BF42&lt;&gt;0,VLOOKUP($A66,'[4]Données investissements'!$A$48:$D$65,4,FALSE),0))</f>
        <v>0</v>
      </c>
      <c r="BG89" s="16">
        <f>IF(BG66=1,VLOOKUP($A89,'[4]Données investissements'!$A$48:$D$65,2,FALSE),IF(BG42&lt;&gt;0,VLOOKUP($A66,'[4]Données investissements'!$A$48:$D$65,4,FALSE),0))</f>
        <v>0</v>
      </c>
      <c r="BH89" s="16">
        <f>IF(BH66=1,VLOOKUP($A89,'[4]Données investissements'!$A$48:$D$65,2,FALSE),IF(BH42&lt;&gt;0,VLOOKUP($A66,'[4]Données investissements'!$A$48:$D$65,4,FALSE),0))</f>
        <v>0</v>
      </c>
      <c r="BI89" s="16">
        <f>IF(BI66=1,VLOOKUP($A89,'[4]Données investissements'!$A$48:$D$65,2,FALSE),IF(BI42&lt;&gt;0,VLOOKUP($A66,'[4]Données investissements'!$A$48:$D$65,4,FALSE),0))</f>
        <v>0</v>
      </c>
      <c r="BJ89" s="16">
        <f>IF(BJ66=1,VLOOKUP($A89,'[4]Données investissements'!$A$48:$D$65,2,FALSE),IF(BJ42&lt;&gt;0,VLOOKUP($A66,'[4]Données investissements'!$A$48:$D$65,4,FALSE),0))</f>
        <v>0</v>
      </c>
      <c r="BK89" s="16">
        <f>IF(BK66=1,VLOOKUP($A89,'[4]Données investissements'!$A$48:$D$65,2,FALSE),IF(BK42&lt;&gt;0,VLOOKUP($A66,'[4]Données investissements'!$A$48:$D$65,4,FALSE),0))</f>
        <v>0</v>
      </c>
      <c r="BL89" s="16">
        <f>IF(BL66=1,VLOOKUP($A89,'[4]Données investissements'!$A$48:$D$65,2,FALSE),IF(BL42&lt;&gt;0,VLOOKUP($A66,'[4]Données investissements'!$A$48:$D$65,4,FALSE),0))</f>
        <v>0</v>
      </c>
      <c r="BM89" s="16">
        <f>IF(BM66=1,VLOOKUP($A89,'[4]Données investissements'!$A$48:$D$65,2,FALSE),IF(BM42&lt;&gt;0,VLOOKUP($A66,'[4]Données investissements'!$A$48:$D$65,4,FALSE),0))</f>
        <v>0</v>
      </c>
      <c r="BN89" s="16">
        <f>IF(BN66=1,VLOOKUP($A89,'[4]Données investissements'!$A$48:$D$65,2,FALSE),IF(BN42&lt;&gt;0,VLOOKUP($A66,'[4]Données investissements'!$A$48:$D$65,4,FALSE),0))</f>
        <v>0</v>
      </c>
      <c r="BO89" s="16">
        <f>IF(BO66=1,VLOOKUP($A89,'[4]Données investissements'!$A$48:$D$65,2,FALSE),IF(BO42&lt;&gt;0,VLOOKUP($A66,'[4]Données investissements'!$A$48:$D$65,4,FALSE),0))</f>
        <v>0</v>
      </c>
      <c r="BP89" s="16">
        <f>IF(BP66=1,VLOOKUP($A89,'[4]Données investissements'!$A$48:$D$65,2,FALSE),IF(BP42&lt;&gt;0,VLOOKUP($A66,'[4]Données investissements'!$A$48:$D$65,4,FALSE),0))</f>
        <v>0</v>
      </c>
      <c r="BQ89" s="16">
        <f>IF(BQ66=1,VLOOKUP($A89,'[4]Données investissements'!$A$48:$D$65,2,FALSE),IF(BQ42&lt;&gt;0,VLOOKUP($A66,'[4]Données investissements'!$A$48:$D$65,4,FALSE),0))</f>
        <v>0</v>
      </c>
      <c r="BR89" s="16">
        <f>IF(BR66=1,VLOOKUP($A89,'[4]Données investissements'!$A$48:$D$65,2,FALSE),IF(BR42&lt;&gt;0,VLOOKUP($A66,'[4]Données investissements'!$A$48:$D$65,4,FALSE),0))</f>
        <v>0</v>
      </c>
      <c r="BS89" s="16">
        <f>IF(BS66=1,VLOOKUP($A89,'[4]Données investissements'!$A$48:$D$65,2,FALSE),IF(BS42&lt;&gt;0,VLOOKUP($A66,'[4]Données investissements'!$A$48:$D$65,4,FALSE),0))</f>
        <v>0</v>
      </c>
      <c r="BT89" s="16">
        <f>IF(BT66=1,VLOOKUP($A89,'[4]Données investissements'!$A$48:$D$65,2,FALSE),IF(BT42&lt;&gt;0,VLOOKUP($A66,'[4]Données investissements'!$A$48:$D$65,4,FALSE),0))</f>
        <v>0</v>
      </c>
      <c r="BU89" s="16">
        <f>IF(BU66=1,VLOOKUP($A89,'[4]Données investissements'!$A$48:$D$65,2,FALSE),IF(BU42&lt;&gt;0,VLOOKUP($A66,'[4]Données investissements'!$A$48:$D$65,4,FALSE),0))</f>
        <v>0</v>
      </c>
      <c r="BV89" s="16">
        <f>IF(BV66=1,VLOOKUP($A89,'[4]Données investissements'!$A$48:$D$65,2,FALSE),IF(BV42&lt;&gt;0,VLOOKUP($A66,'[4]Données investissements'!$A$48:$D$65,4,FALSE),0))</f>
        <v>0</v>
      </c>
      <c r="BW89" s="16">
        <f>IF(BW66=1,VLOOKUP($A89,'[4]Données investissements'!$A$48:$D$65,2,FALSE),IF(BW42&lt;&gt;0,VLOOKUP($A66,'[4]Données investissements'!$A$48:$D$65,4,FALSE),0))</f>
        <v>0</v>
      </c>
      <c r="BX89" s="16">
        <f>IF(BX66=1,VLOOKUP($A89,'[4]Données investissements'!$A$48:$D$65,2,FALSE),IF(BX42&lt;&gt;0,VLOOKUP($A66,'[4]Données investissements'!$A$48:$D$65,4,FALSE),0))</f>
        <v>0</v>
      </c>
      <c r="BY89" s="16">
        <f>IF(BY66=1,VLOOKUP($A89,'[4]Données investissements'!$A$48:$D$65,2,FALSE),IF(BY42&lt;&gt;0,VLOOKUP($A66,'[4]Données investissements'!$A$48:$D$65,4,FALSE),0))</f>
        <v>0</v>
      </c>
      <c r="BZ89" s="16">
        <f>IF(BZ66=1,VLOOKUP($A89,'[4]Données investissements'!$A$48:$D$65,2,FALSE),IF(BZ42&lt;&gt;0,VLOOKUP($A66,'[4]Données investissements'!$A$48:$D$65,4,FALSE),0))</f>
        <v>0</v>
      </c>
      <c r="CA89" s="16">
        <f>IF(CA66=1,VLOOKUP($A89,'[4]Données investissements'!$A$48:$D$65,2,FALSE),IF(CA42&lt;&gt;0,VLOOKUP($A66,'[4]Données investissements'!$A$48:$D$65,4,FALSE),0))</f>
        <v>0</v>
      </c>
      <c r="CB89" s="16">
        <f>IF(CB66=1,VLOOKUP($A89,'[4]Données investissements'!$A$48:$D$65,2,FALSE),IF(CB42&lt;&gt;0,VLOOKUP($A66,'[4]Données investissements'!$A$48:$D$65,4,FALSE),0))</f>
        <v>0</v>
      </c>
      <c r="CC89" s="16">
        <f>IF(CC66=1,VLOOKUP($A89,'[4]Données investissements'!$A$48:$D$65,2,FALSE),IF(CC42&lt;&gt;0,VLOOKUP($A66,'[4]Données investissements'!$A$48:$D$65,4,FALSE),0))</f>
        <v>0</v>
      </c>
      <c r="CD89" s="16">
        <f>IF(CD66=1,VLOOKUP($A89,'[4]Données investissements'!$A$48:$D$65,2,FALSE),IF(CD42&lt;&gt;0,VLOOKUP($A66,'[4]Données investissements'!$A$48:$D$65,4,FALSE),0))</f>
        <v>0</v>
      </c>
      <c r="CE89" s="16">
        <f>IF(CE66=1,VLOOKUP($A89,'[4]Données investissements'!$A$48:$D$65,2,FALSE),IF(CE42&lt;&gt;0,VLOOKUP($A66,'[4]Données investissements'!$A$48:$D$65,4,FALSE),0))</f>
        <v>0</v>
      </c>
      <c r="CF89" s="16">
        <f>IF(CF66=1,VLOOKUP($A89,'[4]Données investissements'!$A$48:$D$65,2,FALSE),IF(CF42&lt;&gt;0,VLOOKUP($A66,'[4]Données investissements'!$A$48:$D$65,4,FALSE),0))</f>
        <v>0</v>
      </c>
      <c r="CG89" s="16">
        <f>IF(CG66=1,VLOOKUP($A89,'[4]Données investissements'!$A$48:$D$65,2,FALSE),IF(CG42&lt;&gt;0,VLOOKUP($A66,'[4]Données investissements'!$A$48:$D$65,4,FALSE),0))</f>
        <v>0</v>
      </c>
      <c r="CH89" s="16">
        <f>IF(CH66=1,VLOOKUP($A89,'[4]Données investissements'!$A$48:$D$65,2,FALSE),IF(CH42&lt;&gt;0,VLOOKUP($A66,'[4]Données investissements'!$A$48:$D$65,4,FALSE),0))</f>
        <v>0</v>
      </c>
      <c r="CI89" s="16">
        <f>IF(CI66=1,VLOOKUP($A89,'[4]Données investissements'!$A$48:$D$65,2,FALSE),IF(CI42&lt;&gt;0,VLOOKUP($A66,'[4]Données investissements'!$A$48:$D$65,4,FALSE),0))</f>
        <v>0</v>
      </c>
      <c r="CJ89" s="16">
        <f>IF(CJ66=1,VLOOKUP($A89,'[4]Données investissements'!$A$48:$D$65,2,FALSE),IF(CJ42&lt;&gt;0,VLOOKUP($A66,'[4]Données investissements'!$A$48:$D$65,4,FALSE),0))</f>
        <v>0</v>
      </c>
      <c r="CK89" s="16">
        <f>IF(CK66=1,VLOOKUP($A89,'[4]Données investissements'!$A$48:$D$65,2,FALSE),IF(CK42&lt;&gt;0,VLOOKUP($A66,'[4]Données investissements'!$A$48:$D$65,4,FALSE),0))</f>
        <v>0</v>
      </c>
      <c r="CL89" s="16">
        <f>IF(CL66=1,VLOOKUP($A89,'[4]Données investissements'!$A$48:$D$65,2,FALSE),IF(CL42&lt;&gt;0,VLOOKUP($A66,'[4]Données investissements'!$A$48:$D$65,4,FALSE),0))</f>
        <v>0</v>
      </c>
      <c r="CM89" s="16">
        <f>IF(CM66=1,VLOOKUP($A89,'[4]Données investissements'!$A$48:$D$65,2,FALSE),IF(CM42&lt;&gt;0,VLOOKUP($A66,'[4]Données investissements'!$A$48:$D$65,4,FALSE),0))</f>
        <v>0</v>
      </c>
      <c r="CN89" s="16">
        <f>IF(CN66=1,VLOOKUP($A89,'[4]Données investissements'!$A$48:$D$65,2,FALSE),IF(CN42&lt;&gt;0,VLOOKUP($A66,'[4]Données investissements'!$A$48:$D$65,4,FALSE),0))</f>
        <v>0</v>
      </c>
      <c r="CO89" s="16">
        <f>IF(CO66=1,VLOOKUP($A89,'[4]Données investissements'!$A$48:$D$65,2,FALSE),IF(CO42&lt;&gt;0,VLOOKUP($A66,'[4]Données investissements'!$A$48:$D$65,4,FALSE),0))</f>
        <v>0</v>
      </c>
      <c r="CP89" s="16">
        <f>IF(CP66=1,VLOOKUP($A89,'[4]Données investissements'!$A$48:$D$65,2,FALSE),IF(CP42&lt;&gt;0,VLOOKUP($A66,'[4]Données investissements'!$A$48:$D$65,4,FALSE),0))</f>
        <v>0</v>
      </c>
      <c r="CQ89" s="16">
        <f>IF(CQ66=1,VLOOKUP($A89,'[4]Données investissements'!$A$48:$D$65,2,FALSE),IF(CQ42&lt;&gt;0,VLOOKUP($A66,'[4]Données investissements'!$A$48:$D$65,4,FALSE),0))</f>
        <v>0</v>
      </c>
      <c r="CR89" s="16">
        <f>IF(CR66=1,VLOOKUP($A89,'[4]Données investissements'!$A$48:$D$65,2,FALSE),IF(CR42&lt;&gt;0,VLOOKUP($A66,'[4]Données investissements'!$A$48:$D$65,4,FALSE),0))</f>
        <v>0</v>
      </c>
      <c r="CS89" s="16">
        <f>IF(CS66=1,VLOOKUP($A89,'[4]Données investissements'!$A$48:$D$65,2,FALSE),IF(CS42&lt;&gt;0,VLOOKUP($A66,'[4]Données investissements'!$A$48:$D$65,4,FALSE),0))</f>
        <v>0</v>
      </c>
      <c r="CT89" s="16">
        <f>IF(CT66=1,VLOOKUP($A89,'[4]Données investissements'!$A$48:$D$65,2,FALSE),IF(CT42&lt;&gt;0,VLOOKUP($A66,'[4]Données investissements'!$A$48:$D$65,4,FALSE),0))</f>
        <v>0</v>
      </c>
      <c r="CU89" s="16">
        <f>IF(CU66=1,VLOOKUP($A89,'[4]Données investissements'!$A$48:$D$65,2,FALSE),IF(CU42&lt;&gt;0,VLOOKUP($A66,'[4]Données investissements'!$A$48:$D$65,4,FALSE),0))</f>
        <v>0</v>
      </c>
      <c r="CV89" s="16">
        <f>IF(CV66=1,VLOOKUP($A89,'[4]Données investissements'!$A$48:$D$65,2,FALSE),IF(CV42&lt;&gt;0,VLOOKUP($A66,'[4]Données investissements'!$A$48:$D$65,4,FALSE),0))</f>
        <v>0</v>
      </c>
      <c r="CW89" s="16">
        <f>IF(CW66=1,VLOOKUP($A89,'[4]Données investissements'!$A$48:$D$65,2,FALSE),IF(CW42&lt;&gt;0,VLOOKUP($A66,'[4]Données investissements'!$A$48:$D$65,4,FALSE),0))</f>
        <v>0</v>
      </c>
      <c r="CX89" s="16">
        <f>IF(CX66=1,VLOOKUP($A89,'[4]Données investissements'!$A$48:$D$65,2,FALSE),IF(CX42&lt;&gt;0,VLOOKUP($A66,'[4]Données investissements'!$A$48:$D$65,4,FALSE),0))</f>
        <v>0</v>
      </c>
      <c r="CY89" s="16">
        <f>IF(CY66=1,VLOOKUP($A89,'[4]Données investissements'!$A$48:$D$65,2,FALSE),IF(CY42&lt;&gt;0,VLOOKUP($A66,'[4]Données investissements'!$A$48:$D$65,4,FALSE),0))</f>
        <v>0</v>
      </c>
      <c r="CZ89" s="16">
        <f>IF(CZ66=1,VLOOKUP($A89,'[4]Données investissements'!$A$48:$D$65,2,FALSE),IF(CZ42&lt;&gt;0,VLOOKUP($A66,'[4]Données investissements'!$A$48:$D$65,4,FALSE),0))</f>
        <v>0</v>
      </c>
      <c r="DA89" s="16">
        <f>IF(DA66=1,VLOOKUP($A89,'[4]Données investissements'!$A$48:$D$65,2,FALSE),IF(DA42&lt;&gt;0,VLOOKUP($A66,'[4]Données investissements'!$A$48:$D$65,4,FALSE),0))</f>
        <v>0</v>
      </c>
      <c r="DB89" s="16">
        <f>IF(DB66=1,VLOOKUP($A89,'[4]Données investissements'!$A$48:$D$65,2,FALSE),IF(DB42&lt;&gt;0,VLOOKUP($A66,'[4]Données investissements'!$A$48:$D$65,4,FALSE),0))</f>
        <v>0</v>
      </c>
      <c r="DC89" s="16">
        <f>IF(DC66=1,VLOOKUP($A89,'[4]Données investissements'!$A$48:$D$65,2,FALSE),IF(DC42&lt;&gt;0,VLOOKUP($A66,'[4]Données investissements'!$A$48:$D$65,4,FALSE),0))</f>
        <v>0</v>
      </c>
      <c r="DD89" s="16">
        <f>IF(DD66=1,VLOOKUP($A89,'[4]Données investissements'!$A$48:$D$65,2,FALSE),IF(DD42&lt;&gt;0,VLOOKUP($A66,'[4]Données investissements'!$A$48:$D$65,4,FALSE),0))</f>
        <v>0</v>
      </c>
      <c r="DE89" s="16">
        <f>IF(DE66=1,VLOOKUP($A89,'[4]Données investissements'!$A$48:$D$65,2,FALSE),IF(DE42&lt;&gt;0,VLOOKUP($A66,'[4]Données investissements'!$A$48:$D$65,4,FALSE),0))</f>
        <v>0</v>
      </c>
      <c r="DF89" s="16">
        <f>IF(DF66=1,VLOOKUP($A89,'[4]Données investissements'!$A$48:$D$65,2,FALSE),IF(DF42&lt;&gt;0,VLOOKUP($A66,'[4]Données investissements'!$A$48:$D$65,4,FALSE),0))</f>
        <v>0</v>
      </c>
    </row>
    <row r="90" spans="1:110" ht="12.75" hidden="1" customHeight="1" x14ac:dyDescent="0.2">
      <c r="A90" s="15" t="str">
        <f t="shared" si="40"/>
        <v>Autre Electricité et utilités</v>
      </c>
      <c r="B90" s="16">
        <f t="shared" si="40"/>
        <v>4.16</v>
      </c>
      <c r="C90" s="16">
        <f>IF(C67=1,VLOOKUP($A90,'[4]Données investissements'!$A$48:$D$65,2,FALSE),IF(C43&lt;&gt;0,VLOOKUP($A67,'[4]Données investissements'!$A$48:$D$65,4,FALSE),0))</f>
        <v>0</v>
      </c>
      <c r="D90" s="16">
        <f>IF(D67=1,VLOOKUP($A90,'[4]Données investissements'!$A$48:$D$65,2,FALSE),IF(D43&lt;&gt;0,VLOOKUP($A67,'[4]Données investissements'!$A$48:$D$65,4,FALSE),0))</f>
        <v>0</v>
      </c>
      <c r="E90" s="16">
        <f>IF(E67=1,VLOOKUP($A90,'[4]Données investissements'!$A$48:$D$65,2,FALSE),IF(E43&lt;&gt;0,VLOOKUP($A67,'[4]Données investissements'!$A$48:$D$65,4,FALSE),0))</f>
        <v>0</v>
      </c>
      <c r="F90" s="16">
        <f>IF(F67=1,VLOOKUP($A90,'[4]Données investissements'!$A$48:$D$65,2,FALSE),IF(F43&lt;&gt;0,VLOOKUP($A67,'[4]Données investissements'!$A$48:$D$65,4,FALSE),0))</f>
        <v>0</v>
      </c>
      <c r="G90" s="16">
        <f>IF(G67=1,VLOOKUP($A90,'[4]Données investissements'!$A$48:$D$65,2,FALSE),IF(G43&lt;&gt;0,VLOOKUP($A67,'[4]Données investissements'!$A$48:$D$65,4,FALSE),0))</f>
        <v>0</v>
      </c>
      <c r="H90" s="16">
        <f>IF(H67=1,VLOOKUP($A90,'[4]Données investissements'!$A$48:$D$65,2,FALSE),IF(H43&lt;&gt;0,VLOOKUP($A67,'[4]Données investissements'!$A$48:$D$65,4,FALSE),0))</f>
        <v>0</v>
      </c>
      <c r="I90" s="16">
        <f>IF(I67=1,VLOOKUP($A90,'[4]Données investissements'!$A$48:$D$65,2,FALSE),IF(I43&lt;&gt;0,VLOOKUP($A67,'[4]Données investissements'!$A$48:$D$65,4,FALSE),0))</f>
        <v>0</v>
      </c>
      <c r="J90" s="16">
        <f>IF(J67=1,VLOOKUP($A90,'[4]Données investissements'!$A$48:$D$65,2,FALSE),IF(J43&lt;&gt;0,VLOOKUP($A67,'[4]Données investissements'!$A$48:$D$65,4,FALSE),0))</f>
        <v>0</v>
      </c>
      <c r="K90" s="16">
        <f>IF(K67=1,VLOOKUP($A90,'[4]Données investissements'!$A$48:$D$65,2,FALSE),IF(K43&lt;&gt;0,VLOOKUP($A67,'[4]Données investissements'!$A$48:$D$65,4,FALSE),0))</f>
        <v>0</v>
      </c>
      <c r="L90" s="16">
        <f>IF(L67=1,VLOOKUP($A90,'[4]Données investissements'!$A$48:$D$65,2,FALSE),IF(L43&lt;&gt;0,VLOOKUP($A67,'[4]Données investissements'!$A$48:$D$65,4,FALSE),0))</f>
        <v>1</v>
      </c>
      <c r="M90" s="16">
        <f>IF(M67=1,VLOOKUP($A90,'[4]Données investissements'!$A$48:$D$65,2,FALSE),IF(M43&lt;&gt;0,VLOOKUP($A67,'[4]Données investissements'!$A$48:$D$65,4,FALSE),0))</f>
        <v>3</v>
      </c>
      <c r="N90" s="16">
        <f>IF(N67=1,VLOOKUP($A90,'[4]Données investissements'!$A$48:$D$65,2,FALSE),IF(N43&lt;&gt;0,VLOOKUP($A67,'[4]Données investissements'!$A$48:$D$65,4,FALSE),0))</f>
        <v>0</v>
      </c>
      <c r="O90" s="16">
        <f>IF(O67=1,VLOOKUP($A90,'[4]Données investissements'!$A$48:$D$65,2,FALSE),IF(O43&lt;&gt;0,VLOOKUP($A67,'[4]Données investissements'!$A$48:$D$65,4,FALSE),0))</f>
        <v>0</v>
      </c>
      <c r="P90" s="16">
        <f>IF(P67=1,VLOOKUP($A90,'[4]Données investissements'!$A$48:$D$65,2,FALSE),IF(P43&lt;&gt;0,VLOOKUP($A67,'[4]Données investissements'!$A$48:$D$65,4,FALSE),0))</f>
        <v>3</v>
      </c>
      <c r="Q90" s="16">
        <f>IF(Q67=1,VLOOKUP($A90,'[4]Données investissements'!$A$48:$D$65,2,FALSE),IF(Q43&lt;&gt;0,VLOOKUP($A67,'[4]Données investissements'!$A$48:$D$65,4,FALSE),0))</f>
        <v>3</v>
      </c>
      <c r="R90" s="16">
        <f>IF(R67=1,VLOOKUP($A90,'[4]Données investissements'!$A$48:$D$65,2,FALSE),IF(R43&lt;&gt;0,VLOOKUP($A67,'[4]Données investissements'!$A$48:$D$65,4,FALSE),0))</f>
        <v>0</v>
      </c>
      <c r="S90" s="16">
        <f>IF(S67=1,VLOOKUP($A90,'[4]Données investissements'!$A$48:$D$65,2,FALSE),IF(S43&lt;&gt;0,VLOOKUP($A67,'[4]Données investissements'!$A$48:$D$65,4,FALSE),0))</f>
        <v>0</v>
      </c>
      <c r="T90" s="16">
        <f>IF(T67=1,VLOOKUP($A90,'[4]Données investissements'!$A$48:$D$65,2,FALSE),IF(T43&lt;&gt;0,VLOOKUP($A67,'[4]Données investissements'!$A$48:$D$65,4,FALSE),0))</f>
        <v>3</v>
      </c>
      <c r="U90" s="16">
        <f>IF(U67=1,VLOOKUP($A90,'[4]Données investissements'!$A$48:$D$65,2,FALSE),IF(U43&lt;&gt;0,VLOOKUP($A67,'[4]Données investissements'!$A$48:$D$65,4,FALSE),0))</f>
        <v>0</v>
      </c>
      <c r="V90" s="16">
        <f>IF(V67=1,VLOOKUP($A90,'[4]Données investissements'!$A$48:$D$65,2,FALSE),IF(V43&lt;&gt;0,VLOOKUP($A67,'[4]Données investissements'!$A$48:$D$65,4,FALSE),0))</f>
        <v>0</v>
      </c>
      <c r="W90" s="16">
        <f>IF(W67=1,VLOOKUP($A90,'[4]Données investissements'!$A$48:$D$65,2,FALSE),IF(W43&lt;&gt;0,VLOOKUP($A67,'[4]Données investissements'!$A$48:$D$65,4,FALSE),0))</f>
        <v>0</v>
      </c>
      <c r="X90" s="16">
        <f>IF(X67=1,VLOOKUP($A90,'[4]Données investissements'!$A$48:$D$65,2,FALSE),IF(X43&lt;&gt;0,VLOOKUP($A67,'[4]Données investissements'!$A$48:$D$65,4,FALSE),0))</f>
        <v>3</v>
      </c>
      <c r="Y90" s="16">
        <f>IF(Y67=1,VLOOKUP($A90,'[4]Données investissements'!$A$48:$D$65,2,FALSE),IF(Y43&lt;&gt;0,VLOOKUP($A67,'[4]Données investissements'!$A$48:$D$65,4,FALSE),0))</f>
        <v>0</v>
      </c>
      <c r="Z90" s="16">
        <f>IF(Z67=1,VLOOKUP($A90,'[4]Données investissements'!$A$48:$D$65,2,FALSE),IF(Z43&lt;&gt;0,VLOOKUP($A67,'[4]Données investissements'!$A$48:$D$65,4,FALSE),0))</f>
        <v>0</v>
      </c>
      <c r="AA90" s="16">
        <f>IF(AA67=1,VLOOKUP($A90,'[4]Données investissements'!$A$48:$D$65,2,FALSE),IF(AA43&lt;&gt;0,VLOOKUP($A67,'[4]Données investissements'!$A$48:$D$65,4,FALSE),0))</f>
        <v>0</v>
      </c>
      <c r="AB90" s="16">
        <f>IF(AB67=1,VLOOKUP($A90,'[4]Données investissements'!$A$48:$D$65,2,FALSE),IF(AB43&lt;&gt;0,VLOOKUP($A67,'[4]Données investissements'!$A$48:$D$65,4,FALSE),0))</f>
        <v>0</v>
      </c>
      <c r="AC90" s="16">
        <f>IF(AC67=1,VLOOKUP($A90,'[4]Données investissements'!$A$48:$D$65,2,FALSE),IF(AC43&lt;&gt;0,VLOOKUP($A67,'[4]Données investissements'!$A$48:$D$65,4,FALSE),0))</f>
        <v>0</v>
      </c>
      <c r="AD90" s="16">
        <f>IF(AD67=1,VLOOKUP($A90,'[4]Données investissements'!$A$48:$D$65,2,FALSE),IF(AD43&lt;&gt;0,VLOOKUP($A67,'[4]Données investissements'!$A$48:$D$65,4,FALSE),0))</f>
        <v>3</v>
      </c>
      <c r="AE90" s="16">
        <f>IF(AE67=1,VLOOKUP($A90,'[4]Données investissements'!$A$48:$D$65,2,FALSE),IF(AE43&lt;&gt;0,VLOOKUP($A67,'[4]Données investissements'!$A$48:$D$65,4,FALSE),0))</f>
        <v>0</v>
      </c>
      <c r="AF90" s="16">
        <f>IF(AF67=1,VLOOKUP($A90,'[4]Données investissements'!$A$48:$D$65,2,FALSE),IF(AF43&lt;&gt;0,VLOOKUP($A67,'[4]Données investissements'!$A$48:$D$65,4,FALSE),0))</f>
        <v>0</v>
      </c>
      <c r="AG90" s="16">
        <f>IF(AG67=1,VLOOKUP($A90,'[4]Données investissements'!$A$48:$D$65,2,FALSE),IF(AG43&lt;&gt;0,VLOOKUP($A67,'[4]Données investissements'!$A$48:$D$65,4,FALSE),0))</f>
        <v>0</v>
      </c>
      <c r="AH90" s="16">
        <f>IF(AH67=1,VLOOKUP($A90,'[4]Données investissements'!$A$48:$D$65,2,FALSE),IF(AH43&lt;&gt;0,VLOOKUP($A67,'[4]Données investissements'!$A$48:$D$65,4,FALSE),0))</f>
        <v>0</v>
      </c>
      <c r="AI90" s="16">
        <f>IF(AI67=1,VLOOKUP($A90,'[4]Données investissements'!$A$48:$D$65,2,FALSE),IF(AI43&lt;&gt;0,VLOOKUP($A67,'[4]Données investissements'!$A$48:$D$65,4,FALSE),0))</f>
        <v>0</v>
      </c>
      <c r="AJ90" s="16">
        <f>IF(AJ67=1,VLOOKUP($A90,'[4]Données investissements'!$A$48:$D$65,2,FALSE),IF(AJ43&lt;&gt;0,VLOOKUP($A67,'[4]Données investissements'!$A$48:$D$65,4,FALSE),0))</f>
        <v>0</v>
      </c>
      <c r="AK90" s="16">
        <f>IF(AK67=1,VLOOKUP($A90,'[4]Données investissements'!$A$48:$D$65,2,FALSE),IF(AK43&lt;&gt;0,VLOOKUP($A67,'[4]Données investissements'!$A$48:$D$65,4,FALSE),0))</f>
        <v>0</v>
      </c>
      <c r="AL90" s="16">
        <f>IF(AL67=1,VLOOKUP($A90,'[4]Données investissements'!$A$48:$D$65,2,FALSE),IF(AL43&lt;&gt;0,VLOOKUP($A67,'[4]Données investissements'!$A$48:$D$65,4,FALSE),0))</f>
        <v>0</v>
      </c>
      <c r="AM90" s="16">
        <f>IF(AM67=1,VLOOKUP($A90,'[4]Données investissements'!$A$48:$D$65,2,FALSE),IF(AM43&lt;&gt;0,VLOOKUP($A67,'[4]Données investissements'!$A$48:$D$65,4,FALSE),0))</f>
        <v>0</v>
      </c>
      <c r="AN90" s="16">
        <f>IF(AN67=1,VLOOKUP($A90,'[4]Données investissements'!$A$48:$D$65,2,FALSE),IF(AN43&lt;&gt;0,VLOOKUP($A67,'[4]Données investissements'!$A$48:$D$65,4,FALSE),0))</f>
        <v>0</v>
      </c>
      <c r="AO90" s="16">
        <f>IF(AO67=1,VLOOKUP($A90,'[4]Données investissements'!$A$48:$D$65,2,FALSE),IF(AO43&lt;&gt;0,VLOOKUP($A67,'[4]Données investissements'!$A$48:$D$65,4,FALSE),0))</f>
        <v>0</v>
      </c>
      <c r="AP90" s="16">
        <f>IF(AP67=1,VLOOKUP($A90,'[4]Données investissements'!$A$48:$D$65,2,FALSE),IF(AP43&lt;&gt;0,VLOOKUP($A67,'[4]Données investissements'!$A$48:$D$65,4,FALSE),0))</f>
        <v>0</v>
      </c>
      <c r="AQ90" s="16">
        <f>IF(AQ67=1,VLOOKUP($A90,'[4]Données investissements'!$A$48:$D$65,2,FALSE),IF(AQ43&lt;&gt;0,VLOOKUP($A67,'[4]Données investissements'!$A$48:$D$65,4,FALSE),0))</f>
        <v>0</v>
      </c>
      <c r="AR90" s="16">
        <f>IF(AR67=1,VLOOKUP($A90,'[4]Données investissements'!$A$48:$D$65,2,FALSE),IF(AR43&lt;&gt;0,VLOOKUP($A67,'[4]Données investissements'!$A$48:$D$65,4,FALSE),0))</f>
        <v>0</v>
      </c>
      <c r="AS90" s="16">
        <f>IF(AS67=1,VLOOKUP($A90,'[4]Données investissements'!$A$48:$D$65,2,FALSE),IF(AS43&lt;&gt;0,VLOOKUP($A67,'[4]Données investissements'!$A$48:$D$65,4,FALSE),0))</f>
        <v>0</v>
      </c>
      <c r="AT90" s="16">
        <f>IF(AT67=1,VLOOKUP($A90,'[4]Données investissements'!$A$48:$D$65,2,FALSE),IF(AT43&lt;&gt;0,VLOOKUP($A67,'[4]Données investissements'!$A$48:$D$65,4,FALSE),0))</f>
        <v>0</v>
      </c>
      <c r="AU90" s="16">
        <f>IF(AU67=1,VLOOKUP($A90,'[4]Données investissements'!$A$48:$D$65,2,FALSE),IF(AU43&lt;&gt;0,VLOOKUP($A67,'[4]Données investissements'!$A$48:$D$65,4,FALSE),0))</f>
        <v>0</v>
      </c>
      <c r="AV90" s="16">
        <f>IF(AV67=1,VLOOKUP($A90,'[4]Données investissements'!$A$48:$D$65,2,FALSE),IF(AV43&lt;&gt;0,VLOOKUP($A67,'[4]Données investissements'!$A$48:$D$65,4,FALSE),0))</f>
        <v>0</v>
      </c>
      <c r="AW90" s="16">
        <f>IF(AW67=1,VLOOKUP($A90,'[4]Données investissements'!$A$48:$D$65,2,FALSE),IF(AW43&lt;&gt;0,VLOOKUP($A67,'[4]Données investissements'!$A$48:$D$65,4,FALSE),0))</f>
        <v>0</v>
      </c>
      <c r="AX90" s="16">
        <f>IF(AX67=1,VLOOKUP($A90,'[4]Données investissements'!$A$48:$D$65,2,FALSE),IF(AX43&lt;&gt;0,VLOOKUP($A67,'[4]Données investissements'!$A$48:$D$65,4,FALSE),0))</f>
        <v>0</v>
      </c>
      <c r="AY90" s="16">
        <f>IF(AY67=1,VLOOKUP($A90,'[4]Données investissements'!$A$48:$D$65,2,FALSE),IF(AY43&lt;&gt;0,VLOOKUP($A67,'[4]Données investissements'!$A$48:$D$65,4,FALSE),0))</f>
        <v>0</v>
      </c>
      <c r="AZ90" s="16">
        <f>IF(AZ67=1,VLOOKUP($A90,'[4]Données investissements'!$A$48:$D$65,2,FALSE),IF(AZ43&lt;&gt;0,VLOOKUP($A67,'[4]Données investissements'!$A$48:$D$65,4,FALSE),0))</f>
        <v>0</v>
      </c>
      <c r="BA90" s="16">
        <f>IF(BA67=1,VLOOKUP($A90,'[4]Données investissements'!$A$48:$D$65,2,FALSE),IF(BA43&lt;&gt;0,VLOOKUP($A67,'[4]Données investissements'!$A$48:$D$65,4,FALSE),0))</f>
        <v>0</v>
      </c>
      <c r="BB90" s="16">
        <f>IF(BB67=1,VLOOKUP($A90,'[4]Données investissements'!$A$48:$D$65,2,FALSE),IF(BB43&lt;&gt;0,VLOOKUP($A67,'[4]Données investissements'!$A$48:$D$65,4,FALSE),0))</f>
        <v>0</v>
      </c>
      <c r="BC90" s="16">
        <f>IF(BC67=1,VLOOKUP($A90,'[4]Données investissements'!$A$48:$D$65,2,FALSE),IF(BC43&lt;&gt;0,VLOOKUP($A67,'[4]Données investissements'!$A$48:$D$65,4,FALSE),0))</f>
        <v>0</v>
      </c>
      <c r="BD90" s="16">
        <f>IF(BD67=1,VLOOKUP($A90,'[4]Données investissements'!$A$48:$D$65,2,FALSE),IF(BD43&lt;&gt;0,VLOOKUP($A67,'[4]Données investissements'!$A$48:$D$65,4,FALSE),0))</f>
        <v>0</v>
      </c>
      <c r="BE90" s="16">
        <f>IF(BE67=1,VLOOKUP($A90,'[4]Données investissements'!$A$48:$D$65,2,FALSE),IF(BE43&lt;&gt;0,VLOOKUP($A67,'[4]Données investissements'!$A$48:$D$65,4,FALSE),0))</f>
        <v>0</v>
      </c>
      <c r="BF90" s="16">
        <f>IF(BF67=1,VLOOKUP($A90,'[4]Données investissements'!$A$48:$D$65,2,FALSE),IF(BF43&lt;&gt;0,VLOOKUP($A67,'[4]Données investissements'!$A$48:$D$65,4,FALSE),0))</f>
        <v>0</v>
      </c>
      <c r="BG90" s="16">
        <f>IF(BG67=1,VLOOKUP($A90,'[4]Données investissements'!$A$48:$D$65,2,FALSE),IF(BG43&lt;&gt;0,VLOOKUP($A67,'[4]Données investissements'!$A$48:$D$65,4,FALSE),0))</f>
        <v>0</v>
      </c>
      <c r="BH90" s="16">
        <f>IF(BH67=1,VLOOKUP($A90,'[4]Données investissements'!$A$48:$D$65,2,FALSE),IF(BH43&lt;&gt;0,VLOOKUP($A67,'[4]Données investissements'!$A$48:$D$65,4,FALSE),0))</f>
        <v>0</v>
      </c>
      <c r="BI90" s="16">
        <f>IF(BI67=1,VLOOKUP($A90,'[4]Données investissements'!$A$48:$D$65,2,FALSE),IF(BI43&lt;&gt;0,VLOOKUP($A67,'[4]Données investissements'!$A$48:$D$65,4,FALSE),0))</f>
        <v>0</v>
      </c>
      <c r="BJ90" s="16">
        <f>IF(BJ67=1,VLOOKUP($A90,'[4]Données investissements'!$A$48:$D$65,2,FALSE),IF(BJ43&lt;&gt;0,VLOOKUP($A67,'[4]Données investissements'!$A$48:$D$65,4,FALSE),0))</f>
        <v>0</v>
      </c>
      <c r="BK90" s="16">
        <f>IF(BK67=1,VLOOKUP($A90,'[4]Données investissements'!$A$48:$D$65,2,FALSE),IF(BK43&lt;&gt;0,VLOOKUP($A67,'[4]Données investissements'!$A$48:$D$65,4,FALSE),0))</f>
        <v>0</v>
      </c>
      <c r="BL90" s="16">
        <f>IF(BL67=1,VLOOKUP($A90,'[4]Données investissements'!$A$48:$D$65,2,FALSE),IF(BL43&lt;&gt;0,VLOOKUP($A67,'[4]Données investissements'!$A$48:$D$65,4,FALSE),0))</f>
        <v>0</v>
      </c>
      <c r="BM90" s="16">
        <f>IF(BM67=1,VLOOKUP($A90,'[4]Données investissements'!$A$48:$D$65,2,FALSE),IF(BM43&lt;&gt;0,VLOOKUP($A67,'[4]Données investissements'!$A$48:$D$65,4,FALSE),0))</f>
        <v>0</v>
      </c>
      <c r="BN90" s="16">
        <f>IF(BN67=1,VLOOKUP($A90,'[4]Données investissements'!$A$48:$D$65,2,FALSE),IF(BN43&lt;&gt;0,VLOOKUP($A67,'[4]Données investissements'!$A$48:$D$65,4,FALSE),0))</f>
        <v>0</v>
      </c>
      <c r="BO90" s="16">
        <f>IF(BO67=1,VLOOKUP($A90,'[4]Données investissements'!$A$48:$D$65,2,FALSE),IF(BO43&lt;&gt;0,VLOOKUP($A67,'[4]Données investissements'!$A$48:$D$65,4,FALSE),0))</f>
        <v>0</v>
      </c>
      <c r="BP90" s="16">
        <f>IF(BP67=1,VLOOKUP($A90,'[4]Données investissements'!$A$48:$D$65,2,FALSE),IF(BP43&lt;&gt;0,VLOOKUP($A67,'[4]Données investissements'!$A$48:$D$65,4,FALSE),0))</f>
        <v>0</v>
      </c>
      <c r="BQ90" s="16">
        <f>IF(BQ67=1,VLOOKUP($A90,'[4]Données investissements'!$A$48:$D$65,2,FALSE),IF(BQ43&lt;&gt;0,VLOOKUP($A67,'[4]Données investissements'!$A$48:$D$65,4,FALSE),0))</f>
        <v>0</v>
      </c>
      <c r="BR90" s="16">
        <f>IF(BR67=1,VLOOKUP($A90,'[4]Données investissements'!$A$48:$D$65,2,FALSE),IF(BR43&lt;&gt;0,VLOOKUP($A67,'[4]Données investissements'!$A$48:$D$65,4,FALSE),0))</f>
        <v>0</v>
      </c>
      <c r="BS90" s="16">
        <f>IF(BS67=1,VLOOKUP($A90,'[4]Données investissements'!$A$48:$D$65,2,FALSE),IF(BS43&lt;&gt;0,VLOOKUP($A67,'[4]Données investissements'!$A$48:$D$65,4,FALSE),0))</f>
        <v>0</v>
      </c>
      <c r="BT90" s="16">
        <f>IF(BT67=1,VLOOKUP($A90,'[4]Données investissements'!$A$48:$D$65,2,FALSE),IF(BT43&lt;&gt;0,VLOOKUP($A67,'[4]Données investissements'!$A$48:$D$65,4,FALSE),0))</f>
        <v>0</v>
      </c>
      <c r="BU90" s="16">
        <f>IF(BU67=1,VLOOKUP($A90,'[4]Données investissements'!$A$48:$D$65,2,FALSE),IF(BU43&lt;&gt;0,VLOOKUP($A67,'[4]Données investissements'!$A$48:$D$65,4,FALSE),0))</f>
        <v>0</v>
      </c>
      <c r="BV90" s="16">
        <f>IF(BV67=1,VLOOKUP($A90,'[4]Données investissements'!$A$48:$D$65,2,FALSE),IF(BV43&lt;&gt;0,VLOOKUP($A67,'[4]Données investissements'!$A$48:$D$65,4,FALSE),0))</f>
        <v>0</v>
      </c>
      <c r="BW90" s="16">
        <f>IF(BW67=1,VLOOKUP($A90,'[4]Données investissements'!$A$48:$D$65,2,FALSE),IF(BW43&lt;&gt;0,VLOOKUP($A67,'[4]Données investissements'!$A$48:$D$65,4,FALSE),0))</f>
        <v>0</v>
      </c>
      <c r="BX90" s="16">
        <f>IF(BX67=1,VLOOKUP($A90,'[4]Données investissements'!$A$48:$D$65,2,FALSE),IF(BX43&lt;&gt;0,VLOOKUP($A67,'[4]Données investissements'!$A$48:$D$65,4,FALSE),0))</f>
        <v>0</v>
      </c>
      <c r="BY90" s="16">
        <f>IF(BY67=1,VLOOKUP($A90,'[4]Données investissements'!$A$48:$D$65,2,FALSE),IF(BY43&lt;&gt;0,VLOOKUP($A67,'[4]Données investissements'!$A$48:$D$65,4,FALSE),0))</f>
        <v>0</v>
      </c>
      <c r="BZ90" s="16">
        <f>IF(BZ67=1,VLOOKUP($A90,'[4]Données investissements'!$A$48:$D$65,2,FALSE),IF(BZ43&lt;&gt;0,VLOOKUP($A67,'[4]Données investissements'!$A$48:$D$65,4,FALSE),0))</f>
        <v>0</v>
      </c>
      <c r="CA90" s="16">
        <f>IF(CA67=1,VLOOKUP($A90,'[4]Données investissements'!$A$48:$D$65,2,FALSE),IF(CA43&lt;&gt;0,VLOOKUP($A67,'[4]Données investissements'!$A$48:$D$65,4,FALSE),0))</f>
        <v>0</v>
      </c>
      <c r="CB90" s="16">
        <f>IF(CB67=1,VLOOKUP($A90,'[4]Données investissements'!$A$48:$D$65,2,FALSE),IF(CB43&lt;&gt;0,VLOOKUP($A67,'[4]Données investissements'!$A$48:$D$65,4,FALSE),0))</f>
        <v>0</v>
      </c>
      <c r="CC90" s="16">
        <f>IF(CC67=1,VLOOKUP($A90,'[4]Données investissements'!$A$48:$D$65,2,FALSE),IF(CC43&lt;&gt;0,VLOOKUP($A67,'[4]Données investissements'!$A$48:$D$65,4,FALSE),0))</f>
        <v>0</v>
      </c>
      <c r="CD90" s="16">
        <f>IF(CD67=1,VLOOKUP($A90,'[4]Données investissements'!$A$48:$D$65,2,FALSE),IF(CD43&lt;&gt;0,VLOOKUP($A67,'[4]Données investissements'!$A$48:$D$65,4,FALSE),0))</f>
        <v>0</v>
      </c>
      <c r="CE90" s="16">
        <f>IF(CE67=1,VLOOKUP($A90,'[4]Données investissements'!$A$48:$D$65,2,FALSE),IF(CE43&lt;&gt;0,VLOOKUP($A67,'[4]Données investissements'!$A$48:$D$65,4,FALSE),0))</f>
        <v>0</v>
      </c>
      <c r="CF90" s="16">
        <f>IF(CF67=1,VLOOKUP($A90,'[4]Données investissements'!$A$48:$D$65,2,FALSE),IF(CF43&lt;&gt;0,VLOOKUP($A67,'[4]Données investissements'!$A$48:$D$65,4,FALSE),0))</f>
        <v>0</v>
      </c>
      <c r="CG90" s="16">
        <f>IF(CG67=1,VLOOKUP($A90,'[4]Données investissements'!$A$48:$D$65,2,FALSE),IF(CG43&lt;&gt;0,VLOOKUP($A67,'[4]Données investissements'!$A$48:$D$65,4,FALSE),0))</f>
        <v>0</v>
      </c>
      <c r="CH90" s="16">
        <f>IF(CH67=1,VLOOKUP($A90,'[4]Données investissements'!$A$48:$D$65,2,FALSE),IF(CH43&lt;&gt;0,VLOOKUP($A67,'[4]Données investissements'!$A$48:$D$65,4,FALSE),0))</f>
        <v>0</v>
      </c>
      <c r="CI90" s="16">
        <f>IF(CI67=1,VLOOKUP($A90,'[4]Données investissements'!$A$48:$D$65,2,FALSE),IF(CI43&lt;&gt;0,VLOOKUP($A67,'[4]Données investissements'!$A$48:$D$65,4,FALSE),0))</f>
        <v>0</v>
      </c>
      <c r="CJ90" s="16">
        <f>IF(CJ67=1,VLOOKUP($A90,'[4]Données investissements'!$A$48:$D$65,2,FALSE),IF(CJ43&lt;&gt;0,VLOOKUP($A67,'[4]Données investissements'!$A$48:$D$65,4,FALSE),0))</f>
        <v>0</v>
      </c>
      <c r="CK90" s="16">
        <f>IF(CK67=1,VLOOKUP($A90,'[4]Données investissements'!$A$48:$D$65,2,FALSE),IF(CK43&lt;&gt;0,VLOOKUP($A67,'[4]Données investissements'!$A$48:$D$65,4,FALSE),0))</f>
        <v>0</v>
      </c>
      <c r="CL90" s="16">
        <f>IF(CL67=1,VLOOKUP($A90,'[4]Données investissements'!$A$48:$D$65,2,FALSE),IF(CL43&lt;&gt;0,VLOOKUP($A67,'[4]Données investissements'!$A$48:$D$65,4,FALSE),0))</f>
        <v>0</v>
      </c>
      <c r="CM90" s="16">
        <f>IF(CM67=1,VLOOKUP($A90,'[4]Données investissements'!$A$48:$D$65,2,FALSE),IF(CM43&lt;&gt;0,VLOOKUP($A67,'[4]Données investissements'!$A$48:$D$65,4,FALSE),0))</f>
        <v>0</v>
      </c>
      <c r="CN90" s="16">
        <f>IF(CN67=1,VLOOKUP($A90,'[4]Données investissements'!$A$48:$D$65,2,FALSE),IF(CN43&lt;&gt;0,VLOOKUP($A67,'[4]Données investissements'!$A$48:$D$65,4,FALSE),0))</f>
        <v>0</v>
      </c>
      <c r="CO90" s="16">
        <f>IF(CO67=1,VLOOKUP($A90,'[4]Données investissements'!$A$48:$D$65,2,FALSE),IF(CO43&lt;&gt;0,VLOOKUP($A67,'[4]Données investissements'!$A$48:$D$65,4,FALSE),0))</f>
        <v>0</v>
      </c>
      <c r="CP90" s="16">
        <f>IF(CP67=1,VLOOKUP($A90,'[4]Données investissements'!$A$48:$D$65,2,FALSE),IF(CP43&lt;&gt;0,VLOOKUP($A67,'[4]Données investissements'!$A$48:$D$65,4,FALSE),0))</f>
        <v>0</v>
      </c>
      <c r="CQ90" s="16">
        <f>IF(CQ67=1,VLOOKUP($A90,'[4]Données investissements'!$A$48:$D$65,2,FALSE),IF(CQ43&lt;&gt;0,VLOOKUP($A67,'[4]Données investissements'!$A$48:$D$65,4,FALSE),0))</f>
        <v>0</v>
      </c>
      <c r="CR90" s="16">
        <f>IF(CR67=1,VLOOKUP($A90,'[4]Données investissements'!$A$48:$D$65,2,FALSE),IF(CR43&lt;&gt;0,VLOOKUP($A67,'[4]Données investissements'!$A$48:$D$65,4,FALSE),0))</f>
        <v>0</v>
      </c>
      <c r="CS90" s="16">
        <f>IF(CS67=1,VLOOKUP($A90,'[4]Données investissements'!$A$48:$D$65,2,FALSE),IF(CS43&lt;&gt;0,VLOOKUP($A67,'[4]Données investissements'!$A$48:$D$65,4,FALSE),0))</f>
        <v>0</v>
      </c>
      <c r="CT90" s="16">
        <f>IF(CT67=1,VLOOKUP($A90,'[4]Données investissements'!$A$48:$D$65,2,FALSE),IF(CT43&lt;&gt;0,VLOOKUP($A67,'[4]Données investissements'!$A$48:$D$65,4,FALSE),0))</f>
        <v>0</v>
      </c>
      <c r="CU90" s="16">
        <f>IF(CU67=1,VLOOKUP($A90,'[4]Données investissements'!$A$48:$D$65,2,FALSE),IF(CU43&lt;&gt;0,VLOOKUP($A67,'[4]Données investissements'!$A$48:$D$65,4,FALSE),0))</f>
        <v>0</v>
      </c>
      <c r="CV90" s="16">
        <f>IF(CV67=1,VLOOKUP($A90,'[4]Données investissements'!$A$48:$D$65,2,FALSE),IF(CV43&lt;&gt;0,VLOOKUP($A67,'[4]Données investissements'!$A$48:$D$65,4,FALSE),0))</f>
        <v>0</v>
      </c>
      <c r="CW90" s="16">
        <f>IF(CW67=1,VLOOKUP($A90,'[4]Données investissements'!$A$48:$D$65,2,FALSE),IF(CW43&lt;&gt;0,VLOOKUP($A67,'[4]Données investissements'!$A$48:$D$65,4,FALSE),0))</f>
        <v>0</v>
      </c>
      <c r="CX90" s="16">
        <f>IF(CX67=1,VLOOKUP($A90,'[4]Données investissements'!$A$48:$D$65,2,FALSE),IF(CX43&lt;&gt;0,VLOOKUP($A67,'[4]Données investissements'!$A$48:$D$65,4,FALSE),0))</f>
        <v>0</v>
      </c>
      <c r="CY90" s="16">
        <f>IF(CY67=1,VLOOKUP($A90,'[4]Données investissements'!$A$48:$D$65,2,FALSE),IF(CY43&lt;&gt;0,VLOOKUP($A67,'[4]Données investissements'!$A$48:$D$65,4,FALSE),0))</f>
        <v>0</v>
      </c>
      <c r="CZ90" s="16">
        <f>IF(CZ67=1,VLOOKUP($A90,'[4]Données investissements'!$A$48:$D$65,2,FALSE),IF(CZ43&lt;&gt;0,VLOOKUP($A67,'[4]Données investissements'!$A$48:$D$65,4,FALSE),0))</f>
        <v>0</v>
      </c>
      <c r="DA90" s="16">
        <f>IF(DA67=1,VLOOKUP($A90,'[4]Données investissements'!$A$48:$D$65,2,FALSE),IF(DA43&lt;&gt;0,VLOOKUP($A67,'[4]Données investissements'!$A$48:$D$65,4,FALSE),0))</f>
        <v>0</v>
      </c>
      <c r="DB90" s="16">
        <f>IF(DB67=1,VLOOKUP($A90,'[4]Données investissements'!$A$48:$D$65,2,FALSE),IF(DB43&lt;&gt;0,VLOOKUP($A67,'[4]Données investissements'!$A$48:$D$65,4,FALSE),0))</f>
        <v>0</v>
      </c>
      <c r="DC90" s="16">
        <f>IF(DC67=1,VLOOKUP($A90,'[4]Données investissements'!$A$48:$D$65,2,FALSE),IF(DC43&lt;&gt;0,VLOOKUP($A67,'[4]Données investissements'!$A$48:$D$65,4,FALSE),0))</f>
        <v>0</v>
      </c>
      <c r="DD90" s="16">
        <f>IF(DD67=1,VLOOKUP($A90,'[4]Données investissements'!$A$48:$D$65,2,FALSE),IF(DD43&lt;&gt;0,VLOOKUP($A67,'[4]Données investissements'!$A$48:$D$65,4,FALSE),0))</f>
        <v>0</v>
      </c>
      <c r="DE90" s="16">
        <f>IF(DE67=1,VLOOKUP($A90,'[4]Données investissements'!$A$48:$D$65,2,FALSE),IF(DE43&lt;&gt;0,VLOOKUP($A67,'[4]Données investissements'!$A$48:$D$65,4,FALSE),0))</f>
        <v>0</v>
      </c>
      <c r="DF90" s="16">
        <f>IF(DF67=1,VLOOKUP($A90,'[4]Données investissements'!$A$48:$D$65,2,FALSE),IF(DF43&lt;&gt;0,VLOOKUP($A67,'[4]Données investissements'!$A$48:$D$65,4,FALSE),0))</f>
        <v>0</v>
      </c>
    </row>
    <row r="91" spans="1:110" ht="12.75" hidden="1" customHeight="1" x14ac:dyDescent="0.2">
      <c r="A91" s="15" t="str">
        <f t="shared" si="40"/>
        <v>VRD</v>
      </c>
      <c r="B91" s="16">
        <f t="shared" si="40"/>
        <v>1.9</v>
      </c>
      <c r="C91" s="16">
        <f>IF(C68=1,VLOOKUP($A91,'[4]Données investissements'!$A$48:$D$65,2,FALSE),IF(C44&lt;&gt;0,VLOOKUP($A68,'[4]Données investissements'!$A$48:$D$65,4,FALSE),0))</f>
        <v>1</v>
      </c>
      <c r="D91" s="16">
        <f>IF(D68=1,VLOOKUP($A91,'[4]Données investissements'!$A$48:$D$65,2,FALSE),IF(D44&lt;&gt;0,VLOOKUP($A68,'[4]Données investissements'!$A$48:$D$65,4,FALSE),0))</f>
        <v>0</v>
      </c>
      <c r="E91" s="16">
        <f>IF(E68=1,VLOOKUP($A91,'[4]Données investissements'!$A$48:$D$65,2,FALSE),IF(E44&lt;&gt;0,VLOOKUP($A68,'[4]Données investissements'!$A$48:$D$65,4,FALSE),0))</f>
        <v>2</v>
      </c>
      <c r="F91" s="16">
        <f>IF(F68=1,VLOOKUP($A91,'[4]Données investissements'!$A$48:$D$65,2,FALSE),IF(F44&lt;&gt;0,VLOOKUP($A68,'[4]Données investissements'!$A$48:$D$65,4,FALSE),0))</f>
        <v>0</v>
      </c>
      <c r="G91" s="16">
        <f>IF(G68=1,VLOOKUP($A91,'[4]Données investissements'!$A$48:$D$65,2,FALSE),IF(G44&lt;&gt;0,VLOOKUP($A68,'[4]Données investissements'!$A$48:$D$65,4,FALSE),0))</f>
        <v>2</v>
      </c>
      <c r="H91" s="16">
        <f>IF(H68=1,VLOOKUP($A91,'[4]Données investissements'!$A$48:$D$65,2,FALSE),IF(H44&lt;&gt;0,VLOOKUP($A68,'[4]Données investissements'!$A$48:$D$65,4,FALSE),0))</f>
        <v>0</v>
      </c>
      <c r="I91" s="16">
        <f>IF(I68=1,VLOOKUP($A91,'[4]Données investissements'!$A$48:$D$65,2,FALSE),IF(I44&lt;&gt;0,VLOOKUP($A68,'[4]Données investissements'!$A$48:$D$65,4,FALSE),0))</f>
        <v>2</v>
      </c>
      <c r="J91" s="16">
        <f>IF(J68=1,VLOOKUP($A91,'[4]Données investissements'!$A$48:$D$65,2,FALSE),IF(J44&lt;&gt;0,VLOOKUP($A68,'[4]Données investissements'!$A$48:$D$65,4,FALSE),0))</f>
        <v>0</v>
      </c>
      <c r="K91" s="16">
        <f>IF(K68=1,VLOOKUP($A91,'[4]Données investissements'!$A$48:$D$65,2,FALSE),IF(K44&lt;&gt;0,VLOOKUP($A68,'[4]Données investissements'!$A$48:$D$65,4,FALSE),0))</f>
        <v>2</v>
      </c>
      <c r="L91" s="16">
        <f>IF(L68=1,VLOOKUP($A91,'[4]Données investissements'!$A$48:$D$65,2,FALSE),IF(L44&lt;&gt;0,VLOOKUP($A68,'[4]Données investissements'!$A$48:$D$65,4,FALSE),0))</f>
        <v>0</v>
      </c>
      <c r="M91" s="16">
        <f>IF(M68=1,VLOOKUP($A91,'[4]Données investissements'!$A$48:$D$65,2,FALSE),IF(M44&lt;&gt;0,VLOOKUP($A68,'[4]Données investissements'!$A$48:$D$65,4,FALSE),0))</f>
        <v>2</v>
      </c>
      <c r="N91" s="16">
        <f>IF(N68=1,VLOOKUP($A91,'[4]Données investissements'!$A$48:$D$65,2,FALSE),IF(N44&lt;&gt;0,VLOOKUP($A68,'[4]Données investissements'!$A$48:$D$65,4,FALSE),0))</f>
        <v>0</v>
      </c>
      <c r="O91" s="16">
        <f>IF(O68=1,VLOOKUP($A91,'[4]Données investissements'!$A$48:$D$65,2,FALSE),IF(O44&lt;&gt;0,VLOOKUP($A68,'[4]Données investissements'!$A$48:$D$65,4,FALSE),0))</f>
        <v>0</v>
      </c>
      <c r="P91" s="16">
        <f>IF(P68=1,VLOOKUP($A91,'[4]Données investissements'!$A$48:$D$65,2,FALSE),IF(P44&lt;&gt;0,VLOOKUP($A68,'[4]Données investissements'!$A$48:$D$65,4,FALSE),0))</f>
        <v>2</v>
      </c>
      <c r="Q91" s="16">
        <f>IF(Q68=1,VLOOKUP($A91,'[4]Données investissements'!$A$48:$D$65,2,FALSE),IF(Q44&lt;&gt;0,VLOOKUP($A68,'[4]Données investissements'!$A$48:$D$65,4,FALSE),0))</f>
        <v>0</v>
      </c>
      <c r="R91" s="16">
        <f>IF(R68=1,VLOOKUP($A91,'[4]Données investissements'!$A$48:$D$65,2,FALSE),IF(R44&lt;&gt;0,VLOOKUP($A68,'[4]Données investissements'!$A$48:$D$65,4,FALSE),0))</f>
        <v>0</v>
      </c>
      <c r="S91" s="16">
        <f>IF(S68=1,VLOOKUP($A91,'[4]Données investissements'!$A$48:$D$65,2,FALSE),IF(S44&lt;&gt;0,VLOOKUP($A68,'[4]Données investissements'!$A$48:$D$65,4,FALSE),0))</f>
        <v>2</v>
      </c>
      <c r="T91" s="16">
        <f>IF(T68=1,VLOOKUP($A91,'[4]Données investissements'!$A$48:$D$65,2,FALSE),IF(T44&lt;&gt;0,VLOOKUP($A68,'[4]Données investissements'!$A$48:$D$65,4,FALSE),0))</f>
        <v>0</v>
      </c>
      <c r="U91" s="16">
        <f>IF(U68=1,VLOOKUP($A91,'[4]Données investissements'!$A$48:$D$65,2,FALSE),IF(U44&lt;&gt;0,VLOOKUP($A68,'[4]Données investissements'!$A$48:$D$65,4,FALSE),0))</f>
        <v>0</v>
      </c>
      <c r="V91" s="16">
        <f>IF(V68=1,VLOOKUP($A91,'[4]Données investissements'!$A$48:$D$65,2,FALSE),IF(V44&lt;&gt;0,VLOOKUP($A68,'[4]Données investissements'!$A$48:$D$65,4,FALSE),0))</f>
        <v>2</v>
      </c>
      <c r="W91" s="16">
        <f>IF(W68=1,VLOOKUP($A91,'[4]Données investissements'!$A$48:$D$65,2,FALSE),IF(W44&lt;&gt;0,VLOOKUP($A68,'[4]Données investissements'!$A$48:$D$65,4,FALSE),0))</f>
        <v>0</v>
      </c>
      <c r="X91" s="16">
        <f>IF(X68=1,VLOOKUP($A91,'[4]Données investissements'!$A$48:$D$65,2,FALSE),IF(X44&lt;&gt;0,VLOOKUP($A68,'[4]Données investissements'!$A$48:$D$65,4,FALSE),0))</f>
        <v>0</v>
      </c>
      <c r="Y91" s="16">
        <f>IF(Y68=1,VLOOKUP($A91,'[4]Données investissements'!$A$48:$D$65,2,FALSE),IF(Y44&lt;&gt;0,VLOOKUP($A68,'[4]Données investissements'!$A$48:$D$65,4,FALSE),0))</f>
        <v>2</v>
      </c>
      <c r="Z91" s="16">
        <f>IF(Z68=1,VLOOKUP($A91,'[4]Données investissements'!$A$48:$D$65,2,FALSE),IF(Z44&lt;&gt;0,VLOOKUP($A68,'[4]Données investissements'!$A$48:$D$65,4,FALSE),0))</f>
        <v>0</v>
      </c>
      <c r="AA91" s="16">
        <f>IF(AA68=1,VLOOKUP($A91,'[4]Données investissements'!$A$48:$D$65,2,FALSE),IF(AA44&lt;&gt;0,VLOOKUP($A68,'[4]Données investissements'!$A$48:$D$65,4,FALSE),0))</f>
        <v>0</v>
      </c>
      <c r="AB91" s="16">
        <f>IF(AB68=1,VLOOKUP($A91,'[4]Données investissements'!$A$48:$D$65,2,FALSE),IF(AB44&lt;&gt;0,VLOOKUP($A68,'[4]Données investissements'!$A$48:$D$65,4,FALSE),0))</f>
        <v>0</v>
      </c>
      <c r="AC91" s="16">
        <f>IF(AC68=1,VLOOKUP($A91,'[4]Données investissements'!$A$48:$D$65,2,FALSE),IF(AC44&lt;&gt;0,VLOOKUP($A68,'[4]Données investissements'!$A$48:$D$65,4,FALSE),0))</f>
        <v>0</v>
      </c>
      <c r="AD91" s="16">
        <f>IF(AD68=1,VLOOKUP($A91,'[4]Données investissements'!$A$48:$D$65,2,FALSE),IF(AD44&lt;&gt;0,VLOOKUP($A68,'[4]Données investissements'!$A$48:$D$65,4,FALSE),0))</f>
        <v>0</v>
      </c>
      <c r="AE91" s="16">
        <f>IF(AE68=1,VLOOKUP($A91,'[4]Données investissements'!$A$48:$D$65,2,FALSE),IF(AE44&lt;&gt;0,VLOOKUP($A68,'[4]Données investissements'!$A$48:$D$65,4,FALSE),0))</f>
        <v>0</v>
      </c>
      <c r="AF91" s="16">
        <f>IF(AF68=1,VLOOKUP($A91,'[4]Données investissements'!$A$48:$D$65,2,FALSE),IF(AF44&lt;&gt;0,VLOOKUP($A68,'[4]Données investissements'!$A$48:$D$65,4,FALSE),0))</f>
        <v>0</v>
      </c>
      <c r="AG91" s="16">
        <f>IF(AG68=1,VLOOKUP($A91,'[4]Données investissements'!$A$48:$D$65,2,FALSE),IF(AG44&lt;&gt;0,VLOOKUP($A68,'[4]Données investissements'!$A$48:$D$65,4,FALSE),0))</f>
        <v>0</v>
      </c>
      <c r="AH91" s="16">
        <f>IF(AH68=1,VLOOKUP($A91,'[4]Données investissements'!$A$48:$D$65,2,FALSE),IF(AH44&lt;&gt;0,VLOOKUP($A68,'[4]Données investissements'!$A$48:$D$65,4,FALSE),0))</f>
        <v>0</v>
      </c>
      <c r="AI91" s="16">
        <f>IF(AI68=1,VLOOKUP($A91,'[4]Données investissements'!$A$48:$D$65,2,FALSE),IF(AI44&lt;&gt;0,VLOOKUP($A68,'[4]Données investissements'!$A$48:$D$65,4,FALSE),0))</f>
        <v>0</v>
      </c>
      <c r="AJ91" s="16">
        <f>IF(AJ68=1,VLOOKUP($A91,'[4]Données investissements'!$A$48:$D$65,2,FALSE),IF(AJ44&lt;&gt;0,VLOOKUP($A68,'[4]Données investissements'!$A$48:$D$65,4,FALSE),0))</f>
        <v>0</v>
      </c>
      <c r="AK91" s="16">
        <f>IF(AK68=1,VLOOKUP($A91,'[4]Données investissements'!$A$48:$D$65,2,FALSE),IF(AK44&lt;&gt;0,VLOOKUP($A68,'[4]Données investissements'!$A$48:$D$65,4,FALSE),0))</f>
        <v>0</v>
      </c>
      <c r="AL91" s="16">
        <f>IF(AL68=1,VLOOKUP($A91,'[4]Données investissements'!$A$48:$D$65,2,FALSE),IF(AL44&lt;&gt;0,VLOOKUP($A68,'[4]Données investissements'!$A$48:$D$65,4,FALSE),0))</f>
        <v>0</v>
      </c>
      <c r="AM91" s="16">
        <f>IF(AM68=1,VLOOKUP($A91,'[4]Données investissements'!$A$48:$D$65,2,FALSE),IF(AM44&lt;&gt;0,VLOOKUP($A68,'[4]Données investissements'!$A$48:$D$65,4,FALSE),0))</f>
        <v>0</v>
      </c>
      <c r="AN91" s="16">
        <f>IF(AN68=1,VLOOKUP($A91,'[4]Données investissements'!$A$48:$D$65,2,FALSE),IF(AN44&lt;&gt;0,VLOOKUP($A68,'[4]Données investissements'!$A$48:$D$65,4,FALSE),0))</f>
        <v>0</v>
      </c>
      <c r="AO91" s="16">
        <f>IF(AO68=1,VLOOKUP($A91,'[4]Données investissements'!$A$48:$D$65,2,FALSE),IF(AO44&lt;&gt;0,VLOOKUP($A68,'[4]Données investissements'!$A$48:$D$65,4,FALSE),0))</f>
        <v>0</v>
      </c>
      <c r="AP91" s="16">
        <f>IF(AP68=1,VLOOKUP($A91,'[4]Données investissements'!$A$48:$D$65,2,FALSE),IF(AP44&lt;&gt;0,VLOOKUP($A68,'[4]Données investissements'!$A$48:$D$65,4,FALSE),0))</f>
        <v>0</v>
      </c>
      <c r="AQ91" s="16">
        <f>IF(AQ68=1,VLOOKUP($A91,'[4]Données investissements'!$A$48:$D$65,2,FALSE),IF(AQ44&lt;&gt;0,VLOOKUP($A68,'[4]Données investissements'!$A$48:$D$65,4,FALSE),0))</f>
        <v>0</v>
      </c>
      <c r="AR91" s="16">
        <f>IF(AR68=1,VLOOKUP($A91,'[4]Données investissements'!$A$48:$D$65,2,FALSE),IF(AR44&lt;&gt;0,VLOOKUP($A68,'[4]Données investissements'!$A$48:$D$65,4,FALSE),0))</f>
        <v>0</v>
      </c>
      <c r="AS91" s="16">
        <f>IF(AS68=1,VLOOKUP($A91,'[4]Données investissements'!$A$48:$D$65,2,FALSE),IF(AS44&lt;&gt;0,VLOOKUP($A68,'[4]Données investissements'!$A$48:$D$65,4,FALSE),0))</f>
        <v>0</v>
      </c>
      <c r="AT91" s="16">
        <f>IF(AT68=1,VLOOKUP($A91,'[4]Données investissements'!$A$48:$D$65,2,FALSE),IF(AT44&lt;&gt;0,VLOOKUP($A68,'[4]Données investissements'!$A$48:$D$65,4,FALSE),0))</f>
        <v>0</v>
      </c>
      <c r="AU91" s="16">
        <f>IF(AU68=1,VLOOKUP($A91,'[4]Données investissements'!$A$48:$D$65,2,FALSE),IF(AU44&lt;&gt;0,VLOOKUP($A68,'[4]Données investissements'!$A$48:$D$65,4,FALSE),0))</f>
        <v>0</v>
      </c>
      <c r="AV91" s="16">
        <f>IF(AV68=1,VLOOKUP($A91,'[4]Données investissements'!$A$48:$D$65,2,FALSE),IF(AV44&lt;&gt;0,VLOOKUP($A68,'[4]Données investissements'!$A$48:$D$65,4,FALSE),0))</f>
        <v>0</v>
      </c>
      <c r="AW91" s="16">
        <f>IF(AW68=1,VLOOKUP($A91,'[4]Données investissements'!$A$48:$D$65,2,FALSE),IF(AW44&lt;&gt;0,VLOOKUP($A68,'[4]Données investissements'!$A$48:$D$65,4,FALSE),0))</f>
        <v>0</v>
      </c>
      <c r="AX91" s="16">
        <f>IF(AX68=1,VLOOKUP($A91,'[4]Données investissements'!$A$48:$D$65,2,FALSE),IF(AX44&lt;&gt;0,VLOOKUP($A68,'[4]Données investissements'!$A$48:$D$65,4,FALSE),0))</f>
        <v>0</v>
      </c>
      <c r="AY91" s="16">
        <f>IF(AY68=1,VLOOKUP($A91,'[4]Données investissements'!$A$48:$D$65,2,FALSE),IF(AY44&lt;&gt;0,VLOOKUP($A68,'[4]Données investissements'!$A$48:$D$65,4,FALSE),0))</f>
        <v>0</v>
      </c>
      <c r="AZ91" s="16">
        <f>IF(AZ68=1,VLOOKUP($A91,'[4]Données investissements'!$A$48:$D$65,2,FALSE),IF(AZ44&lt;&gt;0,VLOOKUP($A68,'[4]Données investissements'!$A$48:$D$65,4,FALSE),0))</f>
        <v>0</v>
      </c>
      <c r="BA91" s="16">
        <f>IF(BA68=1,VLOOKUP($A91,'[4]Données investissements'!$A$48:$D$65,2,FALSE),IF(BA44&lt;&gt;0,VLOOKUP($A68,'[4]Données investissements'!$A$48:$D$65,4,FALSE),0))</f>
        <v>0</v>
      </c>
      <c r="BB91" s="16">
        <f>IF(BB68=1,VLOOKUP($A91,'[4]Données investissements'!$A$48:$D$65,2,FALSE),IF(BB44&lt;&gt;0,VLOOKUP($A68,'[4]Données investissements'!$A$48:$D$65,4,FALSE),0))</f>
        <v>0</v>
      </c>
      <c r="BC91" s="16">
        <f>IF(BC68=1,VLOOKUP($A91,'[4]Données investissements'!$A$48:$D$65,2,FALSE),IF(BC44&lt;&gt;0,VLOOKUP($A68,'[4]Données investissements'!$A$48:$D$65,4,FALSE),0))</f>
        <v>0</v>
      </c>
      <c r="BD91" s="16">
        <f>IF(BD68=1,VLOOKUP($A91,'[4]Données investissements'!$A$48:$D$65,2,FALSE),IF(BD44&lt;&gt;0,VLOOKUP($A68,'[4]Données investissements'!$A$48:$D$65,4,FALSE),0))</f>
        <v>0</v>
      </c>
      <c r="BE91" s="16">
        <f>IF(BE68=1,VLOOKUP($A91,'[4]Données investissements'!$A$48:$D$65,2,FALSE),IF(BE44&lt;&gt;0,VLOOKUP($A68,'[4]Données investissements'!$A$48:$D$65,4,FALSE),0))</f>
        <v>0</v>
      </c>
      <c r="BF91" s="16">
        <f>IF(BF68=1,VLOOKUP($A91,'[4]Données investissements'!$A$48:$D$65,2,FALSE),IF(BF44&lt;&gt;0,VLOOKUP($A68,'[4]Données investissements'!$A$48:$D$65,4,FALSE),0))</f>
        <v>0</v>
      </c>
      <c r="BG91" s="16">
        <f>IF(BG68=1,VLOOKUP($A91,'[4]Données investissements'!$A$48:$D$65,2,FALSE),IF(BG44&lt;&gt;0,VLOOKUP($A68,'[4]Données investissements'!$A$48:$D$65,4,FALSE),0))</f>
        <v>0</v>
      </c>
      <c r="BH91" s="16">
        <f>IF(BH68=1,VLOOKUP($A91,'[4]Données investissements'!$A$48:$D$65,2,FALSE),IF(BH44&lt;&gt;0,VLOOKUP($A68,'[4]Données investissements'!$A$48:$D$65,4,FALSE),0))</f>
        <v>0</v>
      </c>
      <c r="BI91" s="16">
        <f>IF(BI68=1,VLOOKUP($A91,'[4]Données investissements'!$A$48:$D$65,2,FALSE),IF(BI44&lt;&gt;0,VLOOKUP($A68,'[4]Données investissements'!$A$48:$D$65,4,FALSE),0))</f>
        <v>0</v>
      </c>
      <c r="BJ91" s="16">
        <f>IF(BJ68=1,VLOOKUP($A91,'[4]Données investissements'!$A$48:$D$65,2,FALSE),IF(BJ44&lt;&gt;0,VLOOKUP($A68,'[4]Données investissements'!$A$48:$D$65,4,FALSE),0))</f>
        <v>0</v>
      </c>
      <c r="BK91" s="16">
        <f>IF(BK68=1,VLOOKUP($A91,'[4]Données investissements'!$A$48:$D$65,2,FALSE),IF(BK44&lt;&gt;0,VLOOKUP($A68,'[4]Données investissements'!$A$48:$D$65,4,FALSE),0))</f>
        <v>0</v>
      </c>
      <c r="BL91" s="16">
        <f>IF(BL68=1,VLOOKUP($A91,'[4]Données investissements'!$A$48:$D$65,2,FALSE),IF(BL44&lt;&gt;0,VLOOKUP($A68,'[4]Données investissements'!$A$48:$D$65,4,FALSE),0))</f>
        <v>0</v>
      </c>
      <c r="BM91" s="16">
        <f>IF(BM68=1,VLOOKUP($A91,'[4]Données investissements'!$A$48:$D$65,2,FALSE),IF(BM44&lt;&gt;0,VLOOKUP($A68,'[4]Données investissements'!$A$48:$D$65,4,FALSE),0))</f>
        <v>0</v>
      </c>
      <c r="BN91" s="16">
        <f>IF(BN68=1,VLOOKUP($A91,'[4]Données investissements'!$A$48:$D$65,2,FALSE),IF(BN44&lt;&gt;0,VLOOKUP($A68,'[4]Données investissements'!$A$48:$D$65,4,FALSE),0))</f>
        <v>0</v>
      </c>
      <c r="BO91" s="16">
        <f>IF(BO68=1,VLOOKUP($A91,'[4]Données investissements'!$A$48:$D$65,2,FALSE),IF(BO44&lt;&gt;0,VLOOKUP($A68,'[4]Données investissements'!$A$48:$D$65,4,FALSE),0))</f>
        <v>0</v>
      </c>
      <c r="BP91" s="16">
        <f>IF(BP68=1,VLOOKUP($A91,'[4]Données investissements'!$A$48:$D$65,2,FALSE),IF(BP44&lt;&gt;0,VLOOKUP($A68,'[4]Données investissements'!$A$48:$D$65,4,FALSE),0))</f>
        <v>0</v>
      </c>
      <c r="BQ91" s="16">
        <f>IF(BQ68=1,VLOOKUP($A91,'[4]Données investissements'!$A$48:$D$65,2,FALSE),IF(BQ44&lt;&gt;0,VLOOKUP($A68,'[4]Données investissements'!$A$48:$D$65,4,FALSE),0))</f>
        <v>0</v>
      </c>
      <c r="BR91" s="16">
        <f>IF(BR68=1,VLOOKUP($A91,'[4]Données investissements'!$A$48:$D$65,2,FALSE),IF(BR44&lt;&gt;0,VLOOKUP($A68,'[4]Données investissements'!$A$48:$D$65,4,FALSE),0))</f>
        <v>0</v>
      </c>
      <c r="BS91" s="16">
        <f>IF(BS68=1,VLOOKUP($A91,'[4]Données investissements'!$A$48:$D$65,2,FALSE),IF(BS44&lt;&gt;0,VLOOKUP($A68,'[4]Données investissements'!$A$48:$D$65,4,FALSE),0))</f>
        <v>0</v>
      </c>
      <c r="BT91" s="16">
        <f>IF(BT68=1,VLOOKUP($A91,'[4]Données investissements'!$A$48:$D$65,2,FALSE),IF(BT44&lt;&gt;0,VLOOKUP($A68,'[4]Données investissements'!$A$48:$D$65,4,FALSE),0))</f>
        <v>0</v>
      </c>
      <c r="BU91" s="16">
        <f>IF(BU68=1,VLOOKUP($A91,'[4]Données investissements'!$A$48:$D$65,2,FALSE),IF(BU44&lt;&gt;0,VLOOKUP($A68,'[4]Données investissements'!$A$48:$D$65,4,FALSE),0))</f>
        <v>0</v>
      </c>
      <c r="BV91" s="16">
        <f>IF(BV68=1,VLOOKUP($A91,'[4]Données investissements'!$A$48:$D$65,2,FALSE),IF(BV44&lt;&gt;0,VLOOKUP($A68,'[4]Données investissements'!$A$48:$D$65,4,FALSE),0))</f>
        <v>0</v>
      </c>
      <c r="BW91" s="16">
        <f>IF(BW68=1,VLOOKUP($A91,'[4]Données investissements'!$A$48:$D$65,2,FALSE),IF(BW44&lt;&gt;0,VLOOKUP($A68,'[4]Données investissements'!$A$48:$D$65,4,FALSE),0))</f>
        <v>0</v>
      </c>
      <c r="BX91" s="16">
        <f>IF(BX68=1,VLOOKUP($A91,'[4]Données investissements'!$A$48:$D$65,2,FALSE),IF(BX44&lt;&gt;0,VLOOKUP($A68,'[4]Données investissements'!$A$48:$D$65,4,FALSE),0))</f>
        <v>0</v>
      </c>
      <c r="BY91" s="16">
        <f>IF(BY68=1,VLOOKUP($A91,'[4]Données investissements'!$A$48:$D$65,2,FALSE),IF(BY44&lt;&gt;0,VLOOKUP($A68,'[4]Données investissements'!$A$48:$D$65,4,FALSE),0))</f>
        <v>0</v>
      </c>
      <c r="BZ91" s="16">
        <f>IF(BZ68=1,VLOOKUP($A91,'[4]Données investissements'!$A$48:$D$65,2,FALSE),IF(BZ44&lt;&gt;0,VLOOKUP($A68,'[4]Données investissements'!$A$48:$D$65,4,FALSE),0))</f>
        <v>0</v>
      </c>
      <c r="CA91" s="16">
        <f>IF(CA68=1,VLOOKUP($A91,'[4]Données investissements'!$A$48:$D$65,2,FALSE),IF(CA44&lt;&gt;0,VLOOKUP($A68,'[4]Données investissements'!$A$48:$D$65,4,FALSE),0))</f>
        <v>0</v>
      </c>
      <c r="CB91" s="16">
        <f>IF(CB68=1,VLOOKUP($A91,'[4]Données investissements'!$A$48:$D$65,2,FALSE),IF(CB44&lt;&gt;0,VLOOKUP($A68,'[4]Données investissements'!$A$48:$D$65,4,FALSE),0))</f>
        <v>0</v>
      </c>
      <c r="CC91" s="16">
        <f>IF(CC68=1,VLOOKUP($A91,'[4]Données investissements'!$A$48:$D$65,2,FALSE),IF(CC44&lt;&gt;0,VLOOKUP($A68,'[4]Données investissements'!$A$48:$D$65,4,FALSE),0))</f>
        <v>0</v>
      </c>
      <c r="CD91" s="16">
        <f>IF(CD68=1,VLOOKUP($A91,'[4]Données investissements'!$A$48:$D$65,2,FALSE),IF(CD44&lt;&gt;0,VLOOKUP($A68,'[4]Données investissements'!$A$48:$D$65,4,FALSE),0))</f>
        <v>0</v>
      </c>
      <c r="CE91" s="16">
        <f>IF(CE68=1,VLOOKUP($A91,'[4]Données investissements'!$A$48:$D$65,2,FALSE),IF(CE44&lt;&gt;0,VLOOKUP($A68,'[4]Données investissements'!$A$48:$D$65,4,FALSE),0))</f>
        <v>0</v>
      </c>
      <c r="CF91" s="16">
        <f>IF(CF68=1,VLOOKUP($A91,'[4]Données investissements'!$A$48:$D$65,2,FALSE),IF(CF44&lt;&gt;0,VLOOKUP($A68,'[4]Données investissements'!$A$48:$D$65,4,FALSE),0))</f>
        <v>0</v>
      </c>
      <c r="CG91" s="16">
        <f>IF(CG68=1,VLOOKUP($A91,'[4]Données investissements'!$A$48:$D$65,2,FALSE),IF(CG44&lt;&gt;0,VLOOKUP($A68,'[4]Données investissements'!$A$48:$D$65,4,FALSE),0))</f>
        <v>0</v>
      </c>
      <c r="CH91" s="16">
        <f>IF(CH68=1,VLOOKUP($A91,'[4]Données investissements'!$A$48:$D$65,2,FALSE),IF(CH44&lt;&gt;0,VLOOKUP($A68,'[4]Données investissements'!$A$48:$D$65,4,FALSE),0))</f>
        <v>0</v>
      </c>
      <c r="CI91" s="16">
        <f>IF(CI68=1,VLOOKUP($A91,'[4]Données investissements'!$A$48:$D$65,2,FALSE),IF(CI44&lt;&gt;0,VLOOKUP($A68,'[4]Données investissements'!$A$48:$D$65,4,FALSE),0))</f>
        <v>0</v>
      </c>
      <c r="CJ91" s="16">
        <f>IF(CJ68=1,VLOOKUP($A91,'[4]Données investissements'!$A$48:$D$65,2,FALSE),IF(CJ44&lt;&gt;0,VLOOKUP($A68,'[4]Données investissements'!$A$48:$D$65,4,FALSE),0))</f>
        <v>0</v>
      </c>
      <c r="CK91" s="16">
        <f>IF(CK68=1,VLOOKUP($A91,'[4]Données investissements'!$A$48:$D$65,2,FALSE),IF(CK44&lt;&gt;0,VLOOKUP($A68,'[4]Données investissements'!$A$48:$D$65,4,FALSE),0))</f>
        <v>0</v>
      </c>
      <c r="CL91" s="16">
        <f>IF(CL68=1,VLOOKUP($A91,'[4]Données investissements'!$A$48:$D$65,2,FALSE),IF(CL44&lt;&gt;0,VLOOKUP($A68,'[4]Données investissements'!$A$48:$D$65,4,FALSE),0))</f>
        <v>0</v>
      </c>
      <c r="CM91" s="16">
        <f>IF(CM68=1,VLOOKUP($A91,'[4]Données investissements'!$A$48:$D$65,2,FALSE),IF(CM44&lt;&gt;0,VLOOKUP($A68,'[4]Données investissements'!$A$48:$D$65,4,FALSE),0))</f>
        <v>0</v>
      </c>
      <c r="CN91" s="16">
        <f>IF(CN68=1,VLOOKUP($A91,'[4]Données investissements'!$A$48:$D$65,2,FALSE),IF(CN44&lt;&gt;0,VLOOKUP($A68,'[4]Données investissements'!$A$48:$D$65,4,FALSE),0))</f>
        <v>0</v>
      </c>
      <c r="CO91" s="16">
        <f>IF(CO68=1,VLOOKUP($A91,'[4]Données investissements'!$A$48:$D$65,2,FALSE),IF(CO44&lt;&gt;0,VLOOKUP($A68,'[4]Données investissements'!$A$48:$D$65,4,FALSE),0))</f>
        <v>0</v>
      </c>
      <c r="CP91" s="16">
        <f>IF(CP68=1,VLOOKUP($A91,'[4]Données investissements'!$A$48:$D$65,2,FALSE),IF(CP44&lt;&gt;0,VLOOKUP($A68,'[4]Données investissements'!$A$48:$D$65,4,FALSE),0))</f>
        <v>0</v>
      </c>
      <c r="CQ91" s="16">
        <f>IF(CQ68=1,VLOOKUP($A91,'[4]Données investissements'!$A$48:$D$65,2,FALSE),IF(CQ44&lt;&gt;0,VLOOKUP($A68,'[4]Données investissements'!$A$48:$D$65,4,FALSE),0))</f>
        <v>0</v>
      </c>
      <c r="CR91" s="16">
        <f>IF(CR68=1,VLOOKUP($A91,'[4]Données investissements'!$A$48:$D$65,2,FALSE),IF(CR44&lt;&gt;0,VLOOKUP($A68,'[4]Données investissements'!$A$48:$D$65,4,FALSE),0))</f>
        <v>0</v>
      </c>
      <c r="CS91" s="16">
        <f>IF(CS68=1,VLOOKUP($A91,'[4]Données investissements'!$A$48:$D$65,2,FALSE),IF(CS44&lt;&gt;0,VLOOKUP($A68,'[4]Données investissements'!$A$48:$D$65,4,FALSE),0))</f>
        <v>0</v>
      </c>
      <c r="CT91" s="16">
        <f>IF(CT68=1,VLOOKUP($A91,'[4]Données investissements'!$A$48:$D$65,2,FALSE),IF(CT44&lt;&gt;0,VLOOKUP($A68,'[4]Données investissements'!$A$48:$D$65,4,FALSE),0))</f>
        <v>0</v>
      </c>
      <c r="CU91" s="16">
        <f>IF(CU68=1,VLOOKUP($A91,'[4]Données investissements'!$A$48:$D$65,2,FALSE),IF(CU44&lt;&gt;0,VLOOKUP($A68,'[4]Données investissements'!$A$48:$D$65,4,FALSE),0))</f>
        <v>0</v>
      </c>
      <c r="CV91" s="16">
        <f>IF(CV68=1,VLOOKUP($A91,'[4]Données investissements'!$A$48:$D$65,2,FALSE),IF(CV44&lt;&gt;0,VLOOKUP($A68,'[4]Données investissements'!$A$48:$D$65,4,FALSE),0))</f>
        <v>0</v>
      </c>
      <c r="CW91" s="16">
        <f>IF(CW68=1,VLOOKUP($A91,'[4]Données investissements'!$A$48:$D$65,2,FALSE),IF(CW44&lt;&gt;0,VLOOKUP($A68,'[4]Données investissements'!$A$48:$D$65,4,FALSE),0))</f>
        <v>0</v>
      </c>
      <c r="CX91" s="16">
        <f>IF(CX68=1,VLOOKUP($A91,'[4]Données investissements'!$A$48:$D$65,2,FALSE),IF(CX44&lt;&gt;0,VLOOKUP($A68,'[4]Données investissements'!$A$48:$D$65,4,FALSE),0))</f>
        <v>0</v>
      </c>
      <c r="CY91" s="16">
        <f>IF(CY68=1,VLOOKUP($A91,'[4]Données investissements'!$A$48:$D$65,2,FALSE),IF(CY44&lt;&gt;0,VLOOKUP($A68,'[4]Données investissements'!$A$48:$D$65,4,FALSE),0))</f>
        <v>0</v>
      </c>
      <c r="CZ91" s="16">
        <f>IF(CZ68=1,VLOOKUP($A91,'[4]Données investissements'!$A$48:$D$65,2,FALSE),IF(CZ44&lt;&gt;0,VLOOKUP($A68,'[4]Données investissements'!$A$48:$D$65,4,FALSE),0))</f>
        <v>0</v>
      </c>
      <c r="DA91" s="16">
        <f>IF(DA68=1,VLOOKUP($A91,'[4]Données investissements'!$A$48:$D$65,2,FALSE),IF(DA44&lt;&gt;0,VLOOKUP($A68,'[4]Données investissements'!$A$48:$D$65,4,FALSE),0))</f>
        <v>0</v>
      </c>
      <c r="DB91" s="16">
        <f>IF(DB68=1,VLOOKUP($A91,'[4]Données investissements'!$A$48:$D$65,2,FALSE),IF(DB44&lt;&gt;0,VLOOKUP($A68,'[4]Données investissements'!$A$48:$D$65,4,FALSE),0))</f>
        <v>0</v>
      </c>
      <c r="DC91" s="16">
        <f>IF(DC68=1,VLOOKUP($A91,'[4]Données investissements'!$A$48:$D$65,2,FALSE),IF(DC44&lt;&gt;0,VLOOKUP($A68,'[4]Données investissements'!$A$48:$D$65,4,FALSE),0))</f>
        <v>0</v>
      </c>
      <c r="DD91" s="16">
        <f>IF(DD68=1,VLOOKUP($A91,'[4]Données investissements'!$A$48:$D$65,2,FALSE),IF(DD44&lt;&gt;0,VLOOKUP($A68,'[4]Données investissements'!$A$48:$D$65,4,FALSE),0))</f>
        <v>0</v>
      </c>
      <c r="DE91" s="16">
        <f>IF(DE68=1,VLOOKUP($A91,'[4]Données investissements'!$A$48:$D$65,2,FALSE),IF(DE44&lt;&gt;0,VLOOKUP($A68,'[4]Données investissements'!$A$48:$D$65,4,FALSE),0))</f>
        <v>0</v>
      </c>
      <c r="DF91" s="16">
        <f>IF(DF68=1,VLOOKUP($A91,'[4]Données investissements'!$A$48:$D$65,2,FALSE),IF(DF44&lt;&gt;0,VLOOKUP($A68,'[4]Données investissements'!$A$48:$D$65,4,FALSE),0))</f>
        <v>0</v>
      </c>
    </row>
    <row r="92" spans="1:110" ht="12.75" hidden="1" customHeight="1" x14ac:dyDescent="0.2">
      <c r="A92" s="15" t="str">
        <f t="shared" si="40"/>
        <v>Projet</v>
      </c>
      <c r="B92" s="16">
        <f t="shared" si="40"/>
        <v>4.9000000000000004</v>
      </c>
      <c r="C92" s="16">
        <f>IF(C69=1,VLOOKUP($A92,'[4]Données investissements'!$A$48:$D$65,2,FALSE),IF(C45&lt;&gt;0,VLOOKUP($A69,'[4]Données investissements'!$A$48:$D$65,4,FALSE),0))</f>
        <v>0</v>
      </c>
      <c r="D92" s="16">
        <f>IF(D69=1,VLOOKUP($A92,'[4]Données investissements'!$A$48:$D$65,2,FALSE),IF(D45&lt;&gt;0,VLOOKUP($A69,'[4]Données investissements'!$A$48:$D$65,4,FALSE),0))</f>
        <v>0</v>
      </c>
      <c r="E92" s="16">
        <f>IF(E69=1,VLOOKUP($A92,'[4]Données investissements'!$A$48:$D$65,2,FALSE),IF(E45&lt;&gt;0,VLOOKUP($A69,'[4]Données investissements'!$A$48:$D$65,4,FALSE),0))</f>
        <v>0</v>
      </c>
      <c r="F92" s="16">
        <f>IF(F69=1,VLOOKUP($A92,'[4]Données investissements'!$A$48:$D$65,2,FALSE),IF(F45&lt;&gt;0,VLOOKUP($A69,'[4]Données investissements'!$A$48:$D$65,4,FALSE),0))</f>
        <v>0</v>
      </c>
      <c r="G92" s="16">
        <f>IF(G69=1,VLOOKUP($A92,'[4]Données investissements'!$A$48:$D$65,2,FALSE),IF(G45&lt;&gt;0,VLOOKUP($A69,'[4]Données investissements'!$A$48:$D$65,4,FALSE),0))</f>
        <v>0</v>
      </c>
      <c r="H92" s="16">
        <f>IF(H69=1,VLOOKUP($A92,'[4]Données investissements'!$A$48:$D$65,2,FALSE),IF(H45&lt;&gt;0,VLOOKUP($A69,'[4]Données investissements'!$A$48:$D$65,4,FALSE),0))</f>
        <v>0</v>
      </c>
      <c r="I92" s="16">
        <f>IF(I69=1,VLOOKUP($A92,'[4]Données investissements'!$A$48:$D$65,2,FALSE),IF(I45&lt;&gt;0,VLOOKUP($A69,'[4]Données investissements'!$A$48:$D$65,4,FALSE),0))</f>
        <v>0</v>
      </c>
      <c r="J92" s="16">
        <f>IF(J69=1,VLOOKUP($A92,'[4]Données investissements'!$A$48:$D$65,2,FALSE),IF(J45&lt;&gt;0,VLOOKUP($A69,'[4]Données investissements'!$A$48:$D$65,4,FALSE),0))</f>
        <v>0</v>
      </c>
      <c r="K92" s="16">
        <f>IF(K69=1,VLOOKUP($A92,'[4]Données investissements'!$A$48:$D$65,2,FALSE),IF(K45&lt;&gt;0,VLOOKUP($A69,'[4]Données investissements'!$A$48:$D$65,4,FALSE),0))</f>
        <v>0</v>
      </c>
      <c r="L92" s="16">
        <f>IF(L69=1,VLOOKUP($A92,'[4]Données investissements'!$A$48:$D$65,2,FALSE),IF(L45&lt;&gt;0,VLOOKUP($A69,'[4]Données investissements'!$A$48:$D$65,4,FALSE),0))</f>
        <v>0</v>
      </c>
      <c r="M92" s="16">
        <f>IF(M69=1,VLOOKUP($A92,'[4]Données investissements'!$A$48:$D$65,2,FALSE),IF(M45&lt;&gt;0,VLOOKUP($A69,'[4]Données investissements'!$A$48:$D$65,4,FALSE),0))</f>
        <v>0</v>
      </c>
      <c r="N92" s="16">
        <f>IF(N69=1,VLOOKUP($A92,'[4]Données investissements'!$A$48:$D$65,2,FALSE),IF(N45&lt;&gt;0,VLOOKUP($A69,'[4]Données investissements'!$A$48:$D$65,4,FALSE),0))</f>
        <v>0</v>
      </c>
      <c r="O92" s="16">
        <f>IF(O69=1,VLOOKUP($A92,'[4]Données investissements'!$A$48:$D$65,2,FALSE),IF(O45&lt;&gt;0,VLOOKUP($A69,'[4]Données investissements'!$A$48:$D$65,4,FALSE),0))</f>
        <v>0</v>
      </c>
      <c r="P92" s="16">
        <f>IF(P69=1,VLOOKUP($A92,'[4]Données investissements'!$A$48:$D$65,2,FALSE),IF(P45&lt;&gt;0,VLOOKUP($A69,'[4]Données investissements'!$A$48:$D$65,4,FALSE),0))</f>
        <v>0</v>
      </c>
      <c r="Q92" s="16">
        <f>IF(Q69=1,VLOOKUP($A92,'[4]Données investissements'!$A$48:$D$65,2,FALSE),IF(Q45&lt;&gt;0,VLOOKUP($A69,'[4]Données investissements'!$A$48:$D$65,4,FALSE),0))</f>
        <v>0</v>
      </c>
      <c r="R92" s="16">
        <f>IF(R69=1,VLOOKUP($A92,'[4]Données investissements'!$A$48:$D$65,2,FALSE),IF(R45&lt;&gt;0,VLOOKUP($A69,'[4]Données investissements'!$A$48:$D$65,4,FALSE),0))</f>
        <v>0</v>
      </c>
      <c r="S92" s="16">
        <f>IF(S69=1,VLOOKUP($A92,'[4]Données investissements'!$A$48:$D$65,2,FALSE),IF(S45&lt;&gt;0,VLOOKUP($A69,'[4]Données investissements'!$A$48:$D$65,4,FALSE),0))</f>
        <v>0</v>
      </c>
      <c r="T92" s="16">
        <f>IF(T69=1,VLOOKUP($A92,'[4]Données investissements'!$A$48:$D$65,2,FALSE),IF(T45&lt;&gt;0,VLOOKUP($A69,'[4]Données investissements'!$A$48:$D$65,4,FALSE),0))</f>
        <v>0</v>
      </c>
      <c r="U92" s="16">
        <f>IF(U69=1,VLOOKUP($A92,'[4]Données investissements'!$A$48:$D$65,2,FALSE),IF(U45&lt;&gt;0,VLOOKUP($A69,'[4]Données investissements'!$A$48:$D$65,4,FALSE),0))</f>
        <v>0</v>
      </c>
      <c r="V92" s="16">
        <f>IF(V69=1,VLOOKUP($A92,'[4]Données investissements'!$A$48:$D$65,2,FALSE),IF(V45&lt;&gt;0,VLOOKUP($A69,'[4]Données investissements'!$A$48:$D$65,4,FALSE),0))</f>
        <v>0</v>
      </c>
      <c r="W92" s="16">
        <f>IF(W69=1,VLOOKUP($A92,'[4]Données investissements'!$A$48:$D$65,2,FALSE),IF(W45&lt;&gt;0,VLOOKUP($A69,'[4]Données investissements'!$A$48:$D$65,4,FALSE),0))</f>
        <v>0</v>
      </c>
      <c r="X92" s="16">
        <f>IF(X69=1,VLOOKUP($A92,'[4]Données investissements'!$A$48:$D$65,2,FALSE),IF(X45&lt;&gt;0,VLOOKUP($A69,'[4]Données investissements'!$A$48:$D$65,4,FALSE),0))</f>
        <v>0</v>
      </c>
      <c r="Y92" s="16">
        <f>IF(Y69=1,VLOOKUP($A92,'[4]Données investissements'!$A$48:$D$65,2,FALSE),IF(Y45&lt;&gt;0,VLOOKUP($A69,'[4]Données investissements'!$A$48:$D$65,4,FALSE),0))</f>
        <v>0</v>
      </c>
      <c r="Z92" s="16">
        <f>IF(Z69=1,VLOOKUP($A92,'[4]Données investissements'!$A$48:$D$65,2,FALSE),IF(Z45&lt;&gt;0,VLOOKUP($A69,'[4]Données investissements'!$A$48:$D$65,4,FALSE),0))</f>
        <v>0</v>
      </c>
      <c r="AA92" s="16">
        <f>IF(AA69=1,VLOOKUP($A92,'[4]Données investissements'!$A$48:$D$65,2,FALSE),IF(AA45&lt;&gt;0,VLOOKUP($A69,'[4]Données investissements'!$A$48:$D$65,4,FALSE),0))</f>
        <v>0</v>
      </c>
      <c r="AB92" s="16">
        <f>IF(AB69=1,VLOOKUP($A92,'[4]Données investissements'!$A$48:$D$65,2,FALSE),IF(AB45&lt;&gt;0,VLOOKUP($A69,'[4]Données investissements'!$A$48:$D$65,4,FALSE),0))</f>
        <v>0</v>
      </c>
      <c r="AC92" s="16">
        <f>IF(AC69=1,VLOOKUP($A92,'[4]Données investissements'!$A$48:$D$65,2,FALSE),IF(AC45&lt;&gt;0,VLOOKUP($A69,'[4]Données investissements'!$A$48:$D$65,4,FALSE),0))</f>
        <v>0</v>
      </c>
      <c r="AD92" s="16">
        <f>IF(AD69=1,VLOOKUP($A92,'[4]Données investissements'!$A$48:$D$65,2,FALSE),IF(AD45&lt;&gt;0,VLOOKUP($A69,'[4]Données investissements'!$A$48:$D$65,4,FALSE),0))</f>
        <v>0</v>
      </c>
      <c r="AE92" s="16">
        <f>IF(AE69=1,VLOOKUP($A92,'[4]Données investissements'!$A$48:$D$65,2,FALSE),IF(AE45&lt;&gt;0,VLOOKUP($A69,'[4]Données investissements'!$A$48:$D$65,4,FALSE),0))</f>
        <v>0</v>
      </c>
      <c r="AF92" s="16">
        <f>IF(AF69=1,VLOOKUP($A92,'[4]Données investissements'!$A$48:$D$65,2,FALSE),IF(AF45&lt;&gt;0,VLOOKUP($A69,'[4]Données investissements'!$A$48:$D$65,4,FALSE),0))</f>
        <v>0</v>
      </c>
      <c r="AG92" s="16">
        <f>IF(AG69=1,VLOOKUP($A92,'[4]Données investissements'!$A$48:$D$65,2,FALSE),IF(AG45&lt;&gt;0,VLOOKUP($A69,'[4]Données investissements'!$A$48:$D$65,4,FALSE),0))</f>
        <v>0</v>
      </c>
      <c r="AH92" s="16">
        <f>IF(AH69=1,VLOOKUP($A92,'[4]Données investissements'!$A$48:$D$65,2,FALSE),IF(AH45&lt;&gt;0,VLOOKUP($A69,'[4]Données investissements'!$A$48:$D$65,4,FALSE),0))</f>
        <v>0</v>
      </c>
      <c r="AI92" s="16">
        <f>IF(AI69=1,VLOOKUP($A92,'[4]Données investissements'!$A$48:$D$65,2,FALSE),IF(AI45&lt;&gt;0,VLOOKUP($A69,'[4]Données investissements'!$A$48:$D$65,4,FALSE),0))</f>
        <v>0</v>
      </c>
      <c r="AJ92" s="16">
        <f>IF(AJ69=1,VLOOKUP($A92,'[4]Données investissements'!$A$48:$D$65,2,FALSE),IF(AJ45&lt;&gt;0,VLOOKUP($A69,'[4]Données investissements'!$A$48:$D$65,4,FALSE),0))</f>
        <v>0</v>
      </c>
      <c r="AK92" s="16">
        <f>IF(AK69=1,VLOOKUP($A92,'[4]Données investissements'!$A$48:$D$65,2,FALSE),IF(AK45&lt;&gt;0,VLOOKUP($A69,'[4]Données investissements'!$A$48:$D$65,4,FALSE),0))</f>
        <v>0</v>
      </c>
      <c r="AL92" s="16">
        <f>IF(AL69=1,VLOOKUP($A92,'[4]Données investissements'!$A$48:$D$65,2,FALSE),IF(AL45&lt;&gt;0,VLOOKUP($A69,'[4]Données investissements'!$A$48:$D$65,4,FALSE),0))</f>
        <v>0</v>
      </c>
      <c r="AM92" s="16">
        <f>IF(AM69=1,VLOOKUP($A92,'[4]Données investissements'!$A$48:$D$65,2,FALSE),IF(AM45&lt;&gt;0,VLOOKUP($A69,'[4]Données investissements'!$A$48:$D$65,4,FALSE),0))</f>
        <v>0</v>
      </c>
      <c r="AN92" s="16">
        <f>IF(AN69=1,VLOOKUP($A92,'[4]Données investissements'!$A$48:$D$65,2,FALSE),IF(AN45&lt;&gt;0,VLOOKUP($A69,'[4]Données investissements'!$A$48:$D$65,4,FALSE),0))</f>
        <v>0</v>
      </c>
      <c r="AO92" s="16">
        <f>IF(AO69=1,VLOOKUP($A92,'[4]Données investissements'!$A$48:$D$65,2,FALSE),IF(AO45&lt;&gt;0,VLOOKUP($A69,'[4]Données investissements'!$A$48:$D$65,4,FALSE),0))</f>
        <v>0</v>
      </c>
      <c r="AP92" s="16">
        <f>IF(AP69=1,VLOOKUP($A92,'[4]Données investissements'!$A$48:$D$65,2,FALSE),IF(AP45&lt;&gt;0,VLOOKUP($A69,'[4]Données investissements'!$A$48:$D$65,4,FALSE),0))</f>
        <v>0</v>
      </c>
      <c r="AQ92" s="16">
        <f>IF(AQ69=1,VLOOKUP($A92,'[4]Données investissements'!$A$48:$D$65,2,FALSE),IF(AQ45&lt;&gt;0,VLOOKUP($A69,'[4]Données investissements'!$A$48:$D$65,4,FALSE),0))</f>
        <v>0</v>
      </c>
      <c r="AR92" s="16">
        <f>IF(AR69=1,VLOOKUP($A92,'[4]Données investissements'!$A$48:$D$65,2,FALSE),IF(AR45&lt;&gt;0,VLOOKUP($A69,'[4]Données investissements'!$A$48:$D$65,4,FALSE),0))</f>
        <v>0</v>
      </c>
      <c r="AS92" s="16">
        <f>IF(AS69=1,VLOOKUP($A92,'[4]Données investissements'!$A$48:$D$65,2,FALSE),IF(AS45&lt;&gt;0,VLOOKUP($A69,'[4]Données investissements'!$A$48:$D$65,4,FALSE),0))</f>
        <v>0</v>
      </c>
      <c r="AT92" s="16">
        <f>IF(AT69=1,VLOOKUP($A92,'[4]Données investissements'!$A$48:$D$65,2,FALSE),IF(AT45&lt;&gt;0,VLOOKUP($A69,'[4]Données investissements'!$A$48:$D$65,4,FALSE),0))</f>
        <v>0</v>
      </c>
      <c r="AU92" s="16">
        <f>IF(AU69=1,VLOOKUP($A92,'[4]Données investissements'!$A$48:$D$65,2,FALSE),IF(AU45&lt;&gt;0,VLOOKUP($A69,'[4]Données investissements'!$A$48:$D$65,4,FALSE),0))</f>
        <v>0</v>
      </c>
      <c r="AV92" s="16">
        <f>IF(AV69=1,VLOOKUP($A92,'[4]Données investissements'!$A$48:$D$65,2,FALSE),IF(AV45&lt;&gt;0,VLOOKUP($A69,'[4]Données investissements'!$A$48:$D$65,4,FALSE),0))</f>
        <v>0</v>
      </c>
      <c r="AW92" s="16">
        <f>IF(AW69=1,VLOOKUP($A92,'[4]Données investissements'!$A$48:$D$65,2,FALSE),IF(AW45&lt;&gt;0,VLOOKUP($A69,'[4]Données investissements'!$A$48:$D$65,4,FALSE),0))</f>
        <v>0</v>
      </c>
      <c r="AX92" s="16">
        <f>IF(AX69=1,VLOOKUP($A92,'[4]Données investissements'!$A$48:$D$65,2,FALSE),IF(AX45&lt;&gt;0,VLOOKUP($A69,'[4]Données investissements'!$A$48:$D$65,4,FALSE),0))</f>
        <v>0</v>
      </c>
      <c r="AY92" s="16">
        <f>IF(AY69=1,VLOOKUP($A92,'[4]Données investissements'!$A$48:$D$65,2,FALSE),IF(AY45&lt;&gt;0,VLOOKUP($A69,'[4]Données investissements'!$A$48:$D$65,4,FALSE),0))</f>
        <v>0</v>
      </c>
      <c r="AZ92" s="16">
        <f>IF(AZ69=1,VLOOKUP($A92,'[4]Données investissements'!$A$48:$D$65,2,FALSE),IF(AZ45&lt;&gt;0,VLOOKUP($A69,'[4]Données investissements'!$A$48:$D$65,4,FALSE),0))</f>
        <v>0</v>
      </c>
      <c r="BA92" s="16">
        <f>IF(BA69=1,VLOOKUP($A92,'[4]Données investissements'!$A$48:$D$65,2,FALSE),IF(BA45&lt;&gt;0,VLOOKUP($A69,'[4]Données investissements'!$A$48:$D$65,4,FALSE),0))</f>
        <v>0</v>
      </c>
      <c r="BB92" s="16">
        <f>IF(BB69=1,VLOOKUP($A92,'[4]Données investissements'!$A$48:$D$65,2,FALSE),IF(BB45&lt;&gt;0,VLOOKUP($A69,'[4]Données investissements'!$A$48:$D$65,4,FALSE),0))</f>
        <v>0</v>
      </c>
      <c r="BC92" s="16">
        <f>IF(BC69=1,VLOOKUP($A92,'[4]Données investissements'!$A$48:$D$65,2,FALSE),IF(BC45&lt;&gt;0,VLOOKUP($A69,'[4]Données investissements'!$A$48:$D$65,4,FALSE),0))</f>
        <v>0</v>
      </c>
      <c r="BD92" s="16">
        <f>IF(BD69=1,VLOOKUP($A92,'[4]Données investissements'!$A$48:$D$65,2,FALSE),IF(BD45&lt;&gt;0,VLOOKUP($A69,'[4]Données investissements'!$A$48:$D$65,4,FALSE),0))</f>
        <v>0</v>
      </c>
      <c r="BE92" s="16">
        <f>IF(BE69=1,VLOOKUP($A92,'[4]Données investissements'!$A$48:$D$65,2,FALSE),IF(BE45&lt;&gt;0,VLOOKUP($A69,'[4]Données investissements'!$A$48:$D$65,4,FALSE),0))</f>
        <v>0</v>
      </c>
      <c r="BF92" s="16">
        <f>IF(BF69=1,VLOOKUP($A92,'[4]Données investissements'!$A$48:$D$65,2,FALSE),IF(BF45&lt;&gt;0,VLOOKUP($A69,'[4]Données investissements'!$A$48:$D$65,4,FALSE),0))</f>
        <v>0</v>
      </c>
      <c r="BG92" s="16">
        <f>IF(BG69=1,VLOOKUP($A92,'[4]Données investissements'!$A$48:$D$65,2,FALSE),IF(BG45&lt;&gt;0,VLOOKUP($A69,'[4]Données investissements'!$A$48:$D$65,4,FALSE),0))</f>
        <v>0</v>
      </c>
      <c r="BH92" s="16">
        <f>IF(BH69=1,VLOOKUP($A92,'[4]Données investissements'!$A$48:$D$65,2,FALSE),IF(BH45&lt;&gt;0,VLOOKUP($A69,'[4]Données investissements'!$A$48:$D$65,4,FALSE),0))</f>
        <v>0</v>
      </c>
      <c r="BI92" s="16">
        <f>IF(BI69=1,VLOOKUP($A92,'[4]Données investissements'!$A$48:$D$65,2,FALSE),IF(BI45&lt;&gt;0,VLOOKUP($A69,'[4]Données investissements'!$A$48:$D$65,4,FALSE),0))</f>
        <v>0</v>
      </c>
      <c r="BJ92" s="16">
        <f>IF(BJ69=1,VLOOKUP($A92,'[4]Données investissements'!$A$48:$D$65,2,FALSE),IF(BJ45&lt;&gt;0,VLOOKUP($A69,'[4]Données investissements'!$A$48:$D$65,4,FALSE),0))</f>
        <v>0</v>
      </c>
      <c r="BK92" s="16">
        <f>IF(BK69=1,VLOOKUP($A92,'[4]Données investissements'!$A$48:$D$65,2,FALSE),IF(BK45&lt;&gt;0,VLOOKUP($A69,'[4]Données investissements'!$A$48:$D$65,4,FALSE),0))</f>
        <v>0</v>
      </c>
      <c r="BL92" s="16">
        <f>IF(BL69=1,VLOOKUP($A92,'[4]Données investissements'!$A$48:$D$65,2,FALSE),IF(BL45&lt;&gt;0,VLOOKUP($A69,'[4]Données investissements'!$A$48:$D$65,4,FALSE),0))</f>
        <v>0</v>
      </c>
      <c r="BM92" s="16">
        <f>IF(BM69=1,VLOOKUP($A92,'[4]Données investissements'!$A$48:$D$65,2,FALSE),IF(BM45&lt;&gt;0,VLOOKUP($A69,'[4]Données investissements'!$A$48:$D$65,4,FALSE),0))</f>
        <v>0</v>
      </c>
      <c r="BN92" s="16">
        <f>IF(BN69=1,VLOOKUP($A92,'[4]Données investissements'!$A$48:$D$65,2,FALSE),IF(BN45&lt;&gt;0,VLOOKUP($A69,'[4]Données investissements'!$A$48:$D$65,4,FALSE),0))</f>
        <v>0</v>
      </c>
      <c r="BO92" s="16">
        <f>IF(BO69=1,VLOOKUP($A92,'[4]Données investissements'!$A$48:$D$65,2,FALSE),IF(BO45&lt;&gt;0,VLOOKUP($A69,'[4]Données investissements'!$A$48:$D$65,4,FALSE),0))</f>
        <v>0</v>
      </c>
      <c r="BP92" s="16">
        <f>IF(BP69=1,VLOOKUP($A92,'[4]Données investissements'!$A$48:$D$65,2,FALSE),IF(BP45&lt;&gt;0,VLOOKUP($A69,'[4]Données investissements'!$A$48:$D$65,4,FALSE),0))</f>
        <v>0</v>
      </c>
      <c r="BQ92" s="16">
        <f>IF(BQ69=1,VLOOKUP($A92,'[4]Données investissements'!$A$48:$D$65,2,FALSE),IF(BQ45&lt;&gt;0,VLOOKUP($A69,'[4]Données investissements'!$A$48:$D$65,4,FALSE),0))</f>
        <v>0</v>
      </c>
      <c r="BR92" s="16">
        <f>IF(BR69=1,VLOOKUP($A92,'[4]Données investissements'!$A$48:$D$65,2,FALSE),IF(BR45&lt;&gt;0,VLOOKUP($A69,'[4]Données investissements'!$A$48:$D$65,4,FALSE),0))</f>
        <v>0</v>
      </c>
      <c r="BS92" s="16">
        <f>IF(BS69=1,VLOOKUP($A92,'[4]Données investissements'!$A$48:$D$65,2,FALSE),IF(BS45&lt;&gt;0,VLOOKUP($A69,'[4]Données investissements'!$A$48:$D$65,4,FALSE),0))</f>
        <v>0</v>
      </c>
      <c r="BT92" s="16">
        <f>IF(BT69=1,VLOOKUP($A92,'[4]Données investissements'!$A$48:$D$65,2,FALSE),IF(BT45&lt;&gt;0,VLOOKUP($A69,'[4]Données investissements'!$A$48:$D$65,4,FALSE),0))</f>
        <v>0</v>
      </c>
      <c r="BU92" s="16">
        <f>IF(BU69=1,VLOOKUP($A92,'[4]Données investissements'!$A$48:$D$65,2,FALSE),IF(BU45&lt;&gt;0,VLOOKUP($A69,'[4]Données investissements'!$A$48:$D$65,4,FALSE),0))</f>
        <v>0</v>
      </c>
      <c r="BV92" s="16">
        <f>IF(BV69=1,VLOOKUP($A92,'[4]Données investissements'!$A$48:$D$65,2,FALSE),IF(BV45&lt;&gt;0,VLOOKUP($A69,'[4]Données investissements'!$A$48:$D$65,4,FALSE),0))</f>
        <v>0</v>
      </c>
      <c r="BW92" s="16">
        <f>IF(BW69=1,VLOOKUP($A92,'[4]Données investissements'!$A$48:$D$65,2,FALSE),IF(BW45&lt;&gt;0,VLOOKUP($A69,'[4]Données investissements'!$A$48:$D$65,4,FALSE),0))</f>
        <v>0</v>
      </c>
      <c r="BX92" s="16">
        <f>IF(BX69=1,VLOOKUP($A92,'[4]Données investissements'!$A$48:$D$65,2,FALSE),IF(BX45&lt;&gt;0,VLOOKUP($A69,'[4]Données investissements'!$A$48:$D$65,4,FALSE),0))</f>
        <v>0</v>
      </c>
      <c r="BY92" s="16">
        <f>IF(BY69=1,VLOOKUP($A92,'[4]Données investissements'!$A$48:$D$65,2,FALSE),IF(BY45&lt;&gt;0,VLOOKUP($A69,'[4]Données investissements'!$A$48:$D$65,4,FALSE),0))</f>
        <v>0</v>
      </c>
      <c r="BZ92" s="16">
        <f>IF(BZ69=1,VLOOKUP($A92,'[4]Données investissements'!$A$48:$D$65,2,FALSE),IF(BZ45&lt;&gt;0,VLOOKUP($A69,'[4]Données investissements'!$A$48:$D$65,4,FALSE),0))</f>
        <v>0</v>
      </c>
      <c r="CA92" s="16">
        <f>IF(CA69=1,VLOOKUP($A92,'[4]Données investissements'!$A$48:$D$65,2,FALSE),IF(CA45&lt;&gt;0,VLOOKUP($A69,'[4]Données investissements'!$A$48:$D$65,4,FALSE),0))</f>
        <v>0</v>
      </c>
      <c r="CB92" s="16">
        <f>IF(CB69=1,VLOOKUP($A92,'[4]Données investissements'!$A$48:$D$65,2,FALSE),IF(CB45&lt;&gt;0,VLOOKUP($A69,'[4]Données investissements'!$A$48:$D$65,4,FALSE),0))</f>
        <v>0</v>
      </c>
      <c r="CC92" s="16">
        <f>IF(CC69=1,VLOOKUP($A92,'[4]Données investissements'!$A$48:$D$65,2,FALSE),IF(CC45&lt;&gt;0,VLOOKUP($A69,'[4]Données investissements'!$A$48:$D$65,4,FALSE),0))</f>
        <v>0</v>
      </c>
      <c r="CD92" s="16">
        <f>IF(CD69=1,VLOOKUP($A92,'[4]Données investissements'!$A$48:$D$65,2,FALSE),IF(CD45&lt;&gt;0,VLOOKUP($A69,'[4]Données investissements'!$A$48:$D$65,4,FALSE),0))</f>
        <v>0</v>
      </c>
      <c r="CE92" s="16">
        <f>IF(CE69=1,VLOOKUP($A92,'[4]Données investissements'!$A$48:$D$65,2,FALSE),IF(CE45&lt;&gt;0,VLOOKUP($A69,'[4]Données investissements'!$A$48:$D$65,4,FALSE),0))</f>
        <v>0</v>
      </c>
      <c r="CF92" s="16">
        <f>IF(CF69=1,VLOOKUP($A92,'[4]Données investissements'!$A$48:$D$65,2,FALSE),IF(CF45&lt;&gt;0,VLOOKUP($A69,'[4]Données investissements'!$A$48:$D$65,4,FALSE),0))</f>
        <v>0</v>
      </c>
      <c r="CG92" s="16">
        <f>IF(CG69=1,VLOOKUP($A92,'[4]Données investissements'!$A$48:$D$65,2,FALSE),IF(CG45&lt;&gt;0,VLOOKUP($A69,'[4]Données investissements'!$A$48:$D$65,4,FALSE),0))</f>
        <v>0</v>
      </c>
      <c r="CH92" s="16">
        <f>IF(CH69=1,VLOOKUP($A92,'[4]Données investissements'!$A$48:$D$65,2,FALSE),IF(CH45&lt;&gt;0,VLOOKUP($A69,'[4]Données investissements'!$A$48:$D$65,4,FALSE),0))</f>
        <v>0</v>
      </c>
      <c r="CI92" s="16">
        <f>IF(CI69=1,VLOOKUP($A92,'[4]Données investissements'!$A$48:$D$65,2,FALSE),IF(CI45&lt;&gt;0,VLOOKUP($A69,'[4]Données investissements'!$A$48:$D$65,4,FALSE),0))</f>
        <v>0</v>
      </c>
      <c r="CJ92" s="16">
        <f>IF(CJ69=1,VLOOKUP($A92,'[4]Données investissements'!$A$48:$D$65,2,FALSE),IF(CJ45&lt;&gt;0,VLOOKUP($A69,'[4]Données investissements'!$A$48:$D$65,4,FALSE),0))</f>
        <v>0</v>
      </c>
      <c r="CK92" s="16">
        <f>IF(CK69=1,VLOOKUP($A92,'[4]Données investissements'!$A$48:$D$65,2,FALSE),IF(CK45&lt;&gt;0,VLOOKUP($A69,'[4]Données investissements'!$A$48:$D$65,4,FALSE),0))</f>
        <v>0</v>
      </c>
      <c r="CL92" s="16">
        <f>IF(CL69=1,VLOOKUP($A92,'[4]Données investissements'!$A$48:$D$65,2,FALSE),IF(CL45&lt;&gt;0,VLOOKUP($A69,'[4]Données investissements'!$A$48:$D$65,4,FALSE),0))</f>
        <v>0</v>
      </c>
      <c r="CM92" s="16">
        <f>IF(CM69=1,VLOOKUP($A92,'[4]Données investissements'!$A$48:$D$65,2,FALSE),IF(CM45&lt;&gt;0,VLOOKUP($A69,'[4]Données investissements'!$A$48:$D$65,4,FALSE),0))</f>
        <v>0</v>
      </c>
      <c r="CN92" s="16">
        <f>IF(CN69=1,VLOOKUP($A92,'[4]Données investissements'!$A$48:$D$65,2,FALSE),IF(CN45&lt;&gt;0,VLOOKUP($A69,'[4]Données investissements'!$A$48:$D$65,4,FALSE),0))</f>
        <v>0</v>
      </c>
      <c r="CO92" s="16">
        <f>IF(CO69=1,VLOOKUP($A92,'[4]Données investissements'!$A$48:$D$65,2,FALSE),IF(CO45&lt;&gt;0,VLOOKUP($A69,'[4]Données investissements'!$A$48:$D$65,4,FALSE),0))</f>
        <v>0</v>
      </c>
      <c r="CP92" s="16">
        <f>IF(CP69=1,VLOOKUP($A92,'[4]Données investissements'!$A$48:$D$65,2,FALSE),IF(CP45&lt;&gt;0,VLOOKUP($A69,'[4]Données investissements'!$A$48:$D$65,4,FALSE),0))</f>
        <v>0</v>
      </c>
      <c r="CQ92" s="16">
        <f>IF(CQ69=1,VLOOKUP($A92,'[4]Données investissements'!$A$48:$D$65,2,FALSE),IF(CQ45&lt;&gt;0,VLOOKUP($A69,'[4]Données investissements'!$A$48:$D$65,4,FALSE),0))</f>
        <v>0</v>
      </c>
      <c r="CR92" s="16">
        <f>IF(CR69=1,VLOOKUP($A92,'[4]Données investissements'!$A$48:$D$65,2,FALSE),IF(CR45&lt;&gt;0,VLOOKUP($A69,'[4]Données investissements'!$A$48:$D$65,4,FALSE),0))</f>
        <v>0</v>
      </c>
      <c r="CS92" s="16">
        <f>IF(CS69=1,VLOOKUP($A92,'[4]Données investissements'!$A$48:$D$65,2,FALSE),IF(CS45&lt;&gt;0,VLOOKUP($A69,'[4]Données investissements'!$A$48:$D$65,4,FALSE),0))</f>
        <v>0</v>
      </c>
      <c r="CT92" s="16">
        <f>IF(CT69=1,VLOOKUP($A92,'[4]Données investissements'!$A$48:$D$65,2,FALSE),IF(CT45&lt;&gt;0,VLOOKUP($A69,'[4]Données investissements'!$A$48:$D$65,4,FALSE),0))</f>
        <v>0</v>
      </c>
      <c r="CU92" s="16">
        <f>IF(CU69=1,VLOOKUP($A92,'[4]Données investissements'!$A$48:$D$65,2,FALSE),IF(CU45&lt;&gt;0,VLOOKUP($A69,'[4]Données investissements'!$A$48:$D$65,4,FALSE),0))</f>
        <v>0</v>
      </c>
      <c r="CV92" s="16">
        <f>IF(CV69=1,VLOOKUP($A92,'[4]Données investissements'!$A$48:$D$65,2,FALSE),IF(CV45&lt;&gt;0,VLOOKUP($A69,'[4]Données investissements'!$A$48:$D$65,4,FALSE),0))</f>
        <v>0</v>
      </c>
      <c r="CW92" s="16">
        <f>IF(CW69=1,VLOOKUP($A92,'[4]Données investissements'!$A$48:$D$65,2,FALSE),IF(CW45&lt;&gt;0,VLOOKUP($A69,'[4]Données investissements'!$A$48:$D$65,4,FALSE),0))</f>
        <v>0</v>
      </c>
      <c r="CX92" s="16">
        <f>IF(CX69=1,VLOOKUP($A92,'[4]Données investissements'!$A$48:$D$65,2,FALSE),IF(CX45&lt;&gt;0,VLOOKUP($A69,'[4]Données investissements'!$A$48:$D$65,4,FALSE),0))</f>
        <v>0</v>
      </c>
      <c r="CY92" s="16">
        <f>IF(CY69=1,VLOOKUP($A92,'[4]Données investissements'!$A$48:$D$65,2,FALSE),IF(CY45&lt;&gt;0,VLOOKUP($A69,'[4]Données investissements'!$A$48:$D$65,4,FALSE),0))</f>
        <v>0</v>
      </c>
      <c r="CZ92" s="16">
        <f>IF(CZ69=1,VLOOKUP($A92,'[4]Données investissements'!$A$48:$D$65,2,FALSE),IF(CZ45&lt;&gt;0,VLOOKUP($A69,'[4]Données investissements'!$A$48:$D$65,4,FALSE),0))</f>
        <v>0</v>
      </c>
      <c r="DA92" s="16">
        <f>IF(DA69=1,VLOOKUP($A92,'[4]Données investissements'!$A$48:$D$65,2,FALSE),IF(DA45&lt;&gt;0,VLOOKUP($A69,'[4]Données investissements'!$A$48:$D$65,4,FALSE),0))</f>
        <v>0</v>
      </c>
      <c r="DB92" s="16">
        <f>IF(DB69=1,VLOOKUP($A92,'[4]Données investissements'!$A$48:$D$65,2,FALSE),IF(DB45&lt;&gt;0,VLOOKUP($A69,'[4]Données investissements'!$A$48:$D$65,4,FALSE),0))</f>
        <v>0</v>
      </c>
      <c r="DC92" s="16">
        <f>IF(DC69=1,VLOOKUP($A92,'[4]Données investissements'!$A$48:$D$65,2,FALSE),IF(DC45&lt;&gt;0,VLOOKUP($A69,'[4]Données investissements'!$A$48:$D$65,4,FALSE),0))</f>
        <v>0</v>
      </c>
      <c r="DD92" s="16">
        <f>IF(DD69=1,VLOOKUP($A92,'[4]Données investissements'!$A$48:$D$65,2,FALSE),IF(DD45&lt;&gt;0,VLOOKUP($A69,'[4]Données investissements'!$A$48:$D$65,4,FALSE),0))</f>
        <v>0</v>
      </c>
      <c r="DE92" s="16">
        <f>IF(DE69=1,VLOOKUP($A92,'[4]Données investissements'!$A$48:$D$65,2,FALSE),IF(DE45&lt;&gt;0,VLOOKUP($A69,'[4]Données investissements'!$A$48:$D$65,4,FALSE),0))</f>
        <v>0</v>
      </c>
      <c r="DF92" s="16">
        <f>IF(DF69=1,VLOOKUP($A92,'[4]Données investissements'!$A$48:$D$65,2,FALSE),IF(DF45&lt;&gt;0,VLOOKUP($A69,'[4]Données investissements'!$A$48:$D$65,4,FALSE),0))</f>
        <v>0</v>
      </c>
    </row>
    <row r="93" spans="1:110" ht="12.75" hidden="1" customHeight="1" x14ac:dyDescent="0.2">
      <c r="A93" s="15" t="str">
        <f>A70</f>
        <v>DNR</v>
      </c>
      <c r="B93" s="16">
        <f>B70</f>
        <v>4</v>
      </c>
      <c r="C93" s="16">
        <f>IF(C70=1,VLOOKUP($A93,'[4]Données investissements'!$A$48:$D$65,2,FALSE),IF(C46&lt;&gt;0,VLOOKUP($A70,'[4]Données investissements'!$A$48:$D$65,4,FALSE),0))</f>
        <v>0</v>
      </c>
      <c r="D93" s="16">
        <f>IF(D70=1,VLOOKUP($A93,'[4]Données investissements'!$A$48:$D$65,2,FALSE),IF(D46&lt;&gt;0,VLOOKUP($A70,'[4]Données investissements'!$A$48:$D$65,4,FALSE),0))</f>
        <v>0</v>
      </c>
      <c r="E93" s="16">
        <f>IF(E70=1,VLOOKUP($A93,'[4]Données investissements'!$A$48:$D$65,2,FALSE),IF(E46&lt;&gt;0,VLOOKUP($A70,'[4]Données investissements'!$A$48:$D$65,4,FALSE),0))</f>
        <v>0</v>
      </c>
      <c r="F93" s="16">
        <f>IF(F70=1,VLOOKUP($A93,'[4]Données investissements'!$A$48:$D$65,2,FALSE),IF(F46&lt;&gt;0,VLOOKUP($A70,'[4]Données investissements'!$A$48:$D$65,4,FALSE),0))</f>
        <v>2</v>
      </c>
      <c r="G93" s="16">
        <f>IF(G70=1,VLOOKUP($A93,'[4]Données investissements'!$A$48:$D$65,2,FALSE),IF(G46&lt;&gt;0,VLOOKUP($A70,'[4]Données investissements'!$A$48:$D$65,4,FALSE),0))</f>
        <v>0</v>
      </c>
      <c r="H93" s="16">
        <f>IF(H70=1,VLOOKUP($A93,'[4]Données investissements'!$A$48:$D$65,2,FALSE),IF(H46&lt;&gt;0,VLOOKUP($A70,'[4]Données investissements'!$A$48:$D$65,4,FALSE),0))</f>
        <v>0</v>
      </c>
      <c r="I93" s="16">
        <f>IF(I70=1,VLOOKUP($A93,'[4]Données investissements'!$A$48:$D$65,2,FALSE),IF(I46&lt;&gt;0,VLOOKUP($A70,'[4]Données investissements'!$A$48:$D$65,4,FALSE),0))</f>
        <v>0</v>
      </c>
      <c r="J93" s="16">
        <f>IF(J70=1,VLOOKUP($A93,'[4]Données investissements'!$A$48:$D$65,2,FALSE),IF(J46&lt;&gt;0,VLOOKUP($A70,'[4]Données investissements'!$A$48:$D$65,4,FALSE),0))</f>
        <v>2</v>
      </c>
      <c r="K93" s="16">
        <f>IF(K70=1,VLOOKUP($A93,'[4]Données investissements'!$A$48:$D$65,2,FALSE),IF(K46&lt;&gt;0,VLOOKUP($A70,'[4]Données investissements'!$A$48:$D$65,4,FALSE),0))</f>
        <v>0</v>
      </c>
      <c r="L93" s="16">
        <f>IF(L70=1,VLOOKUP($A93,'[4]Données investissements'!$A$48:$D$65,2,FALSE),IF(L46&lt;&gt;0,VLOOKUP($A70,'[4]Données investissements'!$A$48:$D$65,4,FALSE),0))</f>
        <v>0</v>
      </c>
      <c r="M93" s="16">
        <f>IF(M70=1,VLOOKUP($A93,'[4]Données investissements'!$A$48:$D$65,2,FALSE),IF(M46&lt;&gt;0,VLOOKUP($A70,'[4]Données investissements'!$A$48:$D$65,4,FALSE),0))</f>
        <v>0</v>
      </c>
      <c r="N93" s="16">
        <f>IF(N70=1,VLOOKUP($A93,'[4]Données investissements'!$A$48:$D$65,2,FALSE),IF(N46&lt;&gt;0,VLOOKUP($A70,'[4]Données investissements'!$A$48:$D$65,4,FALSE),0))</f>
        <v>2</v>
      </c>
      <c r="O93" s="16">
        <f>IF(O70=1,VLOOKUP($A93,'[4]Données investissements'!$A$48:$D$65,2,FALSE),IF(O46&lt;&gt;0,VLOOKUP($A70,'[4]Données investissements'!$A$48:$D$65,4,FALSE),0))</f>
        <v>2</v>
      </c>
      <c r="P93" s="16">
        <f>IF(P70=1,VLOOKUP($A93,'[4]Données investissements'!$A$48:$D$65,2,FALSE),IF(P46&lt;&gt;0,VLOOKUP($A70,'[4]Données investissements'!$A$48:$D$65,4,FALSE),0))</f>
        <v>2</v>
      </c>
      <c r="Q93" s="16">
        <f>IF(Q70=1,VLOOKUP($A93,'[4]Données investissements'!$A$48:$D$65,2,FALSE),IF(Q46&lt;&gt;0,VLOOKUP($A70,'[4]Données investissements'!$A$48:$D$65,4,FALSE),0))</f>
        <v>2</v>
      </c>
      <c r="R93" s="16">
        <f>IF(R70=1,VLOOKUP($A93,'[4]Données investissements'!$A$48:$D$65,2,FALSE),IF(R46&lt;&gt;0,VLOOKUP($A70,'[4]Données investissements'!$A$48:$D$65,4,FALSE),0))</f>
        <v>2</v>
      </c>
      <c r="S93" s="16">
        <f>IF(S70=1,VLOOKUP($A93,'[4]Données investissements'!$A$48:$D$65,2,FALSE),IF(S46&lt;&gt;0,VLOOKUP($A70,'[4]Données investissements'!$A$48:$D$65,4,FALSE),0))</f>
        <v>2</v>
      </c>
      <c r="T93" s="16">
        <f>IF(T70=1,VLOOKUP($A93,'[4]Données investissements'!$A$48:$D$65,2,FALSE),IF(T46&lt;&gt;0,VLOOKUP($A70,'[4]Données investissements'!$A$48:$D$65,4,FALSE),0))</f>
        <v>2</v>
      </c>
      <c r="U93" s="16">
        <f>IF(U70=1,VLOOKUP($A93,'[4]Données investissements'!$A$48:$D$65,2,FALSE),IF(U46&lt;&gt;0,VLOOKUP($A70,'[4]Données investissements'!$A$48:$D$65,4,FALSE),0))</f>
        <v>2</v>
      </c>
      <c r="V93" s="16">
        <f>IF(V70=1,VLOOKUP($A93,'[4]Données investissements'!$A$48:$D$65,2,FALSE),IF(V46&lt;&gt;0,VLOOKUP($A70,'[4]Données investissements'!$A$48:$D$65,4,FALSE),0))</f>
        <v>2</v>
      </c>
      <c r="W93" s="16">
        <f>IF(W70=1,VLOOKUP($A93,'[4]Données investissements'!$A$48:$D$65,2,FALSE),IF(W46&lt;&gt;0,VLOOKUP($A70,'[4]Données investissements'!$A$48:$D$65,4,FALSE),0))</f>
        <v>2</v>
      </c>
      <c r="X93" s="16">
        <f>IF(X70=1,VLOOKUP($A93,'[4]Données investissements'!$A$48:$D$65,2,FALSE),IF(X46&lt;&gt;0,VLOOKUP($A70,'[4]Données investissements'!$A$48:$D$65,4,FALSE),0))</f>
        <v>2</v>
      </c>
      <c r="Y93" s="16">
        <f>IF(Y70=1,VLOOKUP($A93,'[4]Données investissements'!$A$48:$D$65,2,FALSE),IF(Y46&lt;&gt;0,VLOOKUP($A70,'[4]Données investissements'!$A$48:$D$65,4,FALSE),0))</f>
        <v>2</v>
      </c>
      <c r="Z93" s="16">
        <f>IF(Z70=1,VLOOKUP($A93,'[4]Données investissements'!$A$48:$D$65,2,FALSE),IF(Z46&lt;&gt;0,VLOOKUP($A70,'[4]Données investissements'!$A$48:$D$65,4,FALSE),0))</f>
        <v>2</v>
      </c>
      <c r="AA93" s="16">
        <f>IF(AA70=1,VLOOKUP($A93,'[4]Données investissements'!$A$48:$D$65,2,FALSE),IF(AA46&lt;&gt;0,VLOOKUP($A70,'[4]Données investissements'!$A$48:$D$65,4,FALSE),0))</f>
        <v>2</v>
      </c>
      <c r="AB93" s="16">
        <f>IF(AB70=1,VLOOKUP($A93,'[4]Données investissements'!$A$48:$D$65,2,FALSE),IF(AB46&lt;&gt;0,VLOOKUP($A70,'[4]Données investissements'!$A$48:$D$65,4,FALSE),0))</f>
        <v>2</v>
      </c>
      <c r="AC93" s="16">
        <f>IF(AC70=1,VLOOKUP($A93,'[4]Données investissements'!$A$48:$D$65,2,FALSE),IF(AC46&lt;&gt;0,VLOOKUP($A70,'[4]Données investissements'!$A$48:$D$65,4,FALSE),0))</f>
        <v>0</v>
      </c>
      <c r="AD93" s="16">
        <f>IF(AD70=1,VLOOKUP($A93,'[4]Données investissements'!$A$48:$D$65,2,FALSE),IF(AD46&lt;&gt;0,VLOOKUP($A70,'[4]Données investissements'!$A$48:$D$65,4,FALSE),0))</f>
        <v>2</v>
      </c>
      <c r="AE93" s="16">
        <f>IF(AE70=1,VLOOKUP($A93,'[4]Données investissements'!$A$48:$D$65,2,FALSE),IF(AE46&lt;&gt;0,VLOOKUP($A70,'[4]Données investissements'!$A$48:$D$65,4,FALSE),0))</f>
        <v>2</v>
      </c>
      <c r="AF93" s="16">
        <f>IF(AF70=1,VLOOKUP($A93,'[4]Données investissements'!$A$48:$D$65,2,FALSE),IF(AF46&lt;&gt;0,VLOOKUP($A70,'[4]Données investissements'!$A$48:$D$65,4,FALSE),0))</f>
        <v>0</v>
      </c>
      <c r="AG93" s="16">
        <f>IF(AG70=1,VLOOKUP($A93,'[4]Données investissements'!$A$48:$D$65,2,FALSE),IF(AG46&lt;&gt;0,VLOOKUP($A70,'[4]Données investissements'!$A$48:$D$65,4,FALSE),0))</f>
        <v>2</v>
      </c>
      <c r="AH93" s="16">
        <f>IF(AH70=1,VLOOKUP($A93,'[4]Données investissements'!$A$48:$D$65,2,FALSE),IF(AH46&lt;&gt;0,VLOOKUP($A70,'[4]Données investissements'!$A$48:$D$65,4,FALSE),0))</f>
        <v>0</v>
      </c>
      <c r="AI93" s="16">
        <f>IF(AI70=1,VLOOKUP($A93,'[4]Données investissements'!$A$48:$D$65,2,FALSE),IF(AI46&lt;&gt;0,VLOOKUP($A70,'[4]Données investissements'!$A$48:$D$65,4,FALSE),0))</f>
        <v>0</v>
      </c>
      <c r="AJ93" s="16">
        <f>IF(AJ70=1,VLOOKUP($A93,'[4]Données investissements'!$A$48:$D$65,2,FALSE),IF(AJ46&lt;&gt;0,VLOOKUP($A70,'[4]Données investissements'!$A$48:$D$65,4,FALSE),0))</f>
        <v>0</v>
      </c>
      <c r="AK93" s="16">
        <f>IF(AK70=1,VLOOKUP($A93,'[4]Données investissements'!$A$48:$D$65,2,FALSE),IF(AK46&lt;&gt;0,VLOOKUP($A70,'[4]Données investissements'!$A$48:$D$65,4,FALSE),0))</f>
        <v>0</v>
      </c>
      <c r="AL93" s="16">
        <f>IF(AL70=1,VLOOKUP($A93,'[4]Données investissements'!$A$48:$D$65,2,FALSE),IF(AL46&lt;&gt;0,VLOOKUP($A70,'[4]Données investissements'!$A$48:$D$65,4,FALSE),0))</f>
        <v>0</v>
      </c>
      <c r="AM93" s="16">
        <f>IF(AM70=1,VLOOKUP($A93,'[4]Données investissements'!$A$48:$D$65,2,FALSE),IF(AM46&lt;&gt;0,VLOOKUP($A70,'[4]Données investissements'!$A$48:$D$65,4,FALSE),0))</f>
        <v>0</v>
      </c>
      <c r="AN93" s="16">
        <f>IF(AN70=1,VLOOKUP($A93,'[4]Données investissements'!$A$48:$D$65,2,FALSE),IF(AN46&lt;&gt;0,VLOOKUP($A70,'[4]Données investissements'!$A$48:$D$65,4,FALSE),0))</f>
        <v>0</v>
      </c>
      <c r="AO93" s="16">
        <f>IF(AO70=1,VLOOKUP($A93,'[4]Données investissements'!$A$48:$D$65,2,FALSE),IF(AO46&lt;&gt;0,VLOOKUP($A70,'[4]Données investissements'!$A$48:$D$65,4,FALSE),0))</f>
        <v>0</v>
      </c>
      <c r="AP93" s="16">
        <f>IF(AP70=1,VLOOKUP($A93,'[4]Données investissements'!$A$48:$D$65,2,FALSE),IF(AP46&lt;&gt;0,VLOOKUP($A70,'[4]Données investissements'!$A$48:$D$65,4,FALSE),0))</f>
        <v>0</v>
      </c>
      <c r="AQ93" s="16">
        <f>IF(AQ70=1,VLOOKUP($A93,'[4]Données investissements'!$A$48:$D$65,2,FALSE),IF(AQ46&lt;&gt;0,VLOOKUP($A70,'[4]Données investissements'!$A$48:$D$65,4,FALSE),0))</f>
        <v>0</v>
      </c>
      <c r="AR93" s="16">
        <f>IF(AR70=1,VLOOKUP($A93,'[4]Données investissements'!$A$48:$D$65,2,FALSE),IF(AR46&lt;&gt;0,VLOOKUP($A70,'[4]Données investissements'!$A$48:$D$65,4,FALSE),0))</f>
        <v>0</v>
      </c>
      <c r="AS93" s="16">
        <f>IF(AS70=1,VLOOKUP($A93,'[4]Données investissements'!$A$48:$D$65,2,FALSE),IF(AS46&lt;&gt;0,VLOOKUP($A70,'[4]Données investissements'!$A$48:$D$65,4,FALSE),0))</f>
        <v>0</v>
      </c>
      <c r="AT93" s="16">
        <f>IF(AT70=1,VLOOKUP($A93,'[4]Données investissements'!$A$48:$D$65,2,FALSE),IF(AT46&lt;&gt;0,VLOOKUP($A70,'[4]Données investissements'!$A$48:$D$65,4,FALSE),0))</f>
        <v>0</v>
      </c>
      <c r="AU93" s="16">
        <f>IF(AU70=1,VLOOKUP($A93,'[4]Données investissements'!$A$48:$D$65,2,FALSE),IF(AU46&lt;&gt;0,VLOOKUP($A70,'[4]Données investissements'!$A$48:$D$65,4,FALSE),0))</f>
        <v>0</v>
      </c>
      <c r="AV93" s="16">
        <f>IF(AV70=1,VLOOKUP($A93,'[4]Données investissements'!$A$48:$D$65,2,FALSE),IF(AV46&lt;&gt;0,VLOOKUP($A70,'[4]Données investissements'!$A$48:$D$65,4,FALSE),0))</f>
        <v>0</v>
      </c>
      <c r="AW93" s="16">
        <f>IF(AW70=1,VLOOKUP($A93,'[4]Données investissements'!$A$48:$D$65,2,FALSE),IF(AW46&lt;&gt;0,VLOOKUP($A70,'[4]Données investissements'!$A$48:$D$65,4,FALSE),0))</f>
        <v>0</v>
      </c>
      <c r="AX93" s="16">
        <f>IF(AX70=1,VLOOKUP($A93,'[4]Données investissements'!$A$48:$D$65,2,FALSE),IF(AX46&lt;&gt;0,VLOOKUP($A70,'[4]Données investissements'!$A$48:$D$65,4,FALSE),0))</f>
        <v>0</v>
      </c>
      <c r="AY93" s="16">
        <f>IF(AY70=1,VLOOKUP($A93,'[4]Données investissements'!$A$48:$D$65,2,FALSE),IF(AY46&lt;&gt;0,VLOOKUP($A70,'[4]Données investissements'!$A$48:$D$65,4,FALSE),0))</f>
        <v>0</v>
      </c>
      <c r="AZ93" s="16">
        <f>IF(AZ70=1,VLOOKUP($A93,'[4]Données investissements'!$A$48:$D$65,2,FALSE),IF(AZ46&lt;&gt;0,VLOOKUP($A70,'[4]Données investissements'!$A$48:$D$65,4,FALSE),0))</f>
        <v>0</v>
      </c>
      <c r="BA93" s="16">
        <f>IF(BA70=1,VLOOKUP($A93,'[4]Données investissements'!$A$48:$D$65,2,FALSE),IF(BA46&lt;&gt;0,VLOOKUP($A70,'[4]Données investissements'!$A$48:$D$65,4,FALSE),0))</f>
        <v>0</v>
      </c>
      <c r="BB93" s="16">
        <f>IF(BB70=1,VLOOKUP($A93,'[4]Données investissements'!$A$48:$D$65,2,FALSE),IF(BB46&lt;&gt;0,VLOOKUP($A70,'[4]Données investissements'!$A$48:$D$65,4,FALSE),0))</f>
        <v>0</v>
      </c>
      <c r="BC93" s="16">
        <f>IF(BC70=1,VLOOKUP($A93,'[4]Données investissements'!$A$48:$D$65,2,FALSE),IF(BC46&lt;&gt;0,VLOOKUP($A70,'[4]Données investissements'!$A$48:$D$65,4,FALSE),0))</f>
        <v>0</v>
      </c>
      <c r="BD93" s="16">
        <f>IF(BD70=1,VLOOKUP($A93,'[4]Données investissements'!$A$48:$D$65,2,FALSE),IF(BD46&lt;&gt;0,VLOOKUP($A70,'[4]Données investissements'!$A$48:$D$65,4,FALSE),0))</f>
        <v>0</v>
      </c>
      <c r="BE93" s="16">
        <f>IF(BE70=1,VLOOKUP($A93,'[4]Données investissements'!$A$48:$D$65,2,FALSE),IF(BE46&lt;&gt;0,VLOOKUP($A70,'[4]Données investissements'!$A$48:$D$65,4,FALSE),0))</f>
        <v>0</v>
      </c>
      <c r="BF93" s="16">
        <f>IF(BF70=1,VLOOKUP($A93,'[4]Données investissements'!$A$48:$D$65,2,FALSE),IF(BF46&lt;&gt;0,VLOOKUP($A70,'[4]Données investissements'!$A$48:$D$65,4,FALSE),0))</f>
        <v>0</v>
      </c>
      <c r="BG93" s="16">
        <f>IF(BG70=1,VLOOKUP($A93,'[4]Données investissements'!$A$48:$D$65,2,FALSE),IF(BG46&lt;&gt;0,VLOOKUP($A70,'[4]Données investissements'!$A$48:$D$65,4,FALSE),0))</f>
        <v>0</v>
      </c>
      <c r="BH93" s="16">
        <f>IF(BH70=1,VLOOKUP($A93,'[4]Données investissements'!$A$48:$D$65,2,FALSE),IF(BH46&lt;&gt;0,VLOOKUP($A70,'[4]Données investissements'!$A$48:$D$65,4,FALSE),0))</f>
        <v>0</v>
      </c>
      <c r="BI93" s="16">
        <f>IF(BI70=1,VLOOKUP($A93,'[4]Données investissements'!$A$48:$D$65,2,FALSE),IF(BI46&lt;&gt;0,VLOOKUP($A70,'[4]Données investissements'!$A$48:$D$65,4,FALSE),0))</f>
        <v>0</v>
      </c>
      <c r="BJ93" s="16">
        <f>IF(BJ70=1,VLOOKUP($A93,'[4]Données investissements'!$A$48:$D$65,2,FALSE),IF(BJ46&lt;&gt;0,VLOOKUP($A70,'[4]Données investissements'!$A$48:$D$65,4,FALSE),0))</f>
        <v>0</v>
      </c>
      <c r="BK93" s="16">
        <f>IF(BK70=1,VLOOKUP($A93,'[4]Données investissements'!$A$48:$D$65,2,FALSE),IF(BK46&lt;&gt;0,VLOOKUP($A70,'[4]Données investissements'!$A$48:$D$65,4,FALSE),0))</f>
        <v>0</v>
      </c>
      <c r="BL93" s="16">
        <f>IF(BL70=1,VLOOKUP($A93,'[4]Données investissements'!$A$48:$D$65,2,FALSE),IF(BL46&lt;&gt;0,VLOOKUP($A70,'[4]Données investissements'!$A$48:$D$65,4,FALSE),0))</f>
        <v>0</v>
      </c>
      <c r="BM93" s="16">
        <f>IF(BM70=1,VLOOKUP($A93,'[4]Données investissements'!$A$48:$D$65,2,FALSE),IF(BM46&lt;&gt;0,VLOOKUP($A70,'[4]Données investissements'!$A$48:$D$65,4,FALSE),0))</f>
        <v>0</v>
      </c>
      <c r="BN93" s="16">
        <f>IF(BN70=1,VLOOKUP($A93,'[4]Données investissements'!$A$48:$D$65,2,FALSE),IF(BN46&lt;&gt;0,VLOOKUP($A70,'[4]Données investissements'!$A$48:$D$65,4,FALSE),0))</f>
        <v>0</v>
      </c>
      <c r="BO93" s="16">
        <f>IF(BO70=1,VLOOKUP($A93,'[4]Données investissements'!$A$48:$D$65,2,FALSE),IF(BO46&lt;&gt;0,VLOOKUP($A70,'[4]Données investissements'!$A$48:$D$65,4,FALSE),0))</f>
        <v>0</v>
      </c>
      <c r="BP93" s="16">
        <f>IF(BP70=1,VLOOKUP($A93,'[4]Données investissements'!$A$48:$D$65,2,FALSE),IF(BP46&lt;&gt;0,VLOOKUP($A70,'[4]Données investissements'!$A$48:$D$65,4,FALSE),0))</f>
        <v>0</v>
      </c>
      <c r="BQ93" s="16">
        <f>IF(BQ70=1,VLOOKUP($A93,'[4]Données investissements'!$A$48:$D$65,2,FALSE),IF(BQ46&lt;&gt;0,VLOOKUP($A70,'[4]Données investissements'!$A$48:$D$65,4,FALSE),0))</f>
        <v>0</v>
      </c>
      <c r="BR93" s="16">
        <f>IF(BR70=1,VLOOKUP($A93,'[4]Données investissements'!$A$48:$D$65,2,FALSE),IF(BR46&lt;&gt;0,VLOOKUP($A70,'[4]Données investissements'!$A$48:$D$65,4,FALSE),0))</f>
        <v>0</v>
      </c>
      <c r="BS93" s="16">
        <f>IF(BS70=1,VLOOKUP($A93,'[4]Données investissements'!$A$48:$D$65,2,FALSE),IF(BS46&lt;&gt;0,VLOOKUP($A70,'[4]Données investissements'!$A$48:$D$65,4,FALSE),0))</f>
        <v>0</v>
      </c>
      <c r="BT93" s="16">
        <f>IF(BT70=1,VLOOKUP($A93,'[4]Données investissements'!$A$48:$D$65,2,FALSE),IF(BT46&lt;&gt;0,VLOOKUP($A70,'[4]Données investissements'!$A$48:$D$65,4,FALSE),0))</f>
        <v>0</v>
      </c>
      <c r="BU93" s="16">
        <f>IF(BU70=1,VLOOKUP($A93,'[4]Données investissements'!$A$48:$D$65,2,FALSE),IF(BU46&lt;&gt;0,VLOOKUP($A70,'[4]Données investissements'!$A$48:$D$65,4,FALSE),0))</f>
        <v>0</v>
      </c>
      <c r="BV93" s="16">
        <f>IF(BV70=1,VLOOKUP($A93,'[4]Données investissements'!$A$48:$D$65,2,FALSE),IF(BV46&lt;&gt;0,VLOOKUP($A70,'[4]Données investissements'!$A$48:$D$65,4,FALSE),0))</f>
        <v>0</v>
      </c>
      <c r="BW93" s="16">
        <f>IF(BW70=1,VLOOKUP($A93,'[4]Données investissements'!$A$48:$D$65,2,FALSE),IF(BW46&lt;&gt;0,VLOOKUP($A70,'[4]Données investissements'!$A$48:$D$65,4,FALSE),0))</f>
        <v>0</v>
      </c>
      <c r="BX93" s="16">
        <f>IF(BX70=1,VLOOKUP($A93,'[4]Données investissements'!$A$48:$D$65,2,FALSE),IF(BX46&lt;&gt;0,VLOOKUP($A70,'[4]Données investissements'!$A$48:$D$65,4,FALSE),0))</f>
        <v>0</v>
      </c>
      <c r="BY93" s="16">
        <f>IF(BY70=1,VLOOKUP($A93,'[4]Données investissements'!$A$48:$D$65,2,FALSE),IF(BY46&lt;&gt;0,VLOOKUP($A70,'[4]Données investissements'!$A$48:$D$65,4,FALSE),0))</f>
        <v>0</v>
      </c>
      <c r="BZ93" s="16">
        <f>IF(BZ70=1,VLOOKUP($A93,'[4]Données investissements'!$A$48:$D$65,2,FALSE),IF(BZ46&lt;&gt;0,VLOOKUP($A70,'[4]Données investissements'!$A$48:$D$65,4,FALSE),0))</f>
        <v>0</v>
      </c>
      <c r="CA93" s="16">
        <f>IF(CA70=1,VLOOKUP($A93,'[4]Données investissements'!$A$48:$D$65,2,FALSE),IF(CA46&lt;&gt;0,VLOOKUP($A70,'[4]Données investissements'!$A$48:$D$65,4,FALSE),0))</f>
        <v>0</v>
      </c>
      <c r="CB93" s="16">
        <f>IF(CB70=1,VLOOKUP($A93,'[4]Données investissements'!$A$48:$D$65,2,FALSE),IF(CB46&lt;&gt;0,VLOOKUP($A70,'[4]Données investissements'!$A$48:$D$65,4,FALSE),0))</f>
        <v>0</v>
      </c>
      <c r="CC93" s="16">
        <f>IF(CC70=1,VLOOKUP($A93,'[4]Données investissements'!$A$48:$D$65,2,FALSE),IF(CC46&lt;&gt;0,VLOOKUP($A70,'[4]Données investissements'!$A$48:$D$65,4,FALSE),0))</f>
        <v>0</v>
      </c>
      <c r="CD93" s="16">
        <f>IF(CD70=1,VLOOKUP($A93,'[4]Données investissements'!$A$48:$D$65,2,FALSE),IF(CD46&lt;&gt;0,VLOOKUP($A70,'[4]Données investissements'!$A$48:$D$65,4,FALSE),0))</f>
        <v>0</v>
      </c>
      <c r="CE93" s="16">
        <f>IF(CE70=1,VLOOKUP($A93,'[4]Données investissements'!$A$48:$D$65,2,FALSE),IF(CE46&lt;&gt;0,VLOOKUP($A70,'[4]Données investissements'!$A$48:$D$65,4,FALSE),0))</f>
        <v>0</v>
      </c>
      <c r="CF93" s="16">
        <f>IF(CF70=1,VLOOKUP($A93,'[4]Données investissements'!$A$48:$D$65,2,FALSE),IF(CF46&lt;&gt;0,VLOOKUP($A70,'[4]Données investissements'!$A$48:$D$65,4,FALSE),0))</f>
        <v>0</v>
      </c>
      <c r="CG93" s="16">
        <f>IF(CG70=1,VLOOKUP($A93,'[4]Données investissements'!$A$48:$D$65,2,FALSE),IF(CG46&lt;&gt;0,VLOOKUP($A70,'[4]Données investissements'!$A$48:$D$65,4,FALSE),0))</f>
        <v>0</v>
      </c>
      <c r="CH93" s="16">
        <f>IF(CH70=1,VLOOKUP($A93,'[4]Données investissements'!$A$48:$D$65,2,FALSE),IF(CH46&lt;&gt;0,VLOOKUP($A70,'[4]Données investissements'!$A$48:$D$65,4,FALSE),0))</f>
        <v>0</v>
      </c>
      <c r="CI93" s="16">
        <f>IF(CI70=1,VLOOKUP($A93,'[4]Données investissements'!$A$48:$D$65,2,FALSE),IF(CI46&lt;&gt;0,VLOOKUP($A70,'[4]Données investissements'!$A$48:$D$65,4,FALSE),0))</f>
        <v>0</v>
      </c>
      <c r="CJ93" s="16">
        <f>IF(CJ70=1,VLOOKUP($A93,'[4]Données investissements'!$A$48:$D$65,2,FALSE),IF(CJ46&lt;&gt;0,VLOOKUP($A70,'[4]Données investissements'!$A$48:$D$65,4,FALSE),0))</f>
        <v>0</v>
      </c>
      <c r="CK93" s="16">
        <f>IF(CK70=1,VLOOKUP($A93,'[4]Données investissements'!$A$48:$D$65,2,FALSE),IF(CK46&lt;&gt;0,VLOOKUP($A70,'[4]Données investissements'!$A$48:$D$65,4,FALSE),0))</f>
        <v>0</v>
      </c>
      <c r="CL93" s="16">
        <f>IF(CL70=1,VLOOKUP($A93,'[4]Données investissements'!$A$48:$D$65,2,FALSE),IF(CL46&lt;&gt;0,VLOOKUP($A70,'[4]Données investissements'!$A$48:$D$65,4,FALSE),0))</f>
        <v>0</v>
      </c>
      <c r="CM93" s="16">
        <f>IF(CM70=1,VLOOKUP($A93,'[4]Données investissements'!$A$48:$D$65,2,FALSE),IF(CM46&lt;&gt;0,VLOOKUP($A70,'[4]Données investissements'!$A$48:$D$65,4,FALSE),0))</f>
        <v>0</v>
      </c>
      <c r="CN93" s="16">
        <f>IF(CN70=1,VLOOKUP($A93,'[4]Données investissements'!$A$48:$D$65,2,FALSE),IF(CN46&lt;&gt;0,VLOOKUP($A70,'[4]Données investissements'!$A$48:$D$65,4,FALSE),0))</f>
        <v>0</v>
      </c>
      <c r="CO93" s="16">
        <f>IF(CO70=1,VLOOKUP($A93,'[4]Données investissements'!$A$48:$D$65,2,FALSE),IF(CO46&lt;&gt;0,VLOOKUP($A70,'[4]Données investissements'!$A$48:$D$65,4,FALSE),0))</f>
        <v>0</v>
      </c>
      <c r="CP93" s="16">
        <f>IF(CP70=1,VLOOKUP($A93,'[4]Données investissements'!$A$48:$D$65,2,FALSE),IF(CP46&lt;&gt;0,VLOOKUP($A70,'[4]Données investissements'!$A$48:$D$65,4,FALSE),0))</f>
        <v>0</v>
      </c>
      <c r="CQ93" s="16">
        <f>IF(CQ70=1,VLOOKUP($A93,'[4]Données investissements'!$A$48:$D$65,2,FALSE),IF(CQ46&lt;&gt;0,VLOOKUP($A70,'[4]Données investissements'!$A$48:$D$65,4,FALSE),0))</f>
        <v>0</v>
      </c>
      <c r="CR93" s="16">
        <f>IF(CR70=1,VLOOKUP($A93,'[4]Données investissements'!$A$48:$D$65,2,FALSE),IF(CR46&lt;&gt;0,VLOOKUP($A70,'[4]Données investissements'!$A$48:$D$65,4,FALSE),0))</f>
        <v>0</v>
      </c>
      <c r="CS93" s="16">
        <f>IF(CS70=1,VLOOKUP($A93,'[4]Données investissements'!$A$48:$D$65,2,FALSE),IF(CS46&lt;&gt;0,VLOOKUP($A70,'[4]Données investissements'!$A$48:$D$65,4,FALSE),0))</f>
        <v>0</v>
      </c>
      <c r="CT93" s="16">
        <f>IF(CT70=1,VLOOKUP($A93,'[4]Données investissements'!$A$48:$D$65,2,FALSE),IF(CT46&lt;&gt;0,VLOOKUP($A70,'[4]Données investissements'!$A$48:$D$65,4,FALSE),0))</f>
        <v>0</v>
      </c>
      <c r="CU93" s="16">
        <f>IF(CU70=1,VLOOKUP($A93,'[4]Données investissements'!$A$48:$D$65,2,FALSE),IF(CU46&lt;&gt;0,VLOOKUP($A70,'[4]Données investissements'!$A$48:$D$65,4,FALSE),0))</f>
        <v>0</v>
      </c>
      <c r="CV93" s="16">
        <f>IF(CV70=1,VLOOKUP($A93,'[4]Données investissements'!$A$48:$D$65,2,FALSE),IF(CV46&lt;&gt;0,VLOOKUP($A70,'[4]Données investissements'!$A$48:$D$65,4,FALSE),0))</f>
        <v>0</v>
      </c>
      <c r="CW93" s="16">
        <f>IF(CW70=1,VLOOKUP($A93,'[4]Données investissements'!$A$48:$D$65,2,FALSE),IF(CW46&lt;&gt;0,VLOOKUP($A70,'[4]Données investissements'!$A$48:$D$65,4,FALSE),0))</f>
        <v>0</v>
      </c>
      <c r="CX93" s="16">
        <f>IF(CX70=1,VLOOKUP($A93,'[4]Données investissements'!$A$48:$D$65,2,FALSE),IF(CX46&lt;&gt;0,VLOOKUP($A70,'[4]Données investissements'!$A$48:$D$65,4,FALSE),0))</f>
        <v>0</v>
      </c>
      <c r="CY93" s="16">
        <f>IF(CY70=1,VLOOKUP($A93,'[4]Données investissements'!$A$48:$D$65,2,FALSE),IF(CY46&lt;&gt;0,VLOOKUP($A70,'[4]Données investissements'!$A$48:$D$65,4,FALSE),0))</f>
        <v>0</v>
      </c>
      <c r="CZ93" s="16">
        <f>IF(CZ70=1,VLOOKUP($A93,'[4]Données investissements'!$A$48:$D$65,2,FALSE),IF(CZ46&lt;&gt;0,VLOOKUP($A70,'[4]Données investissements'!$A$48:$D$65,4,FALSE),0))</f>
        <v>0</v>
      </c>
      <c r="DA93" s="16">
        <f>IF(DA70=1,VLOOKUP($A93,'[4]Données investissements'!$A$48:$D$65,2,FALSE),IF(DA46&lt;&gt;0,VLOOKUP($A70,'[4]Données investissements'!$A$48:$D$65,4,FALSE),0))</f>
        <v>0</v>
      </c>
      <c r="DB93" s="16">
        <f>IF(DB70=1,VLOOKUP($A93,'[4]Données investissements'!$A$48:$D$65,2,FALSE),IF(DB46&lt;&gt;0,VLOOKUP($A70,'[4]Données investissements'!$A$48:$D$65,4,FALSE),0))</f>
        <v>0</v>
      </c>
      <c r="DC93" s="16">
        <f>IF(DC70=1,VLOOKUP($A93,'[4]Données investissements'!$A$48:$D$65,2,FALSE),IF(DC46&lt;&gt;0,VLOOKUP($A70,'[4]Données investissements'!$A$48:$D$65,4,FALSE),0))</f>
        <v>0</v>
      </c>
      <c r="DD93" s="16">
        <f>IF(DD70=1,VLOOKUP($A93,'[4]Données investissements'!$A$48:$D$65,2,FALSE),IF(DD46&lt;&gt;0,VLOOKUP($A70,'[4]Données investissements'!$A$48:$D$65,4,FALSE),0))</f>
        <v>0</v>
      </c>
      <c r="DE93" s="16">
        <f>IF(DE70=1,VLOOKUP($A93,'[4]Données investissements'!$A$48:$D$65,2,FALSE),IF(DE46&lt;&gt;0,VLOOKUP($A70,'[4]Données investissements'!$A$48:$D$65,4,FALSE),0))</f>
        <v>0</v>
      </c>
      <c r="DF93" s="16">
        <f>IF(DF70=1,VLOOKUP($A93,'[4]Données investissements'!$A$48:$D$65,2,FALSE),IF(DF46&lt;&gt;0,VLOOKUP($A70,'[4]Données investissements'!$A$48:$D$65,4,FALSE),0))</f>
        <v>0</v>
      </c>
    </row>
    <row r="94" spans="1:110" ht="12.75" hidden="1" customHeight="1" x14ac:dyDescent="0.2"/>
    <row r="95" spans="1:110" ht="12.75" hidden="1" customHeight="1" x14ac:dyDescent="0.2"/>
    <row r="96" spans="1:110" ht="15.75" x14ac:dyDescent="0.25">
      <c r="A96" s="984" t="s">
        <v>1331</v>
      </c>
      <c r="C96" s="975">
        <f>C73</f>
        <v>1</v>
      </c>
      <c r="D96" s="975">
        <f t="shared" ref="D96:BO98" si="41">D73</f>
        <v>2</v>
      </c>
      <c r="E96" s="975">
        <f t="shared" si="41"/>
        <v>3</v>
      </c>
      <c r="F96" s="975">
        <f t="shared" si="41"/>
        <v>4</v>
      </c>
      <c r="G96" s="975">
        <f t="shared" si="41"/>
        <v>5</v>
      </c>
      <c r="H96" s="975">
        <f t="shared" si="41"/>
        <v>6</v>
      </c>
      <c r="I96" s="975">
        <f t="shared" si="41"/>
        <v>7</v>
      </c>
      <c r="J96" s="975">
        <f t="shared" si="41"/>
        <v>8</v>
      </c>
      <c r="K96" s="975">
        <f t="shared" si="41"/>
        <v>9</v>
      </c>
      <c r="L96" s="975">
        <f t="shared" si="41"/>
        <v>10</v>
      </c>
      <c r="M96" s="975">
        <f t="shared" si="41"/>
        <v>11</v>
      </c>
      <c r="N96" s="975">
        <f t="shared" si="41"/>
        <v>12</v>
      </c>
      <c r="O96" s="975">
        <f t="shared" si="41"/>
        <v>13</v>
      </c>
      <c r="P96" s="975">
        <f t="shared" si="41"/>
        <v>14</v>
      </c>
      <c r="Q96" s="975">
        <f t="shared" si="41"/>
        <v>15</v>
      </c>
      <c r="R96" s="975">
        <f t="shared" si="41"/>
        <v>16</v>
      </c>
      <c r="S96" s="975">
        <f t="shared" si="41"/>
        <v>17</v>
      </c>
      <c r="T96" s="975">
        <f t="shared" si="41"/>
        <v>18</v>
      </c>
      <c r="U96" s="975">
        <f t="shared" si="41"/>
        <v>19</v>
      </c>
      <c r="V96" s="975">
        <f t="shared" si="41"/>
        <v>20</v>
      </c>
      <c r="W96" s="975">
        <f t="shared" si="41"/>
        <v>21</v>
      </c>
      <c r="X96" s="975">
        <f t="shared" si="41"/>
        <v>22</v>
      </c>
      <c r="Y96" s="975">
        <f t="shared" si="41"/>
        <v>23</v>
      </c>
      <c r="Z96" s="975">
        <f t="shared" si="41"/>
        <v>24</v>
      </c>
      <c r="AA96" s="975">
        <f t="shared" si="41"/>
        <v>25</v>
      </c>
      <c r="AB96" s="975">
        <f t="shared" si="41"/>
        <v>26</v>
      </c>
      <c r="AC96" s="975">
        <f t="shared" si="41"/>
        <v>27</v>
      </c>
      <c r="AD96" s="975">
        <f t="shared" si="41"/>
        <v>28</v>
      </c>
      <c r="AE96" s="975">
        <f t="shared" si="41"/>
        <v>29</v>
      </c>
      <c r="AF96" s="975">
        <f t="shared" si="41"/>
        <v>30</v>
      </c>
      <c r="AG96" s="975">
        <f t="shared" si="41"/>
        <v>31</v>
      </c>
      <c r="AH96" s="975">
        <f t="shared" si="41"/>
        <v>32</v>
      </c>
      <c r="AI96" s="975">
        <f t="shared" si="41"/>
        <v>33</v>
      </c>
      <c r="AJ96" s="975">
        <f t="shared" si="41"/>
        <v>34</v>
      </c>
      <c r="AK96" s="975">
        <f t="shared" si="41"/>
        <v>35</v>
      </c>
      <c r="AL96" s="975">
        <f t="shared" si="41"/>
        <v>36</v>
      </c>
      <c r="AM96" s="975">
        <f t="shared" si="41"/>
        <v>37</v>
      </c>
      <c r="AN96" s="975">
        <f t="shared" si="41"/>
        <v>38</v>
      </c>
      <c r="AO96" s="975">
        <f t="shared" si="41"/>
        <v>39</v>
      </c>
      <c r="AP96" s="975">
        <f t="shared" si="41"/>
        <v>40</v>
      </c>
      <c r="AQ96" s="975">
        <f t="shared" si="41"/>
        <v>41</v>
      </c>
      <c r="AR96" s="975">
        <f t="shared" si="41"/>
        <v>42</v>
      </c>
      <c r="AS96" s="975">
        <f t="shared" si="41"/>
        <v>43</v>
      </c>
      <c r="AT96" s="975">
        <f t="shared" si="41"/>
        <v>44</v>
      </c>
      <c r="AU96" s="975">
        <f t="shared" si="41"/>
        <v>45</v>
      </c>
      <c r="AV96" s="975">
        <f t="shared" si="41"/>
        <v>46</v>
      </c>
      <c r="AW96" s="975">
        <f t="shared" si="41"/>
        <v>47</v>
      </c>
      <c r="AX96" s="975">
        <f t="shared" si="41"/>
        <v>48</v>
      </c>
      <c r="AY96" s="975">
        <f t="shared" si="41"/>
        <v>49</v>
      </c>
      <c r="AZ96" s="975">
        <f t="shared" si="41"/>
        <v>50</v>
      </c>
      <c r="BA96" s="975">
        <f t="shared" si="41"/>
        <v>51</v>
      </c>
      <c r="BB96" s="975">
        <f t="shared" si="41"/>
        <v>52</v>
      </c>
      <c r="BC96" s="975">
        <f t="shared" si="41"/>
        <v>53</v>
      </c>
      <c r="BD96" s="975">
        <f t="shared" si="41"/>
        <v>54</v>
      </c>
      <c r="BE96" s="975">
        <f t="shared" si="41"/>
        <v>55</v>
      </c>
      <c r="BF96" s="975">
        <f t="shared" si="41"/>
        <v>56</v>
      </c>
      <c r="BG96" s="975">
        <f t="shared" si="41"/>
        <v>57</v>
      </c>
      <c r="BH96" s="975">
        <f t="shared" si="41"/>
        <v>58</v>
      </c>
      <c r="BI96" s="975">
        <f t="shared" si="41"/>
        <v>59</v>
      </c>
      <c r="BJ96" s="975">
        <f t="shared" si="41"/>
        <v>60</v>
      </c>
      <c r="BK96" s="975">
        <f t="shared" si="41"/>
        <v>61</v>
      </c>
      <c r="BL96" s="975">
        <f t="shared" si="41"/>
        <v>62</v>
      </c>
      <c r="BM96" s="975">
        <f t="shared" si="41"/>
        <v>63</v>
      </c>
      <c r="BN96" s="975">
        <f t="shared" si="41"/>
        <v>64</v>
      </c>
      <c r="BO96" s="975">
        <f t="shared" si="41"/>
        <v>65</v>
      </c>
      <c r="BP96" s="975">
        <f t="shared" ref="BP96:DF98" si="42">BP73</f>
        <v>66</v>
      </c>
      <c r="BQ96" s="975">
        <f t="shared" si="42"/>
        <v>67</v>
      </c>
      <c r="BR96" s="975">
        <f t="shared" si="42"/>
        <v>68</v>
      </c>
      <c r="BS96" s="975">
        <f t="shared" si="42"/>
        <v>69</v>
      </c>
      <c r="BT96" s="975">
        <f t="shared" si="42"/>
        <v>70</v>
      </c>
      <c r="BU96" s="975">
        <f t="shared" si="42"/>
        <v>71</v>
      </c>
      <c r="BV96" s="975">
        <f t="shared" si="42"/>
        <v>72</v>
      </c>
      <c r="BW96" s="975">
        <f t="shared" si="42"/>
        <v>73</v>
      </c>
      <c r="BX96" s="975">
        <f t="shared" si="42"/>
        <v>74</v>
      </c>
      <c r="BY96" s="975">
        <f t="shared" si="42"/>
        <v>75</v>
      </c>
      <c r="BZ96" s="975">
        <f t="shared" si="42"/>
        <v>76</v>
      </c>
      <c r="CA96" s="975">
        <f t="shared" si="42"/>
        <v>77</v>
      </c>
      <c r="CB96" s="975">
        <f t="shared" si="42"/>
        <v>78</v>
      </c>
      <c r="CC96" s="975">
        <f t="shared" si="42"/>
        <v>79</v>
      </c>
      <c r="CD96" s="975">
        <f t="shared" si="42"/>
        <v>80</v>
      </c>
      <c r="CE96" s="975">
        <f t="shared" si="42"/>
        <v>81</v>
      </c>
      <c r="CF96" s="975">
        <f t="shared" si="42"/>
        <v>82</v>
      </c>
      <c r="CG96" s="975">
        <f t="shared" si="42"/>
        <v>83</v>
      </c>
      <c r="CH96" s="975">
        <f t="shared" si="42"/>
        <v>84</v>
      </c>
      <c r="CI96" s="975">
        <f t="shared" si="42"/>
        <v>85</v>
      </c>
      <c r="CJ96" s="975">
        <f t="shared" si="42"/>
        <v>86</v>
      </c>
      <c r="CK96" s="975">
        <f t="shared" si="42"/>
        <v>87</v>
      </c>
      <c r="CL96" s="975">
        <f t="shared" si="42"/>
        <v>88</v>
      </c>
      <c r="CM96" s="975">
        <f t="shared" si="42"/>
        <v>89</v>
      </c>
      <c r="CN96" s="975">
        <f t="shared" si="42"/>
        <v>90</v>
      </c>
      <c r="CO96" s="975">
        <f t="shared" si="42"/>
        <v>91</v>
      </c>
      <c r="CP96" s="975">
        <f t="shared" si="42"/>
        <v>92</v>
      </c>
      <c r="CQ96" s="975">
        <f t="shared" si="42"/>
        <v>93</v>
      </c>
      <c r="CR96" s="975">
        <f t="shared" si="42"/>
        <v>94</v>
      </c>
      <c r="CS96" s="975">
        <f t="shared" si="42"/>
        <v>95</v>
      </c>
      <c r="CT96" s="975">
        <f t="shared" si="42"/>
        <v>96</v>
      </c>
      <c r="CU96" s="975">
        <f t="shared" si="42"/>
        <v>97</v>
      </c>
      <c r="CV96" s="975">
        <f t="shared" si="42"/>
        <v>98</v>
      </c>
      <c r="CW96" s="975">
        <f t="shared" si="42"/>
        <v>99</v>
      </c>
      <c r="CX96" s="975">
        <f t="shared" si="42"/>
        <v>100</v>
      </c>
      <c r="CY96" s="975">
        <f t="shared" si="42"/>
        <v>101</v>
      </c>
      <c r="CZ96" s="975">
        <f t="shared" si="42"/>
        <v>102</v>
      </c>
      <c r="DA96" s="975">
        <f t="shared" si="42"/>
        <v>103</v>
      </c>
      <c r="DB96" s="975">
        <f t="shared" si="42"/>
        <v>104</v>
      </c>
      <c r="DC96" s="975">
        <f t="shared" si="42"/>
        <v>105</v>
      </c>
      <c r="DD96" s="975">
        <f t="shared" si="42"/>
        <v>106</v>
      </c>
      <c r="DE96" s="975">
        <f t="shared" si="42"/>
        <v>107</v>
      </c>
      <c r="DF96" s="975">
        <f t="shared" si="42"/>
        <v>108</v>
      </c>
    </row>
    <row r="97" spans="1:113" x14ac:dyDescent="0.2">
      <c r="C97" s="975" t="str">
        <f t="shared" ref="C97:R98" si="43">C74</f>
        <v>janvier</v>
      </c>
      <c r="D97" s="975" t="str">
        <f t="shared" si="43"/>
        <v>février</v>
      </c>
      <c r="E97" s="975" t="str">
        <f t="shared" si="43"/>
        <v>mars</v>
      </c>
      <c r="F97" s="975" t="str">
        <f t="shared" si="43"/>
        <v>avril</v>
      </c>
      <c r="G97" s="975" t="str">
        <f t="shared" si="43"/>
        <v>mai</v>
      </c>
      <c r="H97" s="975" t="str">
        <f t="shared" si="43"/>
        <v>juin</v>
      </c>
      <c r="I97" s="975" t="str">
        <f t="shared" si="43"/>
        <v>juillet</v>
      </c>
      <c r="J97" s="975" t="str">
        <f t="shared" si="43"/>
        <v>août</v>
      </c>
      <c r="K97" s="975" t="str">
        <f t="shared" si="43"/>
        <v>septembre</v>
      </c>
      <c r="L97" s="975" t="str">
        <f t="shared" si="43"/>
        <v>octobre</v>
      </c>
      <c r="M97" s="975" t="str">
        <f t="shared" si="43"/>
        <v>novembre</v>
      </c>
      <c r="N97" s="975" t="str">
        <f t="shared" si="43"/>
        <v>décembre</v>
      </c>
      <c r="O97" s="975" t="str">
        <f t="shared" si="43"/>
        <v>janvier</v>
      </c>
      <c r="P97" s="975" t="str">
        <f t="shared" si="43"/>
        <v>février</v>
      </c>
      <c r="Q97" s="975" t="str">
        <f t="shared" si="43"/>
        <v>mars</v>
      </c>
      <c r="R97" s="975" t="str">
        <f t="shared" si="43"/>
        <v>avril</v>
      </c>
      <c r="S97" s="975" t="str">
        <f t="shared" si="41"/>
        <v>mai</v>
      </c>
      <c r="T97" s="975" t="str">
        <f t="shared" si="41"/>
        <v>juin</v>
      </c>
      <c r="U97" s="975" t="str">
        <f t="shared" si="41"/>
        <v>juillet</v>
      </c>
      <c r="V97" s="975" t="str">
        <f t="shared" si="41"/>
        <v>août</v>
      </c>
      <c r="W97" s="975" t="str">
        <f t="shared" si="41"/>
        <v>septembre</v>
      </c>
      <c r="X97" s="975" t="str">
        <f t="shared" si="41"/>
        <v>octobre</v>
      </c>
      <c r="Y97" s="975" t="str">
        <f t="shared" si="41"/>
        <v>novembre</v>
      </c>
      <c r="Z97" s="975" t="str">
        <f t="shared" si="41"/>
        <v>décembre</v>
      </c>
      <c r="AA97" s="975" t="str">
        <f t="shared" si="41"/>
        <v>janvier</v>
      </c>
      <c r="AB97" s="975" t="str">
        <f t="shared" si="41"/>
        <v>février</v>
      </c>
      <c r="AC97" s="975" t="str">
        <f t="shared" si="41"/>
        <v>mars</v>
      </c>
      <c r="AD97" s="975" t="str">
        <f t="shared" si="41"/>
        <v>avril</v>
      </c>
      <c r="AE97" s="975" t="str">
        <f t="shared" si="41"/>
        <v>mai</v>
      </c>
      <c r="AF97" s="975" t="str">
        <f t="shared" si="41"/>
        <v>juin</v>
      </c>
      <c r="AG97" s="975" t="str">
        <f t="shared" si="41"/>
        <v>juillet</v>
      </c>
      <c r="AH97" s="975" t="str">
        <f t="shared" si="41"/>
        <v>août</v>
      </c>
      <c r="AI97" s="975" t="str">
        <f t="shared" si="41"/>
        <v>septembre</v>
      </c>
      <c r="AJ97" s="975" t="str">
        <f t="shared" si="41"/>
        <v>octobre</v>
      </c>
      <c r="AK97" s="975" t="str">
        <f t="shared" si="41"/>
        <v>novembre</v>
      </c>
      <c r="AL97" s="975" t="str">
        <f t="shared" si="41"/>
        <v>décembre</v>
      </c>
      <c r="AM97" s="975" t="str">
        <f t="shared" si="41"/>
        <v>janvier</v>
      </c>
      <c r="AN97" s="975" t="str">
        <f t="shared" si="41"/>
        <v>février</v>
      </c>
      <c r="AO97" s="975" t="str">
        <f t="shared" si="41"/>
        <v>mars</v>
      </c>
      <c r="AP97" s="975" t="str">
        <f t="shared" si="41"/>
        <v>avril</v>
      </c>
      <c r="AQ97" s="975" t="str">
        <f t="shared" si="41"/>
        <v>mai</v>
      </c>
      <c r="AR97" s="975" t="str">
        <f t="shared" si="41"/>
        <v>juin</v>
      </c>
      <c r="AS97" s="975" t="str">
        <f t="shared" si="41"/>
        <v>juillet</v>
      </c>
      <c r="AT97" s="975" t="str">
        <f t="shared" si="41"/>
        <v>août</v>
      </c>
      <c r="AU97" s="975" t="str">
        <f t="shared" si="41"/>
        <v>septembre</v>
      </c>
      <c r="AV97" s="975" t="str">
        <f t="shared" si="41"/>
        <v>octobre</v>
      </c>
      <c r="AW97" s="975" t="str">
        <f t="shared" si="41"/>
        <v>novembre</v>
      </c>
      <c r="AX97" s="975" t="str">
        <f t="shared" si="41"/>
        <v>décembre</v>
      </c>
      <c r="AY97" s="975" t="str">
        <f t="shared" si="41"/>
        <v>janvier</v>
      </c>
      <c r="AZ97" s="975" t="str">
        <f t="shared" si="41"/>
        <v>février</v>
      </c>
      <c r="BA97" s="975" t="str">
        <f t="shared" si="41"/>
        <v>mars</v>
      </c>
      <c r="BB97" s="975" t="str">
        <f t="shared" si="41"/>
        <v>avril</v>
      </c>
      <c r="BC97" s="975" t="str">
        <f t="shared" si="41"/>
        <v>mai</v>
      </c>
      <c r="BD97" s="975" t="str">
        <f t="shared" si="41"/>
        <v>juin</v>
      </c>
      <c r="BE97" s="975" t="str">
        <f t="shared" si="41"/>
        <v>juillet</v>
      </c>
      <c r="BF97" s="975" t="str">
        <f t="shared" si="41"/>
        <v>août</v>
      </c>
      <c r="BG97" s="975" t="str">
        <f t="shared" si="41"/>
        <v>septembre</v>
      </c>
      <c r="BH97" s="975" t="str">
        <f t="shared" si="41"/>
        <v>octobre</v>
      </c>
      <c r="BI97" s="975" t="str">
        <f t="shared" si="41"/>
        <v>novembre</v>
      </c>
      <c r="BJ97" s="975" t="str">
        <f t="shared" si="41"/>
        <v>décembre</v>
      </c>
      <c r="BK97" s="975" t="str">
        <f t="shared" si="41"/>
        <v>janvier</v>
      </c>
      <c r="BL97" s="975" t="str">
        <f t="shared" si="41"/>
        <v>février</v>
      </c>
      <c r="BM97" s="975" t="str">
        <f t="shared" si="41"/>
        <v>mars</v>
      </c>
      <c r="BN97" s="975" t="str">
        <f t="shared" si="41"/>
        <v>avril</v>
      </c>
      <c r="BO97" s="975" t="str">
        <f t="shared" si="41"/>
        <v>mai</v>
      </c>
      <c r="BP97" s="975" t="str">
        <f t="shared" si="42"/>
        <v>juin</v>
      </c>
      <c r="BQ97" s="975" t="str">
        <f t="shared" si="42"/>
        <v>juillet</v>
      </c>
      <c r="BR97" s="975" t="str">
        <f t="shared" si="42"/>
        <v>août</v>
      </c>
      <c r="BS97" s="975" t="str">
        <f t="shared" si="42"/>
        <v>septembre</v>
      </c>
      <c r="BT97" s="975" t="str">
        <f t="shared" si="42"/>
        <v>octobre</v>
      </c>
      <c r="BU97" s="975" t="str">
        <f t="shared" si="42"/>
        <v>novembre</v>
      </c>
      <c r="BV97" s="975" t="str">
        <f t="shared" si="42"/>
        <v>décembre</v>
      </c>
      <c r="BW97" s="975" t="str">
        <f t="shared" si="42"/>
        <v>janvier</v>
      </c>
      <c r="BX97" s="975" t="str">
        <f t="shared" si="42"/>
        <v>février</v>
      </c>
      <c r="BY97" s="975" t="str">
        <f t="shared" si="42"/>
        <v>mars</v>
      </c>
      <c r="BZ97" s="975" t="str">
        <f t="shared" si="42"/>
        <v>avril</v>
      </c>
      <c r="CA97" s="975" t="str">
        <f t="shared" si="42"/>
        <v>mai</v>
      </c>
      <c r="CB97" s="975" t="str">
        <f t="shared" si="42"/>
        <v>juin</v>
      </c>
      <c r="CC97" s="975" t="str">
        <f t="shared" si="42"/>
        <v>juillet</v>
      </c>
      <c r="CD97" s="975" t="str">
        <f t="shared" si="42"/>
        <v>août</v>
      </c>
      <c r="CE97" s="975" t="str">
        <f t="shared" si="42"/>
        <v>septembre</v>
      </c>
      <c r="CF97" s="975" t="str">
        <f t="shared" si="42"/>
        <v>octobre</v>
      </c>
      <c r="CG97" s="975" t="str">
        <f t="shared" si="42"/>
        <v>novembre</v>
      </c>
      <c r="CH97" s="975" t="str">
        <f t="shared" si="42"/>
        <v>décembre</v>
      </c>
      <c r="CI97" s="975" t="str">
        <f t="shared" si="42"/>
        <v>janvier</v>
      </c>
      <c r="CJ97" s="975" t="str">
        <f t="shared" si="42"/>
        <v>février</v>
      </c>
      <c r="CK97" s="975" t="str">
        <f t="shared" si="42"/>
        <v>mars</v>
      </c>
      <c r="CL97" s="975" t="str">
        <f t="shared" si="42"/>
        <v>avril</v>
      </c>
      <c r="CM97" s="975" t="str">
        <f t="shared" si="42"/>
        <v>mai</v>
      </c>
      <c r="CN97" s="975" t="str">
        <f t="shared" si="42"/>
        <v>juin</v>
      </c>
      <c r="CO97" s="975" t="str">
        <f t="shared" si="42"/>
        <v>juillet</v>
      </c>
      <c r="CP97" s="975" t="str">
        <f t="shared" si="42"/>
        <v>août</v>
      </c>
      <c r="CQ97" s="975" t="str">
        <f t="shared" si="42"/>
        <v>septembre</v>
      </c>
      <c r="CR97" s="975" t="str">
        <f t="shared" si="42"/>
        <v>octobre</v>
      </c>
      <c r="CS97" s="975" t="str">
        <f t="shared" si="42"/>
        <v>novembre</v>
      </c>
      <c r="CT97" s="975" t="str">
        <f t="shared" si="42"/>
        <v>décembre</v>
      </c>
      <c r="CU97" s="975" t="str">
        <f t="shared" si="42"/>
        <v>janvier</v>
      </c>
      <c r="CV97" s="975" t="str">
        <f t="shared" si="42"/>
        <v>février</v>
      </c>
      <c r="CW97" s="975" t="str">
        <f t="shared" si="42"/>
        <v>mars</v>
      </c>
      <c r="CX97" s="975" t="str">
        <f t="shared" si="42"/>
        <v>avril</v>
      </c>
      <c r="CY97" s="975" t="str">
        <f t="shared" si="42"/>
        <v>mai</v>
      </c>
      <c r="CZ97" s="975" t="str">
        <f t="shared" si="42"/>
        <v>juin</v>
      </c>
      <c r="DA97" s="975" t="str">
        <f t="shared" si="42"/>
        <v>juillet</v>
      </c>
      <c r="DB97" s="975" t="str">
        <f t="shared" si="42"/>
        <v>août</v>
      </c>
      <c r="DC97" s="975" t="str">
        <f t="shared" si="42"/>
        <v>septembre</v>
      </c>
      <c r="DD97" s="975" t="str">
        <f t="shared" si="42"/>
        <v>octobre</v>
      </c>
      <c r="DE97" s="975" t="str">
        <f t="shared" si="42"/>
        <v>novembre</v>
      </c>
      <c r="DF97" s="975" t="str">
        <f t="shared" si="42"/>
        <v>décembre</v>
      </c>
    </row>
    <row r="98" spans="1:113" x14ac:dyDescent="0.2">
      <c r="C98" s="975">
        <f t="shared" si="43"/>
        <v>2015</v>
      </c>
      <c r="D98" s="975">
        <f t="shared" si="43"/>
        <v>2015</v>
      </c>
      <c r="E98" s="975">
        <f t="shared" si="43"/>
        <v>2015</v>
      </c>
      <c r="F98" s="975">
        <f t="shared" si="43"/>
        <v>2015</v>
      </c>
      <c r="G98" s="975">
        <f t="shared" si="43"/>
        <v>2015</v>
      </c>
      <c r="H98" s="975">
        <f t="shared" si="43"/>
        <v>2015</v>
      </c>
      <c r="I98" s="975">
        <f t="shared" si="43"/>
        <v>2015</v>
      </c>
      <c r="J98" s="975">
        <f t="shared" si="43"/>
        <v>2015</v>
      </c>
      <c r="K98" s="975">
        <f t="shared" si="43"/>
        <v>2015</v>
      </c>
      <c r="L98" s="975">
        <f t="shared" si="43"/>
        <v>2015</v>
      </c>
      <c r="M98" s="975">
        <f t="shared" si="43"/>
        <v>2015</v>
      </c>
      <c r="N98" s="975">
        <f t="shared" si="43"/>
        <v>2015</v>
      </c>
      <c r="O98" s="975">
        <f t="shared" si="43"/>
        <v>2016</v>
      </c>
      <c r="P98" s="975">
        <f t="shared" si="43"/>
        <v>2016</v>
      </c>
      <c r="Q98" s="975">
        <f t="shared" si="43"/>
        <v>2016</v>
      </c>
      <c r="R98" s="975">
        <f t="shared" si="43"/>
        <v>2016</v>
      </c>
      <c r="S98" s="975">
        <f t="shared" si="41"/>
        <v>2016</v>
      </c>
      <c r="T98" s="975">
        <f t="shared" si="41"/>
        <v>2016</v>
      </c>
      <c r="U98" s="975">
        <f t="shared" si="41"/>
        <v>2016</v>
      </c>
      <c r="V98" s="975">
        <f t="shared" si="41"/>
        <v>2016</v>
      </c>
      <c r="W98" s="975">
        <f t="shared" si="41"/>
        <v>2016</v>
      </c>
      <c r="X98" s="975">
        <f t="shared" si="41"/>
        <v>2016</v>
      </c>
      <c r="Y98" s="975">
        <f t="shared" si="41"/>
        <v>2016</v>
      </c>
      <c r="Z98" s="975">
        <f t="shared" si="41"/>
        <v>2016</v>
      </c>
      <c r="AA98" s="975">
        <f t="shared" si="41"/>
        <v>2017</v>
      </c>
      <c r="AB98" s="975">
        <f t="shared" si="41"/>
        <v>2017</v>
      </c>
      <c r="AC98" s="975">
        <f t="shared" si="41"/>
        <v>2017</v>
      </c>
      <c r="AD98" s="975">
        <f t="shared" si="41"/>
        <v>2017</v>
      </c>
      <c r="AE98" s="975">
        <f t="shared" si="41"/>
        <v>2017</v>
      </c>
      <c r="AF98" s="975">
        <f t="shared" si="41"/>
        <v>2017</v>
      </c>
      <c r="AG98" s="975">
        <f t="shared" si="41"/>
        <v>2017</v>
      </c>
      <c r="AH98" s="975">
        <f t="shared" si="41"/>
        <v>2017</v>
      </c>
      <c r="AI98" s="975">
        <f t="shared" si="41"/>
        <v>2017</v>
      </c>
      <c r="AJ98" s="975">
        <f t="shared" si="41"/>
        <v>2017</v>
      </c>
      <c r="AK98" s="975">
        <f t="shared" si="41"/>
        <v>2017</v>
      </c>
      <c r="AL98" s="975">
        <f t="shared" si="41"/>
        <v>2017</v>
      </c>
      <c r="AM98" s="975">
        <f t="shared" si="41"/>
        <v>2018</v>
      </c>
      <c r="AN98" s="975">
        <f t="shared" si="41"/>
        <v>2018</v>
      </c>
      <c r="AO98" s="975">
        <f t="shared" si="41"/>
        <v>2018</v>
      </c>
      <c r="AP98" s="975">
        <f t="shared" si="41"/>
        <v>2018</v>
      </c>
      <c r="AQ98" s="975">
        <f t="shared" si="41"/>
        <v>2018</v>
      </c>
      <c r="AR98" s="975">
        <f t="shared" si="41"/>
        <v>2018</v>
      </c>
      <c r="AS98" s="975">
        <f t="shared" si="41"/>
        <v>2018</v>
      </c>
      <c r="AT98" s="975">
        <f t="shared" si="41"/>
        <v>2018</v>
      </c>
      <c r="AU98" s="975">
        <f t="shared" si="41"/>
        <v>2018</v>
      </c>
      <c r="AV98" s="975">
        <f t="shared" si="41"/>
        <v>2018</v>
      </c>
      <c r="AW98" s="975">
        <f t="shared" si="41"/>
        <v>2018</v>
      </c>
      <c r="AX98" s="975">
        <f t="shared" si="41"/>
        <v>2018</v>
      </c>
      <c r="AY98" s="975">
        <f t="shared" si="41"/>
        <v>2019</v>
      </c>
      <c r="AZ98" s="975">
        <f t="shared" si="41"/>
        <v>2019</v>
      </c>
      <c r="BA98" s="975">
        <f t="shared" si="41"/>
        <v>2019</v>
      </c>
      <c r="BB98" s="975">
        <f t="shared" si="41"/>
        <v>2019</v>
      </c>
      <c r="BC98" s="975">
        <f t="shared" si="41"/>
        <v>2019</v>
      </c>
      <c r="BD98" s="975">
        <f t="shared" si="41"/>
        <v>2019</v>
      </c>
      <c r="BE98" s="975">
        <f t="shared" si="41"/>
        <v>2019</v>
      </c>
      <c r="BF98" s="975">
        <f t="shared" si="41"/>
        <v>2019</v>
      </c>
      <c r="BG98" s="975">
        <f t="shared" si="41"/>
        <v>2019</v>
      </c>
      <c r="BH98" s="975">
        <f t="shared" si="41"/>
        <v>2019</v>
      </c>
      <c r="BI98" s="975">
        <f t="shared" si="41"/>
        <v>2019</v>
      </c>
      <c r="BJ98" s="975">
        <f t="shared" si="41"/>
        <v>2019</v>
      </c>
      <c r="BK98" s="975">
        <f t="shared" si="41"/>
        <v>2020</v>
      </c>
      <c r="BL98" s="975">
        <f t="shared" si="41"/>
        <v>2020</v>
      </c>
      <c r="BM98" s="975">
        <f t="shared" si="41"/>
        <v>2020</v>
      </c>
      <c r="BN98" s="975">
        <f t="shared" si="41"/>
        <v>2020</v>
      </c>
      <c r="BO98" s="975">
        <f t="shared" si="41"/>
        <v>2020</v>
      </c>
      <c r="BP98" s="975">
        <f t="shared" si="42"/>
        <v>2020</v>
      </c>
      <c r="BQ98" s="975">
        <f t="shared" si="42"/>
        <v>2020</v>
      </c>
      <c r="BR98" s="975">
        <f t="shared" si="42"/>
        <v>2020</v>
      </c>
      <c r="BS98" s="975">
        <f t="shared" si="42"/>
        <v>2020</v>
      </c>
      <c r="BT98" s="975">
        <f t="shared" si="42"/>
        <v>2020</v>
      </c>
      <c r="BU98" s="975">
        <f t="shared" si="42"/>
        <v>2020</v>
      </c>
      <c r="BV98" s="975">
        <f t="shared" si="42"/>
        <v>2020</v>
      </c>
      <c r="BW98" s="975">
        <f t="shared" si="42"/>
        <v>2021</v>
      </c>
      <c r="BX98" s="975">
        <f t="shared" si="42"/>
        <v>2021</v>
      </c>
      <c r="BY98" s="975">
        <f t="shared" si="42"/>
        <v>2021</v>
      </c>
      <c r="BZ98" s="975">
        <f t="shared" si="42"/>
        <v>2021</v>
      </c>
      <c r="CA98" s="975">
        <f t="shared" si="42"/>
        <v>2021</v>
      </c>
      <c r="CB98" s="975">
        <f t="shared" si="42"/>
        <v>2021</v>
      </c>
      <c r="CC98" s="975">
        <f t="shared" si="42"/>
        <v>2021</v>
      </c>
      <c r="CD98" s="975">
        <f t="shared" si="42"/>
        <v>2021</v>
      </c>
      <c r="CE98" s="975">
        <f t="shared" si="42"/>
        <v>2021</v>
      </c>
      <c r="CF98" s="975">
        <f t="shared" si="42"/>
        <v>2021</v>
      </c>
      <c r="CG98" s="975">
        <f t="shared" si="42"/>
        <v>2021</v>
      </c>
      <c r="CH98" s="975">
        <f t="shared" si="42"/>
        <v>2021</v>
      </c>
      <c r="CI98" s="975">
        <f t="shared" si="42"/>
        <v>2022</v>
      </c>
      <c r="CJ98" s="975">
        <f t="shared" si="42"/>
        <v>2022</v>
      </c>
      <c r="CK98" s="975">
        <f t="shared" si="42"/>
        <v>2022</v>
      </c>
      <c r="CL98" s="975">
        <f t="shared" si="42"/>
        <v>2022</v>
      </c>
      <c r="CM98" s="975">
        <f t="shared" si="42"/>
        <v>2022</v>
      </c>
      <c r="CN98" s="975">
        <f t="shared" si="42"/>
        <v>2022</v>
      </c>
      <c r="CO98" s="975">
        <f t="shared" si="42"/>
        <v>2022</v>
      </c>
      <c r="CP98" s="975">
        <f t="shared" si="42"/>
        <v>2022</v>
      </c>
      <c r="CQ98" s="975">
        <f t="shared" si="42"/>
        <v>2022</v>
      </c>
      <c r="CR98" s="975">
        <f t="shared" si="42"/>
        <v>2022</v>
      </c>
      <c r="CS98" s="975">
        <f t="shared" si="42"/>
        <v>2022</v>
      </c>
      <c r="CT98" s="975">
        <f t="shared" si="42"/>
        <v>2022</v>
      </c>
      <c r="CU98" s="975">
        <f t="shared" si="42"/>
        <v>2023</v>
      </c>
      <c r="CV98" s="975">
        <f t="shared" si="42"/>
        <v>2023</v>
      </c>
      <c r="CW98" s="975">
        <f t="shared" si="42"/>
        <v>2023</v>
      </c>
      <c r="CX98" s="975">
        <f t="shared" si="42"/>
        <v>2023</v>
      </c>
      <c r="CY98" s="975">
        <f t="shared" si="42"/>
        <v>2023</v>
      </c>
      <c r="CZ98" s="975">
        <f t="shared" si="42"/>
        <v>2023</v>
      </c>
      <c r="DA98" s="975">
        <f t="shared" si="42"/>
        <v>2023</v>
      </c>
      <c r="DB98" s="975">
        <f t="shared" si="42"/>
        <v>2023</v>
      </c>
      <c r="DC98" s="975">
        <f t="shared" si="42"/>
        <v>2023</v>
      </c>
      <c r="DD98" s="975">
        <f t="shared" si="42"/>
        <v>2023</v>
      </c>
      <c r="DE98" s="975">
        <f t="shared" si="42"/>
        <v>2023</v>
      </c>
      <c r="DF98" s="975">
        <f t="shared" si="42"/>
        <v>2023</v>
      </c>
    </row>
    <row r="99" spans="1:113" x14ac:dyDescent="0.2">
      <c r="B99" s="43" t="str">
        <f>B75</f>
        <v>M€</v>
      </c>
      <c r="C99" s="968" t="str">
        <f>CONCATENATE(C97," ",C98)</f>
        <v>janvier 2015</v>
      </c>
      <c r="D99" s="968" t="str">
        <f t="shared" ref="D99:BO99" si="44">CONCATENATE(D97," ",D98)</f>
        <v>février 2015</v>
      </c>
      <c r="E99" s="968" t="str">
        <f t="shared" si="44"/>
        <v>mars 2015</v>
      </c>
      <c r="F99" s="968" t="str">
        <f t="shared" si="44"/>
        <v>avril 2015</v>
      </c>
      <c r="G99" s="968" t="str">
        <f t="shared" si="44"/>
        <v>mai 2015</v>
      </c>
      <c r="H99" s="968" t="str">
        <f t="shared" si="44"/>
        <v>juin 2015</v>
      </c>
      <c r="I99" s="968" t="str">
        <f t="shared" si="44"/>
        <v>juillet 2015</v>
      </c>
      <c r="J99" s="968" t="str">
        <f t="shared" si="44"/>
        <v>août 2015</v>
      </c>
      <c r="K99" s="968" t="str">
        <f t="shared" si="44"/>
        <v>septembre 2015</v>
      </c>
      <c r="L99" s="968" t="str">
        <f t="shared" si="44"/>
        <v>octobre 2015</v>
      </c>
      <c r="M99" s="968" t="str">
        <f t="shared" si="44"/>
        <v>novembre 2015</v>
      </c>
      <c r="N99" s="968" t="str">
        <f t="shared" si="44"/>
        <v>décembre 2015</v>
      </c>
      <c r="O99" s="968" t="str">
        <f t="shared" si="44"/>
        <v>janvier 2016</v>
      </c>
      <c r="P99" s="968" t="str">
        <f t="shared" si="44"/>
        <v>février 2016</v>
      </c>
      <c r="Q99" s="968" t="str">
        <f t="shared" si="44"/>
        <v>mars 2016</v>
      </c>
      <c r="R99" s="968" t="str">
        <f t="shared" si="44"/>
        <v>avril 2016</v>
      </c>
      <c r="S99" s="968" t="str">
        <f t="shared" si="44"/>
        <v>mai 2016</v>
      </c>
      <c r="T99" s="968" t="str">
        <f t="shared" si="44"/>
        <v>juin 2016</v>
      </c>
      <c r="U99" s="968" t="str">
        <f t="shared" si="44"/>
        <v>juillet 2016</v>
      </c>
      <c r="V99" s="968" t="str">
        <f t="shared" si="44"/>
        <v>août 2016</v>
      </c>
      <c r="W99" s="968" t="str">
        <f t="shared" si="44"/>
        <v>septembre 2016</v>
      </c>
      <c r="X99" s="968" t="str">
        <f t="shared" si="44"/>
        <v>octobre 2016</v>
      </c>
      <c r="Y99" s="968" t="str">
        <f t="shared" si="44"/>
        <v>novembre 2016</v>
      </c>
      <c r="Z99" s="968" t="str">
        <f t="shared" si="44"/>
        <v>décembre 2016</v>
      </c>
      <c r="AA99" s="968" t="str">
        <f t="shared" si="44"/>
        <v>janvier 2017</v>
      </c>
      <c r="AB99" s="968" t="str">
        <f t="shared" si="44"/>
        <v>février 2017</v>
      </c>
      <c r="AC99" s="968" t="str">
        <f t="shared" si="44"/>
        <v>mars 2017</v>
      </c>
      <c r="AD99" s="968" t="str">
        <f t="shared" si="44"/>
        <v>avril 2017</v>
      </c>
      <c r="AE99" s="968" t="str">
        <f t="shared" si="44"/>
        <v>mai 2017</v>
      </c>
      <c r="AF99" s="968" t="str">
        <f t="shared" si="44"/>
        <v>juin 2017</v>
      </c>
      <c r="AG99" s="968" t="str">
        <f t="shared" si="44"/>
        <v>juillet 2017</v>
      </c>
      <c r="AH99" s="968" t="str">
        <f t="shared" si="44"/>
        <v>août 2017</v>
      </c>
      <c r="AI99" s="968" t="str">
        <f t="shared" si="44"/>
        <v>septembre 2017</v>
      </c>
      <c r="AJ99" s="968" t="str">
        <f t="shared" si="44"/>
        <v>octobre 2017</v>
      </c>
      <c r="AK99" s="968" t="str">
        <f t="shared" si="44"/>
        <v>novembre 2017</v>
      </c>
      <c r="AL99" s="968" t="str">
        <f t="shared" si="44"/>
        <v>décembre 2017</v>
      </c>
      <c r="AM99" s="968" t="str">
        <f t="shared" si="44"/>
        <v>janvier 2018</v>
      </c>
      <c r="AN99" s="968" t="str">
        <f t="shared" si="44"/>
        <v>février 2018</v>
      </c>
      <c r="AO99" s="968" t="str">
        <f t="shared" si="44"/>
        <v>mars 2018</v>
      </c>
      <c r="AP99" s="968" t="str">
        <f t="shared" si="44"/>
        <v>avril 2018</v>
      </c>
      <c r="AQ99" s="968" t="str">
        <f t="shared" si="44"/>
        <v>mai 2018</v>
      </c>
      <c r="AR99" s="968" t="str">
        <f t="shared" si="44"/>
        <v>juin 2018</v>
      </c>
      <c r="AS99" s="968" t="str">
        <f t="shared" si="44"/>
        <v>juillet 2018</v>
      </c>
      <c r="AT99" s="968" t="str">
        <f t="shared" si="44"/>
        <v>août 2018</v>
      </c>
      <c r="AU99" s="968" t="str">
        <f t="shared" si="44"/>
        <v>septembre 2018</v>
      </c>
      <c r="AV99" s="968" t="str">
        <f t="shared" si="44"/>
        <v>octobre 2018</v>
      </c>
      <c r="AW99" s="968" t="str">
        <f t="shared" si="44"/>
        <v>novembre 2018</v>
      </c>
      <c r="AX99" s="968" t="str">
        <f t="shared" si="44"/>
        <v>décembre 2018</v>
      </c>
      <c r="AY99" s="968" t="str">
        <f t="shared" si="44"/>
        <v>janvier 2019</v>
      </c>
      <c r="AZ99" s="968" t="str">
        <f t="shared" si="44"/>
        <v>février 2019</v>
      </c>
      <c r="BA99" s="968" t="str">
        <f t="shared" si="44"/>
        <v>mars 2019</v>
      </c>
      <c r="BB99" s="968" t="str">
        <f t="shared" si="44"/>
        <v>avril 2019</v>
      </c>
      <c r="BC99" s="968" t="str">
        <f t="shared" si="44"/>
        <v>mai 2019</v>
      </c>
      <c r="BD99" s="968" t="str">
        <f t="shared" si="44"/>
        <v>juin 2019</v>
      </c>
      <c r="BE99" s="968" t="str">
        <f t="shared" si="44"/>
        <v>juillet 2019</v>
      </c>
      <c r="BF99" s="968" t="str">
        <f t="shared" si="44"/>
        <v>août 2019</v>
      </c>
      <c r="BG99" s="968" t="str">
        <f t="shared" si="44"/>
        <v>septembre 2019</v>
      </c>
      <c r="BH99" s="968" t="str">
        <f t="shared" si="44"/>
        <v>octobre 2019</v>
      </c>
      <c r="BI99" s="968" t="str">
        <f t="shared" si="44"/>
        <v>novembre 2019</v>
      </c>
      <c r="BJ99" s="968" t="str">
        <f t="shared" si="44"/>
        <v>décembre 2019</v>
      </c>
      <c r="BK99" s="968" t="str">
        <f t="shared" si="44"/>
        <v>janvier 2020</v>
      </c>
      <c r="BL99" s="968" t="str">
        <f t="shared" si="44"/>
        <v>février 2020</v>
      </c>
      <c r="BM99" s="968" t="str">
        <f t="shared" si="44"/>
        <v>mars 2020</v>
      </c>
      <c r="BN99" s="968" t="str">
        <f t="shared" si="44"/>
        <v>avril 2020</v>
      </c>
      <c r="BO99" s="968" t="str">
        <f t="shared" si="44"/>
        <v>mai 2020</v>
      </c>
      <c r="BP99" s="968" t="str">
        <f t="shared" ref="BP99:DF99" si="45">CONCATENATE(BP97," ",BP98)</f>
        <v>juin 2020</v>
      </c>
      <c r="BQ99" s="968" t="str">
        <f t="shared" si="45"/>
        <v>juillet 2020</v>
      </c>
      <c r="BR99" s="968" t="str">
        <f t="shared" si="45"/>
        <v>août 2020</v>
      </c>
      <c r="BS99" s="968" t="str">
        <f t="shared" si="45"/>
        <v>septembre 2020</v>
      </c>
      <c r="BT99" s="968" t="str">
        <f t="shared" si="45"/>
        <v>octobre 2020</v>
      </c>
      <c r="BU99" s="968" t="str">
        <f t="shared" si="45"/>
        <v>novembre 2020</v>
      </c>
      <c r="BV99" s="968" t="str">
        <f t="shared" si="45"/>
        <v>décembre 2020</v>
      </c>
      <c r="BW99" s="968" t="str">
        <f t="shared" si="45"/>
        <v>janvier 2021</v>
      </c>
      <c r="BX99" s="968" t="str">
        <f t="shared" si="45"/>
        <v>février 2021</v>
      </c>
      <c r="BY99" s="968" t="str">
        <f t="shared" si="45"/>
        <v>mars 2021</v>
      </c>
      <c r="BZ99" s="968" t="str">
        <f t="shared" si="45"/>
        <v>avril 2021</v>
      </c>
      <c r="CA99" s="968" t="str">
        <f t="shared" si="45"/>
        <v>mai 2021</v>
      </c>
      <c r="CB99" s="968" t="str">
        <f t="shared" si="45"/>
        <v>juin 2021</v>
      </c>
      <c r="CC99" s="968" t="str">
        <f t="shared" si="45"/>
        <v>juillet 2021</v>
      </c>
      <c r="CD99" s="968" t="str">
        <f t="shared" si="45"/>
        <v>août 2021</v>
      </c>
      <c r="CE99" s="968" t="str">
        <f t="shared" si="45"/>
        <v>septembre 2021</v>
      </c>
      <c r="CF99" s="968" t="str">
        <f t="shared" si="45"/>
        <v>octobre 2021</v>
      </c>
      <c r="CG99" s="968" t="str">
        <f t="shared" si="45"/>
        <v>novembre 2021</v>
      </c>
      <c r="CH99" s="968" t="str">
        <f t="shared" si="45"/>
        <v>décembre 2021</v>
      </c>
      <c r="CI99" s="968" t="str">
        <f t="shared" si="45"/>
        <v>janvier 2022</v>
      </c>
      <c r="CJ99" s="968" t="str">
        <f t="shared" si="45"/>
        <v>février 2022</v>
      </c>
      <c r="CK99" s="968" t="str">
        <f t="shared" si="45"/>
        <v>mars 2022</v>
      </c>
      <c r="CL99" s="968" t="str">
        <f t="shared" si="45"/>
        <v>avril 2022</v>
      </c>
      <c r="CM99" s="968" t="str">
        <f t="shared" si="45"/>
        <v>mai 2022</v>
      </c>
      <c r="CN99" s="968" t="str">
        <f t="shared" si="45"/>
        <v>juin 2022</v>
      </c>
      <c r="CO99" s="968" t="str">
        <f t="shared" si="45"/>
        <v>juillet 2022</v>
      </c>
      <c r="CP99" s="968" t="str">
        <f t="shared" si="45"/>
        <v>août 2022</v>
      </c>
      <c r="CQ99" s="968" t="str">
        <f t="shared" si="45"/>
        <v>septembre 2022</v>
      </c>
      <c r="CR99" s="968" t="str">
        <f t="shared" si="45"/>
        <v>octobre 2022</v>
      </c>
      <c r="CS99" s="968" t="str">
        <f t="shared" si="45"/>
        <v>novembre 2022</v>
      </c>
      <c r="CT99" s="968" t="str">
        <f t="shared" si="45"/>
        <v>décembre 2022</v>
      </c>
      <c r="CU99" s="968" t="str">
        <f t="shared" si="45"/>
        <v>janvier 2023</v>
      </c>
      <c r="CV99" s="968" t="str">
        <f t="shared" si="45"/>
        <v>février 2023</v>
      </c>
      <c r="CW99" s="968" t="str">
        <f t="shared" si="45"/>
        <v>mars 2023</v>
      </c>
      <c r="CX99" s="968" t="str">
        <f t="shared" si="45"/>
        <v>avril 2023</v>
      </c>
      <c r="CY99" s="968" t="str">
        <f t="shared" si="45"/>
        <v>mai 2023</v>
      </c>
      <c r="CZ99" s="968" t="str">
        <f t="shared" si="45"/>
        <v>juin 2023</v>
      </c>
      <c r="DA99" s="968" t="str">
        <f t="shared" si="45"/>
        <v>juillet 2023</v>
      </c>
      <c r="DB99" s="968" t="str">
        <f t="shared" si="45"/>
        <v>août 2023</v>
      </c>
      <c r="DC99" s="968" t="str">
        <f t="shared" si="45"/>
        <v>septembre 2023</v>
      </c>
      <c r="DD99" s="968" t="str">
        <f t="shared" si="45"/>
        <v>octobre 2023</v>
      </c>
      <c r="DE99" s="968" t="str">
        <f t="shared" si="45"/>
        <v>novembre 2023</v>
      </c>
      <c r="DF99" s="968" t="str">
        <f t="shared" si="45"/>
        <v>décembre 2023</v>
      </c>
    </row>
    <row r="100" spans="1:113" x14ac:dyDescent="0.2">
      <c r="A100" s="15" t="str">
        <f t="shared" ref="A100:B115" si="46">A76</f>
        <v>Four PAMCHR :</v>
      </c>
      <c r="B100" s="134">
        <f t="shared" si="46"/>
        <v>18.3</v>
      </c>
      <c r="C100" s="16">
        <f t="shared" ref="C100:C117" si="47">IF(C76=0,C29,0)</f>
        <v>0</v>
      </c>
      <c r="D100" s="16">
        <f t="shared" ref="D100:D117" si="48">IF(C76=1,C29,IF(D76=0,D29,0))</f>
        <v>2.7450000000000001</v>
      </c>
      <c r="E100" s="16">
        <f t="shared" ref="E100:E117" si="49">IF(C76=2,C29,IF(D76=1,D29,IF(E76=0,E29,0)))</f>
        <v>0</v>
      </c>
      <c r="F100" s="16">
        <f t="shared" ref="F100:BQ103" si="50">IF(C76=3,C29,IF(D76=2,D29,IF(E76=1,E29,IF(F76=0,F29,0))))</f>
        <v>0</v>
      </c>
      <c r="G100" s="16">
        <f t="shared" si="50"/>
        <v>1.83</v>
      </c>
      <c r="H100" s="16">
        <f t="shared" si="50"/>
        <v>0</v>
      </c>
      <c r="I100" s="16">
        <f t="shared" si="50"/>
        <v>0</v>
      </c>
      <c r="J100" s="16">
        <f t="shared" si="50"/>
        <v>0</v>
      </c>
      <c r="K100" s="16">
        <f t="shared" si="50"/>
        <v>0</v>
      </c>
      <c r="L100" s="16">
        <f t="shared" si="50"/>
        <v>0</v>
      </c>
      <c r="M100" s="16">
        <f t="shared" si="50"/>
        <v>0</v>
      </c>
      <c r="N100" s="16">
        <f t="shared" si="50"/>
        <v>0</v>
      </c>
      <c r="O100" s="16">
        <f t="shared" si="50"/>
        <v>0</v>
      </c>
      <c r="P100" s="16">
        <f t="shared" si="50"/>
        <v>0</v>
      </c>
      <c r="Q100" s="16">
        <f t="shared" si="50"/>
        <v>0</v>
      </c>
      <c r="R100" s="16">
        <f t="shared" si="50"/>
        <v>3.66</v>
      </c>
      <c r="S100" s="16">
        <f t="shared" si="50"/>
        <v>0</v>
      </c>
      <c r="T100" s="16">
        <f t="shared" si="50"/>
        <v>0</v>
      </c>
      <c r="U100" s="16">
        <f t="shared" si="50"/>
        <v>0</v>
      </c>
      <c r="V100" s="16">
        <f t="shared" si="50"/>
        <v>3.66</v>
      </c>
      <c r="W100" s="16">
        <f t="shared" si="50"/>
        <v>0</v>
      </c>
      <c r="X100" s="16">
        <f t="shared" si="50"/>
        <v>0</v>
      </c>
      <c r="Y100" s="16">
        <f t="shared" si="50"/>
        <v>0</v>
      </c>
      <c r="Z100" s="16">
        <f t="shared" si="50"/>
        <v>0</v>
      </c>
      <c r="AA100" s="16">
        <f t="shared" si="50"/>
        <v>0</v>
      </c>
      <c r="AB100" s="16">
        <f t="shared" si="50"/>
        <v>0</v>
      </c>
      <c r="AC100" s="16">
        <f t="shared" si="50"/>
        <v>0</v>
      </c>
      <c r="AD100" s="16">
        <f t="shared" si="50"/>
        <v>3.66</v>
      </c>
      <c r="AE100" s="16">
        <f t="shared" si="50"/>
        <v>0</v>
      </c>
      <c r="AF100" s="16">
        <f t="shared" si="50"/>
        <v>0</v>
      </c>
      <c r="AG100" s="16">
        <f t="shared" si="50"/>
        <v>1.83</v>
      </c>
      <c r="AH100" s="16">
        <f t="shared" si="50"/>
        <v>0</v>
      </c>
      <c r="AI100" s="16">
        <f t="shared" si="50"/>
        <v>0</v>
      </c>
      <c r="AJ100" s="16">
        <f t="shared" si="50"/>
        <v>0</v>
      </c>
      <c r="AK100" s="16">
        <f t="shared" si="50"/>
        <v>0</v>
      </c>
      <c r="AL100" s="16">
        <f t="shared" si="50"/>
        <v>0</v>
      </c>
      <c r="AM100" s="16">
        <f t="shared" si="50"/>
        <v>0</v>
      </c>
      <c r="AN100" s="16">
        <f t="shared" si="50"/>
        <v>0</v>
      </c>
      <c r="AO100" s="16">
        <f t="shared" si="50"/>
        <v>0</v>
      </c>
      <c r="AP100" s="16">
        <f t="shared" si="50"/>
        <v>0</v>
      </c>
      <c r="AQ100" s="16">
        <f t="shared" si="50"/>
        <v>0</v>
      </c>
      <c r="AR100" s="16">
        <f t="shared" si="50"/>
        <v>0</v>
      </c>
      <c r="AS100" s="16">
        <f t="shared" si="50"/>
        <v>0.91500000000000004</v>
      </c>
      <c r="AT100" s="16">
        <f t="shared" si="50"/>
        <v>0</v>
      </c>
      <c r="AU100" s="16">
        <f t="shared" si="50"/>
        <v>0</v>
      </c>
      <c r="AV100" s="16">
        <f t="shared" si="50"/>
        <v>0</v>
      </c>
      <c r="AW100" s="16">
        <f t="shared" si="50"/>
        <v>0</v>
      </c>
      <c r="AX100" s="16">
        <f t="shared" si="50"/>
        <v>0</v>
      </c>
      <c r="AY100" s="16">
        <f t="shared" si="50"/>
        <v>0</v>
      </c>
      <c r="AZ100" s="16">
        <f t="shared" si="50"/>
        <v>0</v>
      </c>
      <c r="BA100" s="16">
        <f t="shared" si="50"/>
        <v>0</v>
      </c>
      <c r="BB100" s="16">
        <f t="shared" si="50"/>
        <v>0</v>
      </c>
      <c r="BC100" s="16">
        <f t="shared" si="50"/>
        <v>0</v>
      </c>
      <c r="BD100" s="16">
        <f t="shared" si="50"/>
        <v>0</v>
      </c>
      <c r="BE100" s="16">
        <f t="shared" si="50"/>
        <v>0</v>
      </c>
      <c r="BF100" s="16">
        <f t="shared" si="50"/>
        <v>0</v>
      </c>
      <c r="BG100" s="16">
        <f t="shared" si="50"/>
        <v>0</v>
      </c>
      <c r="BH100" s="16">
        <f t="shared" si="50"/>
        <v>0</v>
      </c>
      <c r="BI100" s="16">
        <f t="shared" si="50"/>
        <v>0</v>
      </c>
      <c r="BJ100" s="16">
        <f t="shared" si="50"/>
        <v>0</v>
      </c>
      <c r="BK100" s="16">
        <f t="shared" si="50"/>
        <v>0</v>
      </c>
      <c r="BL100" s="16">
        <f t="shared" si="50"/>
        <v>0</v>
      </c>
      <c r="BM100" s="16">
        <f t="shared" si="50"/>
        <v>0</v>
      </c>
      <c r="BN100" s="16">
        <f t="shared" si="50"/>
        <v>0</v>
      </c>
      <c r="BO100" s="16">
        <f t="shared" si="50"/>
        <v>0</v>
      </c>
      <c r="BP100" s="16">
        <f t="shared" si="50"/>
        <v>0</v>
      </c>
      <c r="BQ100" s="16">
        <f t="shared" si="50"/>
        <v>0</v>
      </c>
      <c r="BR100" s="16">
        <f t="shared" ref="BR100:DF106" si="51">IF(BO76=3,BO29,IF(BP76=2,BP29,IF(BQ76=1,BQ29,IF(BR76=0,BR29,0))))</f>
        <v>0</v>
      </c>
      <c r="BS100" s="16">
        <f t="shared" si="51"/>
        <v>0</v>
      </c>
      <c r="BT100" s="16">
        <f t="shared" si="51"/>
        <v>0</v>
      </c>
      <c r="BU100" s="16">
        <f t="shared" si="51"/>
        <v>0</v>
      </c>
      <c r="BV100" s="16">
        <f t="shared" si="51"/>
        <v>0</v>
      </c>
      <c r="BW100" s="16">
        <f t="shared" si="51"/>
        <v>0</v>
      </c>
      <c r="BX100" s="16">
        <f t="shared" si="51"/>
        <v>0</v>
      </c>
      <c r="BY100" s="16">
        <f t="shared" si="51"/>
        <v>0</v>
      </c>
      <c r="BZ100" s="16">
        <f t="shared" si="51"/>
        <v>0</v>
      </c>
      <c r="CA100" s="16">
        <f t="shared" si="51"/>
        <v>0</v>
      </c>
      <c r="CB100" s="16">
        <f t="shared" si="51"/>
        <v>0</v>
      </c>
      <c r="CC100" s="16">
        <f t="shared" si="51"/>
        <v>0</v>
      </c>
      <c r="CD100" s="16">
        <f t="shared" si="51"/>
        <v>0</v>
      </c>
      <c r="CE100" s="16">
        <f t="shared" si="51"/>
        <v>0</v>
      </c>
      <c r="CF100" s="16">
        <f t="shared" si="51"/>
        <v>0</v>
      </c>
      <c r="CG100" s="16">
        <f t="shared" si="51"/>
        <v>0</v>
      </c>
      <c r="CH100" s="16">
        <f t="shared" si="51"/>
        <v>0</v>
      </c>
      <c r="CI100" s="16">
        <f t="shared" si="51"/>
        <v>0</v>
      </c>
      <c r="CJ100" s="16">
        <f t="shared" si="51"/>
        <v>0</v>
      </c>
      <c r="CK100" s="16">
        <f t="shared" si="51"/>
        <v>0</v>
      </c>
      <c r="CL100" s="16">
        <f t="shared" si="51"/>
        <v>0</v>
      </c>
      <c r="CM100" s="16">
        <f t="shared" si="51"/>
        <v>0</v>
      </c>
      <c r="CN100" s="16">
        <f t="shared" si="51"/>
        <v>0</v>
      </c>
      <c r="CO100" s="16">
        <f t="shared" si="51"/>
        <v>0</v>
      </c>
      <c r="CP100" s="16">
        <f t="shared" si="51"/>
        <v>0</v>
      </c>
      <c r="CQ100" s="16">
        <f t="shared" si="51"/>
        <v>0</v>
      </c>
      <c r="CR100" s="16">
        <f t="shared" si="51"/>
        <v>0</v>
      </c>
      <c r="CS100" s="16">
        <f t="shared" si="51"/>
        <v>0</v>
      </c>
      <c r="CT100" s="16">
        <f t="shared" si="51"/>
        <v>0</v>
      </c>
      <c r="CU100" s="16">
        <f t="shared" si="51"/>
        <v>0</v>
      </c>
      <c r="CV100" s="16">
        <f t="shared" si="51"/>
        <v>0</v>
      </c>
      <c r="CW100" s="16">
        <f t="shared" si="51"/>
        <v>0</v>
      </c>
      <c r="CX100" s="16">
        <f t="shared" si="51"/>
        <v>0</v>
      </c>
      <c r="CY100" s="16">
        <f t="shared" si="51"/>
        <v>0</v>
      </c>
      <c r="CZ100" s="16">
        <f t="shared" si="51"/>
        <v>0</v>
      </c>
      <c r="DA100" s="16">
        <f t="shared" si="51"/>
        <v>0</v>
      </c>
      <c r="DB100" s="16">
        <f t="shared" si="51"/>
        <v>0</v>
      </c>
      <c r="DC100" s="16">
        <f t="shared" si="51"/>
        <v>0</v>
      </c>
      <c r="DD100" s="16">
        <f t="shared" si="51"/>
        <v>0</v>
      </c>
      <c r="DE100" s="16">
        <f t="shared" si="51"/>
        <v>0</v>
      </c>
      <c r="DF100" s="16">
        <f t="shared" si="51"/>
        <v>0</v>
      </c>
      <c r="DG100" s="36"/>
      <c r="DI100" s="36"/>
    </row>
    <row r="101" spans="1:113" x14ac:dyDescent="0.2">
      <c r="A101" s="15" t="str">
        <f t="shared" si="46"/>
        <v>Annexe four : outillage</v>
      </c>
      <c r="B101" s="134">
        <f t="shared" si="46"/>
        <v>0.4</v>
      </c>
      <c r="C101" s="16">
        <f t="shared" si="47"/>
        <v>0</v>
      </c>
      <c r="D101" s="16">
        <f t="shared" si="48"/>
        <v>0</v>
      </c>
      <c r="E101" s="16">
        <f t="shared" si="49"/>
        <v>0</v>
      </c>
      <c r="F101" s="16">
        <f t="shared" si="50"/>
        <v>0</v>
      </c>
      <c r="G101" s="16">
        <f t="shared" si="50"/>
        <v>0</v>
      </c>
      <c r="H101" s="16">
        <f t="shared" si="50"/>
        <v>0</v>
      </c>
      <c r="I101" s="16">
        <f t="shared" si="50"/>
        <v>0</v>
      </c>
      <c r="J101" s="16">
        <f t="shared" si="50"/>
        <v>0</v>
      </c>
      <c r="K101" s="16">
        <f t="shared" si="50"/>
        <v>0</v>
      </c>
      <c r="L101" s="16">
        <f t="shared" si="50"/>
        <v>0</v>
      </c>
      <c r="M101" s="16">
        <f t="shared" si="50"/>
        <v>0</v>
      </c>
      <c r="N101" s="16">
        <f t="shared" si="50"/>
        <v>0</v>
      </c>
      <c r="O101" s="16">
        <f t="shared" si="50"/>
        <v>0</v>
      </c>
      <c r="P101" s="16">
        <f t="shared" si="50"/>
        <v>0</v>
      </c>
      <c r="Q101" s="16">
        <f t="shared" si="50"/>
        <v>0</v>
      </c>
      <c r="R101" s="16">
        <f t="shared" si="50"/>
        <v>0</v>
      </c>
      <c r="S101" s="16">
        <f t="shared" si="50"/>
        <v>0.06</v>
      </c>
      <c r="T101" s="16">
        <f t="shared" si="50"/>
        <v>0</v>
      </c>
      <c r="U101" s="16">
        <f t="shared" si="50"/>
        <v>0</v>
      </c>
      <c r="V101" s="16">
        <f t="shared" si="50"/>
        <v>2.0000000000000004E-2</v>
      </c>
      <c r="W101" s="16">
        <f t="shared" si="50"/>
        <v>0</v>
      </c>
      <c r="X101" s="16">
        <f t="shared" si="50"/>
        <v>0</v>
      </c>
      <c r="Y101" s="16">
        <f t="shared" si="50"/>
        <v>0</v>
      </c>
      <c r="Z101" s="16">
        <f t="shared" si="50"/>
        <v>0.06</v>
      </c>
      <c r="AA101" s="16">
        <f t="shared" si="50"/>
        <v>0</v>
      </c>
      <c r="AB101" s="16">
        <f t="shared" si="50"/>
        <v>8.0000000000000016E-2</v>
      </c>
      <c r="AC101" s="16">
        <f t="shared" si="50"/>
        <v>0.1</v>
      </c>
      <c r="AD101" s="16">
        <f t="shared" si="50"/>
        <v>0</v>
      </c>
      <c r="AE101" s="16">
        <f t="shared" si="50"/>
        <v>0.06</v>
      </c>
      <c r="AF101" s="16">
        <f t="shared" si="50"/>
        <v>0</v>
      </c>
      <c r="AG101" s="16">
        <f t="shared" si="50"/>
        <v>0</v>
      </c>
      <c r="AH101" s="16">
        <f t="shared" si="50"/>
        <v>0</v>
      </c>
      <c r="AI101" s="16">
        <f t="shared" si="50"/>
        <v>0</v>
      </c>
      <c r="AJ101" s="16">
        <f t="shared" si="50"/>
        <v>0</v>
      </c>
      <c r="AK101" s="16">
        <f t="shared" si="50"/>
        <v>0</v>
      </c>
      <c r="AL101" s="16">
        <f t="shared" si="50"/>
        <v>0</v>
      </c>
      <c r="AM101" s="16">
        <f t="shared" si="50"/>
        <v>0</v>
      </c>
      <c r="AN101" s="16">
        <f t="shared" si="50"/>
        <v>0</v>
      </c>
      <c r="AO101" s="16">
        <f t="shared" si="50"/>
        <v>0</v>
      </c>
      <c r="AP101" s="16">
        <f t="shared" si="50"/>
        <v>0</v>
      </c>
      <c r="AQ101" s="16">
        <f t="shared" si="50"/>
        <v>2.0000000000000004E-2</v>
      </c>
      <c r="AR101" s="16">
        <f t="shared" si="50"/>
        <v>0</v>
      </c>
      <c r="AS101" s="16">
        <f t="shared" si="50"/>
        <v>0</v>
      </c>
      <c r="AT101" s="16">
        <f t="shared" si="50"/>
        <v>0</v>
      </c>
      <c r="AU101" s="16">
        <f t="shared" si="50"/>
        <v>0</v>
      </c>
      <c r="AV101" s="16">
        <f t="shared" si="50"/>
        <v>0</v>
      </c>
      <c r="AW101" s="16">
        <f t="shared" si="50"/>
        <v>0</v>
      </c>
      <c r="AX101" s="16">
        <f t="shared" si="50"/>
        <v>0</v>
      </c>
      <c r="AY101" s="16">
        <f t="shared" si="50"/>
        <v>0</v>
      </c>
      <c r="AZ101" s="16">
        <f t="shared" si="50"/>
        <v>0</v>
      </c>
      <c r="BA101" s="16">
        <f t="shared" si="50"/>
        <v>0</v>
      </c>
      <c r="BB101" s="16">
        <f t="shared" si="50"/>
        <v>0</v>
      </c>
      <c r="BC101" s="16">
        <f t="shared" si="50"/>
        <v>0</v>
      </c>
      <c r="BD101" s="16">
        <f t="shared" si="50"/>
        <v>0</v>
      </c>
      <c r="BE101" s="16">
        <f t="shared" si="50"/>
        <v>0</v>
      </c>
      <c r="BF101" s="16">
        <f t="shared" si="50"/>
        <v>0</v>
      </c>
      <c r="BG101" s="16">
        <f t="shared" si="50"/>
        <v>0</v>
      </c>
      <c r="BH101" s="16">
        <f t="shared" si="50"/>
        <v>0</v>
      </c>
      <c r="BI101" s="16">
        <f t="shared" si="50"/>
        <v>0</v>
      </c>
      <c r="BJ101" s="16">
        <f t="shared" si="50"/>
        <v>0</v>
      </c>
      <c r="BK101" s="16">
        <f t="shared" si="50"/>
        <v>0</v>
      </c>
      <c r="BL101" s="16">
        <f t="shared" si="50"/>
        <v>0</v>
      </c>
      <c r="BM101" s="16">
        <f t="shared" si="50"/>
        <v>0</v>
      </c>
      <c r="BN101" s="16">
        <f t="shared" si="50"/>
        <v>0</v>
      </c>
      <c r="BO101" s="16">
        <f t="shared" si="50"/>
        <v>0</v>
      </c>
      <c r="BP101" s="16">
        <f t="shared" si="50"/>
        <v>0</v>
      </c>
      <c r="BQ101" s="16">
        <f t="shared" si="50"/>
        <v>0</v>
      </c>
      <c r="BR101" s="16">
        <f t="shared" si="51"/>
        <v>0</v>
      </c>
      <c r="BS101" s="16">
        <f t="shared" si="51"/>
        <v>0</v>
      </c>
      <c r="BT101" s="16">
        <f t="shared" si="51"/>
        <v>0</v>
      </c>
      <c r="BU101" s="16">
        <f t="shared" si="51"/>
        <v>0</v>
      </c>
      <c r="BV101" s="16">
        <f t="shared" si="51"/>
        <v>0</v>
      </c>
      <c r="BW101" s="16">
        <f t="shared" si="51"/>
        <v>0</v>
      </c>
      <c r="BX101" s="16">
        <f t="shared" si="51"/>
        <v>0</v>
      </c>
      <c r="BY101" s="16">
        <f t="shared" si="51"/>
        <v>0</v>
      </c>
      <c r="BZ101" s="16">
        <f t="shared" si="51"/>
        <v>0</v>
      </c>
      <c r="CA101" s="16">
        <f t="shared" si="51"/>
        <v>0</v>
      </c>
      <c r="CB101" s="16">
        <f t="shared" si="51"/>
        <v>0</v>
      </c>
      <c r="CC101" s="16">
        <f t="shared" si="51"/>
        <v>0</v>
      </c>
      <c r="CD101" s="16">
        <f t="shared" si="51"/>
        <v>0</v>
      </c>
      <c r="CE101" s="16">
        <f t="shared" si="51"/>
        <v>0</v>
      </c>
      <c r="CF101" s="16">
        <f t="shared" si="51"/>
        <v>0</v>
      </c>
      <c r="CG101" s="16">
        <f t="shared" si="51"/>
        <v>0</v>
      </c>
      <c r="CH101" s="16">
        <f t="shared" si="51"/>
        <v>0</v>
      </c>
      <c r="CI101" s="16">
        <f t="shared" si="51"/>
        <v>0</v>
      </c>
      <c r="CJ101" s="16">
        <f t="shared" si="51"/>
        <v>0</v>
      </c>
      <c r="CK101" s="16">
        <f t="shared" si="51"/>
        <v>0</v>
      </c>
      <c r="CL101" s="16">
        <f t="shared" si="51"/>
        <v>0</v>
      </c>
      <c r="CM101" s="16">
        <f t="shared" si="51"/>
        <v>0</v>
      </c>
      <c r="CN101" s="16">
        <f t="shared" si="51"/>
        <v>0</v>
      </c>
      <c r="CO101" s="16">
        <f t="shared" si="51"/>
        <v>0</v>
      </c>
      <c r="CP101" s="16">
        <f t="shared" si="51"/>
        <v>0</v>
      </c>
      <c r="CQ101" s="16">
        <f t="shared" si="51"/>
        <v>0</v>
      </c>
      <c r="CR101" s="16">
        <f t="shared" si="51"/>
        <v>0</v>
      </c>
      <c r="CS101" s="16">
        <f t="shared" si="51"/>
        <v>0</v>
      </c>
      <c r="CT101" s="16">
        <f t="shared" si="51"/>
        <v>0</v>
      </c>
      <c r="CU101" s="16">
        <f t="shared" si="51"/>
        <v>0</v>
      </c>
      <c r="CV101" s="16">
        <f t="shared" si="51"/>
        <v>0</v>
      </c>
      <c r="CW101" s="16">
        <f t="shared" si="51"/>
        <v>0</v>
      </c>
      <c r="CX101" s="16">
        <f t="shared" si="51"/>
        <v>0</v>
      </c>
      <c r="CY101" s="16">
        <f t="shared" si="51"/>
        <v>0</v>
      </c>
      <c r="CZ101" s="16">
        <f t="shared" si="51"/>
        <v>0</v>
      </c>
      <c r="DA101" s="16">
        <f t="shared" si="51"/>
        <v>0</v>
      </c>
      <c r="DB101" s="16">
        <f t="shared" si="51"/>
        <v>0</v>
      </c>
      <c r="DC101" s="16">
        <f t="shared" si="51"/>
        <v>0</v>
      </c>
      <c r="DD101" s="16">
        <f t="shared" si="51"/>
        <v>0</v>
      </c>
      <c r="DE101" s="16">
        <f t="shared" si="51"/>
        <v>0</v>
      </c>
      <c r="DF101" s="16">
        <f t="shared" si="51"/>
        <v>0</v>
      </c>
      <c r="DG101" s="36"/>
      <c r="DI101" s="36"/>
    </row>
    <row r="102" spans="1:113" x14ac:dyDescent="0.2">
      <c r="A102" s="15" t="str">
        <f t="shared" si="46"/>
        <v>1er Four VAR :</v>
      </c>
      <c r="B102" s="134">
        <f t="shared" si="46"/>
        <v>2.6</v>
      </c>
      <c r="C102" s="16">
        <f t="shared" si="47"/>
        <v>0</v>
      </c>
      <c r="D102" s="16">
        <f t="shared" si="48"/>
        <v>0</v>
      </c>
      <c r="E102" s="16">
        <f t="shared" si="49"/>
        <v>0</v>
      </c>
      <c r="F102" s="16">
        <f t="shared" si="50"/>
        <v>0</v>
      </c>
      <c r="G102" s="16">
        <f t="shared" si="50"/>
        <v>0</v>
      </c>
      <c r="H102" s="16">
        <f t="shared" si="50"/>
        <v>0</v>
      </c>
      <c r="I102" s="16">
        <f t="shared" si="50"/>
        <v>0</v>
      </c>
      <c r="J102" s="16">
        <f t="shared" si="50"/>
        <v>0</v>
      </c>
      <c r="K102" s="16">
        <f t="shared" si="50"/>
        <v>0</v>
      </c>
      <c r="L102" s="16">
        <f t="shared" si="50"/>
        <v>0</v>
      </c>
      <c r="M102" s="16">
        <f t="shared" si="50"/>
        <v>0</v>
      </c>
      <c r="N102" s="16">
        <f t="shared" si="50"/>
        <v>0.39</v>
      </c>
      <c r="O102" s="16">
        <f t="shared" si="50"/>
        <v>0</v>
      </c>
      <c r="P102" s="16">
        <f t="shared" si="50"/>
        <v>0</v>
      </c>
      <c r="Q102" s="16">
        <f t="shared" si="50"/>
        <v>0.26</v>
      </c>
      <c r="R102" s="16">
        <f t="shared" si="50"/>
        <v>0</v>
      </c>
      <c r="S102" s="16">
        <f t="shared" si="50"/>
        <v>0</v>
      </c>
      <c r="T102" s="16">
        <f t="shared" si="50"/>
        <v>0</v>
      </c>
      <c r="U102" s="16">
        <f t="shared" si="50"/>
        <v>0</v>
      </c>
      <c r="V102" s="16">
        <f t="shared" si="50"/>
        <v>0</v>
      </c>
      <c r="W102" s="16">
        <f t="shared" si="50"/>
        <v>0</v>
      </c>
      <c r="X102" s="16">
        <f t="shared" si="50"/>
        <v>0.52</v>
      </c>
      <c r="Y102" s="16">
        <f t="shared" si="50"/>
        <v>0</v>
      </c>
      <c r="Z102" s="16">
        <f t="shared" si="50"/>
        <v>0.52</v>
      </c>
      <c r="AA102" s="16">
        <f t="shared" si="50"/>
        <v>0</v>
      </c>
      <c r="AB102" s="16">
        <f t="shared" si="50"/>
        <v>0</v>
      </c>
      <c r="AC102" s="16">
        <f t="shared" si="50"/>
        <v>0</v>
      </c>
      <c r="AD102" s="16">
        <f t="shared" si="50"/>
        <v>0</v>
      </c>
      <c r="AE102" s="16">
        <f t="shared" si="50"/>
        <v>0.52</v>
      </c>
      <c r="AF102" s="16">
        <f t="shared" si="50"/>
        <v>0</v>
      </c>
      <c r="AG102" s="16">
        <f t="shared" si="50"/>
        <v>0</v>
      </c>
      <c r="AH102" s="16">
        <f t="shared" si="50"/>
        <v>0.26</v>
      </c>
      <c r="AI102" s="16">
        <f t="shared" si="50"/>
        <v>0</v>
      </c>
      <c r="AJ102" s="16">
        <f t="shared" si="50"/>
        <v>0</v>
      </c>
      <c r="AK102" s="16">
        <f t="shared" si="50"/>
        <v>0</v>
      </c>
      <c r="AL102" s="16">
        <f t="shared" si="50"/>
        <v>0</v>
      </c>
      <c r="AM102" s="16">
        <f t="shared" si="50"/>
        <v>0</v>
      </c>
      <c r="AN102" s="16">
        <f t="shared" si="50"/>
        <v>0</v>
      </c>
      <c r="AO102" s="16">
        <f t="shared" si="50"/>
        <v>0</v>
      </c>
      <c r="AP102" s="16">
        <f t="shared" si="50"/>
        <v>0</v>
      </c>
      <c r="AQ102" s="16">
        <f t="shared" si="50"/>
        <v>0</v>
      </c>
      <c r="AR102" s="16">
        <f t="shared" si="50"/>
        <v>0</v>
      </c>
      <c r="AS102" s="16">
        <f t="shared" si="50"/>
        <v>0</v>
      </c>
      <c r="AT102" s="16">
        <f t="shared" si="50"/>
        <v>0.13</v>
      </c>
      <c r="AU102" s="16">
        <f t="shared" si="50"/>
        <v>0</v>
      </c>
      <c r="AV102" s="16">
        <f t="shared" si="50"/>
        <v>0</v>
      </c>
      <c r="AW102" s="16">
        <f t="shared" si="50"/>
        <v>0</v>
      </c>
      <c r="AX102" s="16">
        <f t="shared" si="50"/>
        <v>0</v>
      </c>
      <c r="AY102" s="16">
        <f t="shared" si="50"/>
        <v>0</v>
      </c>
      <c r="AZ102" s="16">
        <f t="shared" si="50"/>
        <v>0</v>
      </c>
      <c r="BA102" s="16">
        <f t="shared" si="50"/>
        <v>0</v>
      </c>
      <c r="BB102" s="16">
        <f t="shared" si="50"/>
        <v>0</v>
      </c>
      <c r="BC102" s="16">
        <f t="shared" si="50"/>
        <v>0</v>
      </c>
      <c r="BD102" s="16">
        <f t="shared" si="50"/>
        <v>0</v>
      </c>
      <c r="BE102" s="16">
        <f t="shared" si="50"/>
        <v>0</v>
      </c>
      <c r="BF102" s="16">
        <f t="shared" si="50"/>
        <v>0</v>
      </c>
      <c r="BG102" s="16">
        <f t="shared" si="50"/>
        <v>0</v>
      </c>
      <c r="BH102" s="16">
        <f t="shared" si="50"/>
        <v>0</v>
      </c>
      <c r="BI102" s="16">
        <f t="shared" si="50"/>
        <v>0</v>
      </c>
      <c r="BJ102" s="16">
        <f t="shared" si="50"/>
        <v>0</v>
      </c>
      <c r="BK102" s="16">
        <f t="shared" si="50"/>
        <v>0</v>
      </c>
      <c r="BL102" s="16">
        <f t="shared" si="50"/>
        <v>0</v>
      </c>
      <c r="BM102" s="16">
        <f t="shared" si="50"/>
        <v>0</v>
      </c>
      <c r="BN102" s="16">
        <f t="shared" si="50"/>
        <v>0</v>
      </c>
      <c r="BO102" s="16">
        <f t="shared" si="50"/>
        <v>0</v>
      </c>
      <c r="BP102" s="16">
        <f t="shared" si="50"/>
        <v>0</v>
      </c>
      <c r="BQ102" s="16">
        <f t="shared" si="50"/>
        <v>0</v>
      </c>
      <c r="BR102" s="16">
        <f t="shared" si="51"/>
        <v>0</v>
      </c>
      <c r="BS102" s="16">
        <f t="shared" si="51"/>
        <v>0</v>
      </c>
      <c r="BT102" s="16">
        <f t="shared" si="51"/>
        <v>0</v>
      </c>
      <c r="BU102" s="16">
        <f t="shared" si="51"/>
        <v>0</v>
      </c>
      <c r="BV102" s="16">
        <f t="shared" si="51"/>
        <v>0</v>
      </c>
      <c r="BW102" s="16">
        <f t="shared" si="51"/>
        <v>0</v>
      </c>
      <c r="BX102" s="16">
        <f t="shared" si="51"/>
        <v>0</v>
      </c>
      <c r="BY102" s="16">
        <f t="shared" si="51"/>
        <v>0</v>
      </c>
      <c r="BZ102" s="16">
        <f t="shared" si="51"/>
        <v>0</v>
      </c>
      <c r="CA102" s="16">
        <f t="shared" si="51"/>
        <v>0</v>
      </c>
      <c r="CB102" s="16">
        <f t="shared" si="51"/>
        <v>0</v>
      </c>
      <c r="CC102" s="16">
        <f t="shared" si="51"/>
        <v>0</v>
      </c>
      <c r="CD102" s="16">
        <f t="shared" si="51"/>
        <v>0</v>
      </c>
      <c r="CE102" s="16">
        <f t="shared" si="51"/>
        <v>0</v>
      </c>
      <c r="CF102" s="16">
        <f t="shared" si="51"/>
        <v>0</v>
      </c>
      <c r="CG102" s="16">
        <f t="shared" si="51"/>
        <v>0</v>
      </c>
      <c r="CH102" s="16">
        <f t="shared" si="51"/>
        <v>0</v>
      </c>
      <c r="CI102" s="16">
        <f t="shared" si="51"/>
        <v>0</v>
      </c>
      <c r="CJ102" s="16">
        <f t="shared" si="51"/>
        <v>0</v>
      </c>
      <c r="CK102" s="16">
        <f t="shared" si="51"/>
        <v>0</v>
      </c>
      <c r="CL102" s="16">
        <f t="shared" si="51"/>
        <v>0</v>
      </c>
      <c r="CM102" s="16">
        <f t="shared" si="51"/>
        <v>0</v>
      </c>
      <c r="CN102" s="16">
        <f t="shared" si="51"/>
        <v>0</v>
      </c>
      <c r="CO102" s="16">
        <f t="shared" si="51"/>
        <v>0</v>
      </c>
      <c r="CP102" s="16">
        <f t="shared" si="51"/>
        <v>0</v>
      </c>
      <c r="CQ102" s="16">
        <f t="shared" si="51"/>
        <v>0</v>
      </c>
      <c r="CR102" s="16">
        <f t="shared" si="51"/>
        <v>0</v>
      </c>
      <c r="CS102" s="16">
        <f t="shared" si="51"/>
        <v>0</v>
      </c>
      <c r="CT102" s="16">
        <f t="shared" si="51"/>
        <v>0</v>
      </c>
      <c r="CU102" s="16">
        <f t="shared" si="51"/>
        <v>0</v>
      </c>
      <c r="CV102" s="16">
        <f t="shared" si="51"/>
        <v>0</v>
      </c>
      <c r="CW102" s="16">
        <f t="shared" si="51"/>
        <v>0</v>
      </c>
      <c r="CX102" s="16">
        <f t="shared" si="51"/>
        <v>0</v>
      </c>
      <c r="CY102" s="16">
        <f t="shared" si="51"/>
        <v>0</v>
      </c>
      <c r="CZ102" s="16">
        <f t="shared" si="51"/>
        <v>0</v>
      </c>
      <c r="DA102" s="16">
        <f t="shared" si="51"/>
        <v>0</v>
      </c>
      <c r="DB102" s="16">
        <f t="shared" si="51"/>
        <v>0</v>
      </c>
      <c r="DC102" s="16">
        <f t="shared" si="51"/>
        <v>0</v>
      </c>
      <c r="DD102" s="16">
        <f t="shared" si="51"/>
        <v>0</v>
      </c>
      <c r="DE102" s="16">
        <f t="shared" si="51"/>
        <v>0</v>
      </c>
      <c r="DF102" s="16">
        <f t="shared" si="51"/>
        <v>0</v>
      </c>
      <c r="DG102" s="36"/>
      <c r="DI102" s="36"/>
    </row>
    <row r="103" spans="1:113" x14ac:dyDescent="0.2">
      <c r="A103" s="15" t="str">
        <f t="shared" si="46"/>
        <v>2ème four VAR :</v>
      </c>
      <c r="B103" s="134">
        <f t="shared" si="46"/>
        <v>2.6</v>
      </c>
      <c r="C103" s="16">
        <f t="shared" si="47"/>
        <v>0</v>
      </c>
      <c r="D103" s="16">
        <f t="shared" si="48"/>
        <v>0</v>
      </c>
      <c r="E103" s="16">
        <f t="shared" si="49"/>
        <v>0</v>
      </c>
      <c r="F103" s="16">
        <f t="shared" si="50"/>
        <v>0</v>
      </c>
      <c r="G103" s="16">
        <f t="shared" si="50"/>
        <v>0</v>
      </c>
      <c r="H103" s="16">
        <f t="shared" si="50"/>
        <v>0</v>
      </c>
      <c r="I103" s="16">
        <f t="shared" si="50"/>
        <v>0</v>
      </c>
      <c r="J103" s="16">
        <f t="shared" si="50"/>
        <v>0</v>
      </c>
      <c r="K103" s="16">
        <f t="shared" si="50"/>
        <v>0</v>
      </c>
      <c r="L103" s="16">
        <f t="shared" si="50"/>
        <v>0</v>
      </c>
      <c r="M103" s="16">
        <f t="shared" si="50"/>
        <v>0</v>
      </c>
      <c r="N103" s="16">
        <f t="shared" si="50"/>
        <v>0</v>
      </c>
      <c r="O103" s="16">
        <f t="shared" si="50"/>
        <v>0</v>
      </c>
      <c r="P103" s="16">
        <f t="shared" si="50"/>
        <v>0</v>
      </c>
      <c r="Q103" s="16">
        <f t="shared" si="50"/>
        <v>0</v>
      </c>
      <c r="R103" s="16">
        <f t="shared" si="50"/>
        <v>0</v>
      </c>
      <c r="S103" s="16">
        <f t="shared" si="50"/>
        <v>0</v>
      </c>
      <c r="T103" s="16">
        <f t="shared" si="50"/>
        <v>0</v>
      </c>
      <c r="U103" s="16">
        <f t="shared" si="50"/>
        <v>0</v>
      </c>
      <c r="V103" s="16">
        <f t="shared" si="50"/>
        <v>0</v>
      </c>
      <c r="W103" s="16">
        <f t="shared" si="50"/>
        <v>0</v>
      </c>
      <c r="X103" s="16">
        <f t="shared" si="50"/>
        <v>0</v>
      </c>
      <c r="Y103" s="16">
        <f t="shared" si="50"/>
        <v>0</v>
      </c>
      <c r="Z103" s="16">
        <f t="shared" si="50"/>
        <v>0</v>
      </c>
      <c r="AA103" s="16">
        <f t="shared" si="50"/>
        <v>0</v>
      </c>
      <c r="AB103" s="16">
        <f t="shared" si="50"/>
        <v>0</v>
      </c>
      <c r="AC103" s="16">
        <f t="shared" si="50"/>
        <v>0</v>
      </c>
      <c r="AD103" s="16">
        <f t="shared" si="50"/>
        <v>0</v>
      </c>
      <c r="AE103" s="16">
        <f t="shared" si="50"/>
        <v>0</v>
      </c>
      <c r="AF103" s="16">
        <f t="shared" si="50"/>
        <v>0</v>
      </c>
      <c r="AG103" s="16">
        <f t="shared" si="50"/>
        <v>0</v>
      </c>
      <c r="AH103" s="16">
        <f t="shared" si="50"/>
        <v>0</v>
      </c>
      <c r="AI103" s="16">
        <f t="shared" si="50"/>
        <v>0</v>
      </c>
      <c r="AJ103" s="16">
        <f t="shared" si="50"/>
        <v>0</v>
      </c>
      <c r="AK103" s="16">
        <f t="shared" si="50"/>
        <v>0</v>
      </c>
      <c r="AL103" s="16">
        <f t="shared" si="50"/>
        <v>0</v>
      </c>
      <c r="AM103" s="16">
        <f t="shared" si="50"/>
        <v>0</v>
      </c>
      <c r="AN103" s="16">
        <f t="shared" si="50"/>
        <v>0</v>
      </c>
      <c r="AO103" s="16">
        <f t="shared" si="50"/>
        <v>0</v>
      </c>
      <c r="AP103" s="16">
        <f t="shared" si="50"/>
        <v>0</v>
      </c>
      <c r="AQ103" s="16">
        <f t="shared" si="50"/>
        <v>0</v>
      </c>
      <c r="AR103" s="16">
        <f t="shared" si="50"/>
        <v>0</v>
      </c>
      <c r="AS103" s="16">
        <f t="shared" si="50"/>
        <v>0</v>
      </c>
      <c r="AT103" s="16">
        <f t="shared" si="50"/>
        <v>0</v>
      </c>
      <c r="AU103" s="16">
        <f t="shared" si="50"/>
        <v>0</v>
      </c>
      <c r="AV103" s="16">
        <f t="shared" si="50"/>
        <v>0</v>
      </c>
      <c r="AW103" s="16">
        <f t="shared" si="50"/>
        <v>0.39</v>
      </c>
      <c r="AX103" s="16">
        <f t="shared" si="50"/>
        <v>0</v>
      </c>
      <c r="AY103" s="16">
        <f t="shared" si="50"/>
        <v>0</v>
      </c>
      <c r="AZ103" s="16">
        <f t="shared" si="50"/>
        <v>0.26</v>
      </c>
      <c r="BA103" s="16">
        <f t="shared" si="50"/>
        <v>0</v>
      </c>
      <c r="BB103" s="16">
        <f t="shared" si="50"/>
        <v>0</v>
      </c>
      <c r="BC103" s="16">
        <f t="shared" si="50"/>
        <v>0</v>
      </c>
      <c r="BD103" s="16">
        <f t="shared" si="50"/>
        <v>0</v>
      </c>
      <c r="BE103" s="16">
        <f t="shared" si="50"/>
        <v>0</v>
      </c>
      <c r="BF103" s="16">
        <f t="shared" si="50"/>
        <v>0</v>
      </c>
      <c r="BG103" s="16">
        <f t="shared" si="50"/>
        <v>0.52</v>
      </c>
      <c r="BH103" s="16">
        <f t="shared" si="50"/>
        <v>0</v>
      </c>
      <c r="BI103" s="16">
        <f t="shared" si="50"/>
        <v>0.52</v>
      </c>
      <c r="BJ103" s="16">
        <f t="shared" si="50"/>
        <v>0</v>
      </c>
      <c r="BK103" s="16">
        <f t="shared" si="50"/>
        <v>0</v>
      </c>
      <c r="BL103" s="16">
        <f t="shared" si="50"/>
        <v>0</v>
      </c>
      <c r="BM103" s="16">
        <f t="shared" si="50"/>
        <v>0</v>
      </c>
      <c r="BN103" s="16">
        <f t="shared" si="50"/>
        <v>0.52</v>
      </c>
      <c r="BO103" s="16">
        <f t="shared" si="50"/>
        <v>0</v>
      </c>
      <c r="BP103" s="16">
        <f t="shared" si="50"/>
        <v>0</v>
      </c>
      <c r="BQ103" s="16">
        <f t="shared" ref="BQ103:CF117" si="52">IF(BN79=3,BN32,IF(BO79=2,BO32,IF(BP79=1,BP32,IF(BQ79=0,BQ32,0))))</f>
        <v>0.26</v>
      </c>
      <c r="BR103" s="16">
        <f t="shared" si="51"/>
        <v>0</v>
      </c>
      <c r="BS103" s="16">
        <f t="shared" si="51"/>
        <v>0</v>
      </c>
      <c r="BT103" s="16">
        <f t="shared" si="51"/>
        <v>0</v>
      </c>
      <c r="BU103" s="16">
        <f t="shared" si="51"/>
        <v>0</v>
      </c>
      <c r="BV103" s="16">
        <f t="shared" si="51"/>
        <v>0</v>
      </c>
      <c r="BW103" s="16">
        <f t="shared" si="51"/>
        <v>0</v>
      </c>
      <c r="BX103" s="16">
        <f t="shared" si="51"/>
        <v>0</v>
      </c>
      <c r="BY103" s="16">
        <f t="shared" si="51"/>
        <v>0</v>
      </c>
      <c r="BZ103" s="16">
        <f t="shared" si="51"/>
        <v>0</v>
      </c>
      <c r="CA103" s="16">
        <f t="shared" si="51"/>
        <v>0</v>
      </c>
      <c r="CB103" s="16">
        <f t="shared" si="51"/>
        <v>0</v>
      </c>
      <c r="CC103" s="16">
        <f t="shared" si="51"/>
        <v>0.13</v>
      </c>
      <c r="CD103" s="16">
        <f t="shared" si="51"/>
        <v>0</v>
      </c>
      <c r="CE103" s="16">
        <f t="shared" si="51"/>
        <v>0</v>
      </c>
      <c r="CF103" s="16">
        <f t="shared" si="51"/>
        <v>0</v>
      </c>
      <c r="CG103" s="16">
        <f t="shared" si="51"/>
        <v>0</v>
      </c>
      <c r="CH103" s="16">
        <f t="shared" si="51"/>
        <v>0</v>
      </c>
      <c r="CI103" s="16">
        <f t="shared" si="51"/>
        <v>0</v>
      </c>
      <c r="CJ103" s="16">
        <f t="shared" si="51"/>
        <v>0</v>
      </c>
      <c r="CK103" s="16">
        <f t="shared" si="51"/>
        <v>0</v>
      </c>
      <c r="CL103" s="16">
        <f t="shared" si="51"/>
        <v>0</v>
      </c>
      <c r="CM103" s="16">
        <f t="shared" si="51"/>
        <v>0</v>
      </c>
      <c r="CN103" s="16">
        <f t="shared" si="51"/>
        <v>0</v>
      </c>
      <c r="CO103" s="16">
        <f t="shared" si="51"/>
        <v>0</v>
      </c>
      <c r="CP103" s="16">
        <f t="shared" si="51"/>
        <v>0</v>
      </c>
      <c r="CQ103" s="16">
        <f t="shared" si="51"/>
        <v>0</v>
      </c>
      <c r="CR103" s="16">
        <f t="shared" si="51"/>
        <v>0</v>
      </c>
      <c r="CS103" s="16">
        <f t="shared" si="51"/>
        <v>0</v>
      </c>
      <c r="CT103" s="16">
        <f t="shared" si="51"/>
        <v>0</v>
      </c>
      <c r="CU103" s="16">
        <f t="shared" si="51"/>
        <v>0</v>
      </c>
      <c r="CV103" s="16">
        <f t="shared" si="51"/>
        <v>0</v>
      </c>
      <c r="CW103" s="16">
        <f t="shared" si="51"/>
        <v>0</v>
      </c>
      <c r="CX103" s="16">
        <f t="shared" si="51"/>
        <v>0</v>
      </c>
      <c r="CY103" s="16">
        <f t="shared" si="51"/>
        <v>0</v>
      </c>
      <c r="CZ103" s="16">
        <f t="shared" si="51"/>
        <v>0</v>
      </c>
      <c r="DA103" s="16">
        <f t="shared" si="51"/>
        <v>0</v>
      </c>
      <c r="DB103" s="16">
        <f t="shared" si="51"/>
        <v>0</v>
      </c>
      <c r="DC103" s="16">
        <f t="shared" si="51"/>
        <v>0</v>
      </c>
      <c r="DD103" s="16">
        <f t="shared" si="51"/>
        <v>0</v>
      </c>
      <c r="DE103" s="16">
        <f t="shared" si="51"/>
        <v>0</v>
      </c>
      <c r="DF103" s="16">
        <f t="shared" si="51"/>
        <v>0</v>
      </c>
      <c r="DG103" s="36"/>
      <c r="DI103" s="36"/>
    </row>
    <row r="104" spans="1:113" x14ac:dyDescent="0.2">
      <c r="A104" s="15" t="str">
        <f t="shared" si="46"/>
        <v>Annexe VAR : nettoyage haute pression</v>
      </c>
      <c r="B104" s="134">
        <f t="shared" si="46"/>
        <v>0.28999999999999998</v>
      </c>
      <c r="C104" s="16">
        <f t="shared" si="47"/>
        <v>0</v>
      </c>
      <c r="D104" s="16">
        <f t="shared" si="48"/>
        <v>0</v>
      </c>
      <c r="E104" s="16">
        <f t="shared" si="49"/>
        <v>0</v>
      </c>
      <c r="F104" s="16">
        <f t="shared" ref="F104:BP108" si="53">IF(C80=3,C33,IF(D80=2,D33,IF(E80=1,E33,IF(F80=0,F33,0))))</f>
        <v>0</v>
      </c>
      <c r="G104" s="16">
        <f t="shared" si="53"/>
        <v>0</v>
      </c>
      <c r="H104" s="16">
        <f t="shared" si="53"/>
        <v>0</v>
      </c>
      <c r="I104" s="16">
        <f t="shared" si="53"/>
        <v>0</v>
      </c>
      <c r="J104" s="16">
        <f t="shared" si="53"/>
        <v>0</v>
      </c>
      <c r="K104" s="16">
        <f t="shared" si="53"/>
        <v>0</v>
      </c>
      <c r="L104" s="16">
        <f t="shared" si="53"/>
        <v>0</v>
      </c>
      <c r="M104" s="16">
        <f t="shared" si="53"/>
        <v>0</v>
      </c>
      <c r="N104" s="16">
        <f t="shared" si="53"/>
        <v>0</v>
      </c>
      <c r="O104" s="16">
        <f t="shared" si="53"/>
        <v>0</v>
      </c>
      <c r="P104" s="16">
        <f t="shared" si="53"/>
        <v>0</v>
      </c>
      <c r="Q104" s="16">
        <f t="shared" si="53"/>
        <v>0</v>
      </c>
      <c r="R104" s="16">
        <f t="shared" si="53"/>
        <v>0</v>
      </c>
      <c r="S104" s="16">
        <f t="shared" si="53"/>
        <v>4.3499999999999997E-2</v>
      </c>
      <c r="T104" s="16">
        <f t="shared" si="53"/>
        <v>0</v>
      </c>
      <c r="U104" s="16">
        <f t="shared" si="53"/>
        <v>1.4499999999999999E-2</v>
      </c>
      <c r="V104" s="16">
        <f t="shared" si="53"/>
        <v>0</v>
      </c>
      <c r="W104" s="16">
        <f t="shared" si="53"/>
        <v>0</v>
      </c>
      <c r="X104" s="16">
        <f t="shared" si="53"/>
        <v>0</v>
      </c>
      <c r="Y104" s="16">
        <f t="shared" si="53"/>
        <v>0</v>
      </c>
      <c r="Z104" s="16">
        <f t="shared" si="53"/>
        <v>0</v>
      </c>
      <c r="AA104" s="16">
        <f t="shared" si="53"/>
        <v>0</v>
      </c>
      <c r="AB104" s="16">
        <f t="shared" si="53"/>
        <v>4.3499999999999997E-2</v>
      </c>
      <c r="AC104" s="16">
        <f t="shared" si="53"/>
        <v>5.7999999999999996E-2</v>
      </c>
      <c r="AD104" s="16">
        <f t="shared" si="53"/>
        <v>7.2499999999999995E-2</v>
      </c>
      <c r="AE104" s="16">
        <f t="shared" si="53"/>
        <v>0</v>
      </c>
      <c r="AF104" s="16">
        <f t="shared" si="53"/>
        <v>4.3499999999999997E-2</v>
      </c>
      <c r="AG104" s="16">
        <f t="shared" si="53"/>
        <v>0</v>
      </c>
      <c r="AH104" s="16">
        <f t="shared" si="53"/>
        <v>0</v>
      </c>
      <c r="AI104" s="16">
        <f t="shared" si="53"/>
        <v>0</v>
      </c>
      <c r="AJ104" s="16">
        <f t="shared" si="53"/>
        <v>0</v>
      </c>
      <c r="AK104" s="16">
        <f t="shared" si="53"/>
        <v>0</v>
      </c>
      <c r="AL104" s="16">
        <f t="shared" si="53"/>
        <v>0</v>
      </c>
      <c r="AM104" s="16">
        <f t="shared" si="53"/>
        <v>0</v>
      </c>
      <c r="AN104" s="16">
        <f t="shared" si="53"/>
        <v>0</v>
      </c>
      <c r="AO104" s="16">
        <f t="shared" si="53"/>
        <v>0</v>
      </c>
      <c r="AP104" s="16">
        <f t="shared" si="53"/>
        <v>0</v>
      </c>
      <c r="AQ104" s="16">
        <f t="shared" si="53"/>
        <v>0</v>
      </c>
      <c r="AR104" s="16">
        <f t="shared" si="53"/>
        <v>1.4499999999999999E-2</v>
      </c>
      <c r="AS104" s="16">
        <f t="shared" si="53"/>
        <v>0</v>
      </c>
      <c r="AT104" s="16">
        <f t="shared" si="53"/>
        <v>0</v>
      </c>
      <c r="AU104" s="16">
        <f t="shared" si="53"/>
        <v>0</v>
      </c>
      <c r="AV104" s="16">
        <f t="shared" si="53"/>
        <v>0</v>
      </c>
      <c r="AW104" s="16">
        <f t="shared" si="53"/>
        <v>0</v>
      </c>
      <c r="AX104" s="16">
        <f t="shared" si="53"/>
        <v>0</v>
      </c>
      <c r="AY104" s="16">
        <f t="shared" si="53"/>
        <v>0</v>
      </c>
      <c r="AZ104" s="16">
        <f t="shared" si="53"/>
        <v>0</v>
      </c>
      <c r="BA104" s="16">
        <f t="shared" si="53"/>
        <v>0</v>
      </c>
      <c r="BB104" s="16">
        <f t="shared" si="53"/>
        <v>0</v>
      </c>
      <c r="BC104" s="16">
        <f t="shared" si="53"/>
        <v>0</v>
      </c>
      <c r="BD104" s="16">
        <f t="shared" si="53"/>
        <v>0</v>
      </c>
      <c r="BE104" s="16">
        <f t="shared" si="53"/>
        <v>0</v>
      </c>
      <c r="BF104" s="16">
        <f t="shared" si="53"/>
        <v>0</v>
      </c>
      <c r="BG104" s="16">
        <f t="shared" si="53"/>
        <v>0</v>
      </c>
      <c r="BH104" s="16">
        <f t="shared" si="53"/>
        <v>0</v>
      </c>
      <c r="BI104" s="16">
        <f t="shared" si="53"/>
        <v>0</v>
      </c>
      <c r="BJ104" s="16">
        <f t="shared" si="53"/>
        <v>0</v>
      </c>
      <c r="BK104" s="16">
        <f t="shared" si="53"/>
        <v>0</v>
      </c>
      <c r="BL104" s="16">
        <f t="shared" si="53"/>
        <v>0</v>
      </c>
      <c r="BM104" s="16">
        <f t="shared" si="53"/>
        <v>0</v>
      </c>
      <c r="BN104" s="16">
        <f t="shared" si="53"/>
        <v>0</v>
      </c>
      <c r="BO104" s="16">
        <f t="shared" si="53"/>
        <v>0</v>
      </c>
      <c r="BP104" s="16">
        <f t="shared" si="53"/>
        <v>0</v>
      </c>
      <c r="BQ104" s="16">
        <f t="shared" si="52"/>
        <v>0</v>
      </c>
      <c r="BR104" s="16">
        <f t="shared" si="51"/>
        <v>0</v>
      </c>
      <c r="BS104" s="16">
        <f t="shared" si="51"/>
        <v>0</v>
      </c>
      <c r="BT104" s="16">
        <f t="shared" si="51"/>
        <v>0</v>
      </c>
      <c r="BU104" s="16">
        <f t="shared" si="51"/>
        <v>0</v>
      </c>
      <c r="BV104" s="16">
        <f t="shared" si="51"/>
        <v>0</v>
      </c>
      <c r="BW104" s="16">
        <f t="shared" si="51"/>
        <v>0</v>
      </c>
      <c r="BX104" s="16">
        <f t="shared" si="51"/>
        <v>0</v>
      </c>
      <c r="BY104" s="16">
        <f t="shared" si="51"/>
        <v>0</v>
      </c>
      <c r="BZ104" s="16">
        <f t="shared" si="51"/>
        <v>0</v>
      </c>
      <c r="CA104" s="16">
        <f t="shared" si="51"/>
        <v>0</v>
      </c>
      <c r="CB104" s="16">
        <f t="shared" si="51"/>
        <v>0</v>
      </c>
      <c r="CC104" s="16">
        <f t="shared" si="51"/>
        <v>0</v>
      </c>
      <c r="CD104" s="16">
        <f t="shared" si="51"/>
        <v>0</v>
      </c>
      <c r="CE104" s="16">
        <f t="shared" si="51"/>
        <v>0</v>
      </c>
      <c r="CF104" s="16">
        <f t="shared" si="51"/>
        <v>0</v>
      </c>
      <c r="CG104" s="16">
        <f t="shared" si="51"/>
        <v>0</v>
      </c>
      <c r="CH104" s="16">
        <f t="shared" si="51"/>
        <v>0</v>
      </c>
      <c r="CI104" s="16">
        <f t="shared" si="51"/>
        <v>0</v>
      </c>
      <c r="CJ104" s="16">
        <f t="shared" si="51"/>
        <v>0</v>
      </c>
      <c r="CK104" s="16">
        <f t="shared" si="51"/>
        <v>0</v>
      </c>
      <c r="CL104" s="16">
        <f t="shared" si="51"/>
        <v>0</v>
      </c>
      <c r="CM104" s="16">
        <f t="shared" si="51"/>
        <v>0</v>
      </c>
      <c r="CN104" s="16">
        <f t="shared" si="51"/>
        <v>0</v>
      </c>
      <c r="CO104" s="16">
        <f t="shared" si="51"/>
        <v>0</v>
      </c>
      <c r="CP104" s="16">
        <f t="shared" si="51"/>
        <v>0</v>
      </c>
      <c r="CQ104" s="16">
        <f t="shared" si="51"/>
        <v>0</v>
      </c>
      <c r="CR104" s="16">
        <f t="shared" si="51"/>
        <v>0</v>
      </c>
      <c r="CS104" s="16">
        <f t="shared" si="51"/>
        <v>0</v>
      </c>
      <c r="CT104" s="16">
        <f t="shared" si="51"/>
        <v>0</v>
      </c>
      <c r="CU104" s="16">
        <f t="shared" si="51"/>
        <v>0</v>
      </c>
      <c r="CV104" s="16">
        <f t="shared" si="51"/>
        <v>0</v>
      </c>
      <c r="CW104" s="16">
        <f t="shared" si="51"/>
        <v>0</v>
      </c>
      <c r="CX104" s="16">
        <f t="shared" si="51"/>
        <v>0</v>
      </c>
      <c r="CY104" s="16">
        <f t="shared" si="51"/>
        <v>0</v>
      </c>
      <c r="CZ104" s="16">
        <f t="shared" si="51"/>
        <v>0</v>
      </c>
      <c r="DA104" s="16">
        <f t="shared" si="51"/>
        <v>0</v>
      </c>
      <c r="DB104" s="16">
        <f t="shared" si="51"/>
        <v>0</v>
      </c>
      <c r="DC104" s="16">
        <f t="shared" si="51"/>
        <v>0</v>
      </c>
      <c r="DD104" s="16">
        <f t="shared" si="51"/>
        <v>0</v>
      </c>
      <c r="DE104" s="16">
        <f t="shared" si="51"/>
        <v>0</v>
      </c>
      <c r="DF104" s="16">
        <f t="shared" si="51"/>
        <v>0</v>
      </c>
      <c r="DG104" s="36"/>
      <c r="DI104" s="36"/>
    </row>
    <row r="105" spans="1:113" x14ac:dyDescent="0.2">
      <c r="A105" s="759" t="str">
        <f t="shared" si="46"/>
        <v>Annexe VAR : outillage (scie)</v>
      </c>
      <c r="B105" s="134">
        <f t="shared" si="46"/>
        <v>0.3</v>
      </c>
      <c r="C105" s="16">
        <f t="shared" si="47"/>
        <v>0</v>
      </c>
      <c r="D105" s="16">
        <f t="shared" si="48"/>
        <v>0</v>
      </c>
      <c r="E105" s="16">
        <f t="shared" si="49"/>
        <v>0</v>
      </c>
      <c r="F105" s="16">
        <f t="shared" si="53"/>
        <v>0</v>
      </c>
      <c r="G105" s="16">
        <f t="shared" si="53"/>
        <v>0</v>
      </c>
      <c r="H105" s="16">
        <f t="shared" si="53"/>
        <v>0</v>
      </c>
      <c r="I105" s="16">
        <f t="shared" si="53"/>
        <v>0</v>
      </c>
      <c r="J105" s="16">
        <f t="shared" si="53"/>
        <v>0</v>
      </c>
      <c r="K105" s="16">
        <f t="shared" si="53"/>
        <v>0</v>
      </c>
      <c r="L105" s="16">
        <f t="shared" si="53"/>
        <v>0</v>
      </c>
      <c r="M105" s="16">
        <f t="shared" si="53"/>
        <v>0</v>
      </c>
      <c r="N105" s="16">
        <f t="shared" si="53"/>
        <v>0</v>
      </c>
      <c r="O105" s="16">
        <f t="shared" si="53"/>
        <v>0</v>
      </c>
      <c r="P105" s="16">
        <f t="shared" si="53"/>
        <v>0</v>
      </c>
      <c r="Q105" s="16">
        <f t="shared" si="53"/>
        <v>0</v>
      </c>
      <c r="R105" s="16">
        <f t="shared" si="53"/>
        <v>0</v>
      </c>
      <c r="S105" s="16">
        <f t="shared" si="53"/>
        <v>0</v>
      </c>
      <c r="T105" s="16">
        <f t="shared" si="53"/>
        <v>0</v>
      </c>
      <c r="U105" s="16">
        <f t="shared" si="53"/>
        <v>0</v>
      </c>
      <c r="V105" s="16">
        <f t="shared" si="53"/>
        <v>4.4999999999999998E-2</v>
      </c>
      <c r="W105" s="16">
        <f t="shared" si="53"/>
        <v>0</v>
      </c>
      <c r="X105" s="16">
        <f t="shared" si="53"/>
        <v>0</v>
      </c>
      <c r="Y105" s="16">
        <f t="shared" si="53"/>
        <v>1.4999999999999999E-2</v>
      </c>
      <c r="Z105" s="16">
        <f t="shared" si="53"/>
        <v>0</v>
      </c>
      <c r="AA105" s="16">
        <f t="shared" si="53"/>
        <v>0</v>
      </c>
      <c r="AB105" s="16">
        <f t="shared" si="53"/>
        <v>0</v>
      </c>
      <c r="AC105" s="16">
        <f t="shared" si="53"/>
        <v>4.4999999999999998E-2</v>
      </c>
      <c r="AD105" s="16">
        <f t="shared" si="53"/>
        <v>0.06</v>
      </c>
      <c r="AE105" s="16">
        <f t="shared" si="53"/>
        <v>7.4999999999999997E-2</v>
      </c>
      <c r="AF105" s="16">
        <f t="shared" si="53"/>
        <v>0</v>
      </c>
      <c r="AG105" s="16">
        <f t="shared" si="53"/>
        <v>4.4999999999999998E-2</v>
      </c>
      <c r="AH105" s="16">
        <f t="shared" si="53"/>
        <v>0</v>
      </c>
      <c r="AI105" s="16">
        <f t="shared" si="53"/>
        <v>0</v>
      </c>
      <c r="AJ105" s="16">
        <f t="shared" si="53"/>
        <v>0</v>
      </c>
      <c r="AK105" s="16">
        <f t="shared" si="53"/>
        <v>0</v>
      </c>
      <c r="AL105" s="16">
        <f t="shared" si="53"/>
        <v>0</v>
      </c>
      <c r="AM105" s="16">
        <f t="shared" si="53"/>
        <v>0</v>
      </c>
      <c r="AN105" s="16">
        <f t="shared" si="53"/>
        <v>0</v>
      </c>
      <c r="AO105" s="16">
        <f t="shared" si="53"/>
        <v>0</v>
      </c>
      <c r="AP105" s="16">
        <f t="shared" si="53"/>
        <v>0</v>
      </c>
      <c r="AQ105" s="16">
        <f t="shared" si="53"/>
        <v>0</v>
      </c>
      <c r="AR105" s="16">
        <f t="shared" si="53"/>
        <v>0</v>
      </c>
      <c r="AS105" s="16">
        <f t="shared" si="53"/>
        <v>1.4999999999999999E-2</v>
      </c>
      <c r="AT105" s="16">
        <f t="shared" si="53"/>
        <v>0</v>
      </c>
      <c r="AU105" s="16">
        <f t="shared" si="53"/>
        <v>0</v>
      </c>
      <c r="AV105" s="16">
        <f t="shared" si="53"/>
        <v>0</v>
      </c>
      <c r="AW105" s="16">
        <f t="shared" si="53"/>
        <v>0</v>
      </c>
      <c r="AX105" s="16">
        <f t="shared" si="53"/>
        <v>0</v>
      </c>
      <c r="AY105" s="16">
        <f t="shared" si="53"/>
        <v>0</v>
      </c>
      <c r="AZ105" s="16">
        <f t="shared" si="53"/>
        <v>0</v>
      </c>
      <c r="BA105" s="16">
        <f t="shared" si="53"/>
        <v>0</v>
      </c>
      <c r="BB105" s="16">
        <f t="shared" si="53"/>
        <v>0</v>
      </c>
      <c r="BC105" s="16">
        <f t="shared" si="53"/>
        <v>0</v>
      </c>
      <c r="BD105" s="16">
        <f t="shared" si="53"/>
        <v>0</v>
      </c>
      <c r="BE105" s="16">
        <f t="shared" si="53"/>
        <v>0</v>
      </c>
      <c r="BF105" s="16">
        <f t="shared" si="53"/>
        <v>0</v>
      </c>
      <c r="BG105" s="16">
        <f t="shared" si="53"/>
        <v>0</v>
      </c>
      <c r="BH105" s="16">
        <f t="shared" si="53"/>
        <v>0</v>
      </c>
      <c r="BI105" s="16">
        <f t="shared" si="53"/>
        <v>0</v>
      </c>
      <c r="BJ105" s="16">
        <f t="shared" si="53"/>
        <v>0</v>
      </c>
      <c r="BK105" s="16">
        <f t="shared" si="53"/>
        <v>0</v>
      </c>
      <c r="BL105" s="16">
        <f t="shared" si="53"/>
        <v>0</v>
      </c>
      <c r="BM105" s="16">
        <f t="shared" si="53"/>
        <v>0</v>
      </c>
      <c r="BN105" s="16">
        <f t="shared" si="53"/>
        <v>0</v>
      </c>
      <c r="BO105" s="16">
        <f t="shared" si="53"/>
        <v>0</v>
      </c>
      <c r="BP105" s="16">
        <f t="shared" si="53"/>
        <v>0</v>
      </c>
      <c r="BQ105" s="16">
        <f t="shared" si="52"/>
        <v>0</v>
      </c>
      <c r="BR105" s="16">
        <f t="shared" si="51"/>
        <v>0</v>
      </c>
      <c r="BS105" s="16">
        <f t="shared" si="51"/>
        <v>0</v>
      </c>
      <c r="BT105" s="16">
        <f t="shared" si="51"/>
        <v>0</v>
      </c>
      <c r="BU105" s="16">
        <f t="shared" si="51"/>
        <v>0</v>
      </c>
      <c r="BV105" s="16">
        <f t="shared" si="51"/>
        <v>0</v>
      </c>
      <c r="BW105" s="16">
        <f t="shared" si="51"/>
        <v>0</v>
      </c>
      <c r="BX105" s="16">
        <f t="shared" si="51"/>
        <v>0</v>
      </c>
      <c r="BY105" s="16">
        <f t="shared" si="51"/>
        <v>0</v>
      </c>
      <c r="BZ105" s="16">
        <f t="shared" si="51"/>
        <v>0</v>
      </c>
      <c r="CA105" s="16">
        <f t="shared" si="51"/>
        <v>0</v>
      </c>
      <c r="CB105" s="16">
        <f t="shared" si="51"/>
        <v>0</v>
      </c>
      <c r="CC105" s="16">
        <f t="shared" si="51"/>
        <v>0</v>
      </c>
      <c r="CD105" s="16">
        <f t="shared" si="51"/>
        <v>0</v>
      </c>
      <c r="CE105" s="16">
        <f t="shared" si="51"/>
        <v>0</v>
      </c>
      <c r="CF105" s="16">
        <f t="shared" si="51"/>
        <v>0</v>
      </c>
      <c r="CG105" s="16">
        <f t="shared" si="51"/>
        <v>0</v>
      </c>
      <c r="CH105" s="16">
        <f t="shared" si="51"/>
        <v>0</v>
      </c>
      <c r="CI105" s="16">
        <f t="shared" si="51"/>
        <v>0</v>
      </c>
      <c r="CJ105" s="16">
        <f t="shared" si="51"/>
        <v>0</v>
      </c>
      <c r="CK105" s="16">
        <f t="shared" si="51"/>
        <v>0</v>
      </c>
      <c r="CL105" s="16">
        <f t="shared" si="51"/>
        <v>0</v>
      </c>
      <c r="CM105" s="16">
        <f t="shared" si="51"/>
        <v>0</v>
      </c>
      <c r="CN105" s="16">
        <f t="shared" si="51"/>
        <v>0</v>
      </c>
      <c r="CO105" s="16">
        <f t="shared" si="51"/>
        <v>0</v>
      </c>
      <c r="CP105" s="16">
        <f t="shared" si="51"/>
        <v>0</v>
      </c>
      <c r="CQ105" s="16">
        <f t="shared" si="51"/>
        <v>0</v>
      </c>
      <c r="CR105" s="16">
        <f t="shared" si="51"/>
        <v>0</v>
      </c>
      <c r="CS105" s="16">
        <f t="shared" si="51"/>
        <v>0</v>
      </c>
      <c r="CT105" s="16">
        <f t="shared" si="51"/>
        <v>0</v>
      </c>
      <c r="CU105" s="16">
        <f t="shared" si="51"/>
        <v>0</v>
      </c>
      <c r="CV105" s="16">
        <f t="shared" si="51"/>
        <v>0</v>
      </c>
      <c r="CW105" s="16">
        <f t="shared" si="51"/>
        <v>0</v>
      </c>
      <c r="CX105" s="16">
        <f t="shared" si="51"/>
        <v>0</v>
      </c>
      <c r="CY105" s="16">
        <f t="shared" si="51"/>
        <v>0</v>
      </c>
      <c r="CZ105" s="16">
        <f t="shared" si="51"/>
        <v>0</v>
      </c>
      <c r="DA105" s="16">
        <f t="shared" si="51"/>
        <v>0</v>
      </c>
      <c r="DB105" s="16">
        <f t="shared" si="51"/>
        <v>0</v>
      </c>
      <c r="DC105" s="16">
        <f t="shared" si="51"/>
        <v>0</v>
      </c>
      <c r="DD105" s="16">
        <f t="shared" si="51"/>
        <v>0</v>
      </c>
      <c r="DE105" s="16">
        <f t="shared" si="51"/>
        <v>0</v>
      </c>
      <c r="DF105" s="16">
        <f t="shared" si="51"/>
        <v>0</v>
      </c>
      <c r="DG105" s="36"/>
      <c r="DI105" s="36"/>
    </row>
    <row r="106" spans="1:113" x14ac:dyDescent="0.2">
      <c r="A106" s="15" t="str">
        <f t="shared" si="46"/>
        <v>Retourneur à lingot</v>
      </c>
      <c r="B106" s="134">
        <f t="shared" si="46"/>
        <v>0.14000000000000001</v>
      </c>
      <c r="C106" s="16">
        <f t="shared" si="47"/>
        <v>0</v>
      </c>
      <c r="D106" s="16">
        <f t="shared" si="48"/>
        <v>0</v>
      </c>
      <c r="E106" s="16">
        <f t="shared" si="49"/>
        <v>0</v>
      </c>
      <c r="F106" s="16">
        <f t="shared" si="53"/>
        <v>0</v>
      </c>
      <c r="G106" s="16">
        <f t="shared" si="53"/>
        <v>0</v>
      </c>
      <c r="H106" s="16">
        <f t="shared" si="53"/>
        <v>0</v>
      </c>
      <c r="I106" s="16">
        <f t="shared" si="53"/>
        <v>0</v>
      </c>
      <c r="J106" s="16">
        <f t="shared" si="53"/>
        <v>0</v>
      </c>
      <c r="K106" s="16">
        <f t="shared" si="53"/>
        <v>0</v>
      </c>
      <c r="L106" s="16">
        <f t="shared" si="53"/>
        <v>0</v>
      </c>
      <c r="M106" s="16">
        <f t="shared" si="53"/>
        <v>0</v>
      </c>
      <c r="N106" s="16">
        <f t="shared" si="53"/>
        <v>0</v>
      </c>
      <c r="O106" s="16">
        <f t="shared" si="53"/>
        <v>0</v>
      </c>
      <c r="P106" s="16">
        <f t="shared" si="53"/>
        <v>0</v>
      </c>
      <c r="Q106" s="16">
        <f t="shared" si="53"/>
        <v>0</v>
      </c>
      <c r="R106" s="16">
        <f t="shared" si="53"/>
        <v>0</v>
      </c>
      <c r="S106" s="16">
        <f t="shared" si="53"/>
        <v>0</v>
      </c>
      <c r="T106" s="16">
        <f t="shared" si="53"/>
        <v>2.1000000000000001E-2</v>
      </c>
      <c r="U106" s="16">
        <f t="shared" si="53"/>
        <v>0</v>
      </c>
      <c r="V106" s="16">
        <f t="shared" si="53"/>
        <v>7.000000000000001E-3</v>
      </c>
      <c r="W106" s="16">
        <f t="shared" si="53"/>
        <v>0</v>
      </c>
      <c r="X106" s="16">
        <f t="shared" si="53"/>
        <v>0</v>
      </c>
      <c r="Y106" s="16">
        <f t="shared" si="53"/>
        <v>0</v>
      </c>
      <c r="Z106" s="16">
        <f t="shared" si="53"/>
        <v>0</v>
      </c>
      <c r="AA106" s="16">
        <f t="shared" si="53"/>
        <v>2.1000000000000001E-2</v>
      </c>
      <c r="AB106" s="16">
        <f t="shared" si="53"/>
        <v>0</v>
      </c>
      <c r="AC106" s="16">
        <f t="shared" si="53"/>
        <v>2.8000000000000004E-2</v>
      </c>
      <c r="AD106" s="16">
        <f t="shared" si="53"/>
        <v>3.5000000000000003E-2</v>
      </c>
      <c r="AE106" s="16">
        <f t="shared" si="53"/>
        <v>0</v>
      </c>
      <c r="AF106" s="16">
        <f t="shared" si="53"/>
        <v>2.1000000000000001E-2</v>
      </c>
      <c r="AG106" s="16">
        <f t="shared" si="53"/>
        <v>0</v>
      </c>
      <c r="AH106" s="16">
        <f t="shared" si="53"/>
        <v>0</v>
      </c>
      <c r="AI106" s="16">
        <f t="shared" si="53"/>
        <v>0</v>
      </c>
      <c r="AJ106" s="16">
        <f t="shared" si="53"/>
        <v>0</v>
      </c>
      <c r="AK106" s="16">
        <f t="shared" si="53"/>
        <v>0</v>
      </c>
      <c r="AL106" s="16">
        <f t="shared" si="53"/>
        <v>0</v>
      </c>
      <c r="AM106" s="16">
        <f t="shared" si="53"/>
        <v>0</v>
      </c>
      <c r="AN106" s="16">
        <f t="shared" si="53"/>
        <v>0</v>
      </c>
      <c r="AO106" s="16">
        <f t="shared" si="53"/>
        <v>0</v>
      </c>
      <c r="AP106" s="16">
        <f t="shared" si="53"/>
        <v>0</v>
      </c>
      <c r="AQ106" s="16">
        <f t="shared" si="53"/>
        <v>0</v>
      </c>
      <c r="AR106" s="16">
        <f t="shared" si="53"/>
        <v>7.000000000000001E-3</v>
      </c>
      <c r="AS106" s="16">
        <f t="shared" si="53"/>
        <v>0</v>
      </c>
      <c r="AT106" s="16">
        <f t="shared" si="53"/>
        <v>0</v>
      </c>
      <c r="AU106" s="16">
        <f t="shared" si="53"/>
        <v>0</v>
      </c>
      <c r="AV106" s="16">
        <f t="shared" si="53"/>
        <v>0</v>
      </c>
      <c r="AW106" s="16">
        <f t="shared" si="53"/>
        <v>0</v>
      </c>
      <c r="AX106" s="16">
        <f t="shared" si="53"/>
        <v>0</v>
      </c>
      <c r="AY106" s="16">
        <f t="shared" si="53"/>
        <v>0</v>
      </c>
      <c r="AZ106" s="16">
        <f t="shared" si="53"/>
        <v>0</v>
      </c>
      <c r="BA106" s="16">
        <f t="shared" si="53"/>
        <v>0</v>
      </c>
      <c r="BB106" s="16">
        <f t="shared" si="53"/>
        <v>0</v>
      </c>
      <c r="BC106" s="16">
        <f t="shared" si="53"/>
        <v>0</v>
      </c>
      <c r="BD106" s="16">
        <f t="shared" si="53"/>
        <v>0</v>
      </c>
      <c r="BE106" s="16">
        <f t="shared" si="53"/>
        <v>0</v>
      </c>
      <c r="BF106" s="16">
        <f t="shared" si="53"/>
        <v>0</v>
      </c>
      <c r="BG106" s="16">
        <f t="shared" si="53"/>
        <v>0</v>
      </c>
      <c r="BH106" s="16">
        <f t="shared" si="53"/>
        <v>0</v>
      </c>
      <c r="BI106" s="16">
        <f t="shared" si="53"/>
        <v>0</v>
      </c>
      <c r="BJ106" s="16">
        <f t="shared" si="53"/>
        <v>0</v>
      </c>
      <c r="BK106" s="16">
        <f t="shared" si="53"/>
        <v>0</v>
      </c>
      <c r="BL106" s="16">
        <f t="shared" si="53"/>
        <v>0</v>
      </c>
      <c r="BM106" s="16">
        <f t="shared" si="53"/>
        <v>0</v>
      </c>
      <c r="BN106" s="16">
        <f t="shared" si="53"/>
        <v>0</v>
      </c>
      <c r="BO106" s="16">
        <f t="shared" si="53"/>
        <v>0</v>
      </c>
      <c r="BP106" s="16">
        <f t="shared" si="53"/>
        <v>0</v>
      </c>
      <c r="BQ106" s="16">
        <f t="shared" si="52"/>
        <v>0</v>
      </c>
      <c r="BR106" s="16">
        <f t="shared" si="51"/>
        <v>0</v>
      </c>
      <c r="BS106" s="16">
        <f t="shared" si="51"/>
        <v>0</v>
      </c>
      <c r="BT106" s="16">
        <f t="shared" si="51"/>
        <v>0</v>
      </c>
      <c r="BU106" s="16">
        <f t="shared" si="51"/>
        <v>0</v>
      </c>
      <c r="BV106" s="16">
        <f t="shared" si="51"/>
        <v>0</v>
      </c>
      <c r="BW106" s="16">
        <f t="shared" si="51"/>
        <v>0</v>
      </c>
      <c r="BX106" s="16">
        <f t="shared" si="51"/>
        <v>0</v>
      </c>
      <c r="BY106" s="16">
        <f t="shared" si="51"/>
        <v>0</v>
      </c>
      <c r="BZ106" s="16">
        <f t="shared" si="51"/>
        <v>0</v>
      </c>
      <c r="CA106" s="16">
        <f t="shared" ref="CA106:DF113" si="54">IF(BX82=3,BX35,IF(BY82=2,BY35,IF(BZ82=1,BZ35,IF(CA82=0,CA35,0))))</f>
        <v>0</v>
      </c>
      <c r="CB106" s="16">
        <f t="shared" si="54"/>
        <v>0</v>
      </c>
      <c r="CC106" s="16">
        <f t="shared" si="54"/>
        <v>0</v>
      </c>
      <c r="CD106" s="16">
        <f t="shared" si="54"/>
        <v>0</v>
      </c>
      <c r="CE106" s="16">
        <f t="shared" si="54"/>
        <v>0</v>
      </c>
      <c r="CF106" s="16">
        <f t="shared" si="54"/>
        <v>0</v>
      </c>
      <c r="CG106" s="16">
        <f t="shared" si="54"/>
        <v>0</v>
      </c>
      <c r="CH106" s="16">
        <f t="shared" si="54"/>
        <v>0</v>
      </c>
      <c r="CI106" s="16">
        <f t="shared" si="54"/>
        <v>0</v>
      </c>
      <c r="CJ106" s="16">
        <f t="shared" si="54"/>
        <v>0</v>
      </c>
      <c r="CK106" s="16">
        <f t="shared" si="54"/>
        <v>0</v>
      </c>
      <c r="CL106" s="16">
        <f t="shared" si="54"/>
        <v>0</v>
      </c>
      <c r="CM106" s="16">
        <f t="shared" si="54"/>
        <v>0</v>
      </c>
      <c r="CN106" s="16">
        <f t="shared" si="54"/>
        <v>0</v>
      </c>
      <c r="CO106" s="16">
        <f t="shared" si="54"/>
        <v>0</v>
      </c>
      <c r="CP106" s="16">
        <f t="shared" si="54"/>
        <v>0</v>
      </c>
      <c r="CQ106" s="16">
        <f t="shared" si="54"/>
        <v>0</v>
      </c>
      <c r="CR106" s="16">
        <f t="shared" si="54"/>
        <v>0</v>
      </c>
      <c r="CS106" s="16">
        <f t="shared" si="54"/>
        <v>0</v>
      </c>
      <c r="CT106" s="16">
        <f t="shared" si="54"/>
        <v>0</v>
      </c>
      <c r="CU106" s="16">
        <f t="shared" si="54"/>
        <v>0</v>
      </c>
      <c r="CV106" s="16">
        <f t="shared" si="54"/>
        <v>0</v>
      </c>
      <c r="CW106" s="16">
        <f t="shared" si="54"/>
        <v>0</v>
      </c>
      <c r="CX106" s="16">
        <f t="shared" si="54"/>
        <v>0</v>
      </c>
      <c r="CY106" s="16">
        <f t="shared" si="54"/>
        <v>0</v>
      </c>
      <c r="CZ106" s="16">
        <f t="shared" si="54"/>
        <v>0</v>
      </c>
      <c r="DA106" s="16">
        <f t="shared" si="54"/>
        <v>0</v>
      </c>
      <c r="DB106" s="16">
        <f t="shared" si="54"/>
        <v>0</v>
      </c>
      <c r="DC106" s="16">
        <f t="shared" si="54"/>
        <v>0</v>
      </c>
      <c r="DD106" s="16">
        <f t="shared" si="54"/>
        <v>0</v>
      </c>
      <c r="DE106" s="16">
        <f t="shared" si="54"/>
        <v>0</v>
      </c>
      <c r="DF106" s="16">
        <f t="shared" si="54"/>
        <v>0</v>
      </c>
      <c r="DG106" s="36"/>
      <c r="DI106" s="36"/>
    </row>
    <row r="107" spans="1:113" x14ac:dyDescent="0.2">
      <c r="A107" s="759" t="str">
        <f t="shared" si="46"/>
        <v>Unité de pesage et briquetage :</v>
      </c>
      <c r="B107" s="134">
        <f t="shared" si="46"/>
        <v>2.95</v>
      </c>
      <c r="C107" s="16">
        <f t="shared" si="47"/>
        <v>0</v>
      </c>
      <c r="D107" s="16">
        <f t="shared" si="48"/>
        <v>0</v>
      </c>
      <c r="E107" s="16">
        <f t="shared" si="49"/>
        <v>0</v>
      </c>
      <c r="F107" s="16">
        <f t="shared" si="53"/>
        <v>0</v>
      </c>
      <c r="G107" s="16">
        <f t="shared" si="53"/>
        <v>0</v>
      </c>
      <c r="H107" s="16">
        <f t="shared" si="53"/>
        <v>0</v>
      </c>
      <c r="I107" s="16">
        <f t="shared" si="53"/>
        <v>0</v>
      </c>
      <c r="J107" s="16">
        <f t="shared" si="53"/>
        <v>0</v>
      </c>
      <c r="K107" s="16">
        <f t="shared" si="53"/>
        <v>0</v>
      </c>
      <c r="L107" s="16">
        <f t="shared" si="53"/>
        <v>0</v>
      </c>
      <c r="M107" s="16">
        <f t="shared" si="53"/>
        <v>0</v>
      </c>
      <c r="N107" s="16">
        <f t="shared" si="53"/>
        <v>0</v>
      </c>
      <c r="O107" s="16">
        <f t="shared" si="53"/>
        <v>0</v>
      </c>
      <c r="P107" s="16">
        <f t="shared" si="53"/>
        <v>0.4425</v>
      </c>
      <c r="Q107" s="16">
        <f t="shared" si="53"/>
        <v>0</v>
      </c>
      <c r="R107" s="16">
        <f t="shared" si="53"/>
        <v>0</v>
      </c>
      <c r="S107" s="16">
        <f t="shared" si="53"/>
        <v>0</v>
      </c>
      <c r="T107" s="16">
        <f t="shared" si="53"/>
        <v>0.29500000000000004</v>
      </c>
      <c r="U107" s="16">
        <f t="shared" si="53"/>
        <v>0</v>
      </c>
      <c r="V107" s="16">
        <f t="shared" si="53"/>
        <v>0</v>
      </c>
      <c r="W107" s="16">
        <f t="shared" si="53"/>
        <v>0</v>
      </c>
      <c r="X107" s="16">
        <f t="shared" si="53"/>
        <v>0.59000000000000008</v>
      </c>
      <c r="Y107" s="16">
        <f t="shared" si="53"/>
        <v>0</v>
      </c>
      <c r="Z107" s="16">
        <f t="shared" si="53"/>
        <v>0.4425</v>
      </c>
      <c r="AA107" s="16">
        <f t="shared" si="53"/>
        <v>0</v>
      </c>
      <c r="AB107" s="16">
        <f t="shared" si="53"/>
        <v>0.59000000000000008</v>
      </c>
      <c r="AC107" s="16">
        <f t="shared" si="53"/>
        <v>0</v>
      </c>
      <c r="AD107" s="16">
        <f t="shared" si="53"/>
        <v>0.4425</v>
      </c>
      <c r="AE107" s="16">
        <f t="shared" si="53"/>
        <v>0</v>
      </c>
      <c r="AF107" s="16">
        <f t="shared" si="53"/>
        <v>0</v>
      </c>
      <c r="AG107" s="16">
        <f t="shared" si="53"/>
        <v>0</v>
      </c>
      <c r="AH107" s="16">
        <f t="shared" si="53"/>
        <v>0</v>
      </c>
      <c r="AI107" s="16">
        <f t="shared" si="53"/>
        <v>0</v>
      </c>
      <c r="AJ107" s="16">
        <f t="shared" si="53"/>
        <v>0</v>
      </c>
      <c r="AK107" s="16">
        <f t="shared" si="53"/>
        <v>0</v>
      </c>
      <c r="AL107" s="16">
        <f t="shared" si="53"/>
        <v>0</v>
      </c>
      <c r="AM107" s="16">
        <f t="shared" si="53"/>
        <v>0</v>
      </c>
      <c r="AN107" s="16">
        <f t="shared" si="53"/>
        <v>0</v>
      </c>
      <c r="AO107" s="16">
        <f t="shared" si="53"/>
        <v>0</v>
      </c>
      <c r="AP107" s="16">
        <f t="shared" si="53"/>
        <v>0.14750000000000002</v>
      </c>
      <c r="AQ107" s="16">
        <f t="shared" si="53"/>
        <v>0</v>
      </c>
      <c r="AR107" s="16">
        <f t="shared" si="53"/>
        <v>0</v>
      </c>
      <c r="AS107" s="16">
        <f t="shared" si="53"/>
        <v>0</v>
      </c>
      <c r="AT107" s="16">
        <f t="shared" si="53"/>
        <v>0</v>
      </c>
      <c r="AU107" s="16">
        <f t="shared" si="53"/>
        <v>0</v>
      </c>
      <c r="AV107" s="16">
        <f t="shared" si="53"/>
        <v>0</v>
      </c>
      <c r="AW107" s="16">
        <f t="shared" si="53"/>
        <v>0</v>
      </c>
      <c r="AX107" s="16">
        <f t="shared" si="53"/>
        <v>0</v>
      </c>
      <c r="AY107" s="16">
        <f t="shared" si="53"/>
        <v>0</v>
      </c>
      <c r="AZ107" s="16">
        <f t="shared" si="53"/>
        <v>0</v>
      </c>
      <c r="BA107" s="16">
        <f t="shared" si="53"/>
        <v>0</v>
      </c>
      <c r="BB107" s="16">
        <f t="shared" si="53"/>
        <v>0</v>
      </c>
      <c r="BC107" s="16">
        <f t="shared" si="53"/>
        <v>0</v>
      </c>
      <c r="BD107" s="16">
        <f t="shared" si="53"/>
        <v>0</v>
      </c>
      <c r="BE107" s="16">
        <f t="shared" si="53"/>
        <v>0</v>
      </c>
      <c r="BF107" s="16">
        <f t="shared" si="53"/>
        <v>0</v>
      </c>
      <c r="BG107" s="16">
        <f t="shared" si="53"/>
        <v>0</v>
      </c>
      <c r="BH107" s="16">
        <f t="shared" si="53"/>
        <v>0</v>
      </c>
      <c r="BI107" s="16">
        <f t="shared" si="53"/>
        <v>0</v>
      </c>
      <c r="BJ107" s="16">
        <f t="shared" si="53"/>
        <v>0</v>
      </c>
      <c r="BK107" s="16">
        <f t="shared" si="53"/>
        <v>0</v>
      </c>
      <c r="BL107" s="16">
        <f t="shared" si="53"/>
        <v>0</v>
      </c>
      <c r="BM107" s="16">
        <f t="shared" si="53"/>
        <v>0</v>
      </c>
      <c r="BN107" s="16">
        <f t="shared" si="53"/>
        <v>0</v>
      </c>
      <c r="BO107" s="16">
        <f t="shared" si="53"/>
        <v>0</v>
      </c>
      <c r="BP107" s="16">
        <f t="shared" si="53"/>
        <v>0</v>
      </c>
      <c r="BQ107" s="16">
        <f t="shared" si="52"/>
        <v>0</v>
      </c>
      <c r="BR107" s="16">
        <f t="shared" si="52"/>
        <v>0</v>
      </c>
      <c r="BS107" s="16">
        <f t="shared" si="52"/>
        <v>0</v>
      </c>
      <c r="BT107" s="16">
        <f t="shared" si="52"/>
        <v>0</v>
      </c>
      <c r="BU107" s="16">
        <f t="shared" si="52"/>
        <v>0</v>
      </c>
      <c r="BV107" s="16">
        <f t="shared" si="52"/>
        <v>0</v>
      </c>
      <c r="BW107" s="16">
        <f t="shared" si="52"/>
        <v>0</v>
      </c>
      <c r="BX107" s="16">
        <f t="shared" si="52"/>
        <v>0</v>
      </c>
      <c r="BY107" s="16">
        <f t="shared" si="52"/>
        <v>0</v>
      </c>
      <c r="BZ107" s="16">
        <f t="shared" si="52"/>
        <v>0</v>
      </c>
      <c r="CA107" s="16">
        <f t="shared" si="54"/>
        <v>0</v>
      </c>
      <c r="CB107" s="16">
        <f t="shared" si="54"/>
        <v>0</v>
      </c>
      <c r="CC107" s="16">
        <f t="shared" si="54"/>
        <v>0</v>
      </c>
      <c r="CD107" s="16">
        <f t="shared" si="54"/>
        <v>0</v>
      </c>
      <c r="CE107" s="16">
        <f t="shared" si="54"/>
        <v>0</v>
      </c>
      <c r="CF107" s="16">
        <f t="shared" si="54"/>
        <v>0</v>
      </c>
      <c r="CG107" s="16">
        <f t="shared" si="54"/>
        <v>0</v>
      </c>
      <c r="CH107" s="16">
        <f t="shared" si="54"/>
        <v>0</v>
      </c>
      <c r="CI107" s="16">
        <f t="shared" si="54"/>
        <v>0</v>
      </c>
      <c r="CJ107" s="16">
        <f t="shared" si="54"/>
        <v>0</v>
      </c>
      <c r="CK107" s="16">
        <f t="shared" si="54"/>
        <v>0</v>
      </c>
      <c r="CL107" s="16">
        <f t="shared" si="54"/>
        <v>0</v>
      </c>
      <c r="CM107" s="16">
        <f t="shared" si="54"/>
        <v>0</v>
      </c>
      <c r="CN107" s="16">
        <f t="shared" si="54"/>
        <v>0</v>
      </c>
      <c r="CO107" s="16">
        <f t="shared" si="54"/>
        <v>0</v>
      </c>
      <c r="CP107" s="16">
        <f t="shared" si="54"/>
        <v>0</v>
      </c>
      <c r="CQ107" s="16">
        <f t="shared" si="54"/>
        <v>0</v>
      </c>
      <c r="CR107" s="16">
        <f t="shared" si="54"/>
        <v>0</v>
      </c>
      <c r="CS107" s="16">
        <f t="shared" si="54"/>
        <v>0</v>
      </c>
      <c r="CT107" s="16">
        <f t="shared" si="54"/>
        <v>0</v>
      </c>
      <c r="CU107" s="16">
        <f t="shared" si="54"/>
        <v>0</v>
      </c>
      <c r="CV107" s="16">
        <f t="shared" si="54"/>
        <v>0</v>
      </c>
      <c r="CW107" s="16">
        <f t="shared" si="54"/>
        <v>0</v>
      </c>
      <c r="CX107" s="16">
        <f t="shared" si="54"/>
        <v>0</v>
      </c>
      <c r="CY107" s="16">
        <f t="shared" si="54"/>
        <v>0</v>
      </c>
      <c r="CZ107" s="16">
        <f t="shared" si="54"/>
        <v>0</v>
      </c>
      <c r="DA107" s="16">
        <f t="shared" si="54"/>
        <v>0</v>
      </c>
      <c r="DB107" s="16">
        <f t="shared" si="54"/>
        <v>0</v>
      </c>
      <c r="DC107" s="16">
        <f t="shared" si="54"/>
        <v>0</v>
      </c>
      <c r="DD107" s="16">
        <f t="shared" si="54"/>
        <v>0</v>
      </c>
      <c r="DE107" s="16">
        <f t="shared" si="54"/>
        <v>0</v>
      </c>
      <c r="DF107" s="16">
        <f t="shared" si="54"/>
        <v>0</v>
      </c>
      <c r="DG107" s="36"/>
      <c r="DI107" s="36"/>
    </row>
    <row r="108" spans="1:113" x14ac:dyDescent="0.2">
      <c r="A108" s="15" t="str">
        <f t="shared" si="46"/>
        <v>Equipement prépa chutes et parachèvement :</v>
      </c>
      <c r="B108" s="134">
        <f t="shared" si="46"/>
        <v>1.7</v>
      </c>
      <c r="C108" s="16">
        <f t="shared" si="47"/>
        <v>0</v>
      </c>
      <c r="D108" s="16">
        <f t="shared" si="48"/>
        <v>0</v>
      </c>
      <c r="E108" s="16">
        <f t="shared" si="49"/>
        <v>0</v>
      </c>
      <c r="F108" s="16">
        <f t="shared" si="53"/>
        <v>0</v>
      </c>
      <c r="G108" s="16">
        <f t="shared" si="53"/>
        <v>0</v>
      </c>
      <c r="H108" s="16">
        <f t="shared" si="53"/>
        <v>0</v>
      </c>
      <c r="I108" s="16">
        <f t="shared" ref="I108:BP112" si="55">IF(F84=3,F37,IF(G84=2,G37,IF(H84=1,H37,IF(I84=0,I37,0))))</f>
        <v>0</v>
      </c>
      <c r="J108" s="16">
        <f t="shared" si="55"/>
        <v>0</v>
      </c>
      <c r="K108" s="16">
        <f t="shared" si="55"/>
        <v>0</v>
      </c>
      <c r="L108" s="16">
        <f t="shared" si="55"/>
        <v>0</v>
      </c>
      <c r="M108" s="16">
        <f t="shared" si="55"/>
        <v>0</v>
      </c>
      <c r="N108" s="16">
        <f t="shared" si="55"/>
        <v>0</v>
      </c>
      <c r="O108" s="16">
        <f t="shared" si="55"/>
        <v>0</v>
      </c>
      <c r="P108" s="16">
        <f t="shared" si="55"/>
        <v>0.255</v>
      </c>
      <c r="Q108" s="16">
        <f t="shared" si="55"/>
        <v>0</v>
      </c>
      <c r="R108" s="16">
        <f t="shared" si="55"/>
        <v>0</v>
      </c>
      <c r="S108" s="16">
        <f t="shared" si="55"/>
        <v>8.5000000000000006E-2</v>
      </c>
      <c r="T108" s="16">
        <f t="shared" si="55"/>
        <v>0</v>
      </c>
      <c r="U108" s="16">
        <f t="shared" si="55"/>
        <v>0</v>
      </c>
      <c r="V108" s="16">
        <f t="shared" si="55"/>
        <v>0</v>
      </c>
      <c r="W108" s="16">
        <f t="shared" si="55"/>
        <v>0</v>
      </c>
      <c r="X108" s="16">
        <f t="shared" si="55"/>
        <v>0.255</v>
      </c>
      <c r="Y108" s="16">
        <f t="shared" si="55"/>
        <v>0</v>
      </c>
      <c r="Z108" s="16">
        <f t="shared" si="55"/>
        <v>0.34</v>
      </c>
      <c r="AA108" s="16">
        <f t="shared" si="55"/>
        <v>0</v>
      </c>
      <c r="AB108" s="16">
        <f t="shared" si="55"/>
        <v>0.42499999999999999</v>
      </c>
      <c r="AC108" s="16">
        <f t="shared" si="55"/>
        <v>0</v>
      </c>
      <c r="AD108" s="16">
        <f t="shared" si="55"/>
        <v>0.255</v>
      </c>
      <c r="AE108" s="16">
        <f t="shared" si="55"/>
        <v>0</v>
      </c>
      <c r="AF108" s="16">
        <f t="shared" si="55"/>
        <v>0</v>
      </c>
      <c r="AG108" s="16">
        <f t="shared" si="55"/>
        <v>0</v>
      </c>
      <c r="AH108" s="16">
        <f t="shared" si="55"/>
        <v>0</v>
      </c>
      <c r="AI108" s="16">
        <f t="shared" si="55"/>
        <v>0</v>
      </c>
      <c r="AJ108" s="16">
        <f t="shared" si="55"/>
        <v>0</v>
      </c>
      <c r="AK108" s="16">
        <f t="shared" si="55"/>
        <v>0</v>
      </c>
      <c r="AL108" s="16">
        <f t="shared" si="55"/>
        <v>0</v>
      </c>
      <c r="AM108" s="16">
        <f t="shared" si="55"/>
        <v>0</v>
      </c>
      <c r="AN108" s="16">
        <f t="shared" si="55"/>
        <v>0</v>
      </c>
      <c r="AO108" s="16">
        <f t="shared" si="55"/>
        <v>0</v>
      </c>
      <c r="AP108" s="16">
        <f t="shared" si="55"/>
        <v>8.5000000000000006E-2</v>
      </c>
      <c r="AQ108" s="16">
        <f t="shared" si="55"/>
        <v>0</v>
      </c>
      <c r="AR108" s="16">
        <f t="shared" si="55"/>
        <v>0</v>
      </c>
      <c r="AS108" s="16">
        <f t="shared" si="55"/>
        <v>0</v>
      </c>
      <c r="AT108" s="16">
        <f t="shared" si="55"/>
        <v>0</v>
      </c>
      <c r="AU108" s="16">
        <f t="shared" si="55"/>
        <v>0</v>
      </c>
      <c r="AV108" s="16">
        <f t="shared" si="55"/>
        <v>0</v>
      </c>
      <c r="AW108" s="16">
        <f t="shared" si="55"/>
        <v>0</v>
      </c>
      <c r="AX108" s="16">
        <f t="shared" si="55"/>
        <v>0</v>
      </c>
      <c r="AY108" s="16">
        <f t="shared" si="55"/>
        <v>0</v>
      </c>
      <c r="AZ108" s="16">
        <f t="shared" si="55"/>
        <v>0</v>
      </c>
      <c r="BA108" s="16">
        <f t="shared" si="55"/>
        <v>0</v>
      </c>
      <c r="BB108" s="16">
        <f t="shared" si="55"/>
        <v>0</v>
      </c>
      <c r="BC108" s="16">
        <f t="shared" si="55"/>
        <v>0</v>
      </c>
      <c r="BD108" s="16">
        <f t="shared" si="55"/>
        <v>0</v>
      </c>
      <c r="BE108" s="16">
        <f t="shared" si="55"/>
        <v>0</v>
      </c>
      <c r="BF108" s="16">
        <f t="shared" si="55"/>
        <v>0</v>
      </c>
      <c r="BG108" s="16">
        <f t="shared" si="55"/>
        <v>0</v>
      </c>
      <c r="BH108" s="16">
        <f t="shared" si="55"/>
        <v>0</v>
      </c>
      <c r="BI108" s="16">
        <f t="shared" si="55"/>
        <v>0</v>
      </c>
      <c r="BJ108" s="16">
        <f t="shared" si="55"/>
        <v>0</v>
      </c>
      <c r="BK108" s="16">
        <f t="shared" si="55"/>
        <v>0</v>
      </c>
      <c r="BL108" s="16">
        <f t="shared" si="55"/>
        <v>0</v>
      </c>
      <c r="BM108" s="16">
        <f t="shared" si="55"/>
        <v>0</v>
      </c>
      <c r="BN108" s="16">
        <f t="shared" si="55"/>
        <v>0</v>
      </c>
      <c r="BO108" s="16">
        <f t="shared" si="55"/>
        <v>0</v>
      </c>
      <c r="BP108" s="16">
        <f t="shared" si="55"/>
        <v>0</v>
      </c>
      <c r="BQ108" s="16">
        <f t="shared" si="52"/>
        <v>0</v>
      </c>
      <c r="BR108" s="16">
        <f t="shared" si="52"/>
        <v>0</v>
      </c>
      <c r="BS108" s="16">
        <f t="shared" si="52"/>
        <v>0</v>
      </c>
      <c r="BT108" s="16">
        <f t="shared" si="52"/>
        <v>0</v>
      </c>
      <c r="BU108" s="16">
        <f t="shared" si="52"/>
        <v>0</v>
      </c>
      <c r="BV108" s="16">
        <f t="shared" si="52"/>
        <v>0</v>
      </c>
      <c r="BW108" s="16">
        <f t="shared" si="52"/>
        <v>0</v>
      </c>
      <c r="BX108" s="16">
        <f t="shared" si="52"/>
        <v>0</v>
      </c>
      <c r="BY108" s="16">
        <f t="shared" si="52"/>
        <v>0</v>
      </c>
      <c r="BZ108" s="16">
        <f t="shared" si="52"/>
        <v>0</v>
      </c>
      <c r="CA108" s="16">
        <f t="shared" si="54"/>
        <v>0</v>
      </c>
      <c r="CB108" s="16">
        <f t="shared" si="54"/>
        <v>0</v>
      </c>
      <c r="CC108" s="16">
        <f t="shared" si="54"/>
        <v>0</v>
      </c>
      <c r="CD108" s="16">
        <f t="shared" si="54"/>
        <v>0</v>
      </c>
      <c r="CE108" s="16">
        <f t="shared" si="54"/>
        <v>0</v>
      </c>
      <c r="CF108" s="16">
        <f t="shared" si="54"/>
        <v>0</v>
      </c>
      <c r="CG108" s="16">
        <f t="shared" si="54"/>
        <v>0</v>
      </c>
      <c r="CH108" s="16">
        <f t="shared" si="54"/>
        <v>0</v>
      </c>
      <c r="CI108" s="16">
        <f t="shared" si="54"/>
        <v>0</v>
      </c>
      <c r="CJ108" s="16">
        <f t="shared" si="54"/>
        <v>0</v>
      </c>
      <c r="CK108" s="16">
        <f t="shared" si="54"/>
        <v>0</v>
      </c>
      <c r="CL108" s="16">
        <f t="shared" si="54"/>
        <v>0</v>
      </c>
      <c r="CM108" s="16">
        <f t="shared" si="54"/>
        <v>0</v>
      </c>
      <c r="CN108" s="16">
        <f t="shared" si="54"/>
        <v>0</v>
      </c>
      <c r="CO108" s="16">
        <f t="shared" si="54"/>
        <v>0</v>
      </c>
      <c r="CP108" s="16">
        <f t="shared" si="54"/>
        <v>0</v>
      </c>
      <c r="CQ108" s="16">
        <f t="shared" si="54"/>
        <v>0</v>
      </c>
      <c r="CR108" s="16">
        <f t="shared" si="54"/>
        <v>0</v>
      </c>
      <c r="CS108" s="16">
        <f t="shared" si="54"/>
        <v>0</v>
      </c>
      <c r="CT108" s="16">
        <f t="shared" si="54"/>
        <v>0</v>
      </c>
      <c r="CU108" s="16">
        <f t="shared" si="54"/>
        <v>0</v>
      </c>
      <c r="CV108" s="16">
        <f t="shared" si="54"/>
        <v>0</v>
      </c>
      <c r="CW108" s="16">
        <f t="shared" si="54"/>
        <v>0</v>
      </c>
      <c r="CX108" s="16">
        <f t="shared" si="54"/>
        <v>0</v>
      </c>
      <c r="CY108" s="16">
        <f t="shared" si="54"/>
        <v>0</v>
      </c>
      <c r="CZ108" s="16">
        <f t="shared" si="54"/>
        <v>0</v>
      </c>
      <c r="DA108" s="16">
        <f t="shared" si="54"/>
        <v>0</v>
      </c>
      <c r="DB108" s="16">
        <f t="shared" si="54"/>
        <v>0</v>
      </c>
      <c r="DC108" s="16">
        <f t="shared" si="54"/>
        <v>0</v>
      </c>
      <c r="DD108" s="16">
        <f t="shared" si="54"/>
        <v>0</v>
      </c>
      <c r="DE108" s="16">
        <f t="shared" si="54"/>
        <v>0</v>
      </c>
      <c r="DF108" s="16">
        <f t="shared" si="54"/>
        <v>0</v>
      </c>
      <c r="DG108" s="36"/>
      <c r="DI108" s="36"/>
    </row>
    <row r="109" spans="1:113" x14ac:dyDescent="0.2">
      <c r="A109" s="15" t="str">
        <f t="shared" si="46"/>
        <v>Terrain (Avril 2014)</v>
      </c>
      <c r="B109" s="1019">
        <f t="shared" si="46"/>
        <v>0.43</v>
      </c>
      <c r="C109" s="16">
        <f t="shared" si="47"/>
        <v>0.43</v>
      </c>
      <c r="D109" s="16">
        <f t="shared" si="48"/>
        <v>0</v>
      </c>
      <c r="E109" s="16">
        <f t="shared" si="49"/>
        <v>0</v>
      </c>
      <c r="F109" s="16">
        <f t="shared" ref="F109:U117" si="56">IF(C85=3,C38,IF(D85=2,D38,IF(E85=1,E38,IF(F85=0,F38,0))))</f>
        <v>0</v>
      </c>
      <c r="G109" s="16">
        <f t="shared" si="56"/>
        <v>0</v>
      </c>
      <c r="H109" s="16">
        <f t="shared" si="56"/>
        <v>0</v>
      </c>
      <c r="I109" s="16">
        <f t="shared" si="55"/>
        <v>0</v>
      </c>
      <c r="J109" s="16">
        <f t="shared" si="55"/>
        <v>0</v>
      </c>
      <c r="K109" s="16">
        <f t="shared" si="55"/>
        <v>0</v>
      </c>
      <c r="L109" s="16">
        <f t="shared" si="55"/>
        <v>0</v>
      </c>
      <c r="M109" s="16">
        <f t="shared" si="55"/>
        <v>0</v>
      </c>
      <c r="N109" s="16">
        <f t="shared" si="55"/>
        <v>0</v>
      </c>
      <c r="O109" s="16">
        <f t="shared" si="55"/>
        <v>0</v>
      </c>
      <c r="P109" s="16">
        <f t="shared" si="55"/>
        <v>0</v>
      </c>
      <c r="Q109" s="16">
        <f t="shared" si="55"/>
        <v>0</v>
      </c>
      <c r="R109" s="16">
        <f t="shared" si="55"/>
        <v>0</v>
      </c>
      <c r="S109" s="16">
        <f t="shared" si="55"/>
        <v>0</v>
      </c>
      <c r="T109" s="16">
        <f t="shared" si="55"/>
        <v>0</v>
      </c>
      <c r="U109" s="16">
        <f t="shared" si="55"/>
        <v>0</v>
      </c>
      <c r="V109" s="16">
        <f t="shared" si="55"/>
        <v>0</v>
      </c>
      <c r="W109" s="16">
        <f t="shared" si="55"/>
        <v>0</v>
      </c>
      <c r="X109" s="16">
        <f t="shared" si="55"/>
        <v>0</v>
      </c>
      <c r="Y109" s="16">
        <f t="shared" si="55"/>
        <v>0</v>
      </c>
      <c r="Z109" s="16">
        <f t="shared" si="55"/>
        <v>0</v>
      </c>
      <c r="AA109" s="16">
        <f t="shared" si="55"/>
        <v>0</v>
      </c>
      <c r="AB109" s="16">
        <f t="shared" si="55"/>
        <v>0</v>
      </c>
      <c r="AC109" s="16">
        <f t="shared" si="55"/>
        <v>0</v>
      </c>
      <c r="AD109" s="16">
        <f t="shared" si="55"/>
        <v>0</v>
      </c>
      <c r="AE109" s="16">
        <f t="shared" si="55"/>
        <v>0</v>
      </c>
      <c r="AF109" s="16">
        <f t="shared" si="55"/>
        <v>0</v>
      </c>
      <c r="AG109" s="16">
        <f t="shared" si="55"/>
        <v>0</v>
      </c>
      <c r="AH109" s="16">
        <f t="shared" si="55"/>
        <v>0</v>
      </c>
      <c r="AI109" s="16">
        <f t="shared" si="55"/>
        <v>0</v>
      </c>
      <c r="AJ109" s="16">
        <f t="shared" si="55"/>
        <v>0</v>
      </c>
      <c r="AK109" s="16">
        <f t="shared" si="55"/>
        <v>0</v>
      </c>
      <c r="AL109" s="16">
        <f t="shared" si="55"/>
        <v>0</v>
      </c>
      <c r="AM109" s="16">
        <f t="shared" si="55"/>
        <v>0</v>
      </c>
      <c r="AN109" s="16">
        <f t="shared" si="55"/>
        <v>0</v>
      </c>
      <c r="AO109" s="16">
        <f t="shared" si="55"/>
        <v>0</v>
      </c>
      <c r="AP109" s="16">
        <f t="shared" si="55"/>
        <v>0</v>
      </c>
      <c r="AQ109" s="16">
        <f t="shared" si="55"/>
        <v>0</v>
      </c>
      <c r="AR109" s="16">
        <f t="shared" si="55"/>
        <v>0</v>
      </c>
      <c r="AS109" s="16">
        <f t="shared" si="55"/>
        <v>0</v>
      </c>
      <c r="AT109" s="16">
        <f t="shared" si="55"/>
        <v>0</v>
      </c>
      <c r="AU109" s="16">
        <f t="shared" si="55"/>
        <v>0</v>
      </c>
      <c r="AV109" s="16">
        <f t="shared" si="55"/>
        <v>0</v>
      </c>
      <c r="AW109" s="16">
        <f t="shared" si="55"/>
        <v>0</v>
      </c>
      <c r="AX109" s="16">
        <f t="shared" si="55"/>
        <v>0</v>
      </c>
      <c r="AY109" s="16">
        <f t="shared" si="55"/>
        <v>0</v>
      </c>
      <c r="AZ109" s="16">
        <f t="shared" si="55"/>
        <v>0</v>
      </c>
      <c r="BA109" s="16">
        <f t="shared" si="55"/>
        <v>0</v>
      </c>
      <c r="BB109" s="16">
        <f t="shared" si="55"/>
        <v>0</v>
      </c>
      <c r="BC109" s="16">
        <f t="shared" si="55"/>
        <v>0</v>
      </c>
      <c r="BD109" s="16">
        <f t="shared" si="55"/>
        <v>0</v>
      </c>
      <c r="BE109" s="16">
        <f t="shared" si="55"/>
        <v>0</v>
      </c>
      <c r="BF109" s="16">
        <f t="shared" si="55"/>
        <v>0</v>
      </c>
      <c r="BG109" s="16">
        <f t="shared" si="55"/>
        <v>0</v>
      </c>
      <c r="BH109" s="16">
        <f t="shared" si="55"/>
        <v>0</v>
      </c>
      <c r="BI109" s="16">
        <f t="shared" si="55"/>
        <v>0</v>
      </c>
      <c r="BJ109" s="16">
        <f t="shared" si="55"/>
        <v>0</v>
      </c>
      <c r="BK109" s="16">
        <f t="shared" si="55"/>
        <v>0</v>
      </c>
      <c r="BL109" s="16">
        <f t="shared" si="55"/>
        <v>0</v>
      </c>
      <c r="BM109" s="16">
        <f t="shared" si="55"/>
        <v>0</v>
      </c>
      <c r="BN109" s="16">
        <f t="shared" si="55"/>
        <v>0</v>
      </c>
      <c r="BO109" s="16">
        <f t="shared" si="55"/>
        <v>0</v>
      </c>
      <c r="BP109" s="16">
        <f t="shared" si="55"/>
        <v>0</v>
      </c>
      <c r="BQ109" s="16">
        <f t="shared" si="52"/>
        <v>0</v>
      </c>
      <c r="BR109" s="16">
        <f t="shared" si="52"/>
        <v>0</v>
      </c>
      <c r="BS109" s="16">
        <f t="shared" si="52"/>
        <v>0</v>
      </c>
      <c r="BT109" s="16">
        <f t="shared" si="52"/>
        <v>0</v>
      </c>
      <c r="BU109" s="16">
        <f t="shared" si="52"/>
        <v>0</v>
      </c>
      <c r="BV109" s="16">
        <f t="shared" si="52"/>
        <v>0</v>
      </c>
      <c r="BW109" s="16">
        <f t="shared" si="52"/>
        <v>0</v>
      </c>
      <c r="BX109" s="16">
        <f t="shared" si="52"/>
        <v>0</v>
      </c>
      <c r="BY109" s="16">
        <f t="shared" si="52"/>
        <v>0</v>
      </c>
      <c r="BZ109" s="16">
        <f t="shared" si="52"/>
        <v>0</v>
      </c>
      <c r="CA109" s="16">
        <f t="shared" si="54"/>
        <v>0</v>
      </c>
      <c r="CB109" s="16">
        <f t="shared" si="54"/>
        <v>0</v>
      </c>
      <c r="CC109" s="16">
        <f t="shared" si="54"/>
        <v>0</v>
      </c>
      <c r="CD109" s="16">
        <f t="shared" si="54"/>
        <v>0</v>
      </c>
      <c r="CE109" s="16">
        <f t="shared" si="54"/>
        <v>0</v>
      </c>
      <c r="CF109" s="16">
        <f t="shared" si="54"/>
        <v>0</v>
      </c>
      <c r="CG109" s="16">
        <f t="shared" si="54"/>
        <v>0</v>
      </c>
      <c r="CH109" s="16">
        <f t="shared" si="54"/>
        <v>0</v>
      </c>
      <c r="CI109" s="16">
        <f t="shared" si="54"/>
        <v>0</v>
      </c>
      <c r="CJ109" s="16">
        <f t="shared" si="54"/>
        <v>0</v>
      </c>
      <c r="CK109" s="16">
        <f t="shared" si="54"/>
        <v>0</v>
      </c>
      <c r="CL109" s="16">
        <f t="shared" si="54"/>
        <v>0</v>
      </c>
      <c r="CM109" s="16">
        <f t="shared" si="54"/>
        <v>0</v>
      </c>
      <c r="CN109" s="16">
        <f t="shared" si="54"/>
        <v>0</v>
      </c>
      <c r="CO109" s="16">
        <f t="shared" si="54"/>
        <v>0</v>
      </c>
      <c r="CP109" s="16">
        <f t="shared" si="54"/>
        <v>0</v>
      </c>
      <c r="CQ109" s="16">
        <f t="shared" si="54"/>
        <v>0</v>
      </c>
      <c r="CR109" s="16">
        <f t="shared" si="54"/>
        <v>0</v>
      </c>
      <c r="CS109" s="16">
        <f t="shared" si="54"/>
        <v>0</v>
      </c>
      <c r="CT109" s="16">
        <f t="shared" si="54"/>
        <v>0</v>
      </c>
      <c r="CU109" s="16">
        <f t="shared" si="54"/>
        <v>0</v>
      </c>
      <c r="CV109" s="16">
        <f t="shared" si="54"/>
        <v>0</v>
      </c>
      <c r="CW109" s="16">
        <f t="shared" si="54"/>
        <v>0</v>
      </c>
      <c r="CX109" s="16">
        <f t="shared" si="54"/>
        <v>0</v>
      </c>
      <c r="CY109" s="16">
        <f t="shared" si="54"/>
        <v>0</v>
      </c>
      <c r="CZ109" s="16">
        <f t="shared" si="54"/>
        <v>0</v>
      </c>
      <c r="DA109" s="16">
        <f t="shared" si="54"/>
        <v>0</v>
      </c>
      <c r="DB109" s="16">
        <f t="shared" si="54"/>
        <v>0</v>
      </c>
      <c r="DC109" s="16">
        <f t="shared" si="54"/>
        <v>0</v>
      </c>
      <c r="DD109" s="16">
        <f t="shared" si="54"/>
        <v>0</v>
      </c>
      <c r="DE109" s="16">
        <f t="shared" si="54"/>
        <v>0</v>
      </c>
      <c r="DF109" s="16">
        <f t="shared" si="54"/>
        <v>0</v>
      </c>
      <c r="DG109" s="36"/>
      <c r="DI109" s="36"/>
    </row>
    <row r="110" spans="1:113" x14ac:dyDescent="0.2">
      <c r="A110" s="15" t="str">
        <f t="shared" si="46"/>
        <v>SI + MES</v>
      </c>
      <c r="B110" s="1019">
        <f t="shared" si="46"/>
        <v>1.4</v>
      </c>
      <c r="C110" s="16">
        <f t="shared" si="47"/>
        <v>0</v>
      </c>
      <c r="D110" s="16">
        <f t="shared" si="48"/>
        <v>0</v>
      </c>
      <c r="E110" s="16">
        <f t="shared" si="49"/>
        <v>0</v>
      </c>
      <c r="F110" s="16">
        <f t="shared" si="56"/>
        <v>0</v>
      </c>
      <c r="G110" s="16">
        <f t="shared" si="56"/>
        <v>0</v>
      </c>
      <c r="H110" s="16">
        <f t="shared" si="56"/>
        <v>0</v>
      </c>
      <c r="I110" s="16">
        <f t="shared" si="55"/>
        <v>0</v>
      </c>
      <c r="J110" s="16">
        <f t="shared" si="55"/>
        <v>0</v>
      </c>
      <c r="K110" s="16">
        <f t="shared" si="55"/>
        <v>0</v>
      </c>
      <c r="L110" s="16">
        <f t="shared" si="55"/>
        <v>0.21</v>
      </c>
      <c r="M110" s="16">
        <f t="shared" si="55"/>
        <v>0</v>
      </c>
      <c r="N110" s="16">
        <f t="shared" si="55"/>
        <v>0</v>
      </c>
      <c r="O110" s="16">
        <f t="shared" si="55"/>
        <v>0</v>
      </c>
      <c r="P110" s="16">
        <f t="shared" si="55"/>
        <v>0.13999999999999999</v>
      </c>
      <c r="Q110" s="16">
        <f t="shared" si="55"/>
        <v>0</v>
      </c>
      <c r="R110" s="16">
        <f t="shared" si="55"/>
        <v>0</v>
      </c>
      <c r="S110" s="16">
        <f t="shared" si="55"/>
        <v>0.27999999999999997</v>
      </c>
      <c r="T110" s="16">
        <f t="shared" si="55"/>
        <v>0</v>
      </c>
      <c r="U110" s="16">
        <f t="shared" si="55"/>
        <v>0</v>
      </c>
      <c r="V110" s="16">
        <f t="shared" si="55"/>
        <v>0.27999999999999997</v>
      </c>
      <c r="W110" s="16">
        <f t="shared" si="55"/>
        <v>0</v>
      </c>
      <c r="X110" s="16">
        <f t="shared" si="55"/>
        <v>0</v>
      </c>
      <c r="Y110" s="16">
        <f t="shared" si="55"/>
        <v>0.27999999999999997</v>
      </c>
      <c r="Z110" s="16">
        <f t="shared" si="55"/>
        <v>0</v>
      </c>
      <c r="AA110" s="16">
        <f t="shared" si="55"/>
        <v>0.13999999999999999</v>
      </c>
      <c r="AB110" s="16">
        <f t="shared" si="55"/>
        <v>0</v>
      </c>
      <c r="AC110" s="16">
        <f t="shared" si="55"/>
        <v>0</v>
      </c>
      <c r="AD110" s="16">
        <f t="shared" si="55"/>
        <v>0</v>
      </c>
      <c r="AE110" s="16">
        <f t="shared" si="55"/>
        <v>0</v>
      </c>
      <c r="AF110" s="16">
        <f t="shared" si="55"/>
        <v>0</v>
      </c>
      <c r="AG110" s="16">
        <f t="shared" si="55"/>
        <v>0</v>
      </c>
      <c r="AH110" s="16">
        <f t="shared" si="55"/>
        <v>0</v>
      </c>
      <c r="AI110" s="16">
        <f t="shared" si="55"/>
        <v>0</v>
      </c>
      <c r="AJ110" s="16">
        <f t="shared" si="55"/>
        <v>0</v>
      </c>
      <c r="AK110" s="16">
        <f t="shared" si="55"/>
        <v>0</v>
      </c>
      <c r="AL110" s="16">
        <f t="shared" si="55"/>
        <v>0</v>
      </c>
      <c r="AM110" s="16">
        <f t="shared" si="55"/>
        <v>6.9999999999999993E-2</v>
      </c>
      <c r="AN110" s="16">
        <f t="shared" si="55"/>
        <v>0</v>
      </c>
      <c r="AO110" s="16">
        <f t="shared" si="55"/>
        <v>0</v>
      </c>
      <c r="AP110" s="16">
        <f t="shared" si="55"/>
        <v>0</v>
      </c>
      <c r="AQ110" s="16">
        <f t="shared" si="55"/>
        <v>0</v>
      </c>
      <c r="AR110" s="16">
        <f t="shared" si="55"/>
        <v>0</v>
      </c>
      <c r="AS110" s="16">
        <f t="shared" si="55"/>
        <v>0</v>
      </c>
      <c r="AT110" s="16">
        <f t="shared" si="55"/>
        <v>0</v>
      </c>
      <c r="AU110" s="16">
        <f t="shared" si="55"/>
        <v>0</v>
      </c>
      <c r="AV110" s="16">
        <f t="shared" si="55"/>
        <v>0</v>
      </c>
      <c r="AW110" s="16">
        <f t="shared" si="55"/>
        <v>0</v>
      </c>
      <c r="AX110" s="16">
        <f t="shared" si="55"/>
        <v>0</v>
      </c>
      <c r="AY110" s="16">
        <f t="shared" si="55"/>
        <v>0</v>
      </c>
      <c r="AZ110" s="16">
        <f t="shared" si="55"/>
        <v>0</v>
      </c>
      <c r="BA110" s="16">
        <f t="shared" si="55"/>
        <v>0</v>
      </c>
      <c r="BB110" s="16">
        <f t="shared" si="55"/>
        <v>0</v>
      </c>
      <c r="BC110" s="16">
        <f t="shared" si="55"/>
        <v>0</v>
      </c>
      <c r="BD110" s="16">
        <f t="shared" si="55"/>
        <v>0</v>
      </c>
      <c r="BE110" s="16">
        <f t="shared" si="55"/>
        <v>0</v>
      </c>
      <c r="BF110" s="16">
        <f t="shared" si="55"/>
        <v>0</v>
      </c>
      <c r="BG110" s="16">
        <f t="shared" si="55"/>
        <v>0</v>
      </c>
      <c r="BH110" s="16">
        <f t="shared" si="55"/>
        <v>0</v>
      </c>
      <c r="BI110" s="16">
        <f t="shared" si="55"/>
        <v>0</v>
      </c>
      <c r="BJ110" s="16">
        <f t="shared" si="55"/>
        <v>0</v>
      </c>
      <c r="BK110" s="16">
        <f t="shared" si="55"/>
        <v>0</v>
      </c>
      <c r="BL110" s="16">
        <f t="shared" si="55"/>
        <v>0</v>
      </c>
      <c r="BM110" s="16">
        <f t="shared" si="55"/>
        <v>0</v>
      </c>
      <c r="BN110" s="16">
        <f t="shared" si="55"/>
        <v>0</v>
      </c>
      <c r="BO110" s="16">
        <f t="shared" si="55"/>
        <v>0</v>
      </c>
      <c r="BP110" s="16">
        <f t="shared" si="55"/>
        <v>0</v>
      </c>
      <c r="BQ110" s="16">
        <f t="shared" si="52"/>
        <v>0</v>
      </c>
      <c r="BR110" s="16">
        <f t="shared" si="52"/>
        <v>0</v>
      </c>
      <c r="BS110" s="16">
        <f t="shared" si="52"/>
        <v>0</v>
      </c>
      <c r="BT110" s="16">
        <f t="shared" si="52"/>
        <v>0</v>
      </c>
      <c r="BU110" s="16">
        <f t="shared" si="52"/>
        <v>0</v>
      </c>
      <c r="BV110" s="16">
        <f t="shared" si="52"/>
        <v>0</v>
      </c>
      <c r="BW110" s="16">
        <f t="shared" si="52"/>
        <v>0</v>
      </c>
      <c r="BX110" s="16">
        <f t="shared" si="52"/>
        <v>0</v>
      </c>
      <c r="BY110" s="16">
        <f t="shared" si="52"/>
        <v>0</v>
      </c>
      <c r="BZ110" s="16">
        <f t="shared" si="52"/>
        <v>0</v>
      </c>
      <c r="CA110" s="16">
        <f t="shared" si="54"/>
        <v>0</v>
      </c>
      <c r="CB110" s="16">
        <f t="shared" si="54"/>
        <v>0</v>
      </c>
      <c r="CC110" s="16">
        <f t="shared" si="54"/>
        <v>0</v>
      </c>
      <c r="CD110" s="16">
        <f t="shared" si="54"/>
        <v>0</v>
      </c>
      <c r="CE110" s="16">
        <f t="shared" si="54"/>
        <v>0</v>
      </c>
      <c r="CF110" s="16">
        <f t="shared" si="54"/>
        <v>0</v>
      </c>
      <c r="CG110" s="16">
        <f t="shared" si="54"/>
        <v>0</v>
      </c>
      <c r="CH110" s="16">
        <f t="shared" si="54"/>
        <v>0</v>
      </c>
      <c r="CI110" s="16">
        <f t="shared" si="54"/>
        <v>0</v>
      </c>
      <c r="CJ110" s="16">
        <f t="shared" si="54"/>
        <v>0</v>
      </c>
      <c r="CK110" s="16">
        <f t="shared" si="54"/>
        <v>0</v>
      </c>
      <c r="CL110" s="16">
        <f t="shared" si="54"/>
        <v>0</v>
      </c>
      <c r="CM110" s="16">
        <f t="shared" si="54"/>
        <v>0</v>
      </c>
      <c r="CN110" s="16">
        <f t="shared" si="54"/>
        <v>0</v>
      </c>
      <c r="CO110" s="16">
        <f t="shared" si="54"/>
        <v>0</v>
      </c>
      <c r="CP110" s="16">
        <f t="shared" si="54"/>
        <v>0</v>
      </c>
      <c r="CQ110" s="16">
        <f t="shared" si="54"/>
        <v>0</v>
      </c>
      <c r="CR110" s="16">
        <f t="shared" si="54"/>
        <v>0</v>
      </c>
      <c r="CS110" s="16">
        <f t="shared" si="54"/>
        <v>0</v>
      </c>
      <c r="CT110" s="16">
        <f t="shared" si="54"/>
        <v>0</v>
      </c>
      <c r="CU110" s="16">
        <f t="shared" si="54"/>
        <v>0</v>
      </c>
      <c r="CV110" s="16">
        <f t="shared" si="54"/>
        <v>0</v>
      </c>
      <c r="CW110" s="16">
        <f t="shared" si="54"/>
        <v>0</v>
      </c>
      <c r="CX110" s="16">
        <f t="shared" si="54"/>
        <v>0</v>
      </c>
      <c r="CY110" s="16">
        <f t="shared" si="54"/>
        <v>0</v>
      </c>
      <c r="CZ110" s="16">
        <f t="shared" si="54"/>
        <v>0</v>
      </c>
      <c r="DA110" s="16">
        <f t="shared" si="54"/>
        <v>0</v>
      </c>
      <c r="DB110" s="16">
        <f t="shared" si="54"/>
        <v>0</v>
      </c>
      <c r="DC110" s="16">
        <f t="shared" si="54"/>
        <v>0</v>
      </c>
      <c r="DD110" s="16">
        <f t="shared" si="54"/>
        <v>0</v>
      </c>
      <c r="DE110" s="16">
        <f t="shared" si="54"/>
        <v>0</v>
      </c>
      <c r="DF110" s="16">
        <f t="shared" si="54"/>
        <v>0</v>
      </c>
      <c r="DG110" s="36"/>
      <c r="DI110" s="36"/>
    </row>
    <row r="111" spans="1:113" x14ac:dyDescent="0.2">
      <c r="A111" s="15" t="str">
        <f t="shared" si="46"/>
        <v>Batiment (charpente, GCs, bureaux)</v>
      </c>
      <c r="B111" s="1019">
        <f t="shared" si="46"/>
        <v>9</v>
      </c>
      <c r="C111" s="16">
        <f t="shared" si="47"/>
        <v>0</v>
      </c>
      <c r="D111" s="16">
        <f t="shared" si="48"/>
        <v>0</v>
      </c>
      <c r="E111" s="16">
        <f t="shared" si="49"/>
        <v>0</v>
      </c>
      <c r="F111" s="16">
        <f t="shared" si="56"/>
        <v>0.9</v>
      </c>
      <c r="G111" s="16">
        <f t="shared" si="56"/>
        <v>0</v>
      </c>
      <c r="H111" s="16">
        <f t="shared" si="56"/>
        <v>0</v>
      </c>
      <c r="I111" s="16">
        <f t="shared" si="55"/>
        <v>0.45</v>
      </c>
      <c r="J111" s="16">
        <f t="shared" si="55"/>
        <v>0</v>
      </c>
      <c r="K111" s="16">
        <f t="shared" si="55"/>
        <v>0</v>
      </c>
      <c r="L111" s="16">
        <f t="shared" si="55"/>
        <v>0</v>
      </c>
      <c r="M111" s="16">
        <f t="shared" si="55"/>
        <v>0</v>
      </c>
      <c r="N111" s="16">
        <f t="shared" si="55"/>
        <v>1.8</v>
      </c>
      <c r="O111" s="16">
        <f t="shared" si="55"/>
        <v>0</v>
      </c>
      <c r="P111" s="16">
        <f t="shared" si="55"/>
        <v>0</v>
      </c>
      <c r="Q111" s="16">
        <f t="shared" si="55"/>
        <v>0</v>
      </c>
      <c r="R111" s="16">
        <f t="shared" si="55"/>
        <v>2.25</v>
      </c>
      <c r="S111" s="16">
        <f t="shared" si="55"/>
        <v>0</v>
      </c>
      <c r="T111" s="16">
        <f t="shared" si="55"/>
        <v>0</v>
      </c>
      <c r="U111" s="16">
        <f t="shared" si="55"/>
        <v>0</v>
      </c>
      <c r="V111" s="16">
        <f t="shared" si="55"/>
        <v>2.6999999999999997</v>
      </c>
      <c r="W111" s="16">
        <f t="shared" si="55"/>
        <v>0</v>
      </c>
      <c r="X111" s="16">
        <f t="shared" si="55"/>
        <v>0</v>
      </c>
      <c r="Y111" s="16">
        <f t="shared" si="55"/>
        <v>0</v>
      </c>
      <c r="Z111" s="16">
        <f t="shared" si="55"/>
        <v>0</v>
      </c>
      <c r="AA111" s="16">
        <f t="shared" si="55"/>
        <v>0.9</v>
      </c>
      <c r="AB111" s="16">
        <f t="shared" si="55"/>
        <v>0</v>
      </c>
      <c r="AC111" s="16">
        <f t="shared" si="55"/>
        <v>0</v>
      </c>
      <c r="AD111" s="16">
        <f t="shared" si="55"/>
        <v>0</v>
      </c>
      <c r="AE111" s="16">
        <f t="shared" si="55"/>
        <v>0</v>
      </c>
      <c r="AF111" s="16">
        <f t="shared" si="55"/>
        <v>0</v>
      </c>
      <c r="AG111" s="16">
        <f t="shared" si="55"/>
        <v>0</v>
      </c>
      <c r="AH111" s="16">
        <f t="shared" si="55"/>
        <v>0</v>
      </c>
      <c r="AI111" s="16">
        <f t="shared" si="55"/>
        <v>0</v>
      </c>
      <c r="AJ111" s="16">
        <f t="shared" si="55"/>
        <v>0</v>
      </c>
      <c r="AK111" s="16">
        <f t="shared" si="55"/>
        <v>0</v>
      </c>
      <c r="AL111" s="16">
        <f t="shared" si="55"/>
        <v>0</v>
      </c>
      <c r="AM111" s="16">
        <f t="shared" si="55"/>
        <v>0</v>
      </c>
      <c r="AN111" s="16">
        <f t="shared" si="55"/>
        <v>0</v>
      </c>
      <c r="AO111" s="16">
        <f t="shared" si="55"/>
        <v>0</v>
      </c>
      <c r="AP111" s="16">
        <f t="shared" si="55"/>
        <v>0</v>
      </c>
      <c r="AQ111" s="16">
        <f t="shared" si="55"/>
        <v>0</v>
      </c>
      <c r="AR111" s="16">
        <f t="shared" si="55"/>
        <v>0</v>
      </c>
      <c r="AS111" s="16">
        <f t="shared" si="55"/>
        <v>0</v>
      </c>
      <c r="AT111" s="16">
        <f t="shared" si="55"/>
        <v>0</v>
      </c>
      <c r="AU111" s="16">
        <f t="shared" si="55"/>
        <v>0</v>
      </c>
      <c r="AV111" s="16">
        <f t="shared" si="55"/>
        <v>0</v>
      </c>
      <c r="AW111" s="16">
        <f t="shared" si="55"/>
        <v>0</v>
      </c>
      <c r="AX111" s="16">
        <f t="shared" si="55"/>
        <v>0</v>
      </c>
      <c r="AY111" s="16">
        <f t="shared" si="55"/>
        <v>0</v>
      </c>
      <c r="AZ111" s="16">
        <f t="shared" si="55"/>
        <v>0</v>
      </c>
      <c r="BA111" s="16">
        <f t="shared" si="55"/>
        <v>0</v>
      </c>
      <c r="BB111" s="16">
        <f t="shared" si="55"/>
        <v>0</v>
      </c>
      <c r="BC111" s="16">
        <f t="shared" si="55"/>
        <v>0</v>
      </c>
      <c r="BD111" s="16">
        <f t="shared" si="55"/>
        <v>0</v>
      </c>
      <c r="BE111" s="16">
        <f t="shared" si="55"/>
        <v>0</v>
      </c>
      <c r="BF111" s="16">
        <f t="shared" si="55"/>
        <v>0</v>
      </c>
      <c r="BG111" s="16">
        <f t="shared" si="55"/>
        <v>0</v>
      </c>
      <c r="BH111" s="16">
        <f t="shared" si="55"/>
        <v>0</v>
      </c>
      <c r="BI111" s="16">
        <f t="shared" si="55"/>
        <v>0</v>
      </c>
      <c r="BJ111" s="16">
        <f t="shared" si="55"/>
        <v>0</v>
      </c>
      <c r="BK111" s="16">
        <f t="shared" si="55"/>
        <v>0</v>
      </c>
      <c r="BL111" s="16">
        <f t="shared" si="55"/>
        <v>0</v>
      </c>
      <c r="BM111" s="16">
        <f t="shared" si="55"/>
        <v>0</v>
      </c>
      <c r="BN111" s="16">
        <f t="shared" si="55"/>
        <v>0</v>
      </c>
      <c r="BO111" s="16">
        <f t="shared" si="55"/>
        <v>0</v>
      </c>
      <c r="BP111" s="16">
        <f t="shared" si="55"/>
        <v>0</v>
      </c>
      <c r="BQ111" s="16">
        <f t="shared" si="52"/>
        <v>0</v>
      </c>
      <c r="BR111" s="16">
        <f t="shared" si="52"/>
        <v>0</v>
      </c>
      <c r="BS111" s="16">
        <f t="shared" si="52"/>
        <v>0</v>
      </c>
      <c r="BT111" s="16">
        <f t="shared" si="52"/>
        <v>0</v>
      </c>
      <c r="BU111" s="16">
        <f t="shared" si="52"/>
        <v>0</v>
      </c>
      <c r="BV111" s="16">
        <f t="shared" si="52"/>
        <v>0</v>
      </c>
      <c r="BW111" s="16">
        <f t="shared" si="52"/>
        <v>0</v>
      </c>
      <c r="BX111" s="16">
        <f t="shared" si="52"/>
        <v>0</v>
      </c>
      <c r="BY111" s="16">
        <f t="shared" si="52"/>
        <v>0</v>
      </c>
      <c r="BZ111" s="16">
        <f t="shared" si="52"/>
        <v>0</v>
      </c>
      <c r="CA111" s="16">
        <f t="shared" si="54"/>
        <v>0</v>
      </c>
      <c r="CB111" s="16">
        <f t="shared" si="54"/>
        <v>0</v>
      </c>
      <c r="CC111" s="16">
        <f t="shared" si="54"/>
        <v>0</v>
      </c>
      <c r="CD111" s="16">
        <f t="shared" si="54"/>
        <v>0</v>
      </c>
      <c r="CE111" s="16">
        <f t="shared" si="54"/>
        <v>0</v>
      </c>
      <c r="CF111" s="16">
        <f t="shared" si="54"/>
        <v>0</v>
      </c>
      <c r="CG111" s="16">
        <f t="shared" si="54"/>
        <v>0</v>
      </c>
      <c r="CH111" s="16">
        <f t="shared" si="54"/>
        <v>0</v>
      </c>
      <c r="CI111" s="16">
        <f t="shared" si="54"/>
        <v>0</v>
      </c>
      <c r="CJ111" s="16">
        <f t="shared" si="54"/>
        <v>0</v>
      </c>
      <c r="CK111" s="16">
        <f t="shared" si="54"/>
        <v>0</v>
      </c>
      <c r="CL111" s="16">
        <f t="shared" si="54"/>
        <v>0</v>
      </c>
      <c r="CM111" s="16">
        <f t="shared" si="54"/>
        <v>0</v>
      </c>
      <c r="CN111" s="16">
        <f t="shared" si="54"/>
        <v>0</v>
      </c>
      <c r="CO111" s="16">
        <f t="shared" si="54"/>
        <v>0</v>
      </c>
      <c r="CP111" s="16">
        <f t="shared" si="54"/>
        <v>0</v>
      </c>
      <c r="CQ111" s="16">
        <f t="shared" si="54"/>
        <v>0</v>
      </c>
      <c r="CR111" s="16">
        <f t="shared" si="54"/>
        <v>0</v>
      </c>
      <c r="CS111" s="16">
        <f t="shared" si="54"/>
        <v>0</v>
      </c>
      <c r="CT111" s="16">
        <f t="shared" si="54"/>
        <v>0</v>
      </c>
      <c r="CU111" s="16">
        <f t="shared" si="54"/>
        <v>0</v>
      </c>
      <c r="CV111" s="16">
        <f t="shared" si="54"/>
        <v>0</v>
      </c>
      <c r="CW111" s="16">
        <f t="shared" si="54"/>
        <v>0</v>
      </c>
      <c r="CX111" s="16">
        <f t="shared" si="54"/>
        <v>0</v>
      </c>
      <c r="CY111" s="16">
        <f t="shared" si="54"/>
        <v>0</v>
      </c>
      <c r="CZ111" s="16">
        <f t="shared" si="54"/>
        <v>0</v>
      </c>
      <c r="DA111" s="16">
        <f t="shared" si="54"/>
        <v>0</v>
      </c>
      <c r="DB111" s="16">
        <f t="shared" si="54"/>
        <v>0</v>
      </c>
      <c r="DC111" s="16">
        <f t="shared" si="54"/>
        <v>0</v>
      </c>
      <c r="DD111" s="16">
        <f t="shared" si="54"/>
        <v>0</v>
      </c>
      <c r="DE111" s="16">
        <f t="shared" si="54"/>
        <v>0</v>
      </c>
      <c r="DF111" s="16">
        <f t="shared" si="54"/>
        <v>0</v>
      </c>
      <c r="DG111" s="36"/>
      <c r="DI111" s="36"/>
    </row>
    <row r="112" spans="1:113" x14ac:dyDescent="0.2">
      <c r="A112" s="759" t="str">
        <f t="shared" si="46"/>
        <v>Ponts (1 pour EB, 1 pour VAR, 2 prépa)</v>
      </c>
      <c r="B112" s="1019">
        <f t="shared" si="46"/>
        <v>0.45</v>
      </c>
      <c r="C112" s="16">
        <f t="shared" si="47"/>
        <v>0</v>
      </c>
      <c r="D112" s="16">
        <f t="shared" si="48"/>
        <v>0</v>
      </c>
      <c r="E112" s="16">
        <f t="shared" si="49"/>
        <v>0</v>
      </c>
      <c r="F112" s="16">
        <f t="shared" si="56"/>
        <v>0</v>
      </c>
      <c r="G112" s="16">
        <f t="shared" si="56"/>
        <v>0</v>
      </c>
      <c r="H112" s="16">
        <f t="shared" si="56"/>
        <v>0</v>
      </c>
      <c r="I112" s="16">
        <f t="shared" si="55"/>
        <v>0</v>
      </c>
      <c r="J112" s="16">
        <f t="shared" si="55"/>
        <v>0</v>
      </c>
      <c r="K112" s="16">
        <f t="shared" si="55"/>
        <v>0</v>
      </c>
      <c r="L112" s="16">
        <f t="shared" si="55"/>
        <v>6.7500000000000004E-2</v>
      </c>
      <c r="M112" s="16">
        <f t="shared" si="55"/>
        <v>0</v>
      </c>
      <c r="N112" s="16">
        <f t="shared" si="55"/>
        <v>0</v>
      </c>
      <c r="O112" s="16">
        <f t="shared" si="55"/>
        <v>2.2500000000000003E-2</v>
      </c>
      <c r="P112" s="16">
        <f t="shared" si="55"/>
        <v>0</v>
      </c>
      <c r="Q112" s="16">
        <f t="shared" si="55"/>
        <v>0</v>
      </c>
      <c r="R112" s="16">
        <f t="shared" si="55"/>
        <v>0</v>
      </c>
      <c r="S112" s="16">
        <f t="shared" si="55"/>
        <v>0</v>
      </c>
      <c r="T112" s="16">
        <f t="shared" si="55"/>
        <v>6.7500000000000004E-2</v>
      </c>
      <c r="U112" s="16">
        <f t="shared" si="55"/>
        <v>0</v>
      </c>
      <c r="V112" s="16">
        <f t="shared" si="55"/>
        <v>9.0000000000000011E-2</v>
      </c>
      <c r="W112" s="16">
        <f t="shared" si="55"/>
        <v>0.1125</v>
      </c>
      <c r="X112" s="16">
        <f t="shared" ref="X112:BP117" si="57">IF(U88=3,U41,IF(V88=2,V41,IF(W88=1,W41,IF(X88=0,X41,0))))</f>
        <v>0</v>
      </c>
      <c r="Y112" s="16">
        <f t="shared" si="57"/>
        <v>6.7500000000000004E-2</v>
      </c>
      <c r="Z112" s="16">
        <f t="shared" si="57"/>
        <v>0</v>
      </c>
      <c r="AA112" s="16">
        <f t="shared" si="57"/>
        <v>0</v>
      </c>
      <c r="AB112" s="16">
        <f t="shared" si="57"/>
        <v>0</v>
      </c>
      <c r="AC112" s="16">
        <f t="shared" si="57"/>
        <v>0</v>
      </c>
      <c r="AD112" s="16">
        <f t="shared" si="57"/>
        <v>0</v>
      </c>
      <c r="AE112" s="16">
        <f t="shared" si="57"/>
        <v>0</v>
      </c>
      <c r="AF112" s="16">
        <f t="shared" si="57"/>
        <v>0</v>
      </c>
      <c r="AG112" s="16">
        <f t="shared" si="57"/>
        <v>0</v>
      </c>
      <c r="AH112" s="16">
        <f t="shared" si="57"/>
        <v>0</v>
      </c>
      <c r="AI112" s="16">
        <f t="shared" si="57"/>
        <v>0</v>
      </c>
      <c r="AJ112" s="16">
        <f t="shared" si="57"/>
        <v>0</v>
      </c>
      <c r="AK112" s="16">
        <f t="shared" si="57"/>
        <v>2.2500000000000003E-2</v>
      </c>
      <c r="AL112" s="16">
        <f t="shared" si="57"/>
        <v>0</v>
      </c>
      <c r="AM112" s="16">
        <f t="shared" si="57"/>
        <v>0</v>
      </c>
      <c r="AN112" s="16">
        <f t="shared" si="57"/>
        <v>0</v>
      </c>
      <c r="AO112" s="16">
        <f t="shared" si="57"/>
        <v>0</v>
      </c>
      <c r="AP112" s="16">
        <f t="shared" si="57"/>
        <v>0</v>
      </c>
      <c r="AQ112" s="16">
        <f t="shared" si="57"/>
        <v>0</v>
      </c>
      <c r="AR112" s="16">
        <f t="shared" si="57"/>
        <v>0</v>
      </c>
      <c r="AS112" s="16">
        <f t="shared" si="57"/>
        <v>0</v>
      </c>
      <c r="AT112" s="16">
        <f t="shared" si="57"/>
        <v>0</v>
      </c>
      <c r="AU112" s="16">
        <f t="shared" si="57"/>
        <v>0</v>
      </c>
      <c r="AV112" s="16">
        <f t="shared" si="57"/>
        <v>0</v>
      </c>
      <c r="AW112" s="16">
        <f t="shared" si="57"/>
        <v>0</v>
      </c>
      <c r="AX112" s="16">
        <f t="shared" si="57"/>
        <v>0</v>
      </c>
      <c r="AY112" s="16">
        <f t="shared" si="57"/>
        <v>0</v>
      </c>
      <c r="AZ112" s="16">
        <f t="shared" si="57"/>
        <v>0</v>
      </c>
      <c r="BA112" s="16">
        <f t="shared" si="57"/>
        <v>0</v>
      </c>
      <c r="BB112" s="16">
        <f t="shared" si="57"/>
        <v>0</v>
      </c>
      <c r="BC112" s="16">
        <f t="shared" si="57"/>
        <v>0</v>
      </c>
      <c r="BD112" s="16">
        <f t="shared" si="57"/>
        <v>0</v>
      </c>
      <c r="BE112" s="16">
        <f t="shared" si="57"/>
        <v>0</v>
      </c>
      <c r="BF112" s="16">
        <f t="shared" si="57"/>
        <v>0</v>
      </c>
      <c r="BG112" s="16">
        <f t="shared" si="57"/>
        <v>0</v>
      </c>
      <c r="BH112" s="16">
        <f t="shared" si="57"/>
        <v>0</v>
      </c>
      <c r="BI112" s="16">
        <f t="shared" si="57"/>
        <v>0</v>
      </c>
      <c r="BJ112" s="16">
        <f t="shared" si="57"/>
        <v>0</v>
      </c>
      <c r="BK112" s="16">
        <f t="shared" si="57"/>
        <v>0</v>
      </c>
      <c r="BL112" s="16">
        <f t="shared" si="57"/>
        <v>0</v>
      </c>
      <c r="BM112" s="16">
        <f t="shared" si="57"/>
        <v>0</v>
      </c>
      <c r="BN112" s="16">
        <f t="shared" si="57"/>
        <v>0</v>
      </c>
      <c r="BO112" s="16">
        <f t="shared" si="57"/>
        <v>0</v>
      </c>
      <c r="BP112" s="16">
        <f t="shared" si="57"/>
        <v>0</v>
      </c>
      <c r="BQ112" s="16">
        <f t="shared" si="52"/>
        <v>0</v>
      </c>
      <c r="BR112" s="16">
        <f t="shared" si="52"/>
        <v>0</v>
      </c>
      <c r="BS112" s="16">
        <f t="shared" si="52"/>
        <v>0</v>
      </c>
      <c r="BT112" s="16">
        <f t="shared" si="52"/>
        <v>0</v>
      </c>
      <c r="BU112" s="16">
        <f t="shared" si="52"/>
        <v>0</v>
      </c>
      <c r="BV112" s="16">
        <f t="shared" si="52"/>
        <v>0</v>
      </c>
      <c r="BW112" s="16">
        <f t="shared" si="52"/>
        <v>0</v>
      </c>
      <c r="BX112" s="16">
        <f t="shared" si="52"/>
        <v>0</v>
      </c>
      <c r="BY112" s="16">
        <f t="shared" si="52"/>
        <v>0</v>
      </c>
      <c r="BZ112" s="16">
        <f t="shared" si="52"/>
        <v>0</v>
      </c>
      <c r="CA112" s="16">
        <f t="shared" si="54"/>
        <v>0</v>
      </c>
      <c r="CB112" s="16">
        <f t="shared" si="54"/>
        <v>0</v>
      </c>
      <c r="CC112" s="16">
        <f t="shared" si="54"/>
        <v>0</v>
      </c>
      <c r="CD112" s="16">
        <f t="shared" si="54"/>
        <v>0</v>
      </c>
      <c r="CE112" s="16">
        <f t="shared" si="54"/>
        <v>0</v>
      </c>
      <c r="CF112" s="16">
        <f t="shared" si="54"/>
        <v>0</v>
      </c>
      <c r="CG112" s="16">
        <f t="shared" si="54"/>
        <v>0</v>
      </c>
      <c r="CH112" s="16">
        <f t="shared" si="54"/>
        <v>0</v>
      </c>
      <c r="CI112" s="16">
        <f t="shared" si="54"/>
        <v>0</v>
      </c>
      <c r="CJ112" s="16">
        <f t="shared" si="54"/>
        <v>0</v>
      </c>
      <c r="CK112" s="16">
        <f t="shared" si="54"/>
        <v>0</v>
      </c>
      <c r="CL112" s="16">
        <f t="shared" si="54"/>
        <v>0</v>
      </c>
      <c r="CM112" s="16">
        <f t="shared" si="54"/>
        <v>0</v>
      </c>
      <c r="CN112" s="16">
        <f t="shared" si="54"/>
        <v>0</v>
      </c>
      <c r="CO112" s="16">
        <f t="shared" si="54"/>
        <v>0</v>
      </c>
      <c r="CP112" s="16">
        <f t="shared" si="54"/>
        <v>0</v>
      </c>
      <c r="CQ112" s="16">
        <f t="shared" si="54"/>
        <v>0</v>
      </c>
      <c r="CR112" s="16">
        <f t="shared" si="54"/>
        <v>0</v>
      </c>
      <c r="CS112" s="16">
        <f t="shared" si="54"/>
        <v>0</v>
      </c>
      <c r="CT112" s="16">
        <f t="shared" si="54"/>
        <v>0</v>
      </c>
      <c r="CU112" s="16">
        <f t="shared" si="54"/>
        <v>0</v>
      </c>
      <c r="CV112" s="16">
        <f t="shared" si="54"/>
        <v>0</v>
      </c>
      <c r="CW112" s="16">
        <f t="shared" si="54"/>
        <v>0</v>
      </c>
      <c r="CX112" s="16">
        <f t="shared" si="54"/>
        <v>0</v>
      </c>
      <c r="CY112" s="16">
        <f t="shared" si="54"/>
        <v>0</v>
      </c>
      <c r="CZ112" s="16">
        <f t="shared" si="54"/>
        <v>0</v>
      </c>
      <c r="DA112" s="16">
        <f t="shared" si="54"/>
        <v>0</v>
      </c>
      <c r="DB112" s="16">
        <f t="shared" si="54"/>
        <v>0</v>
      </c>
      <c r="DC112" s="16">
        <f t="shared" si="54"/>
        <v>0</v>
      </c>
      <c r="DD112" s="16">
        <f t="shared" si="54"/>
        <v>0</v>
      </c>
      <c r="DE112" s="16">
        <f t="shared" si="54"/>
        <v>0</v>
      </c>
      <c r="DF112" s="16">
        <f t="shared" si="54"/>
        <v>0</v>
      </c>
      <c r="DG112" s="36"/>
      <c r="DI112" s="36"/>
    </row>
    <row r="113" spans="1:152" x14ac:dyDescent="0.2">
      <c r="A113" s="15" t="str">
        <f t="shared" si="46"/>
        <v>Electricité (poste en aout 2015 et 1,2 M€)</v>
      </c>
      <c r="B113" s="134">
        <f t="shared" si="46"/>
        <v>1.1399999999999999</v>
      </c>
      <c r="C113" s="16">
        <f t="shared" si="47"/>
        <v>0</v>
      </c>
      <c r="D113" s="16">
        <f t="shared" si="48"/>
        <v>0</v>
      </c>
      <c r="E113" s="16">
        <f t="shared" si="49"/>
        <v>0</v>
      </c>
      <c r="F113" s="16">
        <f t="shared" si="56"/>
        <v>0</v>
      </c>
      <c r="G113" s="16">
        <f t="shared" si="56"/>
        <v>0</v>
      </c>
      <c r="H113" s="16">
        <f t="shared" si="56"/>
        <v>0</v>
      </c>
      <c r="I113" s="16">
        <f t="shared" si="56"/>
        <v>0</v>
      </c>
      <c r="J113" s="16">
        <f t="shared" si="56"/>
        <v>0</v>
      </c>
      <c r="K113" s="16">
        <f t="shared" si="56"/>
        <v>0</v>
      </c>
      <c r="L113" s="16">
        <f t="shared" si="56"/>
        <v>0</v>
      </c>
      <c r="M113" s="16">
        <f t="shared" si="56"/>
        <v>0.17099999999999999</v>
      </c>
      <c r="N113" s="16">
        <f t="shared" si="56"/>
        <v>0</v>
      </c>
      <c r="O113" s="16">
        <f t="shared" si="56"/>
        <v>5.6999999999999995E-2</v>
      </c>
      <c r="P113" s="16">
        <f t="shared" si="56"/>
        <v>0</v>
      </c>
      <c r="Q113" s="16">
        <f t="shared" si="56"/>
        <v>0</v>
      </c>
      <c r="R113" s="16">
        <f t="shared" si="56"/>
        <v>0</v>
      </c>
      <c r="S113" s="16">
        <f t="shared" si="56"/>
        <v>0</v>
      </c>
      <c r="T113" s="16">
        <f t="shared" si="56"/>
        <v>0.17099999999999999</v>
      </c>
      <c r="U113" s="16">
        <f t="shared" si="56"/>
        <v>0</v>
      </c>
      <c r="V113" s="16">
        <f t="shared" ref="V113:W117" si="58">IF(S89=3,S42,IF(T89=2,T42,IF(U89=1,U42,IF(V89=0,V42,0))))</f>
        <v>0</v>
      </c>
      <c r="W113" s="16">
        <f t="shared" si="58"/>
        <v>0.22799999999999998</v>
      </c>
      <c r="X113" s="16">
        <f t="shared" si="57"/>
        <v>0</v>
      </c>
      <c r="Y113" s="16">
        <f t="shared" si="57"/>
        <v>0.28499999999999998</v>
      </c>
      <c r="Z113" s="16">
        <f t="shared" si="57"/>
        <v>0</v>
      </c>
      <c r="AA113" s="16">
        <f t="shared" si="57"/>
        <v>0.17099999999999999</v>
      </c>
      <c r="AB113" s="16">
        <f t="shared" si="57"/>
        <v>0</v>
      </c>
      <c r="AC113" s="16">
        <f t="shared" si="57"/>
        <v>0</v>
      </c>
      <c r="AD113" s="16">
        <f t="shared" si="57"/>
        <v>0</v>
      </c>
      <c r="AE113" s="16">
        <f t="shared" si="57"/>
        <v>0</v>
      </c>
      <c r="AF113" s="16">
        <f t="shared" si="57"/>
        <v>0</v>
      </c>
      <c r="AG113" s="16">
        <f t="shared" si="57"/>
        <v>0</v>
      </c>
      <c r="AH113" s="16">
        <f t="shared" si="57"/>
        <v>0</v>
      </c>
      <c r="AI113" s="16">
        <f t="shared" si="57"/>
        <v>0</v>
      </c>
      <c r="AJ113" s="16">
        <f t="shared" si="57"/>
        <v>0</v>
      </c>
      <c r="AK113" s="16">
        <f t="shared" si="57"/>
        <v>0</v>
      </c>
      <c r="AL113" s="16">
        <f t="shared" si="57"/>
        <v>0</v>
      </c>
      <c r="AM113" s="16">
        <f t="shared" si="57"/>
        <v>5.6999999999999995E-2</v>
      </c>
      <c r="AN113" s="16">
        <f t="shared" si="57"/>
        <v>0</v>
      </c>
      <c r="AO113" s="16">
        <f t="shared" si="57"/>
        <v>0</v>
      </c>
      <c r="AP113" s="16">
        <f t="shared" si="57"/>
        <v>0</v>
      </c>
      <c r="AQ113" s="16">
        <f t="shared" si="57"/>
        <v>0</v>
      </c>
      <c r="AR113" s="16">
        <f t="shared" si="57"/>
        <v>0</v>
      </c>
      <c r="AS113" s="16">
        <f t="shared" si="57"/>
        <v>0</v>
      </c>
      <c r="AT113" s="16">
        <f t="shared" si="57"/>
        <v>0</v>
      </c>
      <c r="AU113" s="16">
        <f t="shared" si="57"/>
        <v>0</v>
      </c>
      <c r="AV113" s="16">
        <f t="shared" si="57"/>
        <v>0</v>
      </c>
      <c r="AW113" s="16">
        <f t="shared" si="57"/>
        <v>0</v>
      </c>
      <c r="AX113" s="16">
        <f t="shared" si="57"/>
        <v>0</v>
      </c>
      <c r="AY113" s="16">
        <f t="shared" si="57"/>
        <v>0</v>
      </c>
      <c r="AZ113" s="16">
        <f t="shared" si="57"/>
        <v>0</v>
      </c>
      <c r="BA113" s="16">
        <f t="shared" si="57"/>
        <v>0</v>
      </c>
      <c r="BB113" s="16">
        <f t="shared" si="57"/>
        <v>0</v>
      </c>
      <c r="BC113" s="16">
        <f t="shared" si="57"/>
        <v>0</v>
      </c>
      <c r="BD113" s="16">
        <f t="shared" si="57"/>
        <v>0</v>
      </c>
      <c r="BE113" s="16">
        <f t="shared" si="57"/>
        <v>0</v>
      </c>
      <c r="BF113" s="16">
        <f t="shared" si="57"/>
        <v>0</v>
      </c>
      <c r="BG113" s="16">
        <f t="shared" si="57"/>
        <v>0</v>
      </c>
      <c r="BH113" s="16">
        <f t="shared" si="57"/>
        <v>0</v>
      </c>
      <c r="BI113" s="16">
        <f t="shared" si="57"/>
        <v>0</v>
      </c>
      <c r="BJ113" s="16">
        <f t="shared" si="57"/>
        <v>0</v>
      </c>
      <c r="BK113" s="16">
        <f t="shared" si="57"/>
        <v>0</v>
      </c>
      <c r="BL113" s="16">
        <f t="shared" si="57"/>
        <v>0</v>
      </c>
      <c r="BM113" s="16">
        <f t="shared" si="57"/>
        <v>0</v>
      </c>
      <c r="BN113" s="16">
        <f t="shared" si="57"/>
        <v>0</v>
      </c>
      <c r="BO113" s="16">
        <f t="shared" si="57"/>
        <v>0</v>
      </c>
      <c r="BP113" s="16">
        <f t="shared" si="57"/>
        <v>0</v>
      </c>
      <c r="BQ113" s="16">
        <f t="shared" si="52"/>
        <v>0</v>
      </c>
      <c r="BR113" s="16">
        <f t="shared" si="52"/>
        <v>0</v>
      </c>
      <c r="BS113" s="16">
        <f t="shared" si="52"/>
        <v>0</v>
      </c>
      <c r="BT113" s="16">
        <f t="shared" si="52"/>
        <v>0</v>
      </c>
      <c r="BU113" s="16">
        <f t="shared" si="52"/>
        <v>0</v>
      </c>
      <c r="BV113" s="16">
        <f t="shared" si="52"/>
        <v>0</v>
      </c>
      <c r="BW113" s="16">
        <f t="shared" si="52"/>
        <v>0</v>
      </c>
      <c r="BX113" s="16">
        <f t="shared" si="52"/>
        <v>0</v>
      </c>
      <c r="BY113" s="16">
        <f t="shared" si="52"/>
        <v>0</v>
      </c>
      <c r="BZ113" s="16">
        <f t="shared" si="52"/>
        <v>0</v>
      </c>
      <c r="CA113" s="16">
        <f t="shared" si="54"/>
        <v>0</v>
      </c>
      <c r="CB113" s="16">
        <f t="shared" si="54"/>
        <v>0</v>
      </c>
      <c r="CC113" s="16">
        <f t="shared" si="54"/>
        <v>0</v>
      </c>
      <c r="CD113" s="16">
        <f t="shared" si="54"/>
        <v>0</v>
      </c>
      <c r="CE113" s="16">
        <f t="shared" si="54"/>
        <v>0</v>
      </c>
      <c r="CF113" s="16">
        <f t="shared" si="54"/>
        <v>0</v>
      </c>
      <c r="CG113" s="16">
        <f t="shared" si="54"/>
        <v>0</v>
      </c>
      <c r="CH113" s="16">
        <f t="shared" si="54"/>
        <v>0</v>
      </c>
      <c r="CI113" s="16">
        <f t="shared" si="54"/>
        <v>0</v>
      </c>
      <c r="CJ113" s="16">
        <f t="shared" si="54"/>
        <v>0</v>
      </c>
      <c r="CK113" s="16">
        <f t="shared" si="54"/>
        <v>0</v>
      </c>
      <c r="CL113" s="16">
        <f t="shared" si="54"/>
        <v>0</v>
      </c>
      <c r="CM113" s="16">
        <f t="shared" si="54"/>
        <v>0</v>
      </c>
      <c r="CN113" s="16">
        <f t="shared" si="54"/>
        <v>0</v>
      </c>
      <c r="CO113" s="16">
        <f t="shared" si="54"/>
        <v>0</v>
      </c>
      <c r="CP113" s="16">
        <f t="shared" si="54"/>
        <v>0</v>
      </c>
      <c r="CQ113" s="16">
        <f t="shared" si="54"/>
        <v>0</v>
      </c>
      <c r="CR113" s="16">
        <f t="shared" si="54"/>
        <v>0</v>
      </c>
      <c r="CS113" s="16">
        <f t="shared" si="54"/>
        <v>0</v>
      </c>
      <c r="CT113" s="16">
        <f t="shared" si="54"/>
        <v>0</v>
      </c>
      <c r="CU113" s="16">
        <f t="shared" si="54"/>
        <v>0</v>
      </c>
      <c r="CV113" s="16">
        <f t="shared" si="54"/>
        <v>0</v>
      </c>
      <c r="CW113" s="16">
        <f t="shared" si="54"/>
        <v>0</v>
      </c>
      <c r="CX113" s="16">
        <f t="shared" si="54"/>
        <v>0</v>
      </c>
      <c r="CY113" s="16">
        <f t="shared" si="54"/>
        <v>0</v>
      </c>
      <c r="CZ113" s="16">
        <f t="shared" si="54"/>
        <v>0</v>
      </c>
      <c r="DA113" s="16">
        <f t="shared" si="54"/>
        <v>0</v>
      </c>
      <c r="DB113" s="16">
        <f t="shared" si="54"/>
        <v>0</v>
      </c>
      <c r="DC113" s="16">
        <f t="shared" si="54"/>
        <v>0</v>
      </c>
      <c r="DD113" s="16">
        <f t="shared" si="54"/>
        <v>0</v>
      </c>
      <c r="DE113" s="16">
        <f t="shared" si="54"/>
        <v>0</v>
      </c>
      <c r="DF113" s="16">
        <f>IF(DC89=3,DC42,IF(DD89=2,DD42,IF(DE89=1,DE42,IF(DF89=0,DF42,0))))</f>
        <v>0</v>
      </c>
      <c r="DG113" s="36"/>
      <c r="DI113" s="36"/>
    </row>
    <row r="114" spans="1:152" x14ac:dyDescent="0.2">
      <c r="A114" s="759" t="str">
        <f t="shared" si="46"/>
        <v>Autre Electricité et utilités</v>
      </c>
      <c r="B114" s="134">
        <f t="shared" si="46"/>
        <v>4.16</v>
      </c>
      <c r="C114" s="16">
        <f t="shared" si="47"/>
        <v>0</v>
      </c>
      <c r="D114" s="16">
        <f t="shared" si="48"/>
        <v>0</v>
      </c>
      <c r="E114" s="16">
        <f t="shared" si="49"/>
        <v>0</v>
      </c>
      <c r="F114" s="16">
        <f t="shared" si="56"/>
        <v>0</v>
      </c>
      <c r="G114" s="16">
        <f t="shared" si="56"/>
        <v>0</v>
      </c>
      <c r="H114" s="16">
        <f t="shared" si="56"/>
        <v>0</v>
      </c>
      <c r="I114" s="16">
        <f t="shared" si="56"/>
        <v>0</v>
      </c>
      <c r="J114" s="16">
        <f t="shared" si="56"/>
        <v>0</v>
      </c>
      <c r="K114" s="16">
        <f t="shared" si="56"/>
        <v>0</v>
      </c>
      <c r="L114" s="16">
        <f t="shared" si="56"/>
        <v>0</v>
      </c>
      <c r="M114" s="16">
        <f t="shared" si="56"/>
        <v>0.624</v>
      </c>
      <c r="N114" s="16">
        <f t="shared" si="56"/>
        <v>0</v>
      </c>
      <c r="O114" s="16">
        <f t="shared" si="56"/>
        <v>0</v>
      </c>
      <c r="P114" s="16">
        <f t="shared" si="56"/>
        <v>0.41600000000000004</v>
      </c>
      <c r="Q114" s="16">
        <f t="shared" si="56"/>
        <v>0</v>
      </c>
      <c r="R114" s="16">
        <f t="shared" si="56"/>
        <v>0</v>
      </c>
      <c r="S114" s="16">
        <f t="shared" si="56"/>
        <v>0.83200000000000007</v>
      </c>
      <c r="T114" s="16">
        <f t="shared" si="56"/>
        <v>0.83200000000000007</v>
      </c>
      <c r="U114" s="16">
        <f t="shared" si="56"/>
        <v>0</v>
      </c>
      <c r="V114" s="16">
        <f t="shared" si="58"/>
        <v>0</v>
      </c>
      <c r="W114" s="16">
        <f t="shared" si="58"/>
        <v>0.83200000000000007</v>
      </c>
      <c r="X114" s="16">
        <f t="shared" si="57"/>
        <v>0</v>
      </c>
      <c r="Y114" s="16">
        <f t="shared" si="57"/>
        <v>0</v>
      </c>
      <c r="Z114" s="16">
        <f t="shared" si="57"/>
        <v>0</v>
      </c>
      <c r="AA114" s="16">
        <f t="shared" si="57"/>
        <v>0.41600000000000004</v>
      </c>
      <c r="AB114" s="16">
        <f t="shared" si="57"/>
        <v>0</v>
      </c>
      <c r="AC114" s="16">
        <f t="shared" si="57"/>
        <v>0</v>
      </c>
      <c r="AD114" s="16">
        <f t="shared" si="57"/>
        <v>0</v>
      </c>
      <c r="AE114" s="16">
        <f t="shared" si="57"/>
        <v>0</v>
      </c>
      <c r="AF114" s="16">
        <f t="shared" si="57"/>
        <v>0</v>
      </c>
      <c r="AG114" s="16">
        <f t="shared" si="57"/>
        <v>0.20800000000000002</v>
      </c>
      <c r="AH114" s="16">
        <f t="shared" si="57"/>
        <v>0</v>
      </c>
      <c r="AI114" s="16">
        <f t="shared" si="57"/>
        <v>0</v>
      </c>
      <c r="AJ114" s="16">
        <f t="shared" si="57"/>
        <v>0</v>
      </c>
      <c r="AK114" s="16">
        <f t="shared" si="57"/>
        <v>0</v>
      </c>
      <c r="AL114" s="16">
        <f t="shared" si="57"/>
        <v>0</v>
      </c>
      <c r="AM114" s="16">
        <f t="shared" si="57"/>
        <v>0</v>
      </c>
      <c r="AN114" s="16">
        <f t="shared" si="57"/>
        <v>0</v>
      </c>
      <c r="AO114" s="16">
        <f t="shared" si="57"/>
        <v>0</v>
      </c>
      <c r="AP114" s="16">
        <f t="shared" si="57"/>
        <v>0</v>
      </c>
      <c r="AQ114" s="16">
        <f t="shared" si="57"/>
        <v>0</v>
      </c>
      <c r="AR114" s="16">
        <f t="shared" si="57"/>
        <v>0</v>
      </c>
      <c r="AS114" s="16">
        <f t="shared" si="57"/>
        <v>0</v>
      </c>
      <c r="AT114" s="16">
        <f t="shared" si="57"/>
        <v>0</v>
      </c>
      <c r="AU114" s="16">
        <f t="shared" si="57"/>
        <v>0</v>
      </c>
      <c r="AV114" s="16">
        <f t="shared" si="57"/>
        <v>0</v>
      </c>
      <c r="AW114" s="16">
        <f t="shared" si="57"/>
        <v>0</v>
      </c>
      <c r="AX114" s="16">
        <f t="shared" si="57"/>
        <v>0</v>
      </c>
      <c r="AY114" s="16">
        <f t="shared" si="57"/>
        <v>0</v>
      </c>
      <c r="AZ114" s="16">
        <f t="shared" si="57"/>
        <v>0</v>
      </c>
      <c r="BA114" s="16">
        <f t="shared" si="57"/>
        <v>0</v>
      </c>
      <c r="BB114" s="16">
        <f t="shared" si="57"/>
        <v>0</v>
      </c>
      <c r="BC114" s="16">
        <f t="shared" si="57"/>
        <v>0</v>
      </c>
      <c r="BD114" s="16">
        <f t="shared" si="57"/>
        <v>0</v>
      </c>
      <c r="BE114" s="16">
        <f t="shared" si="57"/>
        <v>0</v>
      </c>
      <c r="BF114" s="16">
        <f t="shared" si="57"/>
        <v>0</v>
      </c>
      <c r="BG114" s="16">
        <f t="shared" si="57"/>
        <v>0</v>
      </c>
      <c r="BH114" s="16">
        <f t="shared" si="57"/>
        <v>0</v>
      </c>
      <c r="BI114" s="16">
        <f t="shared" si="57"/>
        <v>0</v>
      </c>
      <c r="BJ114" s="16">
        <f t="shared" si="57"/>
        <v>0</v>
      </c>
      <c r="BK114" s="16">
        <f t="shared" si="57"/>
        <v>0</v>
      </c>
      <c r="BL114" s="16">
        <f t="shared" si="57"/>
        <v>0</v>
      </c>
      <c r="BM114" s="16">
        <f t="shared" si="57"/>
        <v>0</v>
      </c>
      <c r="BN114" s="16">
        <f t="shared" si="57"/>
        <v>0</v>
      </c>
      <c r="BO114" s="16">
        <f t="shared" si="57"/>
        <v>0</v>
      </c>
      <c r="BP114" s="16">
        <f t="shared" si="57"/>
        <v>0</v>
      </c>
      <c r="BQ114" s="16">
        <f t="shared" si="52"/>
        <v>0</v>
      </c>
      <c r="BR114" s="16">
        <f t="shared" si="52"/>
        <v>0</v>
      </c>
      <c r="BS114" s="16">
        <f t="shared" si="52"/>
        <v>0</v>
      </c>
      <c r="BT114" s="16">
        <f t="shared" si="52"/>
        <v>0</v>
      </c>
      <c r="BU114" s="16">
        <f t="shared" si="52"/>
        <v>0</v>
      </c>
      <c r="BV114" s="16">
        <f t="shared" si="52"/>
        <v>0</v>
      </c>
      <c r="BW114" s="16">
        <f t="shared" si="52"/>
        <v>0</v>
      </c>
      <c r="BX114" s="16">
        <f t="shared" si="52"/>
        <v>0</v>
      </c>
      <c r="BY114" s="16">
        <f t="shared" si="52"/>
        <v>0</v>
      </c>
      <c r="BZ114" s="16">
        <f t="shared" si="52"/>
        <v>0</v>
      </c>
      <c r="CA114" s="16">
        <f t="shared" si="52"/>
        <v>0</v>
      </c>
      <c r="CB114" s="16">
        <f t="shared" si="52"/>
        <v>0</v>
      </c>
      <c r="CC114" s="16">
        <f t="shared" si="52"/>
        <v>0</v>
      </c>
      <c r="CD114" s="16">
        <f t="shared" si="52"/>
        <v>0</v>
      </c>
      <c r="CE114" s="16">
        <f t="shared" si="52"/>
        <v>0</v>
      </c>
      <c r="CF114" s="16">
        <f t="shared" si="52"/>
        <v>0</v>
      </c>
      <c r="CG114" s="16">
        <f t="shared" ref="CG114:DE117" si="59">IF(CD90=3,CD43,IF(CE90=2,CE43,IF(CF90=1,CF43,IF(CG90=0,CG43,0))))</f>
        <v>0</v>
      </c>
      <c r="CH114" s="16">
        <f t="shared" si="59"/>
        <v>0</v>
      </c>
      <c r="CI114" s="16">
        <f t="shared" si="59"/>
        <v>0</v>
      </c>
      <c r="CJ114" s="16">
        <f t="shared" si="59"/>
        <v>0</v>
      </c>
      <c r="CK114" s="16">
        <f t="shared" si="59"/>
        <v>0</v>
      </c>
      <c r="CL114" s="16">
        <f t="shared" si="59"/>
        <v>0</v>
      </c>
      <c r="CM114" s="16">
        <f t="shared" si="59"/>
        <v>0</v>
      </c>
      <c r="CN114" s="16">
        <f t="shared" si="59"/>
        <v>0</v>
      </c>
      <c r="CO114" s="16">
        <f t="shared" si="59"/>
        <v>0</v>
      </c>
      <c r="CP114" s="16">
        <f t="shared" si="59"/>
        <v>0</v>
      </c>
      <c r="CQ114" s="16">
        <f t="shared" si="59"/>
        <v>0</v>
      </c>
      <c r="CR114" s="16">
        <f t="shared" si="59"/>
        <v>0</v>
      </c>
      <c r="CS114" s="16">
        <f t="shared" si="59"/>
        <v>0</v>
      </c>
      <c r="CT114" s="16">
        <f t="shared" si="59"/>
        <v>0</v>
      </c>
      <c r="CU114" s="16">
        <f t="shared" si="59"/>
        <v>0</v>
      </c>
      <c r="CV114" s="16">
        <f t="shared" si="59"/>
        <v>0</v>
      </c>
      <c r="CW114" s="16">
        <f t="shared" si="59"/>
        <v>0</v>
      </c>
      <c r="CX114" s="16">
        <f t="shared" si="59"/>
        <v>0</v>
      </c>
      <c r="CY114" s="16">
        <f t="shared" si="59"/>
        <v>0</v>
      </c>
      <c r="CZ114" s="16">
        <f t="shared" si="59"/>
        <v>0</v>
      </c>
      <c r="DA114" s="16">
        <f t="shared" si="59"/>
        <v>0</v>
      </c>
      <c r="DB114" s="16">
        <f t="shared" si="59"/>
        <v>0</v>
      </c>
      <c r="DC114" s="16">
        <f t="shared" si="59"/>
        <v>0</v>
      </c>
      <c r="DD114" s="16">
        <f t="shared" si="59"/>
        <v>0</v>
      </c>
      <c r="DE114" s="16">
        <f t="shared" si="59"/>
        <v>0</v>
      </c>
      <c r="DF114" s="16">
        <f>IF(DC90=3,DC43,IF(DD90=2,DD43,IF(DE90=1,DE43,IF(DF90=0,DF43,0))))</f>
        <v>0</v>
      </c>
      <c r="DG114" s="36"/>
      <c r="DI114" s="36"/>
    </row>
    <row r="115" spans="1:152" x14ac:dyDescent="0.2">
      <c r="A115" s="15" t="str">
        <f t="shared" si="46"/>
        <v>VRD</v>
      </c>
      <c r="B115" s="134">
        <f t="shared" si="46"/>
        <v>1.9</v>
      </c>
      <c r="C115" s="16">
        <f t="shared" si="47"/>
        <v>0</v>
      </c>
      <c r="D115" s="16">
        <f t="shared" si="48"/>
        <v>0.19</v>
      </c>
      <c r="E115" s="16">
        <f t="shared" si="49"/>
        <v>0</v>
      </c>
      <c r="F115" s="16">
        <f t="shared" si="56"/>
        <v>0</v>
      </c>
      <c r="G115" s="16">
        <f t="shared" si="56"/>
        <v>0.19</v>
      </c>
      <c r="H115" s="16">
        <f t="shared" si="56"/>
        <v>0</v>
      </c>
      <c r="I115" s="16">
        <f t="shared" si="56"/>
        <v>0.19</v>
      </c>
      <c r="J115" s="16">
        <f t="shared" si="56"/>
        <v>0</v>
      </c>
      <c r="K115" s="16">
        <f t="shared" si="56"/>
        <v>0.28499999999999998</v>
      </c>
      <c r="L115" s="16">
        <f t="shared" si="56"/>
        <v>0</v>
      </c>
      <c r="M115" s="16">
        <f t="shared" si="56"/>
        <v>0.19</v>
      </c>
      <c r="N115" s="16">
        <f t="shared" si="56"/>
        <v>0</v>
      </c>
      <c r="O115" s="16">
        <f t="shared" si="56"/>
        <v>0.19</v>
      </c>
      <c r="P115" s="16">
        <f t="shared" si="56"/>
        <v>0</v>
      </c>
      <c r="Q115" s="16">
        <f t="shared" si="56"/>
        <v>0</v>
      </c>
      <c r="R115" s="16">
        <f t="shared" si="56"/>
        <v>0.19</v>
      </c>
      <c r="S115" s="16">
        <f t="shared" si="56"/>
        <v>0</v>
      </c>
      <c r="T115" s="16">
        <f t="shared" si="56"/>
        <v>0</v>
      </c>
      <c r="U115" s="16">
        <f t="shared" si="56"/>
        <v>0.19</v>
      </c>
      <c r="V115" s="16">
        <f t="shared" si="58"/>
        <v>0</v>
      </c>
      <c r="W115" s="16">
        <f t="shared" si="58"/>
        <v>0</v>
      </c>
      <c r="X115" s="16">
        <f t="shared" si="57"/>
        <v>0.19</v>
      </c>
      <c r="Y115" s="16">
        <f t="shared" si="57"/>
        <v>0</v>
      </c>
      <c r="Z115" s="16">
        <f t="shared" si="57"/>
        <v>0</v>
      </c>
      <c r="AA115" s="16">
        <f t="shared" si="57"/>
        <v>9.5000000000000001E-2</v>
      </c>
      <c r="AB115" s="16">
        <f t="shared" si="57"/>
        <v>0</v>
      </c>
      <c r="AC115" s="16">
        <f t="shared" si="57"/>
        <v>0</v>
      </c>
      <c r="AD115" s="16">
        <f t="shared" si="57"/>
        <v>0</v>
      </c>
      <c r="AE115" s="16">
        <f t="shared" si="57"/>
        <v>0</v>
      </c>
      <c r="AF115" s="16">
        <f t="shared" si="57"/>
        <v>0</v>
      </c>
      <c r="AG115" s="16">
        <f t="shared" si="57"/>
        <v>0</v>
      </c>
      <c r="AH115" s="16">
        <f t="shared" si="57"/>
        <v>0</v>
      </c>
      <c r="AI115" s="16">
        <f t="shared" si="57"/>
        <v>0</v>
      </c>
      <c r="AJ115" s="16">
        <f t="shared" si="57"/>
        <v>0</v>
      </c>
      <c r="AK115" s="16">
        <f t="shared" si="57"/>
        <v>0</v>
      </c>
      <c r="AL115" s="16">
        <f t="shared" si="57"/>
        <v>0</v>
      </c>
      <c r="AM115" s="16">
        <f t="shared" si="57"/>
        <v>0</v>
      </c>
      <c r="AN115" s="16">
        <f t="shared" si="57"/>
        <v>0</v>
      </c>
      <c r="AO115" s="16">
        <f t="shared" si="57"/>
        <v>0</v>
      </c>
      <c r="AP115" s="16">
        <f t="shared" si="57"/>
        <v>0</v>
      </c>
      <c r="AQ115" s="16">
        <f t="shared" si="57"/>
        <v>0</v>
      </c>
      <c r="AR115" s="16">
        <f t="shared" si="57"/>
        <v>0</v>
      </c>
      <c r="AS115" s="16">
        <f t="shared" si="57"/>
        <v>0</v>
      </c>
      <c r="AT115" s="16">
        <f t="shared" si="57"/>
        <v>0</v>
      </c>
      <c r="AU115" s="16">
        <f t="shared" si="57"/>
        <v>0</v>
      </c>
      <c r="AV115" s="16">
        <f t="shared" si="57"/>
        <v>0</v>
      </c>
      <c r="AW115" s="16">
        <f t="shared" si="57"/>
        <v>0</v>
      </c>
      <c r="AX115" s="16">
        <f t="shared" si="57"/>
        <v>0</v>
      </c>
      <c r="AY115" s="16">
        <f t="shared" si="57"/>
        <v>0</v>
      </c>
      <c r="AZ115" s="16">
        <f t="shared" si="57"/>
        <v>0</v>
      </c>
      <c r="BA115" s="16">
        <f t="shared" si="57"/>
        <v>0</v>
      </c>
      <c r="BB115" s="16">
        <f t="shared" si="57"/>
        <v>0</v>
      </c>
      <c r="BC115" s="16">
        <f t="shared" si="57"/>
        <v>0</v>
      </c>
      <c r="BD115" s="16">
        <f t="shared" si="57"/>
        <v>0</v>
      </c>
      <c r="BE115" s="16">
        <f t="shared" si="57"/>
        <v>0</v>
      </c>
      <c r="BF115" s="16">
        <f t="shared" si="57"/>
        <v>0</v>
      </c>
      <c r="BG115" s="16">
        <f t="shared" si="57"/>
        <v>0</v>
      </c>
      <c r="BH115" s="16">
        <f t="shared" si="57"/>
        <v>0</v>
      </c>
      <c r="BI115" s="16">
        <f t="shared" si="57"/>
        <v>0</v>
      </c>
      <c r="BJ115" s="16">
        <f t="shared" si="57"/>
        <v>0</v>
      </c>
      <c r="BK115" s="16">
        <f t="shared" si="57"/>
        <v>0</v>
      </c>
      <c r="BL115" s="16">
        <f t="shared" si="57"/>
        <v>0</v>
      </c>
      <c r="BM115" s="16">
        <f t="shared" si="57"/>
        <v>0</v>
      </c>
      <c r="BN115" s="16">
        <f t="shared" si="57"/>
        <v>0</v>
      </c>
      <c r="BO115" s="16">
        <f t="shared" si="57"/>
        <v>0</v>
      </c>
      <c r="BP115" s="16">
        <f t="shared" si="57"/>
        <v>0</v>
      </c>
      <c r="BQ115" s="16">
        <f t="shared" si="52"/>
        <v>0</v>
      </c>
      <c r="BR115" s="16">
        <f t="shared" si="52"/>
        <v>0</v>
      </c>
      <c r="BS115" s="16">
        <f t="shared" si="52"/>
        <v>0</v>
      </c>
      <c r="BT115" s="16">
        <f t="shared" si="52"/>
        <v>0</v>
      </c>
      <c r="BU115" s="16">
        <f t="shared" si="52"/>
        <v>0</v>
      </c>
      <c r="BV115" s="16">
        <f t="shared" si="52"/>
        <v>0</v>
      </c>
      <c r="BW115" s="16">
        <f t="shared" si="52"/>
        <v>0</v>
      </c>
      <c r="BX115" s="16">
        <f t="shared" si="52"/>
        <v>0</v>
      </c>
      <c r="BY115" s="16">
        <f t="shared" si="52"/>
        <v>0</v>
      </c>
      <c r="BZ115" s="16">
        <f t="shared" si="52"/>
        <v>0</v>
      </c>
      <c r="CA115" s="16">
        <f t="shared" si="52"/>
        <v>0</v>
      </c>
      <c r="CB115" s="16">
        <f t="shared" si="52"/>
        <v>0</v>
      </c>
      <c r="CC115" s="16">
        <f t="shared" si="52"/>
        <v>0</v>
      </c>
      <c r="CD115" s="16">
        <f t="shared" si="52"/>
        <v>0</v>
      </c>
      <c r="CE115" s="16">
        <f t="shared" si="52"/>
        <v>0</v>
      </c>
      <c r="CF115" s="16">
        <f t="shared" si="52"/>
        <v>0</v>
      </c>
      <c r="CG115" s="16">
        <f t="shared" si="59"/>
        <v>0</v>
      </c>
      <c r="CH115" s="16">
        <f t="shared" si="59"/>
        <v>0</v>
      </c>
      <c r="CI115" s="16">
        <f t="shared" si="59"/>
        <v>0</v>
      </c>
      <c r="CJ115" s="16">
        <f t="shared" si="59"/>
        <v>0</v>
      </c>
      <c r="CK115" s="16">
        <f t="shared" si="59"/>
        <v>0</v>
      </c>
      <c r="CL115" s="16">
        <f t="shared" si="59"/>
        <v>0</v>
      </c>
      <c r="CM115" s="16">
        <f t="shared" si="59"/>
        <v>0</v>
      </c>
      <c r="CN115" s="16">
        <f t="shared" si="59"/>
        <v>0</v>
      </c>
      <c r="CO115" s="16">
        <f t="shared" si="59"/>
        <v>0</v>
      </c>
      <c r="CP115" s="16">
        <f t="shared" si="59"/>
        <v>0</v>
      </c>
      <c r="CQ115" s="16">
        <f t="shared" si="59"/>
        <v>0</v>
      </c>
      <c r="CR115" s="16">
        <f t="shared" si="59"/>
        <v>0</v>
      </c>
      <c r="CS115" s="16">
        <f t="shared" si="59"/>
        <v>0</v>
      </c>
      <c r="CT115" s="16">
        <f t="shared" si="59"/>
        <v>0</v>
      </c>
      <c r="CU115" s="16">
        <f t="shared" si="59"/>
        <v>0</v>
      </c>
      <c r="CV115" s="16">
        <f t="shared" si="59"/>
        <v>0</v>
      </c>
      <c r="CW115" s="16">
        <f t="shared" si="59"/>
        <v>0</v>
      </c>
      <c r="CX115" s="16">
        <f t="shared" si="59"/>
        <v>0</v>
      </c>
      <c r="CY115" s="16">
        <f t="shared" si="59"/>
        <v>0</v>
      </c>
      <c r="CZ115" s="16">
        <f t="shared" si="59"/>
        <v>0</v>
      </c>
      <c r="DA115" s="16">
        <f t="shared" si="59"/>
        <v>0</v>
      </c>
      <c r="DB115" s="16">
        <f t="shared" si="59"/>
        <v>0</v>
      </c>
      <c r="DC115" s="16">
        <f t="shared" si="59"/>
        <v>0</v>
      </c>
      <c r="DD115" s="16">
        <f t="shared" si="59"/>
        <v>0</v>
      </c>
      <c r="DE115" s="16">
        <f t="shared" si="59"/>
        <v>0</v>
      </c>
      <c r="DF115" s="16">
        <f>IF(DC91=3,DC44,IF(DD91=2,DD44,IF(DE91=1,DE44,IF(DF91=0,DF44,0))))</f>
        <v>0</v>
      </c>
      <c r="DG115" s="36"/>
      <c r="DI115" s="36"/>
    </row>
    <row r="116" spans="1:152" x14ac:dyDescent="0.2">
      <c r="A116" s="15" t="str">
        <f>A92</f>
        <v>Projet</v>
      </c>
      <c r="B116" s="134">
        <f>B92</f>
        <v>4.9000000000000004</v>
      </c>
      <c r="C116" s="16">
        <f t="shared" si="47"/>
        <v>1.1025</v>
      </c>
      <c r="D116" s="16">
        <f t="shared" si="48"/>
        <v>0.12250000000000001</v>
      </c>
      <c r="E116" s="16">
        <f t="shared" si="49"/>
        <v>0.12250000000000001</v>
      </c>
      <c r="F116" s="16">
        <f t="shared" si="56"/>
        <v>0.12250000000000001</v>
      </c>
      <c r="G116" s="16">
        <f t="shared" si="56"/>
        <v>0.12250000000000001</v>
      </c>
      <c r="H116" s="16">
        <f t="shared" si="56"/>
        <v>0.12250000000000001</v>
      </c>
      <c r="I116" s="16">
        <f t="shared" si="56"/>
        <v>0.12250000000000001</v>
      </c>
      <c r="J116" s="16">
        <f t="shared" si="56"/>
        <v>0.12250000000000001</v>
      </c>
      <c r="K116" s="16">
        <f t="shared" si="56"/>
        <v>0.12250000000000001</v>
      </c>
      <c r="L116" s="16">
        <f t="shared" si="56"/>
        <v>0.12250000000000001</v>
      </c>
      <c r="M116" s="16">
        <f t="shared" si="56"/>
        <v>0.12250000000000001</v>
      </c>
      <c r="N116" s="16">
        <f t="shared" si="56"/>
        <v>0.12250000000000001</v>
      </c>
      <c r="O116" s="16">
        <f t="shared" si="56"/>
        <v>0.12250000000000001</v>
      </c>
      <c r="P116" s="16">
        <f t="shared" si="56"/>
        <v>0.12250000000000001</v>
      </c>
      <c r="Q116" s="16">
        <f t="shared" si="56"/>
        <v>0.12250000000000001</v>
      </c>
      <c r="R116" s="16">
        <f t="shared" si="56"/>
        <v>0.12250000000000001</v>
      </c>
      <c r="S116" s="16">
        <f t="shared" si="56"/>
        <v>0.12250000000000001</v>
      </c>
      <c r="T116" s="16">
        <f t="shared" si="56"/>
        <v>0.12250000000000001</v>
      </c>
      <c r="U116" s="16">
        <f t="shared" si="56"/>
        <v>0.12250000000000001</v>
      </c>
      <c r="V116" s="16">
        <f t="shared" si="58"/>
        <v>0.12250000000000001</v>
      </c>
      <c r="W116" s="16">
        <f t="shared" si="58"/>
        <v>0.12250000000000001</v>
      </c>
      <c r="X116" s="16">
        <f t="shared" si="57"/>
        <v>0.12250000000000001</v>
      </c>
      <c r="Y116" s="16">
        <f t="shared" si="57"/>
        <v>0.12250000000000001</v>
      </c>
      <c r="Z116" s="16">
        <f t="shared" si="57"/>
        <v>0.12250000000000001</v>
      </c>
      <c r="AA116" s="16">
        <f t="shared" si="57"/>
        <v>0.12250000000000001</v>
      </c>
      <c r="AB116" s="16">
        <f t="shared" si="57"/>
        <v>0.12250000000000001</v>
      </c>
      <c r="AC116" s="16">
        <f t="shared" si="57"/>
        <v>0.12250000000000001</v>
      </c>
      <c r="AD116" s="16">
        <f t="shared" si="57"/>
        <v>0.12250000000000001</v>
      </c>
      <c r="AE116" s="16">
        <f t="shared" si="57"/>
        <v>0.12250000000000001</v>
      </c>
      <c r="AF116" s="16">
        <f t="shared" si="57"/>
        <v>0.12250000000000001</v>
      </c>
      <c r="AG116" s="16">
        <f t="shared" si="57"/>
        <v>0.12250000000000001</v>
      </c>
      <c r="AH116" s="16">
        <f t="shared" si="57"/>
        <v>0.12250000000000001</v>
      </c>
      <c r="AI116" s="16">
        <f t="shared" si="57"/>
        <v>0</v>
      </c>
      <c r="AJ116" s="16">
        <f t="shared" si="57"/>
        <v>0</v>
      </c>
      <c r="AK116" s="16">
        <f t="shared" si="57"/>
        <v>0</v>
      </c>
      <c r="AL116" s="16">
        <f t="shared" si="57"/>
        <v>0</v>
      </c>
      <c r="AM116" s="16">
        <f t="shared" si="57"/>
        <v>0</v>
      </c>
      <c r="AN116" s="16">
        <f t="shared" si="57"/>
        <v>0</v>
      </c>
      <c r="AO116" s="16">
        <f t="shared" si="57"/>
        <v>0</v>
      </c>
      <c r="AP116" s="16">
        <f t="shared" si="57"/>
        <v>0</v>
      </c>
      <c r="AQ116" s="16">
        <f t="shared" si="57"/>
        <v>0</v>
      </c>
      <c r="AR116" s="16">
        <f t="shared" si="57"/>
        <v>0</v>
      </c>
      <c r="AS116" s="16">
        <f t="shared" si="57"/>
        <v>0</v>
      </c>
      <c r="AT116" s="16">
        <f t="shared" si="57"/>
        <v>0</v>
      </c>
      <c r="AU116" s="16">
        <f t="shared" si="57"/>
        <v>0</v>
      </c>
      <c r="AV116" s="16">
        <f t="shared" si="57"/>
        <v>0</v>
      </c>
      <c r="AW116" s="16">
        <f t="shared" si="57"/>
        <v>0</v>
      </c>
      <c r="AX116" s="16">
        <f t="shared" si="57"/>
        <v>0</v>
      </c>
      <c r="AY116" s="16">
        <f t="shared" si="57"/>
        <v>0</v>
      </c>
      <c r="AZ116" s="16">
        <f t="shared" si="57"/>
        <v>0</v>
      </c>
      <c r="BA116" s="16">
        <f t="shared" si="57"/>
        <v>0</v>
      </c>
      <c r="BB116" s="16">
        <f t="shared" si="57"/>
        <v>0</v>
      </c>
      <c r="BC116" s="16">
        <f t="shared" si="57"/>
        <v>0</v>
      </c>
      <c r="BD116" s="16">
        <f t="shared" si="57"/>
        <v>0</v>
      </c>
      <c r="BE116" s="16">
        <f t="shared" si="57"/>
        <v>0</v>
      </c>
      <c r="BF116" s="16">
        <f t="shared" si="57"/>
        <v>0</v>
      </c>
      <c r="BG116" s="16">
        <f t="shared" si="57"/>
        <v>0</v>
      </c>
      <c r="BH116" s="16">
        <f t="shared" si="57"/>
        <v>0</v>
      </c>
      <c r="BI116" s="16">
        <f t="shared" si="57"/>
        <v>0</v>
      </c>
      <c r="BJ116" s="16">
        <f t="shared" si="57"/>
        <v>0</v>
      </c>
      <c r="BK116" s="16">
        <f t="shared" si="57"/>
        <v>0</v>
      </c>
      <c r="BL116" s="16">
        <f t="shared" si="57"/>
        <v>0</v>
      </c>
      <c r="BM116" s="16">
        <f t="shared" si="57"/>
        <v>0</v>
      </c>
      <c r="BN116" s="16">
        <f t="shared" si="57"/>
        <v>0</v>
      </c>
      <c r="BO116" s="16">
        <f t="shared" si="57"/>
        <v>0</v>
      </c>
      <c r="BP116" s="16">
        <f t="shared" si="57"/>
        <v>0</v>
      </c>
      <c r="BQ116" s="16">
        <f t="shared" si="52"/>
        <v>0</v>
      </c>
      <c r="BR116" s="16">
        <f t="shared" si="52"/>
        <v>0</v>
      </c>
      <c r="BS116" s="16">
        <f t="shared" si="52"/>
        <v>0</v>
      </c>
      <c r="BT116" s="16">
        <f t="shared" si="52"/>
        <v>0</v>
      </c>
      <c r="BU116" s="16">
        <f t="shared" si="52"/>
        <v>0</v>
      </c>
      <c r="BV116" s="16">
        <f t="shared" si="52"/>
        <v>0</v>
      </c>
      <c r="BW116" s="16">
        <f t="shared" si="52"/>
        <v>0</v>
      </c>
      <c r="BX116" s="16">
        <f t="shared" si="52"/>
        <v>0</v>
      </c>
      <c r="BY116" s="16">
        <f t="shared" si="52"/>
        <v>0</v>
      </c>
      <c r="BZ116" s="16">
        <f t="shared" si="52"/>
        <v>0</v>
      </c>
      <c r="CA116" s="16">
        <f t="shared" si="52"/>
        <v>0</v>
      </c>
      <c r="CB116" s="16">
        <f t="shared" si="52"/>
        <v>0</v>
      </c>
      <c r="CC116" s="16">
        <f t="shared" si="52"/>
        <v>0</v>
      </c>
      <c r="CD116" s="16">
        <f t="shared" si="52"/>
        <v>0</v>
      </c>
      <c r="CE116" s="16">
        <f t="shared" si="52"/>
        <v>0</v>
      </c>
      <c r="CF116" s="16">
        <f t="shared" si="52"/>
        <v>0</v>
      </c>
      <c r="CG116" s="16">
        <f t="shared" si="59"/>
        <v>0</v>
      </c>
      <c r="CH116" s="16">
        <f t="shared" si="59"/>
        <v>0</v>
      </c>
      <c r="CI116" s="16">
        <f t="shared" si="59"/>
        <v>0</v>
      </c>
      <c r="CJ116" s="16">
        <f t="shared" si="59"/>
        <v>0</v>
      </c>
      <c r="CK116" s="16">
        <f t="shared" si="59"/>
        <v>0</v>
      </c>
      <c r="CL116" s="16">
        <f t="shared" si="59"/>
        <v>0</v>
      </c>
      <c r="CM116" s="16">
        <f t="shared" si="59"/>
        <v>0</v>
      </c>
      <c r="CN116" s="16">
        <f t="shared" si="59"/>
        <v>0</v>
      </c>
      <c r="CO116" s="16">
        <f t="shared" si="59"/>
        <v>0</v>
      </c>
      <c r="CP116" s="16">
        <f t="shared" si="59"/>
        <v>0</v>
      </c>
      <c r="CQ116" s="16">
        <f t="shared" si="59"/>
        <v>0</v>
      </c>
      <c r="CR116" s="16">
        <f t="shared" si="59"/>
        <v>0</v>
      </c>
      <c r="CS116" s="16">
        <f t="shared" si="59"/>
        <v>0</v>
      </c>
      <c r="CT116" s="16">
        <f t="shared" si="59"/>
        <v>0</v>
      </c>
      <c r="CU116" s="16">
        <f t="shared" si="59"/>
        <v>0</v>
      </c>
      <c r="CV116" s="16">
        <f t="shared" si="59"/>
        <v>0</v>
      </c>
      <c r="CW116" s="16">
        <f t="shared" si="59"/>
        <v>0</v>
      </c>
      <c r="CX116" s="16">
        <f t="shared" si="59"/>
        <v>0</v>
      </c>
      <c r="CY116" s="16">
        <f t="shared" si="59"/>
        <v>0</v>
      </c>
      <c r="CZ116" s="16">
        <f t="shared" si="59"/>
        <v>0</v>
      </c>
      <c r="DA116" s="16">
        <f t="shared" si="59"/>
        <v>0</v>
      </c>
      <c r="DB116" s="16">
        <f t="shared" si="59"/>
        <v>0</v>
      </c>
      <c r="DC116" s="16">
        <f t="shared" si="59"/>
        <v>0</v>
      </c>
      <c r="DD116" s="16">
        <f t="shared" si="59"/>
        <v>0</v>
      </c>
      <c r="DE116" s="16">
        <f t="shared" si="59"/>
        <v>0</v>
      </c>
      <c r="DF116" s="16">
        <f>IF(DC92=3,DC45,IF(DD92=2,DD45,IF(DE92=1,DE45,IF(DF92=0,DF45,0))))</f>
        <v>0</v>
      </c>
      <c r="DG116" s="36"/>
      <c r="DI116" s="36"/>
    </row>
    <row r="117" spans="1:152" x14ac:dyDescent="0.2">
      <c r="A117" s="15" t="str">
        <f>A93</f>
        <v>DNR</v>
      </c>
      <c r="B117" s="134">
        <f>B93</f>
        <v>4</v>
      </c>
      <c r="C117" s="16">
        <f t="shared" si="47"/>
        <v>0</v>
      </c>
      <c r="D117" s="16">
        <f t="shared" si="48"/>
        <v>0</v>
      </c>
      <c r="E117" s="16">
        <f t="shared" si="49"/>
        <v>0</v>
      </c>
      <c r="F117" s="16">
        <f t="shared" si="56"/>
        <v>0</v>
      </c>
      <c r="G117" s="16">
        <f t="shared" si="56"/>
        <v>0</v>
      </c>
      <c r="H117" s="16">
        <f t="shared" si="56"/>
        <v>0.2</v>
      </c>
      <c r="I117" s="16">
        <f t="shared" si="56"/>
        <v>0</v>
      </c>
      <c r="J117" s="16">
        <f t="shared" si="56"/>
        <v>0</v>
      </c>
      <c r="K117" s="16">
        <f t="shared" si="56"/>
        <v>0</v>
      </c>
      <c r="L117" s="16">
        <f t="shared" si="56"/>
        <v>0.2</v>
      </c>
      <c r="M117" s="16">
        <f t="shared" si="56"/>
        <v>0</v>
      </c>
      <c r="N117" s="16">
        <f t="shared" si="56"/>
        <v>0</v>
      </c>
      <c r="O117" s="16">
        <f t="shared" si="56"/>
        <v>0</v>
      </c>
      <c r="P117" s="16">
        <f t="shared" si="56"/>
        <v>0.2</v>
      </c>
      <c r="Q117" s="16">
        <f t="shared" si="56"/>
        <v>0.2</v>
      </c>
      <c r="R117" s="16">
        <f t="shared" si="56"/>
        <v>0.2</v>
      </c>
      <c r="S117" s="16">
        <f t="shared" si="56"/>
        <v>0.2</v>
      </c>
      <c r="T117" s="16">
        <f t="shared" si="56"/>
        <v>0.2</v>
      </c>
      <c r="U117" s="16">
        <f t="shared" si="56"/>
        <v>0.2</v>
      </c>
      <c r="V117" s="16">
        <f t="shared" si="58"/>
        <v>0.2</v>
      </c>
      <c r="W117" s="16">
        <f t="shared" si="58"/>
        <v>0.2</v>
      </c>
      <c r="X117" s="16">
        <f t="shared" si="57"/>
        <v>0.2</v>
      </c>
      <c r="Y117" s="16">
        <f t="shared" si="57"/>
        <v>0.2</v>
      </c>
      <c r="Z117" s="16">
        <f t="shared" si="57"/>
        <v>0.2</v>
      </c>
      <c r="AA117" s="16">
        <f t="shared" si="57"/>
        <v>0.2</v>
      </c>
      <c r="AB117" s="16">
        <f t="shared" si="57"/>
        <v>0.2</v>
      </c>
      <c r="AC117" s="16">
        <f t="shared" si="57"/>
        <v>0.2</v>
      </c>
      <c r="AD117" s="16">
        <f t="shared" si="57"/>
        <v>0.2</v>
      </c>
      <c r="AE117" s="16">
        <f t="shared" si="57"/>
        <v>0</v>
      </c>
      <c r="AF117" s="16">
        <f t="shared" si="57"/>
        <v>0.2</v>
      </c>
      <c r="AG117" s="16">
        <f t="shared" si="57"/>
        <v>0.2</v>
      </c>
      <c r="AH117" s="16">
        <f t="shared" si="57"/>
        <v>0</v>
      </c>
      <c r="AI117" s="16">
        <f t="shared" si="57"/>
        <v>0.2</v>
      </c>
      <c r="AJ117" s="16">
        <f t="shared" si="57"/>
        <v>0</v>
      </c>
      <c r="AK117" s="16">
        <f t="shared" si="57"/>
        <v>0</v>
      </c>
      <c r="AL117" s="16">
        <f t="shared" si="57"/>
        <v>0</v>
      </c>
      <c r="AM117" s="16">
        <f t="shared" si="57"/>
        <v>0</v>
      </c>
      <c r="AN117" s="16">
        <f t="shared" si="57"/>
        <v>0</v>
      </c>
      <c r="AO117" s="16">
        <f t="shared" si="57"/>
        <v>0</v>
      </c>
      <c r="AP117" s="16">
        <f t="shared" si="57"/>
        <v>0</v>
      </c>
      <c r="AQ117" s="16">
        <f t="shared" si="57"/>
        <v>0</v>
      </c>
      <c r="AR117" s="16">
        <f t="shared" si="57"/>
        <v>0</v>
      </c>
      <c r="AS117" s="16">
        <f t="shared" si="57"/>
        <v>0</v>
      </c>
      <c r="AT117" s="16">
        <f t="shared" si="57"/>
        <v>0</v>
      </c>
      <c r="AU117" s="16">
        <f t="shared" si="57"/>
        <v>0</v>
      </c>
      <c r="AV117" s="16">
        <f t="shared" si="57"/>
        <v>0</v>
      </c>
      <c r="AW117" s="16">
        <f t="shared" si="57"/>
        <v>0</v>
      </c>
      <c r="AX117" s="16">
        <f t="shared" si="57"/>
        <v>0</v>
      </c>
      <c r="AY117" s="16">
        <f t="shared" si="57"/>
        <v>0</v>
      </c>
      <c r="AZ117" s="16">
        <f t="shared" si="57"/>
        <v>0</v>
      </c>
      <c r="BA117" s="16">
        <f t="shared" si="57"/>
        <v>0</v>
      </c>
      <c r="BB117" s="16">
        <f t="shared" ref="BB117:BP117" si="60">IF(AY93=3,AY46,IF(AZ93=2,AZ46,IF(BA93=1,BA46,IF(BB93=0,BB46,0))))</f>
        <v>0</v>
      </c>
      <c r="BC117" s="16">
        <f t="shared" si="60"/>
        <v>0</v>
      </c>
      <c r="BD117" s="16">
        <f t="shared" si="60"/>
        <v>0</v>
      </c>
      <c r="BE117" s="16">
        <f t="shared" si="60"/>
        <v>0</v>
      </c>
      <c r="BF117" s="16">
        <f t="shared" si="60"/>
        <v>0</v>
      </c>
      <c r="BG117" s="16">
        <f t="shared" si="60"/>
        <v>0</v>
      </c>
      <c r="BH117" s="16">
        <f t="shared" si="60"/>
        <v>0</v>
      </c>
      <c r="BI117" s="16">
        <f t="shared" si="60"/>
        <v>0</v>
      </c>
      <c r="BJ117" s="16">
        <f t="shared" si="60"/>
        <v>0</v>
      </c>
      <c r="BK117" s="16">
        <f t="shared" si="60"/>
        <v>0</v>
      </c>
      <c r="BL117" s="16">
        <f t="shared" si="60"/>
        <v>0</v>
      </c>
      <c r="BM117" s="16">
        <f t="shared" si="60"/>
        <v>0</v>
      </c>
      <c r="BN117" s="16">
        <f t="shared" si="60"/>
        <v>0</v>
      </c>
      <c r="BO117" s="16">
        <f t="shared" si="60"/>
        <v>0</v>
      </c>
      <c r="BP117" s="16">
        <f t="shared" si="60"/>
        <v>0</v>
      </c>
      <c r="BQ117" s="16">
        <f t="shared" si="52"/>
        <v>0</v>
      </c>
      <c r="BR117" s="16">
        <f t="shared" si="52"/>
        <v>0</v>
      </c>
      <c r="BS117" s="16">
        <f t="shared" si="52"/>
        <v>0</v>
      </c>
      <c r="BT117" s="16">
        <f t="shared" si="52"/>
        <v>0</v>
      </c>
      <c r="BU117" s="16">
        <f t="shared" si="52"/>
        <v>0</v>
      </c>
      <c r="BV117" s="16">
        <f t="shared" si="52"/>
        <v>0</v>
      </c>
      <c r="BW117" s="16">
        <f t="shared" si="52"/>
        <v>0</v>
      </c>
      <c r="BX117" s="16">
        <f t="shared" si="52"/>
        <v>0</v>
      </c>
      <c r="BY117" s="16">
        <f t="shared" si="52"/>
        <v>0</v>
      </c>
      <c r="BZ117" s="16">
        <f t="shared" si="52"/>
        <v>0</v>
      </c>
      <c r="CA117" s="16">
        <f t="shared" si="52"/>
        <v>0</v>
      </c>
      <c r="CB117" s="16">
        <f t="shared" si="52"/>
        <v>0</v>
      </c>
      <c r="CC117" s="16">
        <f t="shared" si="52"/>
        <v>0</v>
      </c>
      <c r="CD117" s="16">
        <f t="shared" si="52"/>
        <v>0</v>
      </c>
      <c r="CE117" s="16">
        <f t="shared" si="52"/>
        <v>0</v>
      </c>
      <c r="CF117" s="16">
        <f t="shared" si="52"/>
        <v>0</v>
      </c>
      <c r="CG117" s="16">
        <f t="shared" si="59"/>
        <v>0</v>
      </c>
      <c r="CH117" s="16">
        <f t="shared" si="59"/>
        <v>0</v>
      </c>
      <c r="CI117" s="16">
        <f t="shared" si="59"/>
        <v>0</v>
      </c>
      <c r="CJ117" s="16">
        <f t="shared" si="59"/>
        <v>0</v>
      </c>
      <c r="CK117" s="16">
        <f t="shared" si="59"/>
        <v>0</v>
      </c>
      <c r="CL117" s="16">
        <f t="shared" si="59"/>
        <v>0</v>
      </c>
      <c r="CM117" s="16">
        <f t="shared" si="59"/>
        <v>0</v>
      </c>
      <c r="CN117" s="16">
        <f t="shared" si="59"/>
        <v>0</v>
      </c>
      <c r="CO117" s="16">
        <f t="shared" si="59"/>
        <v>0</v>
      </c>
      <c r="CP117" s="16">
        <f t="shared" si="59"/>
        <v>0</v>
      </c>
      <c r="CQ117" s="16">
        <f t="shared" si="59"/>
        <v>0</v>
      </c>
      <c r="CR117" s="16">
        <f t="shared" si="59"/>
        <v>0</v>
      </c>
      <c r="CS117" s="16">
        <f t="shared" si="59"/>
        <v>0</v>
      </c>
      <c r="CT117" s="16">
        <f t="shared" si="59"/>
        <v>0</v>
      </c>
      <c r="CU117" s="16">
        <f t="shared" si="59"/>
        <v>0</v>
      </c>
      <c r="CV117" s="16">
        <f t="shared" si="59"/>
        <v>0</v>
      </c>
      <c r="CW117" s="16">
        <f t="shared" si="59"/>
        <v>0</v>
      </c>
      <c r="CX117" s="16">
        <f t="shared" si="59"/>
        <v>0</v>
      </c>
      <c r="CY117" s="16">
        <f t="shared" si="59"/>
        <v>0</v>
      </c>
      <c r="CZ117" s="16">
        <f t="shared" si="59"/>
        <v>0</v>
      </c>
      <c r="DA117" s="16">
        <f t="shared" si="59"/>
        <v>0</v>
      </c>
      <c r="DB117" s="16">
        <f t="shared" si="59"/>
        <v>0</v>
      </c>
      <c r="DC117" s="16">
        <f t="shared" si="59"/>
        <v>0</v>
      </c>
      <c r="DD117" s="16">
        <f t="shared" si="59"/>
        <v>0</v>
      </c>
      <c r="DE117" s="16">
        <f t="shared" si="59"/>
        <v>0</v>
      </c>
      <c r="DF117" s="16">
        <f>IF(DC93=3,DC46,IF(DD93=2,DD46,IF(DE93=1,DE46,IF(DF93=0,DF46,0))))</f>
        <v>0</v>
      </c>
      <c r="DG117" s="36"/>
      <c r="DI117" s="36"/>
    </row>
    <row r="118" spans="1:152" x14ac:dyDescent="0.2">
      <c r="C118" s="23">
        <f>SUM(C100:C117)</f>
        <v>1.5325</v>
      </c>
      <c r="D118" s="23">
        <f t="shared" ref="D118:BO118" si="61">SUM(D100:D117)</f>
        <v>3.0575000000000001</v>
      </c>
      <c r="E118" s="23">
        <f t="shared" si="61"/>
        <v>0.12250000000000001</v>
      </c>
      <c r="F118" s="23">
        <f t="shared" si="61"/>
        <v>1.0225</v>
      </c>
      <c r="G118" s="23">
        <f t="shared" si="61"/>
        <v>2.1425000000000001</v>
      </c>
      <c r="H118" s="23">
        <f t="shared" si="61"/>
        <v>0.32250000000000001</v>
      </c>
      <c r="I118" s="23">
        <f t="shared" si="61"/>
        <v>0.76250000000000007</v>
      </c>
      <c r="J118" s="23">
        <f t="shared" si="61"/>
        <v>0.12250000000000001</v>
      </c>
      <c r="K118" s="23">
        <f t="shared" si="61"/>
        <v>0.40749999999999997</v>
      </c>
      <c r="L118" s="23">
        <f t="shared" si="61"/>
        <v>0.6</v>
      </c>
      <c r="M118" s="23">
        <f t="shared" si="61"/>
        <v>1.1074999999999999</v>
      </c>
      <c r="N118" s="23">
        <f t="shared" si="61"/>
        <v>2.3125</v>
      </c>
      <c r="O118" s="23">
        <f t="shared" si="61"/>
        <v>0.39200000000000002</v>
      </c>
      <c r="P118" s="23">
        <f t="shared" si="61"/>
        <v>1.5760000000000001</v>
      </c>
      <c r="Q118" s="23">
        <f t="shared" si="61"/>
        <v>0.58250000000000002</v>
      </c>
      <c r="R118" s="23">
        <f t="shared" si="61"/>
        <v>6.4225000000000003</v>
      </c>
      <c r="S118" s="23">
        <f t="shared" si="61"/>
        <v>1.623</v>
      </c>
      <c r="T118" s="23">
        <f t="shared" si="61"/>
        <v>1.7090000000000001</v>
      </c>
      <c r="U118" s="23">
        <f t="shared" si="61"/>
        <v>0.52700000000000002</v>
      </c>
      <c r="V118" s="23">
        <f t="shared" si="61"/>
        <v>7.1244999999999994</v>
      </c>
      <c r="W118" s="23">
        <f t="shared" si="61"/>
        <v>1.4950000000000001</v>
      </c>
      <c r="X118" s="23">
        <f t="shared" si="61"/>
        <v>1.8775000000000002</v>
      </c>
      <c r="Y118" s="23">
        <f t="shared" si="61"/>
        <v>0.97</v>
      </c>
      <c r="Z118" s="23">
        <f t="shared" si="61"/>
        <v>1.6850000000000001</v>
      </c>
      <c r="AA118" s="23">
        <f t="shared" si="61"/>
        <v>2.0655000000000001</v>
      </c>
      <c r="AB118" s="23">
        <f t="shared" si="61"/>
        <v>1.4610000000000001</v>
      </c>
      <c r="AC118" s="23">
        <f t="shared" si="61"/>
        <v>0.5535000000000001</v>
      </c>
      <c r="AD118" s="23">
        <f t="shared" si="61"/>
        <v>4.8475000000000001</v>
      </c>
      <c r="AE118" s="23">
        <f t="shared" si="61"/>
        <v>0.77750000000000008</v>
      </c>
      <c r="AF118" s="23">
        <f t="shared" si="61"/>
        <v>0.38700000000000001</v>
      </c>
      <c r="AG118" s="23">
        <f t="shared" si="61"/>
        <v>2.4055000000000004</v>
      </c>
      <c r="AH118" s="23">
        <f t="shared" si="61"/>
        <v>0.38250000000000001</v>
      </c>
      <c r="AI118" s="23">
        <f t="shared" si="61"/>
        <v>0.2</v>
      </c>
      <c r="AJ118" s="23">
        <f t="shared" si="61"/>
        <v>0</v>
      </c>
      <c r="AK118" s="23">
        <f t="shared" si="61"/>
        <v>2.2500000000000003E-2</v>
      </c>
      <c r="AL118" s="23">
        <f t="shared" si="61"/>
        <v>0</v>
      </c>
      <c r="AM118" s="23">
        <f t="shared" si="61"/>
        <v>0.127</v>
      </c>
      <c r="AN118" s="23">
        <f t="shared" si="61"/>
        <v>0</v>
      </c>
      <c r="AO118" s="23">
        <f t="shared" si="61"/>
        <v>0</v>
      </c>
      <c r="AP118" s="23">
        <f t="shared" si="61"/>
        <v>0.23250000000000004</v>
      </c>
      <c r="AQ118" s="23">
        <f t="shared" si="61"/>
        <v>2.0000000000000004E-2</v>
      </c>
      <c r="AR118" s="23">
        <f t="shared" si="61"/>
        <v>2.1499999999999998E-2</v>
      </c>
      <c r="AS118" s="23">
        <f t="shared" si="61"/>
        <v>0.93</v>
      </c>
      <c r="AT118" s="23">
        <f t="shared" si="61"/>
        <v>0.13</v>
      </c>
      <c r="AU118" s="23">
        <f t="shared" si="61"/>
        <v>0</v>
      </c>
      <c r="AV118" s="23">
        <f t="shared" si="61"/>
        <v>0</v>
      </c>
      <c r="AW118" s="23">
        <f t="shared" si="61"/>
        <v>0.39</v>
      </c>
      <c r="AX118" s="23">
        <f t="shared" si="61"/>
        <v>0</v>
      </c>
      <c r="AY118" s="23">
        <f t="shared" si="61"/>
        <v>0</v>
      </c>
      <c r="AZ118" s="23">
        <f t="shared" si="61"/>
        <v>0.26</v>
      </c>
      <c r="BA118" s="23">
        <f t="shared" si="61"/>
        <v>0</v>
      </c>
      <c r="BB118" s="23">
        <f t="shared" si="61"/>
        <v>0</v>
      </c>
      <c r="BC118" s="23">
        <f t="shared" si="61"/>
        <v>0</v>
      </c>
      <c r="BD118" s="23">
        <f t="shared" si="61"/>
        <v>0</v>
      </c>
      <c r="BE118" s="23">
        <f t="shared" si="61"/>
        <v>0</v>
      </c>
      <c r="BF118" s="23">
        <f t="shared" si="61"/>
        <v>0</v>
      </c>
      <c r="BG118" s="23">
        <f t="shared" si="61"/>
        <v>0.52</v>
      </c>
      <c r="BH118" s="23">
        <f t="shared" si="61"/>
        <v>0</v>
      </c>
      <c r="BI118" s="23">
        <f t="shared" si="61"/>
        <v>0.52</v>
      </c>
      <c r="BJ118" s="23">
        <f t="shared" si="61"/>
        <v>0</v>
      </c>
      <c r="BK118" s="23">
        <f t="shared" si="61"/>
        <v>0</v>
      </c>
      <c r="BL118" s="23">
        <f t="shared" si="61"/>
        <v>0</v>
      </c>
      <c r="BM118" s="23">
        <f t="shared" si="61"/>
        <v>0</v>
      </c>
      <c r="BN118" s="23">
        <f t="shared" si="61"/>
        <v>0.52</v>
      </c>
      <c r="BO118" s="23">
        <f t="shared" si="61"/>
        <v>0</v>
      </c>
      <c r="BP118" s="23">
        <f t="shared" ref="BP118:DF118" si="62">SUM(BP100:BP117)</f>
        <v>0</v>
      </c>
      <c r="BQ118" s="23">
        <f t="shared" si="62"/>
        <v>0.26</v>
      </c>
      <c r="BR118" s="23">
        <f t="shared" si="62"/>
        <v>0</v>
      </c>
      <c r="BS118" s="23">
        <f t="shared" si="62"/>
        <v>0</v>
      </c>
      <c r="BT118" s="23">
        <f t="shared" si="62"/>
        <v>0</v>
      </c>
      <c r="BU118" s="23">
        <f t="shared" si="62"/>
        <v>0</v>
      </c>
      <c r="BV118" s="23">
        <f t="shared" si="62"/>
        <v>0</v>
      </c>
      <c r="BW118" s="23">
        <f t="shared" si="62"/>
        <v>0</v>
      </c>
      <c r="BX118" s="23">
        <f t="shared" si="62"/>
        <v>0</v>
      </c>
      <c r="BY118" s="23">
        <f t="shared" si="62"/>
        <v>0</v>
      </c>
      <c r="BZ118" s="23">
        <f t="shared" si="62"/>
        <v>0</v>
      </c>
      <c r="CA118" s="23">
        <f t="shared" si="62"/>
        <v>0</v>
      </c>
      <c r="CB118" s="23">
        <f t="shared" si="62"/>
        <v>0</v>
      </c>
      <c r="CC118" s="23">
        <f t="shared" si="62"/>
        <v>0.13</v>
      </c>
      <c r="CD118" s="23">
        <f t="shared" si="62"/>
        <v>0</v>
      </c>
      <c r="CE118" s="23">
        <f t="shared" si="62"/>
        <v>0</v>
      </c>
      <c r="CF118" s="23">
        <f t="shared" si="62"/>
        <v>0</v>
      </c>
      <c r="CG118" s="23">
        <f t="shared" si="62"/>
        <v>0</v>
      </c>
      <c r="CH118" s="23">
        <f t="shared" si="62"/>
        <v>0</v>
      </c>
      <c r="CI118" s="23">
        <f t="shared" si="62"/>
        <v>0</v>
      </c>
      <c r="CJ118" s="23">
        <f t="shared" si="62"/>
        <v>0</v>
      </c>
      <c r="CK118" s="23">
        <f t="shared" si="62"/>
        <v>0</v>
      </c>
      <c r="CL118" s="23">
        <f t="shared" si="62"/>
        <v>0</v>
      </c>
      <c r="CM118" s="23">
        <f t="shared" si="62"/>
        <v>0</v>
      </c>
      <c r="CN118" s="23">
        <f t="shared" si="62"/>
        <v>0</v>
      </c>
      <c r="CO118" s="23">
        <f t="shared" si="62"/>
        <v>0</v>
      </c>
      <c r="CP118" s="23">
        <f t="shared" si="62"/>
        <v>0</v>
      </c>
      <c r="CQ118" s="23">
        <f t="shared" si="62"/>
        <v>0</v>
      </c>
      <c r="CR118" s="23">
        <f t="shared" si="62"/>
        <v>0</v>
      </c>
      <c r="CS118" s="23">
        <f t="shared" si="62"/>
        <v>0</v>
      </c>
      <c r="CT118" s="23">
        <f t="shared" si="62"/>
        <v>0</v>
      </c>
      <c r="CU118" s="23">
        <f t="shared" si="62"/>
        <v>0</v>
      </c>
      <c r="CV118" s="23">
        <f t="shared" si="62"/>
        <v>0</v>
      </c>
      <c r="CW118" s="23">
        <f t="shared" si="62"/>
        <v>0</v>
      </c>
      <c r="CX118" s="23">
        <f t="shared" si="62"/>
        <v>0</v>
      </c>
      <c r="CY118" s="23">
        <f t="shared" si="62"/>
        <v>0</v>
      </c>
      <c r="CZ118" s="23">
        <f t="shared" si="62"/>
        <v>0</v>
      </c>
      <c r="DA118" s="23">
        <f t="shared" si="62"/>
        <v>0</v>
      </c>
      <c r="DB118" s="23">
        <f t="shared" si="62"/>
        <v>0</v>
      </c>
      <c r="DC118" s="23">
        <f t="shared" si="62"/>
        <v>0</v>
      </c>
      <c r="DD118" s="23">
        <f t="shared" si="62"/>
        <v>0</v>
      </c>
      <c r="DE118" s="23">
        <f t="shared" si="62"/>
        <v>0</v>
      </c>
      <c r="DF118" s="23">
        <f t="shared" si="62"/>
        <v>0</v>
      </c>
      <c r="DG118" s="1020">
        <f>SUM(C118:DF118)</f>
        <v>56.660000000000025</v>
      </c>
    </row>
    <row r="120" spans="1:152" x14ac:dyDescent="0.2">
      <c r="C120" s="43" t="str">
        <f>C99</f>
        <v>janvier 2015</v>
      </c>
      <c r="D120" s="43" t="str">
        <f t="shared" ref="D120:BO120" si="63">D99</f>
        <v>février 2015</v>
      </c>
      <c r="E120" s="43" t="str">
        <f t="shared" si="63"/>
        <v>mars 2015</v>
      </c>
      <c r="F120" s="43" t="str">
        <f t="shared" si="63"/>
        <v>avril 2015</v>
      </c>
      <c r="G120" s="43" t="str">
        <f t="shared" si="63"/>
        <v>mai 2015</v>
      </c>
      <c r="H120" s="43" t="str">
        <f t="shared" si="63"/>
        <v>juin 2015</v>
      </c>
      <c r="I120" s="43" t="str">
        <f t="shared" si="63"/>
        <v>juillet 2015</v>
      </c>
      <c r="J120" s="43" t="str">
        <f t="shared" si="63"/>
        <v>août 2015</v>
      </c>
      <c r="K120" s="43" t="str">
        <f t="shared" si="63"/>
        <v>septembre 2015</v>
      </c>
      <c r="L120" s="43" t="str">
        <f t="shared" si="63"/>
        <v>octobre 2015</v>
      </c>
      <c r="M120" s="43" t="str">
        <f t="shared" si="63"/>
        <v>novembre 2015</v>
      </c>
      <c r="N120" s="43" t="str">
        <f t="shared" si="63"/>
        <v>décembre 2015</v>
      </c>
      <c r="O120" s="43" t="str">
        <f t="shared" si="63"/>
        <v>janvier 2016</v>
      </c>
      <c r="P120" s="43" t="str">
        <f t="shared" si="63"/>
        <v>février 2016</v>
      </c>
      <c r="Q120" s="43" t="str">
        <f t="shared" si="63"/>
        <v>mars 2016</v>
      </c>
      <c r="R120" s="43" t="str">
        <f t="shared" si="63"/>
        <v>avril 2016</v>
      </c>
      <c r="S120" s="43" t="str">
        <f t="shared" si="63"/>
        <v>mai 2016</v>
      </c>
      <c r="T120" s="43" t="str">
        <f t="shared" si="63"/>
        <v>juin 2016</v>
      </c>
      <c r="U120" s="43" t="str">
        <f t="shared" si="63"/>
        <v>juillet 2016</v>
      </c>
      <c r="V120" s="43" t="str">
        <f t="shared" si="63"/>
        <v>août 2016</v>
      </c>
      <c r="W120" s="43" t="str">
        <f t="shared" si="63"/>
        <v>septembre 2016</v>
      </c>
      <c r="X120" s="43" t="str">
        <f t="shared" si="63"/>
        <v>octobre 2016</v>
      </c>
      <c r="Y120" s="43" t="str">
        <f t="shared" si="63"/>
        <v>novembre 2016</v>
      </c>
      <c r="Z120" s="43" t="str">
        <f t="shared" si="63"/>
        <v>décembre 2016</v>
      </c>
      <c r="AA120" s="43" t="str">
        <f t="shared" si="63"/>
        <v>janvier 2017</v>
      </c>
      <c r="AB120" s="43" t="str">
        <f t="shared" si="63"/>
        <v>février 2017</v>
      </c>
      <c r="AC120" s="43" t="str">
        <f t="shared" si="63"/>
        <v>mars 2017</v>
      </c>
      <c r="AD120" s="43" t="str">
        <f t="shared" si="63"/>
        <v>avril 2017</v>
      </c>
      <c r="AE120" s="43" t="str">
        <f t="shared" si="63"/>
        <v>mai 2017</v>
      </c>
      <c r="AF120" s="43" t="str">
        <f t="shared" si="63"/>
        <v>juin 2017</v>
      </c>
      <c r="AG120" s="43" t="str">
        <f t="shared" si="63"/>
        <v>juillet 2017</v>
      </c>
      <c r="AH120" s="43" t="str">
        <f t="shared" si="63"/>
        <v>août 2017</v>
      </c>
      <c r="AI120" s="43" t="str">
        <f t="shared" si="63"/>
        <v>septembre 2017</v>
      </c>
      <c r="AJ120" s="43" t="str">
        <f t="shared" si="63"/>
        <v>octobre 2017</v>
      </c>
      <c r="AK120" s="43" t="str">
        <f t="shared" si="63"/>
        <v>novembre 2017</v>
      </c>
      <c r="AL120" s="43" t="str">
        <f t="shared" si="63"/>
        <v>décembre 2017</v>
      </c>
      <c r="AM120" s="43" t="str">
        <f t="shared" si="63"/>
        <v>janvier 2018</v>
      </c>
      <c r="AN120" s="43" t="str">
        <f t="shared" si="63"/>
        <v>février 2018</v>
      </c>
      <c r="AO120" s="43" t="str">
        <f t="shared" si="63"/>
        <v>mars 2018</v>
      </c>
      <c r="AP120" s="43" t="str">
        <f t="shared" si="63"/>
        <v>avril 2018</v>
      </c>
      <c r="AQ120" s="43" t="str">
        <f t="shared" si="63"/>
        <v>mai 2018</v>
      </c>
      <c r="AR120" s="43" t="str">
        <f t="shared" si="63"/>
        <v>juin 2018</v>
      </c>
      <c r="AS120" s="43" t="str">
        <f t="shared" si="63"/>
        <v>juillet 2018</v>
      </c>
      <c r="AT120" s="43" t="str">
        <f t="shared" si="63"/>
        <v>août 2018</v>
      </c>
      <c r="AU120" s="43" t="str">
        <f t="shared" si="63"/>
        <v>septembre 2018</v>
      </c>
      <c r="AV120" s="43" t="str">
        <f t="shared" si="63"/>
        <v>octobre 2018</v>
      </c>
      <c r="AW120" s="43" t="str">
        <f t="shared" si="63"/>
        <v>novembre 2018</v>
      </c>
      <c r="AX120" s="43" t="str">
        <f t="shared" si="63"/>
        <v>décembre 2018</v>
      </c>
      <c r="AY120" s="43" t="str">
        <f t="shared" si="63"/>
        <v>janvier 2019</v>
      </c>
      <c r="AZ120" s="43" t="str">
        <f t="shared" si="63"/>
        <v>février 2019</v>
      </c>
      <c r="BA120" s="43" t="str">
        <f t="shared" si="63"/>
        <v>mars 2019</v>
      </c>
      <c r="BB120" s="43" t="str">
        <f t="shared" si="63"/>
        <v>avril 2019</v>
      </c>
      <c r="BC120" s="43" t="str">
        <f t="shared" si="63"/>
        <v>mai 2019</v>
      </c>
      <c r="BD120" s="43" t="str">
        <f t="shared" si="63"/>
        <v>juin 2019</v>
      </c>
      <c r="BE120" s="43" t="str">
        <f t="shared" si="63"/>
        <v>juillet 2019</v>
      </c>
      <c r="BF120" s="43" t="str">
        <f t="shared" si="63"/>
        <v>août 2019</v>
      </c>
      <c r="BG120" s="43" t="str">
        <f t="shared" si="63"/>
        <v>septembre 2019</v>
      </c>
      <c r="BH120" s="43" t="str">
        <f t="shared" si="63"/>
        <v>octobre 2019</v>
      </c>
      <c r="BI120" s="43" t="str">
        <f t="shared" si="63"/>
        <v>novembre 2019</v>
      </c>
      <c r="BJ120" s="43" t="str">
        <f t="shared" si="63"/>
        <v>décembre 2019</v>
      </c>
      <c r="BK120" s="43" t="str">
        <f t="shared" si="63"/>
        <v>janvier 2020</v>
      </c>
      <c r="BL120" s="43" t="str">
        <f t="shared" si="63"/>
        <v>février 2020</v>
      </c>
      <c r="BM120" s="43" t="str">
        <f t="shared" si="63"/>
        <v>mars 2020</v>
      </c>
      <c r="BN120" s="43" t="str">
        <f t="shared" si="63"/>
        <v>avril 2020</v>
      </c>
      <c r="BO120" s="43" t="str">
        <f t="shared" si="63"/>
        <v>mai 2020</v>
      </c>
      <c r="BP120" s="43" t="str">
        <f t="shared" ref="BP120:DF120" si="64">BP99</f>
        <v>juin 2020</v>
      </c>
      <c r="BQ120" s="43" t="str">
        <f t="shared" si="64"/>
        <v>juillet 2020</v>
      </c>
      <c r="BR120" s="43" t="str">
        <f t="shared" si="64"/>
        <v>août 2020</v>
      </c>
      <c r="BS120" s="43" t="str">
        <f t="shared" si="64"/>
        <v>septembre 2020</v>
      </c>
      <c r="BT120" s="43" t="str">
        <f t="shared" si="64"/>
        <v>octobre 2020</v>
      </c>
      <c r="BU120" s="43" t="str">
        <f t="shared" si="64"/>
        <v>novembre 2020</v>
      </c>
      <c r="BV120" s="43" t="str">
        <f t="shared" si="64"/>
        <v>décembre 2020</v>
      </c>
      <c r="BW120" s="43" t="str">
        <f t="shared" si="64"/>
        <v>janvier 2021</v>
      </c>
      <c r="BX120" s="43" t="str">
        <f t="shared" si="64"/>
        <v>février 2021</v>
      </c>
      <c r="BY120" s="43" t="str">
        <f t="shared" si="64"/>
        <v>mars 2021</v>
      </c>
      <c r="BZ120" s="43" t="str">
        <f t="shared" si="64"/>
        <v>avril 2021</v>
      </c>
      <c r="CA120" s="43" t="str">
        <f t="shared" si="64"/>
        <v>mai 2021</v>
      </c>
      <c r="CB120" s="43" t="str">
        <f t="shared" si="64"/>
        <v>juin 2021</v>
      </c>
      <c r="CC120" s="43" t="str">
        <f t="shared" si="64"/>
        <v>juillet 2021</v>
      </c>
      <c r="CD120" s="43" t="str">
        <f t="shared" si="64"/>
        <v>août 2021</v>
      </c>
      <c r="CE120" s="43" t="str">
        <f t="shared" si="64"/>
        <v>septembre 2021</v>
      </c>
      <c r="CF120" s="43" t="str">
        <f t="shared" si="64"/>
        <v>octobre 2021</v>
      </c>
      <c r="CG120" s="43" t="str">
        <f t="shared" si="64"/>
        <v>novembre 2021</v>
      </c>
      <c r="CH120" s="43" t="str">
        <f t="shared" si="64"/>
        <v>décembre 2021</v>
      </c>
      <c r="CI120" s="43" t="str">
        <f t="shared" si="64"/>
        <v>janvier 2022</v>
      </c>
      <c r="CJ120" s="43" t="str">
        <f t="shared" si="64"/>
        <v>février 2022</v>
      </c>
      <c r="CK120" s="43" t="str">
        <f t="shared" si="64"/>
        <v>mars 2022</v>
      </c>
      <c r="CL120" s="43" t="str">
        <f t="shared" si="64"/>
        <v>avril 2022</v>
      </c>
      <c r="CM120" s="43" t="str">
        <f t="shared" si="64"/>
        <v>mai 2022</v>
      </c>
      <c r="CN120" s="43" t="str">
        <f t="shared" si="64"/>
        <v>juin 2022</v>
      </c>
      <c r="CO120" s="43" t="str">
        <f t="shared" si="64"/>
        <v>juillet 2022</v>
      </c>
      <c r="CP120" s="43" t="str">
        <f t="shared" si="64"/>
        <v>août 2022</v>
      </c>
      <c r="CQ120" s="43" t="str">
        <f t="shared" si="64"/>
        <v>septembre 2022</v>
      </c>
      <c r="CR120" s="43" t="str">
        <f t="shared" si="64"/>
        <v>octobre 2022</v>
      </c>
      <c r="CS120" s="43" t="str">
        <f t="shared" si="64"/>
        <v>novembre 2022</v>
      </c>
      <c r="CT120" s="43" t="str">
        <f t="shared" si="64"/>
        <v>décembre 2022</v>
      </c>
      <c r="CU120" s="43" t="str">
        <f t="shared" si="64"/>
        <v>janvier 2023</v>
      </c>
      <c r="CV120" s="43" t="str">
        <f t="shared" si="64"/>
        <v>février 2023</v>
      </c>
      <c r="CW120" s="43" t="str">
        <f t="shared" si="64"/>
        <v>mars 2023</v>
      </c>
      <c r="CX120" s="43" t="str">
        <f t="shared" si="64"/>
        <v>avril 2023</v>
      </c>
      <c r="CY120" s="43" t="str">
        <f t="shared" si="64"/>
        <v>mai 2023</v>
      </c>
      <c r="CZ120" s="43" t="str">
        <f t="shared" si="64"/>
        <v>juin 2023</v>
      </c>
      <c r="DA120" s="43" t="str">
        <f t="shared" si="64"/>
        <v>juillet 2023</v>
      </c>
      <c r="DB120" s="43" t="str">
        <f t="shared" si="64"/>
        <v>août 2023</v>
      </c>
      <c r="DC120" s="43" t="str">
        <f t="shared" si="64"/>
        <v>septembre 2023</v>
      </c>
      <c r="DD120" s="43" t="str">
        <f t="shared" si="64"/>
        <v>octobre 2023</v>
      </c>
      <c r="DE120" s="43" t="str">
        <f t="shared" si="64"/>
        <v>novembre 2023</v>
      </c>
      <c r="DF120" s="43" t="str">
        <f t="shared" si="64"/>
        <v>décembre 2023</v>
      </c>
      <c r="DG120" s="36"/>
      <c r="DH120" s="36"/>
    </row>
    <row r="121" spans="1:152" x14ac:dyDescent="0.2">
      <c r="C121" s="47">
        <f>C118</f>
        <v>1.5325</v>
      </c>
      <c r="D121" s="47">
        <f t="shared" ref="D121:BO121" si="65">D118</f>
        <v>3.0575000000000001</v>
      </c>
      <c r="E121" s="47">
        <f t="shared" si="65"/>
        <v>0.12250000000000001</v>
      </c>
      <c r="F121" s="47">
        <f t="shared" si="65"/>
        <v>1.0225</v>
      </c>
      <c r="G121" s="47">
        <f t="shared" si="65"/>
        <v>2.1425000000000001</v>
      </c>
      <c r="H121" s="47">
        <f t="shared" si="65"/>
        <v>0.32250000000000001</v>
      </c>
      <c r="I121" s="47">
        <f t="shared" si="65"/>
        <v>0.76250000000000007</v>
      </c>
      <c r="J121" s="47">
        <f t="shared" si="65"/>
        <v>0.12250000000000001</v>
      </c>
      <c r="K121" s="47">
        <f t="shared" si="65"/>
        <v>0.40749999999999997</v>
      </c>
      <c r="L121" s="47">
        <f t="shared" si="65"/>
        <v>0.6</v>
      </c>
      <c r="M121" s="47">
        <f t="shared" si="65"/>
        <v>1.1074999999999999</v>
      </c>
      <c r="N121" s="47">
        <f t="shared" si="65"/>
        <v>2.3125</v>
      </c>
      <c r="O121" s="47">
        <f t="shared" si="65"/>
        <v>0.39200000000000002</v>
      </c>
      <c r="P121" s="47">
        <f t="shared" si="65"/>
        <v>1.5760000000000001</v>
      </c>
      <c r="Q121" s="47">
        <f t="shared" si="65"/>
        <v>0.58250000000000002</v>
      </c>
      <c r="R121" s="47">
        <f t="shared" si="65"/>
        <v>6.4225000000000003</v>
      </c>
      <c r="S121" s="47">
        <f t="shared" si="65"/>
        <v>1.623</v>
      </c>
      <c r="T121" s="47">
        <f t="shared" si="65"/>
        <v>1.7090000000000001</v>
      </c>
      <c r="U121" s="47">
        <f t="shared" si="65"/>
        <v>0.52700000000000002</v>
      </c>
      <c r="V121" s="47">
        <f t="shared" si="65"/>
        <v>7.1244999999999994</v>
      </c>
      <c r="W121" s="47">
        <f t="shared" si="65"/>
        <v>1.4950000000000001</v>
      </c>
      <c r="X121" s="47">
        <f t="shared" si="65"/>
        <v>1.8775000000000002</v>
      </c>
      <c r="Y121" s="47">
        <f t="shared" si="65"/>
        <v>0.97</v>
      </c>
      <c r="Z121" s="47">
        <f t="shared" si="65"/>
        <v>1.6850000000000001</v>
      </c>
      <c r="AA121" s="47">
        <f t="shared" si="65"/>
        <v>2.0655000000000001</v>
      </c>
      <c r="AB121" s="47">
        <f t="shared" si="65"/>
        <v>1.4610000000000001</v>
      </c>
      <c r="AC121" s="47">
        <f t="shared" si="65"/>
        <v>0.5535000000000001</v>
      </c>
      <c r="AD121" s="47">
        <f t="shared" si="65"/>
        <v>4.8475000000000001</v>
      </c>
      <c r="AE121" s="47">
        <f t="shared" si="65"/>
        <v>0.77750000000000008</v>
      </c>
      <c r="AF121" s="47">
        <f t="shared" si="65"/>
        <v>0.38700000000000001</v>
      </c>
      <c r="AG121" s="47">
        <f t="shared" si="65"/>
        <v>2.4055000000000004</v>
      </c>
      <c r="AH121" s="47">
        <f t="shared" si="65"/>
        <v>0.38250000000000001</v>
      </c>
      <c r="AI121" s="47">
        <f t="shared" si="65"/>
        <v>0.2</v>
      </c>
      <c r="AJ121" s="47">
        <f t="shared" si="65"/>
        <v>0</v>
      </c>
      <c r="AK121" s="47">
        <f t="shared" si="65"/>
        <v>2.2500000000000003E-2</v>
      </c>
      <c r="AL121" s="47">
        <f t="shared" si="65"/>
        <v>0</v>
      </c>
      <c r="AM121" s="47">
        <f t="shared" si="65"/>
        <v>0.127</v>
      </c>
      <c r="AN121" s="47">
        <f t="shared" si="65"/>
        <v>0</v>
      </c>
      <c r="AO121" s="47">
        <f t="shared" si="65"/>
        <v>0</v>
      </c>
      <c r="AP121" s="47">
        <f t="shared" si="65"/>
        <v>0.23250000000000004</v>
      </c>
      <c r="AQ121" s="47">
        <f t="shared" si="65"/>
        <v>2.0000000000000004E-2</v>
      </c>
      <c r="AR121" s="47">
        <f t="shared" si="65"/>
        <v>2.1499999999999998E-2</v>
      </c>
      <c r="AS121" s="47">
        <f t="shared" si="65"/>
        <v>0.93</v>
      </c>
      <c r="AT121" s="47">
        <f t="shared" si="65"/>
        <v>0.13</v>
      </c>
      <c r="AU121" s="47">
        <f t="shared" si="65"/>
        <v>0</v>
      </c>
      <c r="AV121" s="47">
        <f t="shared" si="65"/>
        <v>0</v>
      </c>
      <c r="AW121" s="47">
        <f t="shared" si="65"/>
        <v>0.39</v>
      </c>
      <c r="AX121" s="47">
        <f t="shared" si="65"/>
        <v>0</v>
      </c>
      <c r="AY121" s="47">
        <f t="shared" si="65"/>
        <v>0</v>
      </c>
      <c r="AZ121" s="47">
        <f t="shared" si="65"/>
        <v>0.26</v>
      </c>
      <c r="BA121" s="47">
        <f t="shared" si="65"/>
        <v>0</v>
      </c>
      <c r="BB121" s="47">
        <f t="shared" si="65"/>
        <v>0</v>
      </c>
      <c r="BC121" s="47">
        <f t="shared" si="65"/>
        <v>0</v>
      </c>
      <c r="BD121" s="47">
        <f t="shared" si="65"/>
        <v>0</v>
      </c>
      <c r="BE121" s="47">
        <f t="shared" si="65"/>
        <v>0</v>
      </c>
      <c r="BF121" s="47">
        <f t="shared" si="65"/>
        <v>0</v>
      </c>
      <c r="BG121" s="47">
        <f t="shared" si="65"/>
        <v>0.52</v>
      </c>
      <c r="BH121" s="47">
        <f t="shared" si="65"/>
        <v>0</v>
      </c>
      <c r="BI121" s="47">
        <f t="shared" si="65"/>
        <v>0.52</v>
      </c>
      <c r="BJ121" s="47">
        <f t="shared" si="65"/>
        <v>0</v>
      </c>
      <c r="BK121" s="47">
        <f t="shared" si="65"/>
        <v>0</v>
      </c>
      <c r="BL121" s="47">
        <f t="shared" si="65"/>
        <v>0</v>
      </c>
      <c r="BM121" s="47">
        <f t="shared" si="65"/>
        <v>0</v>
      </c>
      <c r="BN121" s="47">
        <f t="shared" si="65"/>
        <v>0.52</v>
      </c>
      <c r="BO121" s="47">
        <f t="shared" si="65"/>
        <v>0</v>
      </c>
      <c r="BP121" s="47">
        <f t="shared" ref="BP121:DF121" si="66">BP118</f>
        <v>0</v>
      </c>
      <c r="BQ121" s="47">
        <f t="shared" si="66"/>
        <v>0.26</v>
      </c>
      <c r="BR121" s="47">
        <f t="shared" si="66"/>
        <v>0</v>
      </c>
      <c r="BS121" s="47">
        <f t="shared" si="66"/>
        <v>0</v>
      </c>
      <c r="BT121" s="47">
        <f t="shared" si="66"/>
        <v>0</v>
      </c>
      <c r="BU121" s="47">
        <f t="shared" si="66"/>
        <v>0</v>
      </c>
      <c r="BV121" s="47">
        <f t="shared" si="66"/>
        <v>0</v>
      </c>
      <c r="BW121" s="47">
        <f t="shared" si="66"/>
        <v>0</v>
      </c>
      <c r="BX121" s="47">
        <f t="shared" si="66"/>
        <v>0</v>
      </c>
      <c r="BY121" s="47">
        <f t="shared" si="66"/>
        <v>0</v>
      </c>
      <c r="BZ121" s="47">
        <f t="shared" si="66"/>
        <v>0</v>
      </c>
      <c r="CA121" s="47">
        <f t="shared" si="66"/>
        <v>0</v>
      </c>
      <c r="CB121" s="47">
        <f t="shared" si="66"/>
        <v>0</v>
      </c>
      <c r="CC121" s="47">
        <f t="shared" si="66"/>
        <v>0.13</v>
      </c>
      <c r="CD121" s="47">
        <f t="shared" si="66"/>
        <v>0</v>
      </c>
      <c r="CE121" s="47">
        <f t="shared" si="66"/>
        <v>0</v>
      </c>
      <c r="CF121" s="47">
        <f t="shared" si="66"/>
        <v>0</v>
      </c>
      <c r="CG121" s="47">
        <f t="shared" si="66"/>
        <v>0</v>
      </c>
      <c r="CH121" s="47">
        <f t="shared" si="66"/>
        <v>0</v>
      </c>
      <c r="CI121" s="47">
        <f t="shared" si="66"/>
        <v>0</v>
      </c>
      <c r="CJ121" s="47">
        <f t="shared" si="66"/>
        <v>0</v>
      </c>
      <c r="CK121" s="47">
        <f t="shared" si="66"/>
        <v>0</v>
      </c>
      <c r="CL121" s="47">
        <f t="shared" si="66"/>
        <v>0</v>
      </c>
      <c r="CM121" s="47">
        <f t="shared" si="66"/>
        <v>0</v>
      </c>
      <c r="CN121" s="47">
        <f t="shared" si="66"/>
        <v>0</v>
      </c>
      <c r="CO121" s="47">
        <f t="shared" si="66"/>
        <v>0</v>
      </c>
      <c r="CP121" s="47">
        <f t="shared" si="66"/>
        <v>0</v>
      </c>
      <c r="CQ121" s="47">
        <f t="shared" si="66"/>
        <v>0</v>
      </c>
      <c r="CR121" s="47">
        <f t="shared" si="66"/>
        <v>0</v>
      </c>
      <c r="CS121" s="47">
        <f t="shared" si="66"/>
        <v>0</v>
      </c>
      <c r="CT121" s="47">
        <f t="shared" si="66"/>
        <v>0</v>
      </c>
      <c r="CU121" s="47">
        <f t="shared" si="66"/>
        <v>0</v>
      </c>
      <c r="CV121" s="47">
        <f t="shared" si="66"/>
        <v>0</v>
      </c>
      <c r="CW121" s="47">
        <f t="shared" si="66"/>
        <v>0</v>
      </c>
      <c r="CX121" s="47">
        <f t="shared" si="66"/>
        <v>0</v>
      </c>
      <c r="CY121" s="47">
        <f t="shared" si="66"/>
        <v>0</v>
      </c>
      <c r="CZ121" s="47">
        <f t="shared" si="66"/>
        <v>0</v>
      </c>
      <c r="DA121" s="47">
        <f t="shared" si="66"/>
        <v>0</v>
      </c>
      <c r="DB121" s="47">
        <f t="shared" si="66"/>
        <v>0</v>
      </c>
      <c r="DC121" s="47">
        <f t="shared" si="66"/>
        <v>0</v>
      </c>
      <c r="DD121" s="47">
        <f t="shared" si="66"/>
        <v>0</v>
      </c>
      <c r="DE121" s="47">
        <f t="shared" si="66"/>
        <v>0</v>
      </c>
      <c r="DF121" s="47">
        <f t="shared" si="66"/>
        <v>0</v>
      </c>
    </row>
    <row r="122" spans="1:152" x14ac:dyDescent="0.2">
      <c r="B122" s="1030" t="s">
        <v>1415</v>
      </c>
      <c r="C122" s="47">
        <f>C111</f>
        <v>0</v>
      </c>
      <c r="D122" s="47">
        <f t="shared" ref="D122:BO122" si="67">D111</f>
        <v>0</v>
      </c>
      <c r="E122" s="47">
        <f t="shared" si="67"/>
        <v>0</v>
      </c>
      <c r="F122" s="47">
        <f t="shared" si="67"/>
        <v>0.9</v>
      </c>
      <c r="G122" s="47">
        <f t="shared" si="67"/>
        <v>0</v>
      </c>
      <c r="H122" s="47">
        <f t="shared" si="67"/>
        <v>0</v>
      </c>
      <c r="I122" s="47">
        <f t="shared" si="67"/>
        <v>0.45</v>
      </c>
      <c r="J122" s="47">
        <f t="shared" si="67"/>
        <v>0</v>
      </c>
      <c r="K122" s="47">
        <f t="shared" si="67"/>
        <v>0</v>
      </c>
      <c r="L122" s="47">
        <f t="shared" si="67"/>
        <v>0</v>
      </c>
      <c r="M122" s="47">
        <f t="shared" si="67"/>
        <v>0</v>
      </c>
      <c r="N122" s="47">
        <f t="shared" si="67"/>
        <v>1.8</v>
      </c>
      <c r="O122" s="47">
        <f t="shared" si="67"/>
        <v>0</v>
      </c>
      <c r="P122" s="47">
        <f t="shared" si="67"/>
        <v>0</v>
      </c>
      <c r="Q122" s="47">
        <f t="shared" si="67"/>
        <v>0</v>
      </c>
      <c r="R122" s="47">
        <f t="shared" si="67"/>
        <v>2.25</v>
      </c>
      <c r="S122" s="47">
        <f t="shared" si="67"/>
        <v>0</v>
      </c>
      <c r="T122" s="47">
        <f t="shared" si="67"/>
        <v>0</v>
      </c>
      <c r="U122" s="47">
        <f t="shared" si="67"/>
        <v>0</v>
      </c>
      <c r="V122" s="47">
        <f t="shared" si="67"/>
        <v>2.6999999999999997</v>
      </c>
      <c r="W122" s="47">
        <f t="shared" si="67"/>
        <v>0</v>
      </c>
      <c r="X122" s="47">
        <f t="shared" si="67"/>
        <v>0</v>
      </c>
      <c r="Y122" s="47">
        <f t="shared" si="67"/>
        <v>0</v>
      </c>
      <c r="Z122" s="47">
        <f t="shared" si="67"/>
        <v>0</v>
      </c>
      <c r="AA122" s="47">
        <f t="shared" si="67"/>
        <v>0.9</v>
      </c>
      <c r="AB122" s="47">
        <f t="shared" si="67"/>
        <v>0</v>
      </c>
      <c r="AC122" s="47">
        <f t="shared" si="67"/>
        <v>0</v>
      </c>
      <c r="AD122" s="47">
        <f t="shared" si="67"/>
        <v>0</v>
      </c>
      <c r="AE122" s="47">
        <f t="shared" si="67"/>
        <v>0</v>
      </c>
      <c r="AF122" s="47">
        <f t="shared" si="67"/>
        <v>0</v>
      </c>
      <c r="AG122" s="47">
        <f t="shared" si="67"/>
        <v>0</v>
      </c>
      <c r="AH122" s="47">
        <f t="shared" si="67"/>
        <v>0</v>
      </c>
      <c r="AI122" s="47">
        <f t="shared" si="67"/>
        <v>0</v>
      </c>
      <c r="AJ122" s="47">
        <f t="shared" si="67"/>
        <v>0</v>
      </c>
      <c r="AK122" s="47">
        <f t="shared" si="67"/>
        <v>0</v>
      </c>
      <c r="AL122" s="47">
        <f t="shared" si="67"/>
        <v>0</v>
      </c>
      <c r="AM122" s="47">
        <f t="shared" si="67"/>
        <v>0</v>
      </c>
      <c r="AN122" s="47">
        <f t="shared" si="67"/>
        <v>0</v>
      </c>
      <c r="AO122" s="47">
        <f t="shared" si="67"/>
        <v>0</v>
      </c>
      <c r="AP122" s="47">
        <f t="shared" si="67"/>
        <v>0</v>
      </c>
      <c r="AQ122" s="47">
        <f t="shared" si="67"/>
        <v>0</v>
      </c>
      <c r="AR122" s="47">
        <f t="shared" si="67"/>
        <v>0</v>
      </c>
      <c r="AS122" s="47">
        <f t="shared" si="67"/>
        <v>0</v>
      </c>
      <c r="AT122" s="47">
        <f t="shared" si="67"/>
        <v>0</v>
      </c>
      <c r="AU122" s="47">
        <f t="shared" si="67"/>
        <v>0</v>
      </c>
      <c r="AV122" s="47">
        <f t="shared" si="67"/>
        <v>0</v>
      </c>
      <c r="AW122" s="47">
        <f t="shared" si="67"/>
        <v>0</v>
      </c>
      <c r="AX122" s="47">
        <f t="shared" si="67"/>
        <v>0</v>
      </c>
      <c r="AY122" s="47">
        <f t="shared" si="67"/>
        <v>0</v>
      </c>
      <c r="AZ122" s="47">
        <f t="shared" si="67"/>
        <v>0</v>
      </c>
      <c r="BA122" s="47">
        <f t="shared" si="67"/>
        <v>0</v>
      </c>
      <c r="BB122" s="47">
        <f t="shared" si="67"/>
        <v>0</v>
      </c>
      <c r="BC122" s="47">
        <f t="shared" si="67"/>
        <v>0</v>
      </c>
      <c r="BD122" s="47">
        <f t="shared" si="67"/>
        <v>0</v>
      </c>
      <c r="BE122" s="47">
        <f t="shared" si="67"/>
        <v>0</v>
      </c>
      <c r="BF122" s="47">
        <f t="shared" si="67"/>
        <v>0</v>
      </c>
      <c r="BG122" s="47">
        <f t="shared" si="67"/>
        <v>0</v>
      </c>
      <c r="BH122" s="47">
        <f t="shared" si="67"/>
        <v>0</v>
      </c>
      <c r="BI122" s="47">
        <f t="shared" si="67"/>
        <v>0</v>
      </c>
      <c r="BJ122" s="47">
        <f t="shared" si="67"/>
        <v>0</v>
      </c>
      <c r="BK122" s="47">
        <f t="shared" si="67"/>
        <v>0</v>
      </c>
      <c r="BL122" s="47">
        <f t="shared" si="67"/>
        <v>0</v>
      </c>
      <c r="BM122" s="47">
        <f t="shared" si="67"/>
        <v>0</v>
      </c>
      <c r="BN122" s="47">
        <f t="shared" si="67"/>
        <v>0</v>
      </c>
      <c r="BO122" s="47">
        <f t="shared" si="67"/>
        <v>0</v>
      </c>
      <c r="BP122" s="47">
        <f t="shared" ref="BP122:DF122" si="68">BP111</f>
        <v>0</v>
      </c>
      <c r="BQ122" s="47">
        <f t="shared" si="68"/>
        <v>0</v>
      </c>
      <c r="BR122" s="47">
        <f t="shared" si="68"/>
        <v>0</v>
      </c>
      <c r="BS122" s="47">
        <f t="shared" si="68"/>
        <v>0</v>
      </c>
      <c r="BT122" s="47">
        <f t="shared" si="68"/>
        <v>0</v>
      </c>
      <c r="BU122" s="47">
        <f t="shared" si="68"/>
        <v>0</v>
      </c>
      <c r="BV122" s="47">
        <f t="shared" si="68"/>
        <v>0</v>
      </c>
      <c r="BW122" s="47">
        <f t="shared" si="68"/>
        <v>0</v>
      </c>
      <c r="BX122" s="47">
        <f t="shared" si="68"/>
        <v>0</v>
      </c>
      <c r="BY122" s="47">
        <f t="shared" si="68"/>
        <v>0</v>
      </c>
      <c r="BZ122" s="47">
        <f t="shared" si="68"/>
        <v>0</v>
      </c>
      <c r="CA122" s="47">
        <f t="shared" si="68"/>
        <v>0</v>
      </c>
      <c r="CB122" s="47">
        <f t="shared" si="68"/>
        <v>0</v>
      </c>
      <c r="CC122" s="47">
        <f t="shared" si="68"/>
        <v>0</v>
      </c>
      <c r="CD122" s="47">
        <f t="shared" si="68"/>
        <v>0</v>
      </c>
      <c r="CE122" s="47">
        <f t="shared" si="68"/>
        <v>0</v>
      </c>
      <c r="CF122" s="47">
        <f t="shared" si="68"/>
        <v>0</v>
      </c>
      <c r="CG122" s="47">
        <f t="shared" si="68"/>
        <v>0</v>
      </c>
      <c r="CH122" s="47">
        <f t="shared" si="68"/>
        <v>0</v>
      </c>
      <c r="CI122" s="47">
        <f t="shared" si="68"/>
        <v>0</v>
      </c>
      <c r="CJ122" s="47">
        <f t="shared" si="68"/>
        <v>0</v>
      </c>
      <c r="CK122" s="47">
        <f t="shared" si="68"/>
        <v>0</v>
      </c>
      <c r="CL122" s="47">
        <f t="shared" si="68"/>
        <v>0</v>
      </c>
      <c r="CM122" s="47">
        <f t="shared" si="68"/>
        <v>0</v>
      </c>
      <c r="CN122" s="47">
        <f t="shared" si="68"/>
        <v>0</v>
      </c>
      <c r="CO122" s="47">
        <f t="shared" si="68"/>
        <v>0</v>
      </c>
      <c r="CP122" s="47">
        <f t="shared" si="68"/>
        <v>0</v>
      </c>
      <c r="CQ122" s="47">
        <f t="shared" si="68"/>
        <v>0</v>
      </c>
      <c r="CR122" s="47">
        <f t="shared" si="68"/>
        <v>0</v>
      </c>
      <c r="CS122" s="47">
        <f t="shared" si="68"/>
        <v>0</v>
      </c>
      <c r="CT122" s="47">
        <f t="shared" si="68"/>
        <v>0</v>
      </c>
      <c r="CU122" s="47">
        <f t="shared" si="68"/>
        <v>0</v>
      </c>
      <c r="CV122" s="47">
        <f t="shared" si="68"/>
        <v>0</v>
      </c>
      <c r="CW122" s="47">
        <f t="shared" si="68"/>
        <v>0</v>
      </c>
      <c r="CX122" s="47">
        <f t="shared" si="68"/>
        <v>0</v>
      </c>
      <c r="CY122" s="47">
        <f t="shared" si="68"/>
        <v>0</v>
      </c>
      <c r="CZ122" s="47">
        <f t="shared" si="68"/>
        <v>0</v>
      </c>
      <c r="DA122" s="47">
        <f t="shared" si="68"/>
        <v>0</v>
      </c>
      <c r="DB122" s="47">
        <f t="shared" si="68"/>
        <v>0</v>
      </c>
      <c r="DC122" s="47">
        <f t="shared" si="68"/>
        <v>0</v>
      </c>
      <c r="DD122" s="47">
        <f t="shared" si="68"/>
        <v>0</v>
      </c>
      <c r="DE122" s="47">
        <f t="shared" si="68"/>
        <v>0</v>
      </c>
      <c r="DF122" s="47">
        <f t="shared" si="68"/>
        <v>0</v>
      </c>
    </row>
    <row r="124" spans="1:152" x14ac:dyDescent="0.2">
      <c r="C124" s="968">
        <v>1</v>
      </c>
      <c r="D124" s="968">
        <v>2</v>
      </c>
      <c r="E124" s="968">
        <v>3</v>
      </c>
      <c r="F124" s="968">
        <v>4</v>
      </c>
      <c r="G124" s="968">
        <v>5</v>
      </c>
      <c r="H124" s="968">
        <v>6</v>
      </c>
      <c r="I124" s="968">
        <v>7</v>
      </c>
      <c r="J124" s="968">
        <v>8</v>
      </c>
      <c r="K124" s="968">
        <v>9</v>
      </c>
      <c r="L124" s="968">
        <v>10</v>
      </c>
      <c r="M124" s="968">
        <v>11</v>
      </c>
      <c r="N124" s="968">
        <v>12</v>
      </c>
      <c r="O124" s="968">
        <v>13</v>
      </c>
      <c r="P124" s="968">
        <v>14</v>
      </c>
      <c r="Q124" s="968">
        <v>15</v>
      </c>
      <c r="R124" s="968">
        <v>16</v>
      </c>
      <c r="S124" s="968">
        <v>17</v>
      </c>
      <c r="T124" s="968">
        <v>18</v>
      </c>
      <c r="U124" s="968">
        <v>19</v>
      </c>
      <c r="V124" s="968">
        <v>20</v>
      </c>
      <c r="W124" s="968">
        <v>21</v>
      </c>
      <c r="X124" s="968">
        <v>22</v>
      </c>
      <c r="Y124" s="968">
        <v>23</v>
      </c>
      <c r="Z124" s="968">
        <v>24</v>
      </c>
      <c r="AA124" s="968">
        <v>25</v>
      </c>
      <c r="AB124" s="968">
        <v>26</v>
      </c>
      <c r="AC124" s="968">
        <v>27</v>
      </c>
      <c r="AD124" s="968">
        <v>28</v>
      </c>
      <c r="AE124" s="968">
        <v>29</v>
      </c>
      <c r="AF124" s="968">
        <v>30</v>
      </c>
      <c r="AG124" s="968">
        <v>31</v>
      </c>
      <c r="AH124" s="968">
        <v>32</v>
      </c>
      <c r="AI124" s="968">
        <v>33</v>
      </c>
      <c r="AJ124" s="968">
        <v>34</v>
      </c>
      <c r="AK124" s="968">
        <v>35</v>
      </c>
      <c r="AL124" s="968">
        <v>36</v>
      </c>
      <c r="AM124" s="968">
        <v>37</v>
      </c>
      <c r="AN124" s="968">
        <v>38</v>
      </c>
      <c r="AO124" s="968">
        <v>39</v>
      </c>
      <c r="AP124" s="968">
        <v>40</v>
      </c>
      <c r="AQ124" s="968">
        <v>41</v>
      </c>
      <c r="AR124" s="968">
        <v>42</v>
      </c>
      <c r="AS124" s="968">
        <v>43</v>
      </c>
      <c r="AT124" s="968">
        <v>44</v>
      </c>
      <c r="AU124" s="968">
        <v>45</v>
      </c>
      <c r="AV124" s="968">
        <v>46</v>
      </c>
      <c r="AW124" s="968">
        <v>47</v>
      </c>
      <c r="AX124" s="968">
        <v>48</v>
      </c>
      <c r="AY124" s="968">
        <v>49</v>
      </c>
      <c r="AZ124" s="968">
        <v>50</v>
      </c>
      <c r="BA124" s="968">
        <v>51</v>
      </c>
      <c r="BB124" s="968">
        <v>52</v>
      </c>
      <c r="BC124" s="968">
        <v>53</v>
      </c>
      <c r="BD124" s="968">
        <v>54</v>
      </c>
      <c r="BE124" s="968">
        <v>55</v>
      </c>
      <c r="BF124" s="968">
        <v>56</v>
      </c>
      <c r="BG124" s="968">
        <v>57</v>
      </c>
      <c r="BH124" s="968">
        <v>58</v>
      </c>
      <c r="BI124" s="968">
        <v>59</v>
      </c>
      <c r="BJ124" s="968">
        <v>60</v>
      </c>
      <c r="BK124" s="968">
        <v>61</v>
      </c>
      <c r="BL124" s="968">
        <v>62</v>
      </c>
      <c r="BM124" s="968">
        <v>63</v>
      </c>
      <c r="BN124" s="968">
        <v>64</v>
      </c>
      <c r="BO124" s="968">
        <v>65</v>
      </c>
      <c r="BP124" s="968">
        <v>66</v>
      </c>
      <c r="BQ124" s="968">
        <v>67</v>
      </c>
      <c r="BR124" s="968">
        <v>68</v>
      </c>
      <c r="BS124" s="968">
        <v>69</v>
      </c>
      <c r="BT124" s="968">
        <v>70</v>
      </c>
      <c r="BU124" s="968">
        <v>71</v>
      </c>
      <c r="BV124" s="968">
        <v>72</v>
      </c>
      <c r="BW124" s="968">
        <v>73</v>
      </c>
      <c r="BX124" s="968">
        <v>74</v>
      </c>
      <c r="BY124" s="968">
        <v>75</v>
      </c>
      <c r="BZ124" s="968">
        <v>76</v>
      </c>
      <c r="CA124" s="968">
        <v>77</v>
      </c>
      <c r="CB124" s="968">
        <v>78</v>
      </c>
      <c r="CC124" s="968">
        <v>79</v>
      </c>
      <c r="CD124" s="968">
        <v>80</v>
      </c>
      <c r="CE124" s="968">
        <v>81</v>
      </c>
      <c r="CF124" s="968">
        <v>82</v>
      </c>
      <c r="CG124" s="968">
        <v>83</v>
      </c>
      <c r="CH124" s="968">
        <v>84</v>
      </c>
      <c r="CI124" s="968">
        <v>85</v>
      </c>
      <c r="CJ124" s="968">
        <v>86</v>
      </c>
      <c r="CK124" s="968">
        <v>87</v>
      </c>
      <c r="CL124" s="968">
        <v>88</v>
      </c>
      <c r="CM124" s="968">
        <v>89</v>
      </c>
      <c r="CN124" s="968">
        <v>90</v>
      </c>
      <c r="CO124" s="968">
        <v>91</v>
      </c>
      <c r="CP124" s="968">
        <v>92</v>
      </c>
      <c r="CQ124" s="968">
        <v>93</v>
      </c>
      <c r="CR124" s="968">
        <v>94</v>
      </c>
      <c r="CS124" s="968">
        <v>95</v>
      </c>
      <c r="CT124" s="968">
        <v>96</v>
      </c>
      <c r="CU124" s="968">
        <v>97</v>
      </c>
      <c r="CV124" s="968">
        <v>98</v>
      </c>
      <c r="CW124" s="968">
        <v>99</v>
      </c>
      <c r="CX124" s="968">
        <v>100</v>
      </c>
      <c r="CY124" s="968">
        <v>101</v>
      </c>
      <c r="CZ124" s="968">
        <v>102</v>
      </c>
      <c r="DA124" s="968">
        <v>103</v>
      </c>
      <c r="DB124" s="968">
        <v>104</v>
      </c>
      <c r="DC124" s="968">
        <v>105</v>
      </c>
      <c r="DD124" s="968">
        <v>106</v>
      </c>
      <c r="DE124" s="968">
        <v>107</v>
      </c>
      <c r="DF124" s="968">
        <v>108</v>
      </c>
      <c r="DG124" s="968">
        <v>109</v>
      </c>
      <c r="DH124" s="968">
        <v>110</v>
      </c>
      <c r="DI124" s="968">
        <v>111</v>
      </c>
      <c r="DJ124" s="968">
        <v>112</v>
      </c>
      <c r="DK124" s="968">
        <v>113</v>
      </c>
      <c r="DL124" s="968">
        <v>114</v>
      </c>
      <c r="DM124" s="968">
        <v>115</v>
      </c>
      <c r="DN124" s="968">
        <v>116</v>
      </c>
      <c r="DO124" s="968">
        <v>117</v>
      </c>
      <c r="DP124" s="968">
        <v>118</v>
      </c>
      <c r="DQ124" s="968">
        <v>119</v>
      </c>
      <c r="DR124" s="968">
        <v>120</v>
      </c>
      <c r="DS124" s="968">
        <v>121</v>
      </c>
      <c r="DT124" s="968">
        <v>122</v>
      </c>
      <c r="DU124" s="968">
        <v>123</v>
      </c>
      <c r="DV124" s="968">
        <v>124</v>
      </c>
      <c r="DW124" s="968">
        <v>125</v>
      </c>
      <c r="DX124" s="968">
        <v>126</v>
      </c>
      <c r="DY124" s="968">
        <v>127</v>
      </c>
      <c r="DZ124" s="968">
        <v>128</v>
      </c>
      <c r="EA124" s="968">
        <v>129</v>
      </c>
      <c r="EB124" s="968">
        <v>130</v>
      </c>
      <c r="EC124" s="968">
        <v>131</v>
      </c>
      <c r="ED124" s="968">
        <v>132</v>
      </c>
      <c r="EE124" s="968">
        <v>133</v>
      </c>
      <c r="EF124" s="968">
        <v>134</v>
      </c>
      <c r="EG124" s="968">
        <v>135</v>
      </c>
      <c r="EH124" s="968">
        <v>136</v>
      </c>
      <c r="EI124" s="968">
        <v>137</v>
      </c>
      <c r="EJ124" s="968">
        <v>138</v>
      </c>
      <c r="EK124" s="968">
        <v>139</v>
      </c>
      <c r="EL124" s="968">
        <v>140</v>
      </c>
      <c r="EM124" s="968">
        <v>141</v>
      </c>
      <c r="EN124" s="968">
        <v>142</v>
      </c>
      <c r="EO124" s="968">
        <v>143</v>
      </c>
      <c r="EP124" s="968">
        <v>144</v>
      </c>
      <c r="EQ124" s="968">
        <v>145</v>
      </c>
      <c r="ER124" s="968">
        <v>146</v>
      </c>
      <c r="ES124" s="968">
        <v>147</v>
      </c>
      <c r="ET124" s="968">
        <v>148</v>
      </c>
      <c r="EU124" s="968">
        <v>149</v>
      </c>
      <c r="EV124" s="968">
        <v>150</v>
      </c>
    </row>
    <row r="125" spans="1:152" x14ac:dyDescent="0.2">
      <c r="C125" s="1021" t="s">
        <v>1313</v>
      </c>
      <c r="D125" s="1021" t="s">
        <v>1314</v>
      </c>
      <c r="E125" s="1021" t="s">
        <v>1315</v>
      </c>
      <c r="F125" s="1021" t="s">
        <v>1316</v>
      </c>
      <c r="G125" s="1021" t="s">
        <v>1317</v>
      </c>
      <c r="H125" s="1021" t="s">
        <v>1318</v>
      </c>
      <c r="I125" s="1021" t="s">
        <v>1319</v>
      </c>
      <c r="J125" s="1021" t="s">
        <v>1320</v>
      </c>
      <c r="K125" s="1021" t="s">
        <v>1321</v>
      </c>
      <c r="L125" s="1021" t="s">
        <v>1322</v>
      </c>
      <c r="M125" s="1021" t="s">
        <v>1323</v>
      </c>
      <c r="N125" s="1021" t="s">
        <v>1324</v>
      </c>
      <c r="O125" s="1021" t="s">
        <v>1313</v>
      </c>
      <c r="P125" s="1021" t="s">
        <v>1314</v>
      </c>
      <c r="Q125" s="1021" t="s">
        <v>1315</v>
      </c>
      <c r="R125" s="1021" t="s">
        <v>1316</v>
      </c>
      <c r="S125" s="1021" t="s">
        <v>1317</v>
      </c>
      <c r="T125" s="1021" t="s">
        <v>1318</v>
      </c>
      <c r="U125" s="1021" t="s">
        <v>1319</v>
      </c>
      <c r="V125" s="1021" t="s">
        <v>1320</v>
      </c>
      <c r="W125" s="1021" t="s">
        <v>1321</v>
      </c>
      <c r="X125" s="1021" t="s">
        <v>1322</v>
      </c>
      <c r="Y125" s="1021" t="s">
        <v>1323</v>
      </c>
      <c r="Z125" s="1021" t="s">
        <v>1324</v>
      </c>
      <c r="AA125" s="1021" t="s">
        <v>1313</v>
      </c>
      <c r="AB125" s="1021" t="s">
        <v>1314</v>
      </c>
      <c r="AC125" s="1021" t="s">
        <v>1315</v>
      </c>
      <c r="AD125" s="1021" t="s">
        <v>1316</v>
      </c>
      <c r="AE125" s="1021" t="s">
        <v>1317</v>
      </c>
      <c r="AF125" s="1021" t="s">
        <v>1318</v>
      </c>
      <c r="AG125" s="1021" t="s">
        <v>1319</v>
      </c>
      <c r="AH125" s="1021" t="s">
        <v>1320</v>
      </c>
      <c r="AI125" s="1021" t="s">
        <v>1321</v>
      </c>
      <c r="AJ125" s="1021" t="s">
        <v>1322</v>
      </c>
      <c r="AK125" s="1021" t="s">
        <v>1323</v>
      </c>
      <c r="AL125" s="1021" t="s">
        <v>1324</v>
      </c>
      <c r="AM125" s="1021" t="s">
        <v>1313</v>
      </c>
      <c r="AN125" s="1021" t="s">
        <v>1314</v>
      </c>
      <c r="AO125" s="1021" t="s">
        <v>1315</v>
      </c>
      <c r="AP125" s="1021" t="s">
        <v>1316</v>
      </c>
      <c r="AQ125" s="1021" t="s">
        <v>1317</v>
      </c>
      <c r="AR125" s="1021" t="s">
        <v>1318</v>
      </c>
      <c r="AS125" s="1021" t="s">
        <v>1319</v>
      </c>
      <c r="AT125" s="1021" t="s">
        <v>1320</v>
      </c>
      <c r="AU125" s="1021" t="s">
        <v>1321</v>
      </c>
      <c r="AV125" s="1021" t="s">
        <v>1322</v>
      </c>
      <c r="AW125" s="1021" t="s">
        <v>1323</v>
      </c>
      <c r="AX125" s="1021" t="s">
        <v>1324</v>
      </c>
      <c r="AY125" s="1021" t="s">
        <v>1313</v>
      </c>
      <c r="AZ125" s="1021" t="s">
        <v>1314</v>
      </c>
      <c r="BA125" s="1021" t="s">
        <v>1315</v>
      </c>
      <c r="BB125" s="1021" t="s">
        <v>1316</v>
      </c>
      <c r="BC125" s="1021" t="s">
        <v>1317</v>
      </c>
      <c r="BD125" s="1021" t="s">
        <v>1318</v>
      </c>
      <c r="BE125" s="1021" t="s">
        <v>1319</v>
      </c>
      <c r="BF125" s="1021" t="s">
        <v>1320</v>
      </c>
      <c r="BG125" s="1021" t="s">
        <v>1321</v>
      </c>
      <c r="BH125" s="1021" t="s">
        <v>1322</v>
      </c>
      <c r="BI125" s="1021" t="s">
        <v>1323</v>
      </c>
      <c r="BJ125" s="1021" t="s">
        <v>1324</v>
      </c>
      <c r="BK125" s="1021" t="s">
        <v>1313</v>
      </c>
      <c r="BL125" s="1021" t="s">
        <v>1314</v>
      </c>
      <c r="BM125" s="1021" t="s">
        <v>1315</v>
      </c>
      <c r="BN125" s="1021" t="s">
        <v>1316</v>
      </c>
      <c r="BO125" s="1021" t="s">
        <v>1317</v>
      </c>
      <c r="BP125" s="1021" t="s">
        <v>1318</v>
      </c>
      <c r="BQ125" s="1021" t="s">
        <v>1319</v>
      </c>
      <c r="BR125" s="1021" t="s">
        <v>1320</v>
      </c>
      <c r="BS125" s="1021" t="s">
        <v>1321</v>
      </c>
      <c r="BT125" s="1021" t="s">
        <v>1322</v>
      </c>
      <c r="BU125" s="1021" t="s">
        <v>1323</v>
      </c>
      <c r="BV125" s="1021" t="s">
        <v>1324</v>
      </c>
      <c r="BW125" s="1021" t="s">
        <v>1313</v>
      </c>
      <c r="BX125" s="1021" t="s">
        <v>1314</v>
      </c>
      <c r="BY125" s="1021" t="s">
        <v>1315</v>
      </c>
      <c r="BZ125" s="1021" t="s">
        <v>1316</v>
      </c>
      <c r="CA125" s="1021" t="s">
        <v>1317</v>
      </c>
      <c r="CB125" s="1021" t="s">
        <v>1318</v>
      </c>
      <c r="CC125" s="1021" t="s">
        <v>1319</v>
      </c>
      <c r="CD125" s="1021" t="s">
        <v>1320</v>
      </c>
      <c r="CE125" s="1021" t="s">
        <v>1321</v>
      </c>
      <c r="CF125" s="1021" t="s">
        <v>1322</v>
      </c>
      <c r="CG125" s="1021" t="s">
        <v>1323</v>
      </c>
      <c r="CH125" s="1021" t="s">
        <v>1324</v>
      </c>
      <c r="CI125" s="1021" t="s">
        <v>1313</v>
      </c>
      <c r="CJ125" s="1021" t="s">
        <v>1314</v>
      </c>
      <c r="CK125" s="1021" t="s">
        <v>1315</v>
      </c>
      <c r="CL125" s="1021" t="s">
        <v>1316</v>
      </c>
      <c r="CM125" s="1021" t="s">
        <v>1317</v>
      </c>
      <c r="CN125" s="1021" t="s">
        <v>1318</v>
      </c>
      <c r="CO125" s="1021" t="s">
        <v>1319</v>
      </c>
      <c r="CP125" s="1021" t="s">
        <v>1320</v>
      </c>
      <c r="CQ125" s="1021" t="s">
        <v>1321</v>
      </c>
      <c r="CR125" s="1021" t="s">
        <v>1322</v>
      </c>
      <c r="CS125" s="1021" t="s">
        <v>1323</v>
      </c>
      <c r="CT125" s="1021" t="s">
        <v>1324</v>
      </c>
      <c r="CU125" s="1021" t="s">
        <v>1313</v>
      </c>
      <c r="CV125" s="1021" t="s">
        <v>1314</v>
      </c>
      <c r="CW125" s="1021" t="s">
        <v>1315</v>
      </c>
      <c r="CX125" s="1021" t="s">
        <v>1316</v>
      </c>
      <c r="CY125" s="1021" t="s">
        <v>1317</v>
      </c>
      <c r="CZ125" s="1021" t="s">
        <v>1318</v>
      </c>
      <c r="DA125" s="1021" t="s">
        <v>1319</v>
      </c>
      <c r="DB125" s="1021" t="s">
        <v>1320</v>
      </c>
      <c r="DC125" s="1021" t="s">
        <v>1321</v>
      </c>
      <c r="DD125" s="1021" t="s">
        <v>1322</v>
      </c>
      <c r="DE125" s="1021" t="s">
        <v>1323</v>
      </c>
      <c r="DF125" s="1021" t="s">
        <v>1324</v>
      </c>
      <c r="DG125" s="1021" t="s">
        <v>1313</v>
      </c>
      <c r="DH125" s="1021" t="s">
        <v>1314</v>
      </c>
      <c r="DI125" s="1021" t="s">
        <v>1315</v>
      </c>
      <c r="DJ125" s="1021" t="s">
        <v>1316</v>
      </c>
      <c r="DK125" s="1021" t="s">
        <v>1317</v>
      </c>
      <c r="DL125" s="1021" t="s">
        <v>1318</v>
      </c>
      <c r="DM125" s="1021" t="s">
        <v>1319</v>
      </c>
      <c r="DN125" s="1021" t="s">
        <v>1320</v>
      </c>
      <c r="DO125" s="1021" t="s">
        <v>1321</v>
      </c>
      <c r="DP125" s="1021" t="s">
        <v>1322</v>
      </c>
      <c r="DQ125" s="1021" t="s">
        <v>1323</v>
      </c>
      <c r="DR125" s="1021" t="s">
        <v>1324</v>
      </c>
      <c r="DS125" s="1021" t="s">
        <v>1313</v>
      </c>
      <c r="DT125" s="1021" t="s">
        <v>1314</v>
      </c>
      <c r="DU125" s="1021" t="s">
        <v>1315</v>
      </c>
      <c r="DV125" s="1021" t="s">
        <v>1316</v>
      </c>
      <c r="DW125" s="1021" t="s">
        <v>1317</v>
      </c>
      <c r="DX125" s="1021" t="s">
        <v>1318</v>
      </c>
      <c r="DY125" s="1021" t="s">
        <v>1319</v>
      </c>
      <c r="DZ125" s="1021" t="s">
        <v>1320</v>
      </c>
      <c r="EA125" s="1021" t="s">
        <v>1321</v>
      </c>
      <c r="EB125" s="1021" t="s">
        <v>1322</v>
      </c>
      <c r="EC125" s="1021" t="s">
        <v>1323</v>
      </c>
      <c r="ED125" s="1021" t="s">
        <v>1324</v>
      </c>
      <c r="EE125" s="1021" t="s">
        <v>1313</v>
      </c>
      <c r="EF125" s="1021" t="s">
        <v>1314</v>
      </c>
      <c r="EG125" s="1021" t="s">
        <v>1315</v>
      </c>
      <c r="EH125" s="1021" t="s">
        <v>1316</v>
      </c>
      <c r="EI125" s="1021" t="s">
        <v>1317</v>
      </c>
      <c r="EJ125" s="1021" t="s">
        <v>1318</v>
      </c>
      <c r="EK125" s="1021" t="s">
        <v>1319</v>
      </c>
      <c r="EL125" s="1021" t="s">
        <v>1320</v>
      </c>
      <c r="EM125" s="1021" t="s">
        <v>1321</v>
      </c>
      <c r="EN125" s="1021" t="s">
        <v>1322</v>
      </c>
      <c r="EO125" s="1021" t="s">
        <v>1323</v>
      </c>
      <c r="EP125" s="1021" t="s">
        <v>1324</v>
      </c>
      <c r="EQ125" s="1021" t="s">
        <v>1313</v>
      </c>
      <c r="ER125" s="1021" t="s">
        <v>1314</v>
      </c>
      <c r="ES125" s="1021" t="s">
        <v>1315</v>
      </c>
      <c r="ET125" s="1021" t="s">
        <v>1316</v>
      </c>
      <c r="EU125" s="1021" t="s">
        <v>1317</v>
      </c>
      <c r="EV125" s="1021" t="s">
        <v>1318</v>
      </c>
    </row>
    <row r="126" spans="1:152" x14ac:dyDescent="0.2">
      <c r="C126" s="968">
        <v>2014</v>
      </c>
      <c r="D126" s="968">
        <v>2014</v>
      </c>
      <c r="E126" s="968">
        <v>2014</v>
      </c>
      <c r="F126" s="968">
        <v>2014</v>
      </c>
      <c r="G126" s="968">
        <v>2014</v>
      </c>
      <c r="H126" s="968">
        <v>2014</v>
      </c>
      <c r="I126" s="968">
        <v>2014</v>
      </c>
      <c r="J126" s="968">
        <v>2014</v>
      </c>
      <c r="K126" s="968">
        <v>2014</v>
      </c>
      <c r="L126" s="968">
        <v>2014</v>
      </c>
      <c r="M126" s="968">
        <v>2014</v>
      </c>
      <c r="N126" s="968">
        <v>2014</v>
      </c>
      <c r="O126" s="968">
        <v>2015</v>
      </c>
      <c r="P126" s="968">
        <v>2015</v>
      </c>
      <c r="Q126" s="968">
        <v>2015</v>
      </c>
      <c r="R126" s="968">
        <v>2015</v>
      </c>
      <c r="S126" s="968">
        <v>2015</v>
      </c>
      <c r="T126" s="968">
        <v>2015</v>
      </c>
      <c r="U126" s="968">
        <v>2015</v>
      </c>
      <c r="V126" s="968">
        <v>2015</v>
      </c>
      <c r="W126" s="968">
        <v>2015</v>
      </c>
      <c r="X126" s="968">
        <v>2015</v>
      </c>
      <c r="Y126" s="968">
        <v>2015</v>
      </c>
      <c r="Z126" s="968">
        <v>2015</v>
      </c>
      <c r="AA126" s="968">
        <v>2016</v>
      </c>
      <c r="AB126" s="968">
        <v>2016</v>
      </c>
      <c r="AC126" s="968">
        <v>2016</v>
      </c>
      <c r="AD126" s="968">
        <v>2016</v>
      </c>
      <c r="AE126" s="968">
        <v>2016</v>
      </c>
      <c r="AF126" s="968">
        <v>2016</v>
      </c>
      <c r="AG126" s="968">
        <v>2016</v>
      </c>
      <c r="AH126" s="968">
        <v>2016</v>
      </c>
      <c r="AI126" s="968">
        <v>2016</v>
      </c>
      <c r="AJ126" s="968">
        <v>2016</v>
      </c>
      <c r="AK126" s="968">
        <v>2016</v>
      </c>
      <c r="AL126" s="968">
        <v>2016</v>
      </c>
      <c r="AM126" s="968">
        <v>2017</v>
      </c>
      <c r="AN126" s="968">
        <v>2017</v>
      </c>
      <c r="AO126" s="968">
        <v>2017</v>
      </c>
      <c r="AP126" s="968">
        <v>2017</v>
      </c>
      <c r="AQ126" s="968">
        <v>2017</v>
      </c>
      <c r="AR126" s="968">
        <v>2017</v>
      </c>
      <c r="AS126" s="968">
        <v>2017</v>
      </c>
      <c r="AT126" s="968">
        <v>2017</v>
      </c>
      <c r="AU126" s="968">
        <v>2017</v>
      </c>
      <c r="AV126" s="968">
        <v>2017</v>
      </c>
      <c r="AW126" s="968">
        <v>2017</v>
      </c>
      <c r="AX126" s="968">
        <v>2017</v>
      </c>
      <c r="AY126" s="968">
        <v>2018</v>
      </c>
      <c r="AZ126" s="968">
        <v>2018</v>
      </c>
      <c r="BA126" s="968">
        <v>2018</v>
      </c>
      <c r="BB126" s="968">
        <v>2018</v>
      </c>
      <c r="BC126" s="968">
        <v>2018</v>
      </c>
      <c r="BD126" s="968">
        <v>2018</v>
      </c>
      <c r="BE126" s="968">
        <v>2018</v>
      </c>
      <c r="BF126" s="968">
        <v>2018</v>
      </c>
      <c r="BG126" s="968">
        <v>2018</v>
      </c>
      <c r="BH126" s="968">
        <v>2018</v>
      </c>
      <c r="BI126" s="968">
        <v>2018</v>
      </c>
      <c r="BJ126" s="968">
        <v>2018</v>
      </c>
      <c r="BK126" s="968">
        <v>2019</v>
      </c>
      <c r="BL126" s="968">
        <v>2019</v>
      </c>
      <c r="BM126" s="968">
        <v>2019</v>
      </c>
      <c r="BN126" s="968">
        <v>2019</v>
      </c>
      <c r="BO126" s="968">
        <v>2019</v>
      </c>
      <c r="BP126" s="968">
        <v>2019</v>
      </c>
      <c r="BQ126" s="968">
        <v>2019</v>
      </c>
      <c r="BR126" s="968">
        <v>2019</v>
      </c>
      <c r="BS126" s="968">
        <v>2019</v>
      </c>
      <c r="BT126" s="968">
        <v>2019</v>
      </c>
      <c r="BU126" s="968">
        <v>2019</v>
      </c>
      <c r="BV126" s="968">
        <v>2019</v>
      </c>
      <c r="BW126" s="968">
        <v>2020</v>
      </c>
      <c r="BX126" s="968">
        <v>2020</v>
      </c>
      <c r="BY126" s="968">
        <v>2020</v>
      </c>
      <c r="BZ126" s="968">
        <v>2020</v>
      </c>
      <c r="CA126" s="968">
        <v>2020</v>
      </c>
      <c r="CB126" s="968">
        <v>2020</v>
      </c>
      <c r="CC126" s="968">
        <v>2020</v>
      </c>
      <c r="CD126" s="968">
        <v>2020</v>
      </c>
      <c r="CE126" s="968">
        <v>2020</v>
      </c>
      <c r="CF126" s="968">
        <v>2020</v>
      </c>
      <c r="CG126" s="968">
        <v>2020</v>
      </c>
      <c r="CH126" s="968">
        <v>2020</v>
      </c>
      <c r="CI126" s="968">
        <v>2021</v>
      </c>
      <c r="CJ126" s="968">
        <v>2021</v>
      </c>
      <c r="CK126" s="968">
        <v>2021</v>
      </c>
      <c r="CL126" s="968">
        <v>2021</v>
      </c>
      <c r="CM126" s="968">
        <v>2021</v>
      </c>
      <c r="CN126" s="968">
        <v>2021</v>
      </c>
      <c r="CO126" s="968">
        <v>2021</v>
      </c>
      <c r="CP126" s="968">
        <v>2021</v>
      </c>
      <c r="CQ126" s="968">
        <v>2021</v>
      </c>
      <c r="CR126" s="968">
        <v>2021</v>
      </c>
      <c r="CS126" s="968">
        <v>2021</v>
      </c>
      <c r="CT126" s="968">
        <v>2021</v>
      </c>
      <c r="CU126" s="968">
        <v>2022</v>
      </c>
      <c r="CV126" s="968">
        <v>2022</v>
      </c>
      <c r="CW126" s="968">
        <v>2022</v>
      </c>
      <c r="CX126" s="968">
        <v>2022</v>
      </c>
      <c r="CY126" s="968">
        <v>2022</v>
      </c>
      <c r="CZ126" s="968">
        <v>2022</v>
      </c>
      <c r="DA126" s="968">
        <v>2022</v>
      </c>
      <c r="DB126" s="968">
        <v>2022</v>
      </c>
      <c r="DC126" s="968">
        <v>2022</v>
      </c>
      <c r="DD126" s="968">
        <v>2022</v>
      </c>
      <c r="DE126" s="968">
        <v>2022</v>
      </c>
      <c r="DF126" s="968">
        <v>2022</v>
      </c>
      <c r="DG126" s="968">
        <v>2023</v>
      </c>
      <c r="DH126" s="968">
        <v>2023</v>
      </c>
      <c r="DI126" s="968">
        <v>2023</v>
      </c>
      <c r="DJ126" s="968">
        <v>2023</v>
      </c>
      <c r="DK126" s="968">
        <v>2023</v>
      </c>
      <c r="DL126" s="968">
        <v>2023</v>
      </c>
      <c r="DM126" s="968">
        <v>2023</v>
      </c>
      <c r="DN126" s="968">
        <v>2023</v>
      </c>
      <c r="DO126" s="968">
        <v>2023</v>
      </c>
      <c r="DP126" s="968">
        <v>2023</v>
      </c>
      <c r="DQ126" s="968">
        <v>2023</v>
      </c>
      <c r="DR126" s="968">
        <v>2023</v>
      </c>
      <c r="DS126" s="968">
        <v>2024</v>
      </c>
      <c r="DT126" s="968">
        <v>2024</v>
      </c>
      <c r="DU126" s="968">
        <v>2024</v>
      </c>
      <c r="DV126" s="968">
        <v>2024</v>
      </c>
      <c r="DW126" s="968">
        <v>2024</v>
      </c>
      <c r="DX126" s="968">
        <v>2024</v>
      </c>
      <c r="DY126" s="968">
        <v>2024</v>
      </c>
      <c r="DZ126" s="968">
        <v>2024</v>
      </c>
      <c r="EA126" s="968">
        <v>2024</v>
      </c>
      <c r="EB126" s="968">
        <v>2024</v>
      </c>
      <c r="EC126" s="968">
        <v>2024</v>
      </c>
      <c r="ED126" s="968">
        <v>2024</v>
      </c>
      <c r="EE126" s="968">
        <v>2025</v>
      </c>
      <c r="EF126" s="968">
        <v>2025</v>
      </c>
      <c r="EG126" s="968">
        <v>2025</v>
      </c>
      <c r="EH126" s="968">
        <v>2025</v>
      </c>
      <c r="EI126" s="968">
        <v>2025</v>
      </c>
      <c r="EJ126" s="968">
        <v>2025</v>
      </c>
      <c r="EK126" s="968">
        <v>2025</v>
      </c>
      <c r="EL126" s="968">
        <v>2025</v>
      </c>
      <c r="EM126" s="968">
        <v>2025</v>
      </c>
      <c r="EN126" s="968">
        <v>2025</v>
      </c>
      <c r="EO126" s="968">
        <v>2025</v>
      </c>
      <c r="EP126" s="968">
        <v>2025</v>
      </c>
      <c r="EQ126" s="968">
        <v>2026</v>
      </c>
      <c r="ER126" s="968">
        <v>2026</v>
      </c>
      <c r="ES126" s="968">
        <v>2026</v>
      </c>
      <c r="ET126" s="968">
        <v>2026</v>
      </c>
      <c r="EU126" s="968">
        <v>2026</v>
      </c>
      <c r="EV126" s="968">
        <v>2026</v>
      </c>
    </row>
    <row r="127" spans="1:152" x14ac:dyDescent="0.2">
      <c r="C127" s="1022" t="str">
        <f>CONCATENATE(C125," ",C126)</f>
        <v>janvier 2014</v>
      </c>
      <c r="D127" s="1022" t="str">
        <f t="shared" ref="D127:BO127" si="69">CONCATENATE(D125," ",D126)</f>
        <v>février 2014</v>
      </c>
      <c r="E127" s="1022" t="str">
        <f t="shared" si="69"/>
        <v>mars 2014</v>
      </c>
      <c r="F127" s="1022" t="str">
        <f t="shared" si="69"/>
        <v>avril 2014</v>
      </c>
      <c r="G127" s="1022" t="str">
        <f t="shared" si="69"/>
        <v>mai 2014</v>
      </c>
      <c r="H127" s="1022" t="str">
        <f t="shared" si="69"/>
        <v>juin 2014</v>
      </c>
      <c r="I127" s="1022" t="str">
        <f t="shared" si="69"/>
        <v>juillet 2014</v>
      </c>
      <c r="J127" s="1022" t="str">
        <f t="shared" si="69"/>
        <v>août 2014</v>
      </c>
      <c r="K127" s="1022" t="str">
        <f t="shared" si="69"/>
        <v>septembre 2014</v>
      </c>
      <c r="L127" s="1022" t="str">
        <f t="shared" si="69"/>
        <v>octobre 2014</v>
      </c>
      <c r="M127" s="1022" t="str">
        <f t="shared" si="69"/>
        <v>novembre 2014</v>
      </c>
      <c r="N127" s="1022" t="str">
        <f t="shared" si="69"/>
        <v>décembre 2014</v>
      </c>
      <c r="O127" s="1022" t="str">
        <f t="shared" si="69"/>
        <v>janvier 2015</v>
      </c>
      <c r="P127" s="1022" t="str">
        <f t="shared" si="69"/>
        <v>février 2015</v>
      </c>
      <c r="Q127" s="1022" t="str">
        <f t="shared" si="69"/>
        <v>mars 2015</v>
      </c>
      <c r="R127" s="1022" t="str">
        <f t="shared" si="69"/>
        <v>avril 2015</v>
      </c>
      <c r="S127" s="1022" t="str">
        <f t="shared" si="69"/>
        <v>mai 2015</v>
      </c>
      <c r="T127" s="1022" t="str">
        <f t="shared" si="69"/>
        <v>juin 2015</v>
      </c>
      <c r="U127" s="1022" t="str">
        <f t="shared" si="69"/>
        <v>juillet 2015</v>
      </c>
      <c r="V127" s="1022" t="str">
        <f t="shared" si="69"/>
        <v>août 2015</v>
      </c>
      <c r="W127" s="1022" t="str">
        <f t="shared" si="69"/>
        <v>septembre 2015</v>
      </c>
      <c r="X127" s="1022" t="str">
        <f t="shared" si="69"/>
        <v>octobre 2015</v>
      </c>
      <c r="Y127" s="1022" t="str">
        <f t="shared" si="69"/>
        <v>novembre 2015</v>
      </c>
      <c r="Z127" s="1022" t="str">
        <f t="shared" si="69"/>
        <v>décembre 2015</v>
      </c>
      <c r="AA127" s="1022" t="str">
        <f t="shared" si="69"/>
        <v>janvier 2016</v>
      </c>
      <c r="AB127" s="1022" t="str">
        <f t="shared" si="69"/>
        <v>février 2016</v>
      </c>
      <c r="AC127" s="1022" t="str">
        <f t="shared" si="69"/>
        <v>mars 2016</v>
      </c>
      <c r="AD127" s="1022" t="str">
        <f t="shared" si="69"/>
        <v>avril 2016</v>
      </c>
      <c r="AE127" s="1022" t="str">
        <f t="shared" si="69"/>
        <v>mai 2016</v>
      </c>
      <c r="AF127" s="1022" t="str">
        <f t="shared" si="69"/>
        <v>juin 2016</v>
      </c>
      <c r="AG127" s="1022" t="str">
        <f t="shared" si="69"/>
        <v>juillet 2016</v>
      </c>
      <c r="AH127" s="1022" t="str">
        <f t="shared" si="69"/>
        <v>août 2016</v>
      </c>
      <c r="AI127" s="1022" t="str">
        <f t="shared" si="69"/>
        <v>septembre 2016</v>
      </c>
      <c r="AJ127" s="1022" t="str">
        <f t="shared" si="69"/>
        <v>octobre 2016</v>
      </c>
      <c r="AK127" s="1022" t="str">
        <f t="shared" si="69"/>
        <v>novembre 2016</v>
      </c>
      <c r="AL127" s="1022" t="str">
        <f t="shared" si="69"/>
        <v>décembre 2016</v>
      </c>
      <c r="AM127" s="1022" t="str">
        <f t="shared" si="69"/>
        <v>janvier 2017</v>
      </c>
      <c r="AN127" s="1022" t="str">
        <f t="shared" si="69"/>
        <v>février 2017</v>
      </c>
      <c r="AO127" s="1022" t="str">
        <f t="shared" si="69"/>
        <v>mars 2017</v>
      </c>
      <c r="AP127" s="1022" t="str">
        <f t="shared" si="69"/>
        <v>avril 2017</v>
      </c>
      <c r="AQ127" s="1022" t="str">
        <f t="shared" si="69"/>
        <v>mai 2017</v>
      </c>
      <c r="AR127" s="1022" t="str">
        <f t="shared" si="69"/>
        <v>juin 2017</v>
      </c>
      <c r="AS127" s="1022" t="str">
        <f t="shared" si="69"/>
        <v>juillet 2017</v>
      </c>
      <c r="AT127" s="1022" t="str">
        <f t="shared" si="69"/>
        <v>août 2017</v>
      </c>
      <c r="AU127" s="1022" t="str">
        <f t="shared" si="69"/>
        <v>septembre 2017</v>
      </c>
      <c r="AV127" s="1022" t="str">
        <f t="shared" si="69"/>
        <v>octobre 2017</v>
      </c>
      <c r="AW127" s="1022" t="str">
        <f t="shared" si="69"/>
        <v>novembre 2017</v>
      </c>
      <c r="AX127" s="1022" t="str">
        <f t="shared" si="69"/>
        <v>décembre 2017</v>
      </c>
      <c r="AY127" s="1022" t="str">
        <f t="shared" si="69"/>
        <v>janvier 2018</v>
      </c>
      <c r="AZ127" s="1022" t="str">
        <f t="shared" si="69"/>
        <v>février 2018</v>
      </c>
      <c r="BA127" s="1022" t="str">
        <f t="shared" si="69"/>
        <v>mars 2018</v>
      </c>
      <c r="BB127" s="1022" t="str">
        <f t="shared" si="69"/>
        <v>avril 2018</v>
      </c>
      <c r="BC127" s="1022" t="str">
        <f t="shared" si="69"/>
        <v>mai 2018</v>
      </c>
      <c r="BD127" s="1022" t="str">
        <f t="shared" si="69"/>
        <v>juin 2018</v>
      </c>
      <c r="BE127" s="1022" t="str">
        <f t="shared" si="69"/>
        <v>juillet 2018</v>
      </c>
      <c r="BF127" s="1022" t="str">
        <f t="shared" si="69"/>
        <v>août 2018</v>
      </c>
      <c r="BG127" s="1022" t="str">
        <f t="shared" si="69"/>
        <v>septembre 2018</v>
      </c>
      <c r="BH127" s="1022" t="str">
        <f t="shared" si="69"/>
        <v>octobre 2018</v>
      </c>
      <c r="BI127" s="1022" t="str">
        <f t="shared" si="69"/>
        <v>novembre 2018</v>
      </c>
      <c r="BJ127" s="1022" t="str">
        <f t="shared" si="69"/>
        <v>décembre 2018</v>
      </c>
      <c r="BK127" s="1022" t="str">
        <f t="shared" si="69"/>
        <v>janvier 2019</v>
      </c>
      <c r="BL127" s="1022" t="str">
        <f t="shared" si="69"/>
        <v>février 2019</v>
      </c>
      <c r="BM127" s="1022" t="str">
        <f t="shared" si="69"/>
        <v>mars 2019</v>
      </c>
      <c r="BN127" s="1022" t="str">
        <f t="shared" si="69"/>
        <v>avril 2019</v>
      </c>
      <c r="BO127" s="1022" t="str">
        <f t="shared" si="69"/>
        <v>mai 2019</v>
      </c>
      <c r="BP127" s="1022" t="str">
        <f t="shared" ref="BP127:EA127" si="70">CONCATENATE(BP125," ",BP126)</f>
        <v>juin 2019</v>
      </c>
      <c r="BQ127" s="1022" t="str">
        <f t="shared" si="70"/>
        <v>juillet 2019</v>
      </c>
      <c r="BR127" s="1022" t="str">
        <f t="shared" si="70"/>
        <v>août 2019</v>
      </c>
      <c r="BS127" s="1022" t="str">
        <f t="shared" si="70"/>
        <v>septembre 2019</v>
      </c>
      <c r="BT127" s="1022" t="str">
        <f t="shared" si="70"/>
        <v>octobre 2019</v>
      </c>
      <c r="BU127" s="1022" t="str">
        <f t="shared" si="70"/>
        <v>novembre 2019</v>
      </c>
      <c r="BV127" s="1022" t="str">
        <f t="shared" si="70"/>
        <v>décembre 2019</v>
      </c>
      <c r="BW127" s="1022" t="str">
        <f t="shared" si="70"/>
        <v>janvier 2020</v>
      </c>
      <c r="BX127" s="1022" t="str">
        <f t="shared" si="70"/>
        <v>février 2020</v>
      </c>
      <c r="BY127" s="1022" t="str">
        <f t="shared" si="70"/>
        <v>mars 2020</v>
      </c>
      <c r="BZ127" s="1022" t="str">
        <f t="shared" si="70"/>
        <v>avril 2020</v>
      </c>
      <c r="CA127" s="1022" t="str">
        <f t="shared" si="70"/>
        <v>mai 2020</v>
      </c>
      <c r="CB127" s="1022" t="str">
        <f t="shared" si="70"/>
        <v>juin 2020</v>
      </c>
      <c r="CC127" s="1022" t="str">
        <f t="shared" si="70"/>
        <v>juillet 2020</v>
      </c>
      <c r="CD127" s="1022" t="str">
        <f t="shared" si="70"/>
        <v>août 2020</v>
      </c>
      <c r="CE127" s="1022" t="str">
        <f t="shared" si="70"/>
        <v>septembre 2020</v>
      </c>
      <c r="CF127" s="1022" t="str">
        <f t="shared" si="70"/>
        <v>octobre 2020</v>
      </c>
      <c r="CG127" s="1022" t="str">
        <f t="shared" si="70"/>
        <v>novembre 2020</v>
      </c>
      <c r="CH127" s="1022" t="str">
        <f t="shared" si="70"/>
        <v>décembre 2020</v>
      </c>
      <c r="CI127" s="1022" t="str">
        <f t="shared" si="70"/>
        <v>janvier 2021</v>
      </c>
      <c r="CJ127" s="1022" t="str">
        <f t="shared" si="70"/>
        <v>février 2021</v>
      </c>
      <c r="CK127" s="1022" t="str">
        <f t="shared" si="70"/>
        <v>mars 2021</v>
      </c>
      <c r="CL127" s="1022" t="str">
        <f t="shared" si="70"/>
        <v>avril 2021</v>
      </c>
      <c r="CM127" s="1022" t="str">
        <f t="shared" si="70"/>
        <v>mai 2021</v>
      </c>
      <c r="CN127" s="1022" t="str">
        <f t="shared" si="70"/>
        <v>juin 2021</v>
      </c>
      <c r="CO127" s="1022" t="str">
        <f t="shared" si="70"/>
        <v>juillet 2021</v>
      </c>
      <c r="CP127" s="1022" t="str">
        <f t="shared" si="70"/>
        <v>août 2021</v>
      </c>
      <c r="CQ127" s="1022" t="str">
        <f t="shared" si="70"/>
        <v>septembre 2021</v>
      </c>
      <c r="CR127" s="1022" t="str">
        <f t="shared" si="70"/>
        <v>octobre 2021</v>
      </c>
      <c r="CS127" s="1022" t="str">
        <f t="shared" si="70"/>
        <v>novembre 2021</v>
      </c>
      <c r="CT127" s="1022" t="str">
        <f t="shared" si="70"/>
        <v>décembre 2021</v>
      </c>
      <c r="CU127" s="1022" t="str">
        <f t="shared" si="70"/>
        <v>janvier 2022</v>
      </c>
      <c r="CV127" s="1022" t="str">
        <f t="shared" si="70"/>
        <v>février 2022</v>
      </c>
      <c r="CW127" s="1022" t="str">
        <f t="shared" si="70"/>
        <v>mars 2022</v>
      </c>
      <c r="CX127" s="1022" t="str">
        <f t="shared" si="70"/>
        <v>avril 2022</v>
      </c>
      <c r="CY127" s="1022" t="str">
        <f t="shared" si="70"/>
        <v>mai 2022</v>
      </c>
      <c r="CZ127" s="1022" t="str">
        <f t="shared" si="70"/>
        <v>juin 2022</v>
      </c>
      <c r="DA127" s="1022" t="str">
        <f t="shared" si="70"/>
        <v>juillet 2022</v>
      </c>
      <c r="DB127" s="1022" t="str">
        <f t="shared" si="70"/>
        <v>août 2022</v>
      </c>
      <c r="DC127" s="1022" t="str">
        <f t="shared" si="70"/>
        <v>septembre 2022</v>
      </c>
      <c r="DD127" s="1022" t="str">
        <f t="shared" si="70"/>
        <v>octobre 2022</v>
      </c>
      <c r="DE127" s="1022" t="str">
        <f t="shared" si="70"/>
        <v>novembre 2022</v>
      </c>
      <c r="DF127" s="1022" t="str">
        <f t="shared" si="70"/>
        <v>décembre 2022</v>
      </c>
      <c r="DG127" s="1022" t="str">
        <f t="shared" si="70"/>
        <v>janvier 2023</v>
      </c>
      <c r="DH127" s="1022" t="str">
        <f t="shared" si="70"/>
        <v>février 2023</v>
      </c>
      <c r="DI127" s="1022" t="str">
        <f t="shared" si="70"/>
        <v>mars 2023</v>
      </c>
      <c r="DJ127" s="1022" t="str">
        <f t="shared" si="70"/>
        <v>avril 2023</v>
      </c>
      <c r="DK127" s="1022" t="str">
        <f t="shared" si="70"/>
        <v>mai 2023</v>
      </c>
      <c r="DL127" s="1022" t="str">
        <f t="shared" si="70"/>
        <v>juin 2023</v>
      </c>
      <c r="DM127" s="1022" t="str">
        <f t="shared" si="70"/>
        <v>juillet 2023</v>
      </c>
      <c r="DN127" s="1022" t="str">
        <f t="shared" si="70"/>
        <v>août 2023</v>
      </c>
      <c r="DO127" s="1022" t="str">
        <f t="shared" si="70"/>
        <v>septembre 2023</v>
      </c>
      <c r="DP127" s="1022" t="str">
        <f t="shared" si="70"/>
        <v>octobre 2023</v>
      </c>
      <c r="DQ127" s="1022" t="str">
        <f t="shared" si="70"/>
        <v>novembre 2023</v>
      </c>
      <c r="DR127" s="1022" t="str">
        <f t="shared" si="70"/>
        <v>décembre 2023</v>
      </c>
      <c r="DS127" s="1022" t="str">
        <f t="shared" si="70"/>
        <v>janvier 2024</v>
      </c>
      <c r="DT127" s="1022" t="str">
        <f t="shared" si="70"/>
        <v>février 2024</v>
      </c>
      <c r="DU127" s="1022" t="str">
        <f t="shared" si="70"/>
        <v>mars 2024</v>
      </c>
      <c r="DV127" s="1022" t="str">
        <f t="shared" si="70"/>
        <v>avril 2024</v>
      </c>
      <c r="DW127" s="1022" t="str">
        <f t="shared" si="70"/>
        <v>mai 2024</v>
      </c>
      <c r="DX127" s="1022" t="str">
        <f t="shared" si="70"/>
        <v>juin 2024</v>
      </c>
      <c r="DY127" s="1022" t="str">
        <f t="shared" si="70"/>
        <v>juillet 2024</v>
      </c>
      <c r="DZ127" s="1022" t="str">
        <f t="shared" si="70"/>
        <v>août 2024</v>
      </c>
      <c r="EA127" s="1022" t="str">
        <f t="shared" si="70"/>
        <v>septembre 2024</v>
      </c>
      <c r="EB127" s="1022" t="str">
        <f t="shared" ref="EB127:EV127" si="71">CONCATENATE(EB125," ",EB126)</f>
        <v>octobre 2024</v>
      </c>
      <c r="EC127" s="1022" t="str">
        <f t="shared" si="71"/>
        <v>novembre 2024</v>
      </c>
      <c r="ED127" s="1022" t="str">
        <f t="shared" si="71"/>
        <v>décembre 2024</v>
      </c>
      <c r="EE127" s="1022" t="str">
        <f t="shared" si="71"/>
        <v>janvier 2025</v>
      </c>
      <c r="EF127" s="1022" t="str">
        <f t="shared" si="71"/>
        <v>février 2025</v>
      </c>
      <c r="EG127" s="1022" t="str">
        <f t="shared" si="71"/>
        <v>mars 2025</v>
      </c>
      <c r="EH127" s="1022" t="str">
        <f t="shared" si="71"/>
        <v>avril 2025</v>
      </c>
      <c r="EI127" s="1022" t="str">
        <f t="shared" si="71"/>
        <v>mai 2025</v>
      </c>
      <c r="EJ127" s="1022" t="str">
        <f t="shared" si="71"/>
        <v>juin 2025</v>
      </c>
      <c r="EK127" s="1022" t="str">
        <f t="shared" si="71"/>
        <v>juillet 2025</v>
      </c>
      <c r="EL127" s="1022" t="str">
        <f t="shared" si="71"/>
        <v>août 2025</v>
      </c>
      <c r="EM127" s="1022" t="str">
        <f t="shared" si="71"/>
        <v>septembre 2025</v>
      </c>
      <c r="EN127" s="1022" t="str">
        <f t="shared" si="71"/>
        <v>octobre 2025</v>
      </c>
      <c r="EO127" s="1022" t="str">
        <f t="shared" si="71"/>
        <v>novembre 2025</v>
      </c>
      <c r="EP127" s="1022" t="str">
        <f t="shared" si="71"/>
        <v>décembre 2025</v>
      </c>
      <c r="EQ127" s="1022" t="str">
        <f t="shared" si="71"/>
        <v>janvier 2026</v>
      </c>
      <c r="ER127" s="1022" t="str">
        <f t="shared" si="71"/>
        <v>février 2026</v>
      </c>
      <c r="ES127" s="1022" t="str">
        <f t="shared" si="71"/>
        <v>mars 2026</v>
      </c>
      <c r="ET127" s="1022" t="str">
        <f t="shared" si="71"/>
        <v>avril 2026</v>
      </c>
      <c r="EU127" s="1022" t="str">
        <f t="shared" si="71"/>
        <v>mai 2026</v>
      </c>
      <c r="EV127" s="1022" t="str">
        <f t="shared" si="71"/>
        <v>juin 2026</v>
      </c>
    </row>
    <row r="128" spans="1:152" x14ac:dyDescent="0.2">
      <c r="B128" s="36">
        <f>SUM(C128:EV128)</f>
        <v>56.660000000000025</v>
      </c>
      <c r="C128" s="23">
        <f t="shared" ref="C128:BN128" si="72">IF(ISNA(HLOOKUP(C127,$C$120:$DF$121,2,FALSE))=TRUE,0,HLOOKUP(C127,$C$120:$DF$121,2,FALSE))</f>
        <v>0</v>
      </c>
      <c r="D128" s="23">
        <f t="shared" si="72"/>
        <v>0</v>
      </c>
      <c r="E128" s="23">
        <f t="shared" si="72"/>
        <v>0</v>
      </c>
      <c r="F128" s="23">
        <f t="shared" si="72"/>
        <v>0</v>
      </c>
      <c r="G128" s="23">
        <f t="shared" si="72"/>
        <v>0</v>
      </c>
      <c r="H128" s="23">
        <f t="shared" si="72"/>
        <v>0</v>
      </c>
      <c r="I128" s="23">
        <f t="shared" si="72"/>
        <v>0</v>
      </c>
      <c r="J128" s="23">
        <f t="shared" si="72"/>
        <v>0</v>
      </c>
      <c r="K128" s="23">
        <f t="shared" si="72"/>
        <v>0</v>
      </c>
      <c r="L128" s="23">
        <f t="shared" si="72"/>
        <v>0</v>
      </c>
      <c r="M128" s="23">
        <f t="shared" si="72"/>
        <v>0</v>
      </c>
      <c r="N128" s="23">
        <f t="shared" si="72"/>
        <v>0</v>
      </c>
      <c r="O128" s="23">
        <f t="shared" si="72"/>
        <v>1.5325</v>
      </c>
      <c r="P128" s="23">
        <f t="shared" si="72"/>
        <v>3.0575000000000001</v>
      </c>
      <c r="Q128" s="23">
        <f t="shared" si="72"/>
        <v>0.12250000000000001</v>
      </c>
      <c r="R128" s="23">
        <f t="shared" si="72"/>
        <v>1.0225</v>
      </c>
      <c r="S128" s="23">
        <f t="shared" si="72"/>
        <v>2.1425000000000001</v>
      </c>
      <c r="T128" s="23">
        <f t="shared" si="72"/>
        <v>0.32250000000000001</v>
      </c>
      <c r="U128" s="23">
        <f t="shared" si="72"/>
        <v>0.76250000000000007</v>
      </c>
      <c r="V128" s="23">
        <f t="shared" si="72"/>
        <v>0.12250000000000001</v>
      </c>
      <c r="W128" s="23">
        <f t="shared" si="72"/>
        <v>0.40749999999999997</v>
      </c>
      <c r="X128" s="23">
        <f t="shared" si="72"/>
        <v>0.6</v>
      </c>
      <c r="Y128" s="23">
        <f t="shared" si="72"/>
        <v>1.1074999999999999</v>
      </c>
      <c r="Z128" s="23">
        <f t="shared" si="72"/>
        <v>2.3125</v>
      </c>
      <c r="AA128" s="23">
        <f t="shared" si="72"/>
        <v>0.39200000000000002</v>
      </c>
      <c r="AB128" s="23">
        <f t="shared" si="72"/>
        <v>1.5760000000000001</v>
      </c>
      <c r="AC128" s="23">
        <f t="shared" si="72"/>
        <v>0.58250000000000002</v>
      </c>
      <c r="AD128" s="23">
        <f t="shared" si="72"/>
        <v>6.4225000000000003</v>
      </c>
      <c r="AE128" s="23">
        <f t="shared" si="72"/>
        <v>1.623</v>
      </c>
      <c r="AF128" s="23">
        <f t="shared" si="72"/>
        <v>1.7090000000000001</v>
      </c>
      <c r="AG128" s="23">
        <f t="shared" si="72"/>
        <v>0.52700000000000002</v>
      </c>
      <c r="AH128" s="23">
        <f t="shared" si="72"/>
        <v>7.1244999999999994</v>
      </c>
      <c r="AI128" s="23">
        <f t="shared" si="72"/>
        <v>1.4950000000000001</v>
      </c>
      <c r="AJ128" s="23">
        <f t="shared" si="72"/>
        <v>1.8775000000000002</v>
      </c>
      <c r="AK128" s="23">
        <f t="shared" si="72"/>
        <v>0.97</v>
      </c>
      <c r="AL128" s="23">
        <f t="shared" si="72"/>
        <v>1.6850000000000001</v>
      </c>
      <c r="AM128" s="23">
        <f t="shared" si="72"/>
        <v>2.0655000000000001</v>
      </c>
      <c r="AN128" s="23">
        <f t="shared" si="72"/>
        <v>1.4610000000000001</v>
      </c>
      <c r="AO128" s="23">
        <f t="shared" si="72"/>
        <v>0.5535000000000001</v>
      </c>
      <c r="AP128" s="23">
        <f t="shared" si="72"/>
        <v>4.8475000000000001</v>
      </c>
      <c r="AQ128" s="23">
        <f t="shared" si="72"/>
        <v>0.77750000000000008</v>
      </c>
      <c r="AR128" s="23">
        <f t="shared" si="72"/>
        <v>0.38700000000000001</v>
      </c>
      <c r="AS128" s="23">
        <f t="shared" si="72"/>
        <v>2.4055000000000004</v>
      </c>
      <c r="AT128" s="23">
        <f t="shared" si="72"/>
        <v>0.38250000000000001</v>
      </c>
      <c r="AU128" s="23">
        <f t="shared" si="72"/>
        <v>0.2</v>
      </c>
      <c r="AV128" s="23">
        <f t="shared" si="72"/>
        <v>0</v>
      </c>
      <c r="AW128" s="23">
        <f t="shared" si="72"/>
        <v>2.2500000000000003E-2</v>
      </c>
      <c r="AX128" s="23">
        <f t="shared" si="72"/>
        <v>0</v>
      </c>
      <c r="AY128" s="23">
        <f t="shared" si="72"/>
        <v>0.127</v>
      </c>
      <c r="AZ128" s="23">
        <f t="shared" si="72"/>
        <v>0</v>
      </c>
      <c r="BA128" s="23">
        <f t="shared" si="72"/>
        <v>0</v>
      </c>
      <c r="BB128" s="23">
        <f t="shared" si="72"/>
        <v>0.23250000000000004</v>
      </c>
      <c r="BC128" s="23">
        <f t="shared" si="72"/>
        <v>2.0000000000000004E-2</v>
      </c>
      <c r="BD128" s="23">
        <f t="shared" si="72"/>
        <v>2.1499999999999998E-2</v>
      </c>
      <c r="BE128" s="23">
        <f t="shared" si="72"/>
        <v>0.93</v>
      </c>
      <c r="BF128" s="23">
        <f t="shared" si="72"/>
        <v>0.13</v>
      </c>
      <c r="BG128" s="23">
        <f t="shared" si="72"/>
        <v>0</v>
      </c>
      <c r="BH128" s="23">
        <f t="shared" si="72"/>
        <v>0</v>
      </c>
      <c r="BI128" s="23">
        <f t="shared" si="72"/>
        <v>0.39</v>
      </c>
      <c r="BJ128" s="23">
        <f t="shared" si="72"/>
        <v>0</v>
      </c>
      <c r="BK128" s="23">
        <f t="shared" si="72"/>
        <v>0</v>
      </c>
      <c r="BL128" s="23">
        <f t="shared" si="72"/>
        <v>0.26</v>
      </c>
      <c r="BM128" s="23">
        <f t="shared" si="72"/>
        <v>0</v>
      </c>
      <c r="BN128" s="23">
        <f t="shared" si="72"/>
        <v>0</v>
      </c>
      <c r="BO128" s="23">
        <f t="shared" ref="BO128:DZ128" si="73">IF(ISNA(HLOOKUP(BO127,$C$120:$DF$121,2,FALSE))=TRUE,0,HLOOKUP(BO127,$C$120:$DF$121,2,FALSE))</f>
        <v>0</v>
      </c>
      <c r="BP128" s="23">
        <f t="shared" si="73"/>
        <v>0</v>
      </c>
      <c r="BQ128" s="23">
        <f t="shared" si="73"/>
        <v>0</v>
      </c>
      <c r="BR128" s="23">
        <f t="shared" si="73"/>
        <v>0</v>
      </c>
      <c r="BS128" s="23">
        <f t="shared" si="73"/>
        <v>0.52</v>
      </c>
      <c r="BT128" s="23">
        <f t="shared" si="73"/>
        <v>0</v>
      </c>
      <c r="BU128" s="23">
        <f t="shared" si="73"/>
        <v>0.52</v>
      </c>
      <c r="BV128" s="23">
        <f t="shared" si="73"/>
        <v>0</v>
      </c>
      <c r="BW128" s="23">
        <f t="shared" si="73"/>
        <v>0</v>
      </c>
      <c r="BX128" s="23">
        <f t="shared" si="73"/>
        <v>0</v>
      </c>
      <c r="BY128" s="23">
        <f t="shared" si="73"/>
        <v>0</v>
      </c>
      <c r="BZ128" s="23">
        <f t="shared" si="73"/>
        <v>0.52</v>
      </c>
      <c r="CA128" s="23">
        <f t="shared" si="73"/>
        <v>0</v>
      </c>
      <c r="CB128" s="23">
        <f t="shared" si="73"/>
        <v>0</v>
      </c>
      <c r="CC128" s="23">
        <f t="shared" si="73"/>
        <v>0.26</v>
      </c>
      <c r="CD128" s="23">
        <f t="shared" si="73"/>
        <v>0</v>
      </c>
      <c r="CE128" s="23">
        <f t="shared" si="73"/>
        <v>0</v>
      </c>
      <c r="CF128" s="23">
        <f t="shared" si="73"/>
        <v>0</v>
      </c>
      <c r="CG128" s="23">
        <f t="shared" si="73"/>
        <v>0</v>
      </c>
      <c r="CH128" s="23">
        <f t="shared" si="73"/>
        <v>0</v>
      </c>
      <c r="CI128" s="23">
        <f t="shared" si="73"/>
        <v>0</v>
      </c>
      <c r="CJ128" s="23">
        <f t="shared" si="73"/>
        <v>0</v>
      </c>
      <c r="CK128" s="23">
        <f t="shared" si="73"/>
        <v>0</v>
      </c>
      <c r="CL128" s="23">
        <f t="shared" si="73"/>
        <v>0</v>
      </c>
      <c r="CM128" s="23">
        <f t="shared" si="73"/>
        <v>0</v>
      </c>
      <c r="CN128" s="23">
        <f t="shared" si="73"/>
        <v>0</v>
      </c>
      <c r="CO128" s="23">
        <f t="shared" si="73"/>
        <v>0.13</v>
      </c>
      <c r="CP128" s="23">
        <f t="shared" si="73"/>
        <v>0</v>
      </c>
      <c r="CQ128" s="23">
        <f t="shared" si="73"/>
        <v>0</v>
      </c>
      <c r="CR128" s="23">
        <f t="shared" si="73"/>
        <v>0</v>
      </c>
      <c r="CS128" s="23">
        <f t="shared" si="73"/>
        <v>0</v>
      </c>
      <c r="CT128" s="23">
        <f t="shared" si="73"/>
        <v>0</v>
      </c>
      <c r="CU128" s="23">
        <f t="shared" si="73"/>
        <v>0</v>
      </c>
      <c r="CV128" s="23">
        <f t="shared" si="73"/>
        <v>0</v>
      </c>
      <c r="CW128" s="23">
        <f t="shared" si="73"/>
        <v>0</v>
      </c>
      <c r="CX128" s="23">
        <f t="shared" si="73"/>
        <v>0</v>
      </c>
      <c r="CY128" s="23">
        <f t="shared" si="73"/>
        <v>0</v>
      </c>
      <c r="CZ128" s="23">
        <f t="shared" si="73"/>
        <v>0</v>
      </c>
      <c r="DA128" s="23">
        <f t="shared" si="73"/>
        <v>0</v>
      </c>
      <c r="DB128" s="23">
        <f t="shared" si="73"/>
        <v>0</v>
      </c>
      <c r="DC128" s="23">
        <f t="shared" si="73"/>
        <v>0</v>
      </c>
      <c r="DD128" s="23">
        <f t="shared" si="73"/>
        <v>0</v>
      </c>
      <c r="DE128" s="23">
        <f t="shared" si="73"/>
        <v>0</v>
      </c>
      <c r="DF128" s="23">
        <f t="shared" si="73"/>
        <v>0</v>
      </c>
      <c r="DG128" s="23">
        <f t="shared" si="73"/>
        <v>0</v>
      </c>
      <c r="DH128" s="23">
        <f t="shared" si="73"/>
        <v>0</v>
      </c>
      <c r="DI128" s="23">
        <f t="shared" si="73"/>
        <v>0</v>
      </c>
      <c r="DJ128" s="23">
        <f t="shared" si="73"/>
        <v>0</v>
      </c>
      <c r="DK128" s="23">
        <f t="shared" si="73"/>
        <v>0</v>
      </c>
      <c r="DL128" s="23">
        <f t="shared" si="73"/>
        <v>0</v>
      </c>
      <c r="DM128" s="23">
        <f t="shared" si="73"/>
        <v>0</v>
      </c>
      <c r="DN128" s="23">
        <f t="shared" si="73"/>
        <v>0</v>
      </c>
      <c r="DO128" s="23">
        <f t="shared" si="73"/>
        <v>0</v>
      </c>
      <c r="DP128" s="23">
        <f t="shared" si="73"/>
        <v>0</v>
      </c>
      <c r="DQ128" s="23">
        <f t="shared" si="73"/>
        <v>0</v>
      </c>
      <c r="DR128" s="23">
        <f t="shared" si="73"/>
        <v>0</v>
      </c>
      <c r="DS128" s="23">
        <f t="shared" si="73"/>
        <v>0</v>
      </c>
      <c r="DT128" s="23">
        <f t="shared" si="73"/>
        <v>0</v>
      </c>
      <c r="DU128" s="23">
        <f t="shared" si="73"/>
        <v>0</v>
      </c>
      <c r="DV128" s="23">
        <f t="shared" si="73"/>
        <v>0</v>
      </c>
      <c r="DW128" s="23">
        <f t="shared" si="73"/>
        <v>0</v>
      </c>
      <c r="DX128" s="23">
        <f t="shared" si="73"/>
        <v>0</v>
      </c>
      <c r="DY128" s="23">
        <f t="shared" si="73"/>
        <v>0</v>
      </c>
      <c r="DZ128" s="23">
        <f t="shared" si="73"/>
        <v>0</v>
      </c>
      <c r="EA128" s="23">
        <f t="shared" ref="EA128:EV128" si="74">IF(ISNA(HLOOKUP(EA127,$C$120:$DF$121,2,FALSE))=TRUE,0,HLOOKUP(EA127,$C$120:$DF$121,2,FALSE))</f>
        <v>0</v>
      </c>
      <c r="EB128" s="23">
        <f t="shared" si="74"/>
        <v>0</v>
      </c>
      <c r="EC128" s="23">
        <f t="shared" si="74"/>
        <v>0</v>
      </c>
      <c r="ED128" s="23">
        <f t="shared" si="74"/>
        <v>0</v>
      </c>
      <c r="EE128" s="23">
        <f t="shared" si="74"/>
        <v>0</v>
      </c>
      <c r="EF128" s="23">
        <f t="shared" si="74"/>
        <v>0</v>
      </c>
      <c r="EG128" s="23">
        <f t="shared" si="74"/>
        <v>0</v>
      </c>
      <c r="EH128" s="23">
        <f t="shared" si="74"/>
        <v>0</v>
      </c>
      <c r="EI128" s="23">
        <f t="shared" si="74"/>
        <v>0</v>
      </c>
      <c r="EJ128" s="23">
        <f t="shared" si="74"/>
        <v>0</v>
      </c>
      <c r="EK128" s="23">
        <f t="shared" si="74"/>
        <v>0</v>
      </c>
      <c r="EL128" s="23">
        <f t="shared" si="74"/>
        <v>0</v>
      </c>
      <c r="EM128" s="23">
        <f t="shared" si="74"/>
        <v>0</v>
      </c>
      <c r="EN128" s="23">
        <f t="shared" si="74"/>
        <v>0</v>
      </c>
      <c r="EO128" s="23">
        <f t="shared" si="74"/>
        <v>0</v>
      </c>
      <c r="EP128" s="23">
        <f t="shared" si="74"/>
        <v>0</v>
      </c>
      <c r="EQ128" s="23">
        <f t="shared" si="74"/>
        <v>0</v>
      </c>
      <c r="ER128" s="23">
        <f t="shared" si="74"/>
        <v>0</v>
      </c>
      <c r="ES128" s="23">
        <f t="shared" si="74"/>
        <v>0</v>
      </c>
      <c r="ET128" s="23">
        <f t="shared" si="74"/>
        <v>0</v>
      </c>
      <c r="EU128" s="23">
        <f t="shared" si="74"/>
        <v>0</v>
      </c>
      <c r="EV128" s="23">
        <f t="shared" si="74"/>
        <v>0</v>
      </c>
    </row>
    <row r="129" spans="1:158" x14ac:dyDescent="0.2">
      <c r="B129" s="1030" t="s">
        <v>1415</v>
      </c>
      <c r="C129" s="23">
        <f>IF(ISNA(HLOOKUP(C127,$C$120:$DF$122,3,FALSE))=TRUE,0,HLOOKUP(C127,$C$120:$DF$122,3,FALSE))</f>
        <v>0</v>
      </c>
      <c r="D129" s="23">
        <f t="shared" ref="D129:BO129" si="75">IF(ISNA(HLOOKUP(D127,$C$120:$DF$122,3,FALSE))=TRUE,0,HLOOKUP(D127,$C$120:$DF$122,3,FALSE))</f>
        <v>0</v>
      </c>
      <c r="E129" s="23">
        <f t="shared" si="75"/>
        <v>0</v>
      </c>
      <c r="F129" s="23">
        <f t="shared" si="75"/>
        <v>0</v>
      </c>
      <c r="G129" s="23">
        <f t="shared" si="75"/>
        <v>0</v>
      </c>
      <c r="H129" s="23">
        <f t="shared" si="75"/>
        <v>0</v>
      </c>
      <c r="I129" s="23">
        <f t="shared" si="75"/>
        <v>0</v>
      </c>
      <c r="J129" s="23">
        <f t="shared" si="75"/>
        <v>0</v>
      </c>
      <c r="K129" s="23">
        <f t="shared" si="75"/>
        <v>0</v>
      </c>
      <c r="L129" s="23">
        <f t="shared" si="75"/>
        <v>0</v>
      </c>
      <c r="M129" s="23">
        <f t="shared" si="75"/>
        <v>0</v>
      </c>
      <c r="N129" s="23">
        <f t="shared" si="75"/>
        <v>0</v>
      </c>
      <c r="O129" s="23">
        <f t="shared" si="75"/>
        <v>0</v>
      </c>
      <c r="P129" s="23">
        <f t="shared" si="75"/>
        <v>0</v>
      </c>
      <c r="Q129" s="23">
        <f t="shared" si="75"/>
        <v>0</v>
      </c>
      <c r="R129" s="23">
        <f t="shared" si="75"/>
        <v>0.9</v>
      </c>
      <c r="S129" s="23">
        <f t="shared" si="75"/>
        <v>0</v>
      </c>
      <c r="T129" s="23">
        <f t="shared" si="75"/>
        <v>0</v>
      </c>
      <c r="U129" s="23">
        <f t="shared" si="75"/>
        <v>0.45</v>
      </c>
      <c r="V129" s="23">
        <f t="shared" si="75"/>
        <v>0</v>
      </c>
      <c r="W129" s="23">
        <f t="shared" si="75"/>
        <v>0</v>
      </c>
      <c r="X129" s="23">
        <f t="shared" si="75"/>
        <v>0</v>
      </c>
      <c r="Y129" s="23">
        <f t="shared" si="75"/>
        <v>0</v>
      </c>
      <c r="Z129" s="23">
        <f t="shared" si="75"/>
        <v>1.8</v>
      </c>
      <c r="AA129" s="23">
        <f t="shared" si="75"/>
        <v>0</v>
      </c>
      <c r="AB129" s="23">
        <f t="shared" si="75"/>
        <v>0</v>
      </c>
      <c r="AC129" s="23">
        <f t="shared" si="75"/>
        <v>0</v>
      </c>
      <c r="AD129" s="23">
        <f t="shared" si="75"/>
        <v>2.25</v>
      </c>
      <c r="AE129" s="23">
        <f t="shared" si="75"/>
        <v>0</v>
      </c>
      <c r="AF129" s="23">
        <f t="shared" si="75"/>
        <v>0</v>
      </c>
      <c r="AG129" s="23">
        <f t="shared" si="75"/>
        <v>0</v>
      </c>
      <c r="AH129" s="23">
        <f t="shared" si="75"/>
        <v>2.6999999999999997</v>
      </c>
      <c r="AI129" s="23">
        <f t="shared" si="75"/>
        <v>0</v>
      </c>
      <c r="AJ129" s="23">
        <f t="shared" si="75"/>
        <v>0</v>
      </c>
      <c r="AK129" s="23">
        <f t="shared" si="75"/>
        <v>0</v>
      </c>
      <c r="AL129" s="23">
        <f t="shared" si="75"/>
        <v>0</v>
      </c>
      <c r="AM129" s="23">
        <f t="shared" si="75"/>
        <v>0.9</v>
      </c>
      <c r="AN129" s="23">
        <f t="shared" si="75"/>
        <v>0</v>
      </c>
      <c r="AO129" s="23">
        <f t="shared" si="75"/>
        <v>0</v>
      </c>
      <c r="AP129" s="23">
        <f t="shared" si="75"/>
        <v>0</v>
      </c>
      <c r="AQ129" s="23">
        <f t="shared" si="75"/>
        <v>0</v>
      </c>
      <c r="AR129" s="23">
        <f t="shared" si="75"/>
        <v>0</v>
      </c>
      <c r="AS129" s="23">
        <f t="shared" si="75"/>
        <v>0</v>
      </c>
      <c r="AT129" s="23">
        <f t="shared" si="75"/>
        <v>0</v>
      </c>
      <c r="AU129" s="23">
        <f t="shared" si="75"/>
        <v>0</v>
      </c>
      <c r="AV129" s="23">
        <f t="shared" si="75"/>
        <v>0</v>
      </c>
      <c r="AW129" s="23">
        <f t="shared" si="75"/>
        <v>0</v>
      </c>
      <c r="AX129" s="23">
        <f t="shared" si="75"/>
        <v>0</v>
      </c>
      <c r="AY129" s="23">
        <f t="shared" si="75"/>
        <v>0</v>
      </c>
      <c r="AZ129" s="23">
        <f t="shared" si="75"/>
        <v>0</v>
      </c>
      <c r="BA129" s="23">
        <f t="shared" si="75"/>
        <v>0</v>
      </c>
      <c r="BB129" s="23">
        <f t="shared" si="75"/>
        <v>0</v>
      </c>
      <c r="BC129" s="23">
        <f t="shared" si="75"/>
        <v>0</v>
      </c>
      <c r="BD129" s="23">
        <f t="shared" si="75"/>
        <v>0</v>
      </c>
      <c r="BE129" s="23">
        <f t="shared" si="75"/>
        <v>0</v>
      </c>
      <c r="BF129" s="23">
        <f t="shared" si="75"/>
        <v>0</v>
      </c>
      <c r="BG129" s="23">
        <f t="shared" si="75"/>
        <v>0</v>
      </c>
      <c r="BH129" s="23">
        <f t="shared" si="75"/>
        <v>0</v>
      </c>
      <c r="BI129" s="23">
        <f t="shared" si="75"/>
        <v>0</v>
      </c>
      <c r="BJ129" s="23">
        <f t="shared" si="75"/>
        <v>0</v>
      </c>
      <c r="BK129" s="23">
        <f t="shared" si="75"/>
        <v>0</v>
      </c>
      <c r="BL129" s="23">
        <f t="shared" si="75"/>
        <v>0</v>
      </c>
      <c r="BM129" s="23">
        <f t="shared" si="75"/>
        <v>0</v>
      </c>
      <c r="BN129" s="23">
        <f t="shared" si="75"/>
        <v>0</v>
      </c>
      <c r="BO129" s="23">
        <f t="shared" si="75"/>
        <v>0</v>
      </c>
      <c r="BP129" s="23">
        <f t="shared" ref="BP129:EA129" si="76">IF(ISNA(HLOOKUP(BP127,$C$120:$DF$122,3,FALSE))=TRUE,0,HLOOKUP(BP127,$C$120:$DF$122,3,FALSE))</f>
        <v>0</v>
      </c>
      <c r="BQ129" s="23">
        <f t="shared" si="76"/>
        <v>0</v>
      </c>
      <c r="BR129" s="23">
        <f t="shared" si="76"/>
        <v>0</v>
      </c>
      <c r="BS129" s="23">
        <f t="shared" si="76"/>
        <v>0</v>
      </c>
      <c r="BT129" s="23">
        <f t="shared" si="76"/>
        <v>0</v>
      </c>
      <c r="BU129" s="23">
        <f t="shared" si="76"/>
        <v>0</v>
      </c>
      <c r="BV129" s="23">
        <f t="shared" si="76"/>
        <v>0</v>
      </c>
      <c r="BW129" s="23">
        <f t="shared" si="76"/>
        <v>0</v>
      </c>
      <c r="BX129" s="23">
        <f t="shared" si="76"/>
        <v>0</v>
      </c>
      <c r="BY129" s="23">
        <f t="shared" si="76"/>
        <v>0</v>
      </c>
      <c r="BZ129" s="23">
        <f t="shared" si="76"/>
        <v>0</v>
      </c>
      <c r="CA129" s="23">
        <f t="shared" si="76"/>
        <v>0</v>
      </c>
      <c r="CB129" s="23">
        <f t="shared" si="76"/>
        <v>0</v>
      </c>
      <c r="CC129" s="23">
        <f t="shared" si="76"/>
        <v>0</v>
      </c>
      <c r="CD129" s="23">
        <f t="shared" si="76"/>
        <v>0</v>
      </c>
      <c r="CE129" s="23">
        <f t="shared" si="76"/>
        <v>0</v>
      </c>
      <c r="CF129" s="23">
        <f t="shared" si="76"/>
        <v>0</v>
      </c>
      <c r="CG129" s="23">
        <f t="shared" si="76"/>
        <v>0</v>
      </c>
      <c r="CH129" s="23">
        <f t="shared" si="76"/>
        <v>0</v>
      </c>
      <c r="CI129" s="23">
        <f t="shared" si="76"/>
        <v>0</v>
      </c>
      <c r="CJ129" s="23">
        <f t="shared" si="76"/>
        <v>0</v>
      </c>
      <c r="CK129" s="23">
        <f t="shared" si="76"/>
        <v>0</v>
      </c>
      <c r="CL129" s="23">
        <f t="shared" si="76"/>
        <v>0</v>
      </c>
      <c r="CM129" s="23">
        <f t="shared" si="76"/>
        <v>0</v>
      </c>
      <c r="CN129" s="23">
        <f t="shared" si="76"/>
        <v>0</v>
      </c>
      <c r="CO129" s="23">
        <f t="shared" si="76"/>
        <v>0</v>
      </c>
      <c r="CP129" s="23">
        <f t="shared" si="76"/>
        <v>0</v>
      </c>
      <c r="CQ129" s="23">
        <f t="shared" si="76"/>
        <v>0</v>
      </c>
      <c r="CR129" s="23">
        <f t="shared" si="76"/>
        <v>0</v>
      </c>
      <c r="CS129" s="23">
        <f t="shared" si="76"/>
        <v>0</v>
      </c>
      <c r="CT129" s="23">
        <f t="shared" si="76"/>
        <v>0</v>
      </c>
      <c r="CU129" s="23">
        <f t="shared" si="76"/>
        <v>0</v>
      </c>
      <c r="CV129" s="23">
        <f t="shared" si="76"/>
        <v>0</v>
      </c>
      <c r="CW129" s="23">
        <f t="shared" si="76"/>
        <v>0</v>
      </c>
      <c r="CX129" s="23">
        <f t="shared" si="76"/>
        <v>0</v>
      </c>
      <c r="CY129" s="23">
        <f t="shared" si="76"/>
        <v>0</v>
      </c>
      <c r="CZ129" s="23">
        <f t="shared" si="76"/>
        <v>0</v>
      </c>
      <c r="DA129" s="23">
        <f t="shared" si="76"/>
        <v>0</v>
      </c>
      <c r="DB129" s="23">
        <f t="shared" si="76"/>
        <v>0</v>
      </c>
      <c r="DC129" s="23">
        <f t="shared" si="76"/>
        <v>0</v>
      </c>
      <c r="DD129" s="23">
        <f t="shared" si="76"/>
        <v>0</v>
      </c>
      <c r="DE129" s="23">
        <f t="shared" si="76"/>
        <v>0</v>
      </c>
      <c r="DF129" s="23">
        <f t="shared" si="76"/>
        <v>0</v>
      </c>
      <c r="DG129" s="23">
        <f t="shared" si="76"/>
        <v>0</v>
      </c>
      <c r="DH129" s="23">
        <f t="shared" si="76"/>
        <v>0</v>
      </c>
      <c r="DI129" s="23">
        <f t="shared" si="76"/>
        <v>0</v>
      </c>
      <c r="DJ129" s="23">
        <f t="shared" si="76"/>
        <v>0</v>
      </c>
      <c r="DK129" s="23">
        <f t="shared" si="76"/>
        <v>0</v>
      </c>
      <c r="DL129" s="23">
        <f t="shared" si="76"/>
        <v>0</v>
      </c>
      <c r="DM129" s="23">
        <f t="shared" si="76"/>
        <v>0</v>
      </c>
      <c r="DN129" s="23">
        <f t="shared" si="76"/>
        <v>0</v>
      </c>
      <c r="DO129" s="23">
        <f t="shared" si="76"/>
        <v>0</v>
      </c>
      <c r="DP129" s="23">
        <f t="shared" si="76"/>
        <v>0</v>
      </c>
      <c r="DQ129" s="23">
        <f t="shared" si="76"/>
        <v>0</v>
      </c>
      <c r="DR129" s="23">
        <f t="shared" si="76"/>
        <v>0</v>
      </c>
      <c r="DS129" s="23">
        <f t="shared" si="76"/>
        <v>0</v>
      </c>
      <c r="DT129" s="23">
        <f t="shared" si="76"/>
        <v>0</v>
      </c>
      <c r="DU129" s="23">
        <f t="shared" si="76"/>
        <v>0</v>
      </c>
      <c r="DV129" s="23">
        <f t="shared" si="76"/>
        <v>0</v>
      </c>
      <c r="DW129" s="23">
        <f t="shared" si="76"/>
        <v>0</v>
      </c>
      <c r="DX129" s="23">
        <f t="shared" si="76"/>
        <v>0</v>
      </c>
      <c r="DY129" s="23">
        <f t="shared" si="76"/>
        <v>0</v>
      </c>
      <c r="DZ129" s="23">
        <f t="shared" si="76"/>
        <v>0</v>
      </c>
      <c r="EA129" s="23">
        <f t="shared" si="76"/>
        <v>0</v>
      </c>
      <c r="EB129" s="23">
        <f t="shared" ref="EB129:EV129" si="77">IF(ISNA(HLOOKUP(EB127,$C$120:$DF$122,3,FALSE))=TRUE,0,HLOOKUP(EB127,$C$120:$DF$122,3,FALSE))</f>
        <v>0</v>
      </c>
      <c r="EC129" s="23">
        <f t="shared" si="77"/>
        <v>0</v>
      </c>
      <c r="ED129" s="23">
        <f t="shared" si="77"/>
        <v>0</v>
      </c>
      <c r="EE129" s="23">
        <f t="shared" si="77"/>
        <v>0</v>
      </c>
      <c r="EF129" s="23">
        <f t="shared" si="77"/>
        <v>0</v>
      </c>
      <c r="EG129" s="23">
        <f t="shared" si="77"/>
        <v>0</v>
      </c>
      <c r="EH129" s="23">
        <f t="shared" si="77"/>
        <v>0</v>
      </c>
      <c r="EI129" s="23">
        <f t="shared" si="77"/>
        <v>0</v>
      </c>
      <c r="EJ129" s="23">
        <f t="shared" si="77"/>
        <v>0</v>
      </c>
      <c r="EK129" s="23">
        <f t="shared" si="77"/>
        <v>0</v>
      </c>
      <c r="EL129" s="23">
        <f t="shared" si="77"/>
        <v>0</v>
      </c>
      <c r="EM129" s="23">
        <f t="shared" si="77"/>
        <v>0</v>
      </c>
      <c r="EN129" s="23">
        <f t="shared" si="77"/>
        <v>0</v>
      </c>
      <c r="EO129" s="23">
        <f t="shared" si="77"/>
        <v>0</v>
      </c>
      <c r="EP129" s="23">
        <f t="shared" si="77"/>
        <v>0</v>
      </c>
      <c r="EQ129" s="23">
        <f t="shared" si="77"/>
        <v>0</v>
      </c>
      <c r="ER129" s="23">
        <f t="shared" si="77"/>
        <v>0</v>
      </c>
      <c r="ES129" s="23">
        <f t="shared" si="77"/>
        <v>0</v>
      </c>
      <c r="ET129" s="23">
        <f t="shared" si="77"/>
        <v>0</v>
      </c>
      <c r="EU129" s="23">
        <f t="shared" si="77"/>
        <v>0</v>
      </c>
      <c r="EV129" s="23">
        <f t="shared" si="77"/>
        <v>0</v>
      </c>
    </row>
    <row r="131" spans="1:158" x14ac:dyDescent="0.2">
      <c r="C131" s="1023">
        <v>41640</v>
      </c>
      <c r="D131" s="1023">
        <v>41671</v>
      </c>
      <c r="E131" s="1023">
        <v>41699</v>
      </c>
      <c r="F131" s="1023">
        <v>41730</v>
      </c>
      <c r="G131" s="1023">
        <v>41760</v>
      </c>
      <c r="H131" s="1023">
        <v>41791</v>
      </c>
      <c r="I131" s="1023">
        <v>41821</v>
      </c>
      <c r="J131" s="1023">
        <v>41852</v>
      </c>
      <c r="K131" s="1023">
        <v>41883</v>
      </c>
      <c r="L131" s="1023">
        <v>41913</v>
      </c>
      <c r="M131" s="1023">
        <v>41944</v>
      </c>
      <c r="N131" s="1023">
        <v>41974</v>
      </c>
      <c r="O131" s="1023">
        <v>42005</v>
      </c>
      <c r="P131" s="1023">
        <v>42036</v>
      </c>
      <c r="Q131" s="1023">
        <v>42064</v>
      </c>
      <c r="R131" s="1023">
        <v>42095</v>
      </c>
      <c r="S131" s="1023">
        <v>42125</v>
      </c>
      <c r="T131" s="1023">
        <v>42156</v>
      </c>
      <c r="U131" s="1023">
        <v>42186</v>
      </c>
      <c r="V131" s="1023">
        <v>42217</v>
      </c>
      <c r="W131" s="1023">
        <v>42248</v>
      </c>
      <c r="X131" s="1023">
        <v>42278</v>
      </c>
      <c r="Y131" s="1023">
        <v>42309</v>
      </c>
      <c r="Z131" s="1023">
        <v>42339</v>
      </c>
      <c r="AA131" s="1023">
        <v>42370</v>
      </c>
      <c r="AB131" s="1023">
        <v>42401</v>
      </c>
      <c r="AC131" s="1023">
        <v>42430</v>
      </c>
      <c r="AD131" s="1023">
        <v>42461</v>
      </c>
      <c r="AE131" s="1023">
        <v>42491</v>
      </c>
      <c r="AF131" s="1023">
        <v>42522</v>
      </c>
      <c r="AG131" s="1023">
        <v>42552</v>
      </c>
      <c r="AH131" s="1023">
        <v>42583</v>
      </c>
      <c r="AI131" s="1023">
        <v>42614</v>
      </c>
      <c r="AJ131" s="1023">
        <v>42644</v>
      </c>
      <c r="AK131" s="1023">
        <v>42675</v>
      </c>
      <c r="AL131" s="1023">
        <v>42705</v>
      </c>
      <c r="AM131" s="1023">
        <v>42736</v>
      </c>
      <c r="AN131" s="1023">
        <v>42767</v>
      </c>
      <c r="AO131" s="1023">
        <v>42795</v>
      </c>
      <c r="AP131" s="1023">
        <v>42826</v>
      </c>
      <c r="AQ131" s="1023">
        <v>42856</v>
      </c>
      <c r="AR131" s="1023">
        <v>42887</v>
      </c>
      <c r="AS131" s="1023">
        <v>42917</v>
      </c>
      <c r="AT131" s="1023">
        <v>42948</v>
      </c>
      <c r="AU131" s="1023">
        <v>42979</v>
      </c>
      <c r="AV131" s="1023">
        <v>43009</v>
      </c>
      <c r="AW131" s="1023">
        <v>43040</v>
      </c>
      <c r="AX131" s="1023">
        <v>43070</v>
      </c>
      <c r="AY131" s="1023">
        <v>43101</v>
      </c>
      <c r="AZ131" s="1023">
        <v>43132</v>
      </c>
      <c r="BA131" s="1023">
        <v>43160</v>
      </c>
      <c r="BB131" s="1023">
        <v>43191</v>
      </c>
      <c r="BC131" s="1023">
        <v>43221</v>
      </c>
      <c r="BD131" s="1023">
        <v>43252</v>
      </c>
      <c r="BE131" s="1023">
        <v>43282</v>
      </c>
      <c r="BF131" s="1023">
        <v>43313</v>
      </c>
      <c r="BG131" s="1023">
        <v>43344</v>
      </c>
      <c r="BH131" s="1023">
        <v>43374</v>
      </c>
      <c r="BI131" s="1023">
        <v>43405</v>
      </c>
      <c r="BJ131" s="1023">
        <v>43435</v>
      </c>
      <c r="BK131" s="1023">
        <v>43466</v>
      </c>
      <c r="BL131" s="1023">
        <v>43497</v>
      </c>
      <c r="BM131" s="1023">
        <v>43525</v>
      </c>
      <c r="BN131" s="1023">
        <v>43556</v>
      </c>
      <c r="BO131" s="1023">
        <v>43586</v>
      </c>
      <c r="BP131" s="1023">
        <v>43617</v>
      </c>
      <c r="BQ131" s="1023">
        <v>43647</v>
      </c>
      <c r="BR131" s="1023">
        <v>43678</v>
      </c>
      <c r="BS131" s="1023">
        <v>43709</v>
      </c>
      <c r="BT131" s="1023">
        <v>43739</v>
      </c>
      <c r="BU131" s="1023">
        <v>43770</v>
      </c>
      <c r="BV131" s="1023">
        <v>43800</v>
      </c>
      <c r="BW131" s="1023">
        <v>43831</v>
      </c>
      <c r="BX131" s="1023">
        <v>43862</v>
      </c>
      <c r="BY131" s="1023">
        <v>43891</v>
      </c>
      <c r="BZ131" s="1023">
        <v>43922</v>
      </c>
      <c r="CA131" s="1023">
        <v>43952</v>
      </c>
      <c r="CB131" s="1023">
        <v>43983</v>
      </c>
      <c r="CC131" s="1023">
        <v>44013</v>
      </c>
      <c r="CD131" s="1023">
        <v>44044</v>
      </c>
      <c r="CE131" s="1023">
        <v>44075</v>
      </c>
      <c r="CF131" s="1023">
        <v>44105</v>
      </c>
      <c r="CG131" s="1023">
        <v>44136</v>
      </c>
      <c r="CH131" s="1023">
        <v>44166</v>
      </c>
      <c r="CI131" s="1023">
        <v>44197</v>
      </c>
      <c r="CJ131" s="1023">
        <v>44228</v>
      </c>
      <c r="CK131" s="1023">
        <v>44256</v>
      </c>
      <c r="CL131" s="1023">
        <v>44287</v>
      </c>
      <c r="CM131" s="1023">
        <v>44317</v>
      </c>
      <c r="CN131" s="1023">
        <v>44348</v>
      </c>
      <c r="CO131" s="1023">
        <v>44378</v>
      </c>
      <c r="CP131" s="1023">
        <v>44409</v>
      </c>
      <c r="CQ131" s="1023">
        <v>44440</v>
      </c>
      <c r="CR131" s="1023">
        <v>44470</v>
      </c>
      <c r="CS131" s="1023">
        <v>44501</v>
      </c>
      <c r="CT131" s="1023">
        <v>44531</v>
      </c>
      <c r="CU131" s="1023">
        <v>44562</v>
      </c>
      <c r="CV131" s="1023">
        <v>44593</v>
      </c>
      <c r="CW131" s="1023">
        <v>44621</v>
      </c>
      <c r="CX131" s="1023">
        <v>44652</v>
      </c>
      <c r="CY131" s="1023">
        <v>44682</v>
      </c>
      <c r="CZ131" s="1023">
        <v>44713</v>
      </c>
      <c r="DA131" s="1023">
        <v>44743</v>
      </c>
      <c r="DB131" s="1023">
        <v>44774</v>
      </c>
      <c r="DC131" s="1023">
        <v>44805</v>
      </c>
      <c r="DD131" s="1023">
        <v>44835</v>
      </c>
      <c r="DE131" s="1023">
        <v>44866</v>
      </c>
      <c r="DF131" s="1023">
        <v>44896</v>
      </c>
      <c r="DG131" s="1023">
        <v>44927</v>
      </c>
      <c r="DH131" s="1023">
        <v>44958</v>
      </c>
      <c r="DI131" s="1023">
        <v>44986</v>
      </c>
      <c r="DJ131" s="1023">
        <v>45017</v>
      </c>
      <c r="DK131" s="1023">
        <v>45047</v>
      </c>
      <c r="DL131" s="1023">
        <v>45078</v>
      </c>
      <c r="DM131" s="1023">
        <v>45108</v>
      </c>
      <c r="DN131" s="1023">
        <v>45139</v>
      </c>
      <c r="DO131" s="1023">
        <v>45170</v>
      </c>
      <c r="DP131" s="1023">
        <v>45200</v>
      </c>
      <c r="DQ131" s="1023">
        <v>45231</v>
      </c>
      <c r="DR131" s="1023">
        <v>45261</v>
      </c>
      <c r="DS131" s="1023">
        <v>45292</v>
      </c>
      <c r="DT131" s="1023">
        <v>45323</v>
      </c>
      <c r="DU131" s="1023">
        <v>45352</v>
      </c>
      <c r="DV131" s="1023">
        <v>45383</v>
      </c>
      <c r="DW131" s="1023">
        <v>45413</v>
      </c>
      <c r="DX131" s="1023">
        <v>45444</v>
      </c>
      <c r="DY131" s="1023">
        <v>45474</v>
      </c>
      <c r="DZ131" s="1023">
        <v>45505</v>
      </c>
      <c r="EA131" s="1023">
        <v>45536</v>
      </c>
      <c r="EB131" s="1023">
        <v>45566</v>
      </c>
      <c r="EC131" s="1023">
        <v>45597</v>
      </c>
      <c r="ED131" s="1023">
        <v>45627</v>
      </c>
      <c r="EE131" s="1023">
        <v>45658</v>
      </c>
      <c r="EF131" s="1023">
        <v>45689</v>
      </c>
      <c r="EG131" s="1023">
        <v>45717</v>
      </c>
      <c r="EH131" s="1023">
        <v>45748</v>
      </c>
      <c r="EI131" s="1023">
        <v>45778</v>
      </c>
      <c r="EJ131" s="1023">
        <v>45809</v>
      </c>
      <c r="EK131" s="1023">
        <v>45839</v>
      </c>
      <c r="EL131" s="1023">
        <v>45870</v>
      </c>
      <c r="EM131" s="1023">
        <v>45901</v>
      </c>
      <c r="EN131" s="1023">
        <v>45931</v>
      </c>
      <c r="EO131" s="1023">
        <v>45962</v>
      </c>
      <c r="EP131" s="1023">
        <v>45992</v>
      </c>
      <c r="EQ131" s="1023">
        <v>46023</v>
      </c>
      <c r="ER131" s="1023">
        <v>46054</v>
      </c>
      <c r="ES131" s="1023">
        <v>46082</v>
      </c>
      <c r="ET131" s="1023">
        <v>46113</v>
      </c>
      <c r="EU131" s="1023">
        <v>46143</v>
      </c>
      <c r="EV131" s="1023">
        <v>46174</v>
      </c>
    </row>
    <row r="132" spans="1:158" x14ac:dyDescent="0.2">
      <c r="C132" s="23">
        <f>C128</f>
        <v>0</v>
      </c>
      <c r="D132" s="23">
        <f t="shared" ref="D132:BO132" si="78">D128</f>
        <v>0</v>
      </c>
      <c r="E132" s="23">
        <f t="shared" si="78"/>
        <v>0</v>
      </c>
      <c r="F132" s="23">
        <f t="shared" si="78"/>
        <v>0</v>
      </c>
      <c r="G132" s="23">
        <f t="shared" si="78"/>
        <v>0</v>
      </c>
      <c r="H132" s="23">
        <f t="shared" si="78"/>
        <v>0</v>
      </c>
      <c r="I132" s="23">
        <f t="shared" si="78"/>
        <v>0</v>
      </c>
      <c r="J132" s="23">
        <f t="shared" si="78"/>
        <v>0</v>
      </c>
      <c r="K132" s="23">
        <f t="shared" si="78"/>
        <v>0</v>
      </c>
      <c r="L132" s="23">
        <f t="shared" si="78"/>
        <v>0</v>
      </c>
      <c r="M132" s="23">
        <f t="shared" si="78"/>
        <v>0</v>
      </c>
      <c r="N132" s="23">
        <f t="shared" si="78"/>
        <v>0</v>
      </c>
      <c r="O132" s="23">
        <f t="shared" si="78"/>
        <v>1.5325</v>
      </c>
      <c r="P132" s="23">
        <f t="shared" si="78"/>
        <v>3.0575000000000001</v>
      </c>
      <c r="Q132" s="23">
        <f t="shared" si="78"/>
        <v>0.12250000000000001</v>
      </c>
      <c r="R132" s="23">
        <f t="shared" si="78"/>
        <v>1.0225</v>
      </c>
      <c r="S132" s="23">
        <f t="shared" si="78"/>
        <v>2.1425000000000001</v>
      </c>
      <c r="T132" s="23">
        <f t="shared" si="78"/>
        <v>0.32250000000000001</v>
      </c>
      <c r="U132" s="23">
        <f t="shared" si="78"/>
        <v>0.76250000000000007</v>
      </c>
      <c r="V132" s="23">
        <f t="shared" si="78"/>
        <v>0.12250000000000001</v>
      </c>
      <c r="W132" s="23">
        <f t="shared" si="78"/>
        <v>0.40749999999999997</v>
      </c>
      <c r="X132" s="23">
        <f t="shared" si="78"/>
        <v>0.6</v>
      </c>
      <c r="Y132" s="23">
        <f t="shared" si="78"/>
        <v>1.1074999999999999</v>
      </c>
      <c r="Z132" s="23">
        <f t="shared" si="78"/>
        <v>2.3125</v>
      </c>
      <c r="AA132" s="23">
        <f t="shared" si="78"/>
        <v>0.39200000000000002</v>
      </c>
      <c r="AB132" s="23">
        <f t="shared" si="78"/>
        <v>1.5760000000000001</v>
      </c>
      <c r="AC132" s="23">
        <f t="shared" si="78"/>
        <v>0.58250000000000002</v>
      </c>
      <c r="AD132" s="23">
        <f t="shared" si="78"/>
        <v>6.4225000000000003</v>
      </c>
      <c r="AE132" s="23">
        <f t="shared" si="78"/>
        <v>1.623</v>
      </c>
      <c r="AF132" s="23">
        <f t="shared" si="78"/>
        <v>1.7090000000000001</v>
      </c>
      <c r="AG132" s="23">
        <f t="shared" si="78"/>
        <v>0.52700000000000002</v>
      </c>
      <c r="AH132" s="23">
        <f t="shared" si="78"/>
        <v>7.1244999999999994</v>
      </c>
      <c r="AI132" s="23">
        <f t="shared" si="78"/>
        <v>1.4950000000000001</v>
      </c>
      <c r="AJ132" s="23">
        <f t="shared" si="78"/>
        <v>1.8775000000000002</v>
      </c>
      <c r="AK132" s="23">
        <f t="shared" si="78"/>
        <v>0.97</v>
      </c>
      <c r="AL132" s="23">
        <f t="shared" si="78"/>
        <v>1.6850000000000001</v>
      </c>
      <c r="AM132" s="23">
        <f t="shared" si="78"/>
        <v>2.0655000000000001</v>
      </c>
      <c r="AN132" s="23">
        <f t="shared" si="78"/>
        <v>1.4610000000000001</v>
      </c>
      <c r="AO132" s="23">
        <f t="shared" si="78"/>
        <v>0.5535000000000001</v>
      </c>
      <c r="AP132" s="23">
        <f t="shared" si="78"/>
        <v>4.8475000000000001</v>
      </c>
      <c r="AQ132" s="23">
        <f t="shared" si="78"/>
        <v>0.77750000000000008</v>
      </c>
      <c r="AR132" s="23">
        <f t="shared" si="78"/>
        <v>0.38700000000000001</v>
      </c>
      <c r="AS132" s="23">
        <f t="shared" si="78"/>
        <v>2.4055000000000004</v>
      </c>
      <c r="AT132" s="23">
        <f t="shared" si="78"/>
        <v>0.38250000000000001</v>
      </c>
      <c r="AU132" s="23">
        <f t="shared" si="78"/>
        <v>0.2</v>
      </c>
      <c r="AV132" s="23">
        <f t="shared" si="78"/>
        <v>0</v>
      </c>
      <c r="AW132" s="23">
        <f t="shared" si="78"/>
        <v>2.2500000000000003E-2</v>
      </c>
      <c r="AX132" s="23">
        <f t="shared" si="78"/>
        <v>0</v>
      </c>
      <c r="AY132" s="23">
        <f t="shared" si="78"/>
        <v>0.127</v>
      </c>
      <c r="AZ132" s="23">
        <f t="shared" si="78"/>
        <v>0</v>
      </c>
      <c r="BA132" s="23">
        <f t="shared" si="78"/>
        <v>0</v>
      </c>
      <c r="BB132" s="23">
        <f t="shared" si="78"/>
        <v>0.23250000000000004</v>
      </c>
      <c r="BC132" s="23">
        <f t="shared" si="78"/>
        <v>2.0000000000000004E-2</v>
      </c>
      <c r="BD132" s="23">
        <f t="shared" si="78"/>
        <v>2.1499999999999998E-2</v>
      </c>
      <c r="BE132" s="23">
        <f t="shared" si="78"/>
        <v>0.93</v>
      </c>
      <c r="BF132" s="23">
        <f t="shared" si="78"/>
        <v>0.13</v>
      </c>
      <c r="BG132" s="23">
        <f t="shared" si="78"/>
        <v>0</v>
      </c>
      <c r="BH132" s="23">
        <f t="shared" si="78"/>
        <v>0</v>
      </c>
      <c r="BI132" s="23">
        <f t="shared" si="78"/>
        <v>0.39</v>
      </c>
      <c r="BJ132" s="23">
        <f t="shared" si="78"/>
        <v>0</v>
      </c>
      <c r="BK132" s="23">
        <f t="shared" si="78"/>
        <v>0</v>
      </c>
      <c r="BL132" s="23">
        <f t="shared" si="78"/>
        <v>0.26</v>
      </c>
      <c r="BM132" s="23">
        <f t="shared" si="78"/>
        <v>0</v>
      </c>
      <c r="BN132" s="23">
        <f t="shared" si="78"/>
        <v>0</v>
      </c>
      <c r="BO132" s="23">
        <f t="shared" si="78"/>
        <v>0</v>
      </c>
      <c r="BP132" s="23">
        <f t="shared" ref="BP132:EA132" si="79">BP128</f>
        <v>0</v>
      </c>
      <c r="BQ132" s="23">
        <f t="shared" si="79"/>
        <v>0</v>
      </c>
      <c r="BR132" s="23">
        <f t="shared" si="79"/>
        <v>0</v>
      </c>
      <c r="BS132" s="23">
        <f t="shared" si="79"/>
        <v>0.52</v>
      </c>
      <c r="BT132" s="23">
        <f t="shared" si="79"/>
        <v>0</v>
      </c>
      <c r="BU132" s="23">
        <f t="shared" si="79"/>
        <v>0.52</v>
      </c>
      <c r="BV132" s="23">
        <f t="shared" si="79"/>
        <v>0</v>
      </c>
      <c r="BW132" s="23">
        <f t="shared" si="79"/>
        <v>0</v>
      </c>
      <c r="BX132" s="23">
        <f t="shared" si="79"/>
        <v>0</v>
      </c>
      <c r="BY132" s="23">
        <f t="shared" si="79"/>
        <v>0</v>
      </c>
      <c r="BZ132" s="23">
        <f t="shared" si="79"/>
        <v>0.52</v>
      </c>
      <c r="CA132" s="23">
        <f t="shared" si="79"/>
        <v>0</v>
      </c>
      <c r="CB132" s="23">
        <f t="shared" si="79"/>
        <v>0</v>
      </c>
      <c r="CC132" s="23">
        <f t="shared" si="79"/>
        <v>0.26</v>
      </c>
      <c r="CD132" s="23">
        <f t="shared" si="79"/>
        <v>0</v>
      </c>
      <c r="CE132" s="23">
        <f t="shared" si="79"/>
        <v>0</v>
      </c>
      <c r="CF132" s="23">
        <f t="shared" si="79"/>
        <v>0</v>
      </c>
      <c r="CG132" s="23">
        <f t="shared" si="79"/>
        <v>0</v>
      </c>
      <c r="CH132" s="23">
        <f t="shared" si="79"/>
        <v>0</v>
      </c>
      <c r="CI132" s="23">
        <f t="shared" si="79"/>
        <v>0</v>
      </c>
      <c r="CJ132" s="23">
        <f t="shared" si="79"/>
        <v>0</v>
      </c>
      <c r="CK132" s="23">
        <f t="shared" si="79"/>
        <v>0</v>
      </c>
      <c r="CL132" s="23">
        <f t="shared" si="79"/>
        <v>0</v>
      </c>
      <c r="CM132" s="23">
        <f t="shared" si="79"/>
        <v>0</v>
      </c>
      <c r="CN132" s="23">
        <f t="shared" si="79"/>
        <v>0</v>
      </c>
      <c r="CO132" s="23">
        <f t="shared" si="79"/>
        <v>0.13</v>
      </c>
      <c r="CP132" s="23">
        <f t="shared" si="79"/>
        <v>0</v>
      </c>
      <c r="CQ132" s="23">
        <f t="shared" si="79"/>
        <v>0</v>
      </c>
      <c r="CR132" s="23">
        <f t="shared" si="79"/>
        <v>0</v>
      </c>
      <c r="CS132" s="23">
        <f t="shared" si="79"/>
        <v>0</v>
      </c>
      <c r="CT132" s="23">
        <f t="shared" si="79"/>
        <v>0</v>
      </c>
      <c r="CU132" s="23">
        <f t="shared" si="79"/>
        <v>0</v>
      </c>
      <c r="CV132" s="23">
        <f t="shared" si="79"/>
        <v>0</v>
      </c>
      <c r="CW132" s="23">
        <f t="shared" si="79"/>
        <v>0</v>
      </c>
      <c r="CX132" s="23">
        <f t="shared" si="79"/>
        <v>0</v>
      </c>
      <c r="CY132" s="23">
        <f t="shared" si="79"/>
        <v>0</v>
      </c>
      <c r="CZ132" s="23">
        <f t="shared" si="79"/>
        <v>0</v>
      </c>
      <c r="DA132" s="23">
        <f t="shared" si="79"/>
        <v>0</v>
      </c>
      <c r="DB132" s="23">
        <f t="shared" si="79"/>
        <v>0</v>
      </c>
      <c r="DC132" s="23">
        <f t="shared" si="79"/>
        <v>0</v>
      </c>
      <c r="DD132" s="23">
        <f t="shared" si="79"/>
        <v>0</v>
      </c>
      <c r="DE132" s="23">
        <f t="shared" si="79"/>
        <v>0</v>
      </c>
      <c r="DF132" s="23">
        <f t="shared" si="79"/>
        <v>0</v>
      </c>
      <c r="DG132" s="23">
        <f t="shared" si="79"/>
        <v>0</v>
      </c>
      <c r="DH132" s="23">
        <f t="shared" si="79"/>
        <v>0</v>
      </c>
      <c r="DI132" s="23">
        <f t="shared" si="79"/>
        <v>0</v>
      </c>
      <c r="DJ132" s="23">
        <f t="shared" si="79"/>
        <v>0</v>
      </c>
      <c r="DK132" s="23">
        <f t="shared" si="79"/>
        <v>0</v>
      </c>
      <c r="DL132" s="23">
        <f t="shared" si="79"/>
        <v>0</v>
      </c>
      <c r="DM132" s="23">
        <f t="shared" si="79"/>
        <v>0</v>
      </c>
      <c r="DN132" s="23">
        <f t="shared" si="79"/>
        <v>0</v>
      </c>
      <c r="DO132" s="23">
        <f t="shared" si="79"/>
        <v>0</v>
      </c>
      <c r="DP132" s="23">
        <f t="shared" si="79"/>
        <v>0</v>
      </c>
      <c r="DQ132" s="23">
        <f t="shared" si="79"/>
        <v>0</v>
      </c>
      <c r="DR132" s="23">
        <f t="shared" si="79"/>
        <v>0</v>
      </c>
      <c r="DS132" s="23">
        <f t="shared" si="79"/>
        <v>0</v>
      </c>
      <c r="DT132" s="23">
        <f t="shared" si="79"/>
        <v>0</v>
      </c>
      <c r="DU132" s="23">
        <f t="shared" si="79"/>
        <v>0</v>
      </c>
      <c r="DV132" s="23">
        <f t="shared" si="79"/>
        <v>0</v>
      </c>
      <c r="DW132" s="23">
        <f t="shared" si="79"/>
        <v>0</v>
      </c>
      <c r="DX132" s="23">
        <f t="shared" si="79"/>
        <v>0</v>
      </c>
      <c r="DY132" s="23">
        <f t="shared" si="79"/>
        <v>0</v>
      </c>
      <c r="DZ132" s="23">
        <f t="shared" si="79"/>
        <v>0</v>
      </c>
      <c r="EA132" s="23">
        <f t="shared" si="79"/>
        <v>0</v>
      </c>
      <c r="EB132" s="23">
        <f t="shared" ref="EB132:EV132" si="80">EB128</f>
        <v>0</v>
      </c>
      <c r="EC132" s="23">
        <f t="shared" si="80"/>
        <v>0</v>
      </c>
      <c r="ED132" s="23">
        <f t="shared" si="80"/>
        <v>0</v>
      </c>
      <c r="EE132" s="23">
        <f t="shared" si="80"/>
        <v>0</v>
      </c>
      <c r="EF132" s="23">
        <f t="shared" si="80"/>
        <v>0</v>
      </c>
      <c r="EG132" s="23">
        <f t="shared" si="80"/>
        <v>0</v>
      </c>
      <c r="EH132" s="23">
        <f t="shared" si="80"/>
        <v>0</v>
      </c>
      <c r="EI132" s="23">
        <f t="shared" si="80"/>
        <v>0</v>
      </c>
      <c r="EJ132" s="23">
        <f t="shared" si="80"/>
        <v>0</v>
      </c>
      <c r="EK132" s="23">
        <f t="shared" si="80"/>
        <v>0</v>
      </c>
      <c r="EL132" s="23">
        <f t="shared" si="80"/>
        <v>0</v>
      </c>
      <c r="EM132" s="23">
        <f t="shared" si="80"/>
        <v>0</v>
      </c>
      <c r="EN132" s="23">
        <f t="shared" si="80"/>
        <v>0</v>
      </c>
      <c r="EO132" s="23">
        <f t="shared" si="80"/>
        <v>0</v>
      </c>
      <c r="EP132" s="23">
        <f t="shared" si="80"/>
        <v>0</v>
      </c>
      <c r="EQ132" s="23">
        <f t="shared" si="80"/>
        <v>0</v>
      </c>
      <c r="ER132" s="23">
        <f t="shared" si="80"/>
        <v>0</v>
      </c>
      <c r="ES132" s="23">
        <f t="shared" si="80"/>
        <v>0</v>
      </c>
      <c r="ET132" s="23">
        <f t="shared" si="80"/>
        <v>0</v>
      </c>
      <c r="EU132" s="23">
        <f t="shared" si="80"/>
        <v>0</v>
      </c>
      <c r="EV132" s="23">
        <f t="shared" si="80"/>
        <v>0</v>
      </c>
    </row>
    <row r="133" spans="1:158" x14ac:dyDescent="0.2">
      <c r="C133" s="1249" t="s">
        <v>1332</v>
      </c>
      <c r="D133" s="1249"/>
      <c r="E133" s="1249"/>
      <c r="F133" s="1249" t="s">
        <v>1333</v>
      </c>
      <c r="G133" s="1249"/>
      <c r="H133" s="1249"/>
      <c r="I133" s="1249" t="s">
        <v>1334</v>
      </c>
      <c r="J133" s="1249"/>
      <c r="K133" s="1249"/>
      <c r="L133" s="1249" t="s">
        <v>1335</v>
      </c>
      <c r="M133" s="1249"/>
      <c r="N133" s="1249"/>
      <c r="O133" s="1249" t="s">
        <v>1336</v>
      </c>
      <c r="P133" s="1249"/>
      <c r="Q133" s="1249"/>
      <c r="R133" s="1249" t="s">
        <v>1337</v>
      </c>
      <c r="S133" s="1249"/>
      <c r="T133" s="1249"/>
      <c r="U133" s="1249" t="s">
        <v>1338</v>
      </c>
      <c r="V133" s="1249"/>
      <c r="W133" s="1249"/>
      <c r="X133" s="1249" t="s">
        <v>1339</v>
      </c>
      <c r="Y133" s="1249"/>
      <c r="Z133" s="1249"/>
      <c r="AA133" s="1249" t="s">
        <v>1340</v>
      </c>
      <c r="AB133" s="1249"/>
      <c r="AC133" s="1249"/>
      <c r="AD133" s="1249" t="s">
        <v>1341</v>
      </c>
      <c r="AE133" s="1249"/>
      <c r="AF133" s="1249"/>
      <c r="AG133" s="1249" t="s">
        <v>1342</v>
      </c>
      <c r="AH133" s="1249"/>
      <c r="AI133" s="1249"/>
      <c r="AJ133" s="1249" t="s">
        <v>1343</v>
      </c>
      <c r="AK133" s="1249"/>
      <c r="AL133" s="1249"/>
      <c r="AM133" s="1249" t="s">
        <v>1344</v>
      </c>
      <c r="AN133" s="1249"/>
      <c r="AO133" s="1249"/>
      <c r="AP133" s="1249" t="s">
        <v>1345</v>
      </c>
      <c r="AQ133" s="1249"/>
      <c r="AR133" s="1249"/>
      <c r="AS133" s="1249" t="s">
        <v>1346</v>
      </c>
      <c r="AT133" s="1249"/>
      <c r="AU133" s="1249"/>
      <c r="AV133" s="1249" t="s">
        <v>1347</v>
      </c>
      <c r="AW133" s="1249"/>
      <c r="AX133" s="1249"/>
      <c r="AY133" s="1249" t="s">
        <v>1348</v>
      </c>
      <c r="AZ133" s="1249"/>
      <c r="BA133" s="1249"/>
      <c r="BB133" s="1249" t="s">
        <v>1349</v>
      </c>
      <c r="BC133" s="1249"/>
      <c r="BD133" s="1249"/>
      <c r="BE133" s="1249" t="s">
        <v>1350</v>
      </c>
      <c r="BF133" s="1249"/>
      <c r="BG133" s="1249"/>
      <c r="BH133" s="1249" t="s">
        <v>1351</v>
      </c>
      <c r="BI133" s="1249"/>
      <c r="BJ133" s="1249"/>
      <c r="BK133" s="1249" t="s">
        <v>1352</v>
      </c>
      <c r="BL133" s="1249"/>
      <c r="BM133" s="1249"/>
      <c r="BN133" s="1249" t="s">
        <v>1353</v>
      </c>
      <c r="BO133" s="1249"/>
      <c r="BP133" s="1249"/>
      <c r="BQ133" s="1249" t="s">
        <v>1354</v>
      </c>
      <c r="BR133" s="1249"/>
      <c r="BS133" s="1249"/>
      <c r="BT133" s="1249" t="s">
        <v>1355</v>
      </c>
      <c r="BU133" s="1249"/>
      <c r="BV133" s="1249"/>
      <c r="BW133" s="1249" t="s">
        <v>1356</v>
      </c>
      <c r="BX133" s="1249"/>
      <c r="BY133" s="1249"/>
      <c r="BZ133" s="1249" t="s">
        <v>1357</v>
      </c>
      <c r="CA133" s="1249"/>
      <c r="CB133" s="1249"/>
      <c r="CC133" s="1249" t="s">
        <v>1358</v>
      </c>
      <c r="CD133" s="1249"/>
      <c r="CE133" s="1249"/>
      <c r="CF133" s="1249" t="s">
        <v>1359</v>
      </c>
      <c r="CG133" s="1249"/>
      <c r="CH133" s="1249"/>
      <c r="CI133" s="1249" t="s">
        <v>1360</v>
      </c>
      <c r="CJ133" s="1249"/>
      <c r="CK133" s="1249"/>
      <c r="CL133" s="1249" t="s">
        <v>1361</v>
      </c>
      <c r="CM133" s="1249"/>
      <c r="CN133" s="1249"/>
      <c r="CO133" s="1249" t="s">
        <v>1362</v>
      </c>
      <c r="CP133" s="1249"/>
      <c r="CQ133" s="1249"/>
      <c r="CR133" s="1249" t="s">
        <v>1363</v>
      </c>
      <c r="CS133" s="1249"/>
      <c r="CT133" s="1249"/>
      <c r="CU133" s="1249" t="s">
        <v>1364</v>
      </c>
      <c r="CV133" s="1249"/>
      <c r="CW133" s="1249"/>
      <c r="CX133" s="1249" t="s">
        <v>1365</v>
      </c>
      <c r="CY133" s="1249"/>
      <c r="CZ133" s="1249"/>
      <c r="DA133" s="1249" t="s">
        <v>1366</v>
      </c>
      <c r="DB133" s="1249"/>
      <c r="DC133" s="1249"/>
      <c r="DD133" s="1249" t="s">
        <v>1367</v>
      </c>
      <c r="DE133" s="1249"/>
      <c r="DF133" s="1249"/>
      <c r="DG133" s="1249" t="s">
        <v>1368</v>
      </c>
      <c r="DH133" s="1249"/>
      <c r="DI133" s="1249"/>
      <c r="DJ133" s="1249" t="s">
        <v>1369</v>
      </c>
      <c r="DK133" s="1249"/>
      <c r="DL133" s="1249"/>
      <c r="DM133" s="1249" t="s">
        <v>1370</v>
      </c>
      <c r="DN133" s="1249"/>
      <c r="DO133" s="1249"/>
      <c r="DP133" s="1249" t="s">
        <v>1371</v>
      </c>
      <c r="DQ133" s="1249"/>
      <c r="DR133" s="1249"/>
      <c r="DS133" s="1249" t="s">
        <v>1372</v>
      </c>
      <c r="DT133" s="1249"/>
      <c r="DU133" s="1249"/>
      <c r="DV133" s="1249" t="s">
        <v>1373</v>
      </c>
      <c r="DW133" s="1249"/>
      <c r="DX133" s="1249"/>
      <c r="DY133" s="1249" t="s">
        <v>1374</v>
      </c>
      <c r="DZ133" s="1249"/>
      <c r="EA133" s="1249"/>
      <c r="EB133" s="1249" t="s">
        <v>1375</v>
      </c>
      <c r="EC133" s="1249"/>
      <c r="ED133" s="1249"/>
      <c r="EE133" s="1249" t="s">
        <v>1376</v>
      </c>
      <c r="EF133" s="1249"/>
      <c r="EG133" s="1249"/>
      <c r="EH133" s="1249" t="s">
        <v>1377</v>
      </c>
      <c r="EI133" s="1249"/>
      <c r="EJ133" s="1249"/>
      <c r="EK133" s="1249" t="s">
        <v>1378</v>
      </c>
      <c r="EL133" s="1249"/>
      <c r="EM133" s="1249"/>
      <c r="EN133" s="1249" t="s">
        <v>1379</v>
      </c>
      <c r="EO133" s="1249"/>
      <c r="EP133" s="1249"/>
      <c r="EQ133" s="1249" t="s">
        <v>1380</v>
      </c>
      <c r="ER133" s="1249"/>
      <c r="ES133" s="1249"/>
      <c r="ET133" s="1249" t="s">
        <v>1381</v>
      </c>
      <c r="EU133" s="1249"/>
      <c r="EV133" s="1249"/>
    </row>
    <row r="134" spans="1:158" x14ac:dyDescent="0.2">
      <c r="C134" s="1312">
        <f>SUM(C132:E132)</f>
        <v>0</v>
      </c>
      <c r="D134" s="1249"/>
      <c r="E134" s="1249"/>
      <c r="F134" s="1312">
        <f>SUM(F132:H132)</f>
        <v>0</v>
      </c>
      <c r="G134" s="1249"/>
      <c r="H134" s="1249"/>
      <c r="I134" s="1312">
        <f>SUM(I132:K132)</f>
        <v>0</v>
      </c>
      <c r="J134" s="1249"/>
      <c r="K134" s="1249"/>
      <c r="L134" s="1312">
        <f>SUM(L132:N132)</f>
        <v>0</v>
      </c>
      <c r="M134" s="1249"/>
      <c r="N134" s="1249"/>
      <c r="O134" s="1312">
        <f>SUM(O132:Q132)</f>
        <v>4.7124999999999995</v>
      </c>
      <c r="P134" s="1249"/>
      <c r="Q134" s="1249"/>
      <c r="R134" s="1312">
        <f>SUM(R132:T132)</f>
        <v>3.4874999999999998</v>
      </c>
      <c r="S134" s="1249"/>
      <c r="T134" s="1249"/>
      <c r="U134" s="1312">
        <f>SUM(U132:W132)</f>
        <v>1.2925</v>
      </c>
      <c r="V134" s="1249"/>
      <c r="W134" s="1249"/>
      <c r="X134" s="1312">
        <f>SUM(X132:Z132)</f>
        <v>4.0199999999999996</v>
      </c>
      <c r="Y134" s="1249"/>
      <c r="Z134" s="1249"/>
      <c r="AA134" s="1312">
        <f>SUM(AA132:AC132)</f>
        <v>2.5505</v>
      </c>
      <c r="AB134" s="1249"/>
      <c r="AC134" s="1249"/>
      <c r="AD134" s="1312">
        <f>SUM(AD132:AF132)</f>
        <v>9.7545000000000002</v>
      </c>
      <c r="AE134" s="1249"/>
      <c r="AF134" s="1249"/>
      <c r="AG134" s="1312">
        <f>SUM(AG132:AI132)</f>
        <v>9.1464999999999996</v>
      </c>
      <c r="AH134" s="1249"/>
      <c r="AI134" s="1249"/>
      <c r="AJ134" s="1312">
        <f>SUM(AJ132:AL132)</f>
        <v>4.5325000000000006</v>
      </c>
      <c r="AK134" s="1249"/>
      <c r="AL134" s="1249"/>
      <c r="AM134" s="1312">
        <f>SUM(AM132:AO132)</f>
        <v>4.08</v>
      </c>
      <c r="AN134" s="1249"/>
      <c r="AO134" s="1249"/>
      <c r="AP134" s="1312">
        <f>SUM(AP132:AR132)</f>
        <v>6.0120000000000005</v>
      </c>
      <c r="AQ134" s="1249"/>
      <c r="AR134" s="1249"/>
      <c r="AS134" s="1312">
        <f>SUM(AS132:AU132)</f>
        <v>2.9880000000000004</v>
      </c>
      <c r="AT134" s="1249"/>
      <c r="AU134" s="1249"/>
      <c r="AV134" s="1312">
        <f>SUM(AV132:AX132)</f>
        <v>2.2500000000000003E-2</v>
      </c>
      <c r="AW134" s="1249"/>
      <c r="AX134" s="1249"/>
      <c r="AY134" s="1312">
        <f>SUM(AY132:BA132)</f>
        <v>0.127</v>
      </c>
      <c r="AZ134" s="1249"/>
      <c r="BA134" s="1249"/>
      <c r="BB134" s="1312">
        <f>SUM(BB132:BD132)</f>
        <v>0.27400000000000008</v>
      </c>
      <c r="BC134" s="1249"/>
      <c r="BD134" s="1249"/>
      <c r="BE134" s="1312">
        <f>SUM(BE132:BG132)</f>
        <v>1.06</v>
      </c>
      <c r="BF134" s="1249"/>
      <c r="BG134" s="1249"/>
      <c r="BH134" s="1312">
        <f>SUM(BH132:BJ132)</f>
        <v>0.39</v>
      </c>
      <c r="BI134" s="1249"/>
      <c r="BJ134" s="1249"/>
      <c r="BK134" s="1312">
        <f>SUM(BK132:BM132)</f>
        <v>0.26</v>
      </c>
      <c r="BL134" s="1249"/>
      <c r="BM134" s="1249"/>
      <c r="BN134" s="1312">
        <f>SUM(BN132:BP132)</f>
        <v>0</v>
      </c>
      <c r="BO134" s="1249"/>
      <c r="BP134" s="1249"/>
      <c r="BQ134" s="1312">
        <f>SUM(BQ132:BS132)</f>
        <v>0.52</v>
      </c>
      <c r="BR134" s="1249"/>
      <c r="BS134" s="1249"/>
      <c r="BT134" s="1312">
        <f>SUM(BT132:BV132)</f>
        <v>0.52</v>
      </c>
      <c r="BU134" s="1249"/>
      <c r="BV134" s="1249"/>
      <c r="BW134" s="1312">
        <f>SUM(BW132:BY132)</f>
        <v>0</v>
      </c>
      <c r="BX134" s="1249"/>
      <c r="BY134" s="1249"/>
      <c r="BZ134" s="1312">
        <f>SUM(BZ132:CB132)</f>
        <v>0.52</v>
      </c>
      <c r="CA134" s="1249"/>
      <c r="CB134" s="1249"/>
      <c r="CC134" s="1312">
        <f>SUM(CC132:CE132)</f>
        <v>0.26</v>
      </c>
      <c r="CD134" s="1249"/>
      <c r="CE134" s="1249"/>
      <c r="CF134" s="1312">
        <f>SUM(CF132:CH132)</f>
        <v>0</v>
      </c>
      <c r="CG134" s="1249"/>
      <c r="CH134" s="1249"/>
      <c r="CI134" s="1312">
        <f>SUM(CI132:CK132)</f>
        <v>0</v>
      </c>
      <c r="CJ134" s="1249"/>
      <c r="CK134" s="1249"/>
      <c r="CL134" s="1312">
        <f>SUM(CL132:CN132)</f>
        <v>0</v>
      </c>
      <c r="CM134" s="1249"/>
      <c r="CN134" s="1249"/>
      <c r="CO134" s="1312">
        <f>SUM(CO132:CQ132)</f>
        <v>0.13</v>
      </c>
      <c r="CP134" s="1249"/>
      <c r="CQ134" s="1249"/>
      <c r="CR134" s="1312">
        <f>SUM(CR132:CT132)</f>
        <v>0</v>
      </c>
      <c r="CS134" s="1249"/>
      <c r="CT134" s="1249"/>
      <c r="CU134" s="1312">
        <f>SUM(CU132:CW132)</f>
        <v>0</v>
      </c>
      <c r="CV134" s="1249"/>
      <c r="CW134" s="1249"/>
      <c r="CX134" s="1312">
        <f>SUM(CX132:CZ132)</f>
        <v>0</v>
      </c>
      <c r="CY134" s="1249"/>
      <c r="CZ134" s="1249"/>
      <c r="DA134" s="1312">
        <f>SUM(DA132:DC132)</f>
        <v>0</v>
      </c>
      <c r="DB134" s="1249"/>
      <c r="DC134" s="1249"/>
      <c r="DD134" s="1312">
        <f>SUM(DD132:DF132)</f>
        <v>0</v>
      </c>
      <c r="DE134" s="1249"/>
      <c r="DF134" s="1249"/>
      <c r="DG134" s="1312">
        <f>SUM(DG132:DI132)</f>
        <v>0</v>
      </c>
      <c r="DH134" s="1249"/>
      <c r="DI134" s="1249"/>
      <c r="DJ134" s="1312">
        <f>SUM(DJ132:DL132)</f>
        <v>0</v>
      </c>
      <c r="DK134" s="1249"/>
      <c r="DL134" s="1249"/>
      <c r="DM134" s="1312">
        <f>SUM(DM132:DO132)</f>
        <v>0</v>
      </c>
      <c r="DN134" s="1249"/>
      <c r="DO134" s="1249"/>
      <c r="DP134" s="1312">
        <f>SUM(DP132:DR132)</f>
        <v>0</v>
      </c>
      <c r="DQ134" s="1249"/>
      <c r="DR134" s="1249"/>
      <c r="DS134" s="1312">
        <f>SUM(DS132:DU132)</f>
        <v>0</v>
      </c>
      <c r="DT134" s="1249"/>
      <c r="DU134" s="1249"/>
      <c r="DV134" s="1312">
        <f>SUM(DV132:DX132)</f>
        <v>0</v>
      </c>
      <c r="DW134" s="1249"/>
      <c r="DX134" s="1249"/>
      <c r="DY134" s="1312">
        <f>SUM(DY132:EA132)</f>
        <v>0</v>
      </c>
      <c r="DZ134" s="1249"/>
      <c r="EA134" s="1249"/>
      <c r="EB134" s="1312">
        <f>SUM(EB132:ED132)</f>
        <v>0</v>
      </c>
      <c r="EC134" s="1249"/>
      <c r="ED134" s="1249"/>
      <c r="EE134" s="1312">
        <f>SUM(EE132:EG132)</f>
        <v>0</v>
      </c>
      <c r="EF134" s="1249"/>
      <c r="EG134" s="1249"/>
      <c r="EH134" s="1312">
        <f>SUM(EH132:EJ132)</f>
        <v>0</v>
      </c>
      <c r="EI134" s="1249"/>
      <c r="EJ134" s="1249"/>
      <c r="EK134" s="1312">
        <f>SUM(EK132:EM132)</f>
        <v>0</v>
      </c>
      <c r="EL134" s="1249"/>
      <c r="EM134" s="1249"/>
      <c r="EN134" s="1312">
        <f>SUM(EN132:EP132)</f>
        <v>0</v>
      </c>
      <c r="EO134" s="1249"/>
      <c r="EP134" s="1249"/>
      <c r="EQ134" s="1312">
        <f>SUM(EQ132:ES132)</f>
        <v>0</v>
      </c>
      <c r="ER134" s="1249"/>
      <c r="ES134" s="1249"/>
      <c r="ET134" s="1312">
        <f>SUM(ET132:EV132)</f>
        <v>0</v>
      </c>
      <c r="EU134" s="1249"/>
      <c r="EV134" s="1249"/>
    </row>
    <row r="135" spans="1:158" x14ac:dyDescent="0.2">
      <c r="C135" s="1249" t="s">
        <v>1382</v>
      </c>
      <c r="D135" s="1249"/>
      <c r="E135" s="1249"/>
      <c r="F135" s="1249"/>
      <c r="G135" s="1249"/>
      <c r="H135" s="1249"/>
      <c r="I135" s="1249" t="s">
        <v>1383</v>
      </c>
      <c r="J135" s="1249"/>
      <c r="K135" s="1249"/>
      <c r="L135" s="1249"/>
      <c r="M135" s="1249"/>
      <c r="N135" s="1249"/>
      <c r="O135" s="1249" t="s">
        <v>1384</v>
      </c>
      <c r="P135" s="1249"/>
      <c r="Q135" s="1249"/>
      <c r="R135" s="1249"/>
      <c r="S135" s="1249"/>
      <c r="T135" s="1249"/>
      <c r="U135" s="1249" t="s">
        <v>1385</v>
      </c>
      <c r="V135" s="1249"/>
      <c r="W135" s="1249"/>
      <c r="X135" s="1249"/>
      <c r="Y135" s="1249"/>
      <c r="Z135" s="1249"/>
      <c r="AA135" s="1249" t="s">
        <v>1386</v>
      </c>
      <c r="AB135" s="1249"/>
      <c r="AC135" s="1249"/>
      <c r="AD135" s="1249"/>
      <c r="AE135" s="1249"/>
      <c r="AF135" s="1249"/>
      <c r="AG135" s="1249" t="s">
        <v>1387</v>
      </c>
      <c r="AH135" s="1249"/>
      <c r="AI135" s="1249"/>
      <c r="AJ135" s="1249"/>
      <c r="AK135" s="1249"/>
      <c r="AL135" s="1249"/>
      <c r="AM135" s="1249" t="s">
        <v>1388</v>
      </c>
      <c r="AN135" s="1249"/>
      <c r="AO135" s="1249"/>
      <c r="AP135" s="1249"/>
      <c r="AQ135" s="1249"/>
      <c r="AR135" s="1249"/>
      <c r="AS135" s="1249" t="s">
        <v>1389</v>
      </c>
      <c r="AT135" s="1249"/>
      <c r="AU135" s="1249"/>
      <c r="AV135" s="1249"/>
      <c r="AW135" s="1249"/>
      <c r="AX135" s="1249"/>
      <c r="AY135" s="1249" t="s">
        <v>1390</v>
      </c>
      <c r="AZ135" s="1249"/>
      <c r="BA135" s="1249"/>
      <c r="BB135" s="1249"/>
      <c r="BC135" s="1249"/>
      <c r="BD135" s="1249"/>
      <c r="BE135" s="1249" t="s">
        <v>1391</v>
      </c>
      <c r="BF135" s="1249"/>
      <c r="BG135" s="1249"/>
      <c r="BH135" s="1249"/>
      <c r="BI135" s="1249"/>
      <c r="BJ135" s="1249"/>
      <c r="BK135" s="1249" t="s">
        <v>1392</v>
      </c>
      <c r="BL135" s="1249"/>
      <c r="BM135" s="1249"/>
      <c r="BN135" s="1249"/>
      <c r="BO135" s="1249"/>
      <c r="BP135" s="1249"/>
      <c r="BQ135" s="1249" t="s">
        <v>1393</v>
      </c>
      <c r="BR135" s="1249"/>
      <c r="BS135" s="1249"/>
      <c r="BT135" s="1249"/>
      <c r="BU135" s="1249"/>
      <c r="BV135" s="1249"/>
      <c r="BW135" s="1249" t="s">
        <v>1394</v>
      </c>
      <c r="BX135" s="1249"/>
      <c r="BY135" s="1249"/>
      <c r="BZ135" s="1249"/>
      <c r="CA135" s="1249"/>
      <c r="CB135" s="1249"/>
      <c r="CC135" s="1249" t="s">
        <v>1395</v>
      </c>
      <c r="CD135" s="1249"/>
      <c r="CE135" s="1249"/>
      <c r="CF135" s="1249"/>
      <c r="CG135" s="1249"/>
      <c r="CH135" s="1249"/>
      <c r="CI135" s="1249" t="s">
        <v>1396</v>
      </c>
      <c r="CJ135" s="1249"/>
      <c r="CK135" s="1249"/>
      <c r="CL135" s="1249"/>
      <c r="CM135" s="1249"/>
      <c r="CN135" s="1249"/>
      <c r="CO135" s="1249" t="s">
        <v>1397</v>
      </c>
      <c r="CP135" s="1249"/>
      <c r="CQ135" s="1249"/>
      <c r="CR135" s="1249"/>
      <c r="CS135" s="1249"/>
      <c r="CT135" s="1249"/>
      <c r="CU135" s="1249" t="s">
        <v>1398</v>
      </c>
      <c r="CV135" s="1249"/>
      <c r="CW135" s="1249"/>
      <c r="CX135" s="1249"/>
      <c r="CY135" s="1249"/>
      <c r="CZ135" s="1249"/>
      <c r="DA135" s="1249" t="s">
        <v>1399</v>
      </c>
      <c r="DB135" s="1249"/>
      <c r="DC135" s="1249"/>
      <c r="DD135" s="1249"/>
      <c r="DE135" s="1249"/>
      <c r="DF135" s="1249"/>
      <c r="DG135" s="1249" t="s">
        <v>1400</v>
      </c>
      <c r="DH135" s="1249"/>
      <c r="DI135" s="1249"/>
      <c r="DJ135" s="1249"/>
      <c r="DK135" s="1249"/>
      <c r="DL135" s="1249"/>
      <c r="DM135" s="1249" t="s">
        <v>1401</v>
      </c>
      <c r="DN135" s="1249"/>
      <c r="DO135" s="1249"/>
      <c r="DP135" s="1249"/>
      <c r="DQ135" s="1249"/>
      <c r="DR135" s="1249"/>
      <c r="DS135" s="1249" t="s">
        <v>1402</v>
      </c>
      <c r="DT135" s="1249"/>
      <c r="DU135" s="1249"/>
      <c r="DV135" s="1249"/>
      <c r="DW135" s="1249"/>
      <c r="DX135" s="1249"/>
      <c r="DY135" s="1249" t="s">
        <v>1403</v>
      </c>
      <c r="DZ135" s="1249"/>
      <c r="EA135" s="1249"/>
      <c r="EB135" s="1249"/>
      <c r="EC135" s="1249"/>
      <c r="ED135" s="1249"/>
      <c r="EE135" s="1249" t="s">
        <v>1404</v>
      </c>
      <c r="EF135" s="1249"/>
      <c r="EG135" s="1249"/>
      <c r="EH135" s="1249"/>
      <c r="EI135" s="1249"/>
      <c r="EJ135" s="1249"/>
      <c r="EK135" s="1249" t="s">
        <v>1405</v>
      </c>
      <c r="EL135" s="1249"/>
      <c r="EM135" s="1249"/>
      <c r="EN135" s="1249"/>
      <c r="EO135" s="1249"/>
      <c r="EP135" s="1249"/>
      <c r="EQ135" s="1249" t="s">
        <v>1406</v>
      </c>
      <c r="ER135" s="1249"/>
      <c r="ES135" s="1249"/>
      <c r="ET135" s="1249"/>
      <c r="EU135" s="1249"/>
      <c r="EV135" s="1249"/>
    </row>
    <row r="136" spans="1:158" x14ac:dyDescent="0.2">
      <c r="C136" s="1312">
        <f>SUM(C132:H132)</f>
        <v>0</v>
      </c>
      <c r="D136" s="1249"/>
      <c r="E136" s="1249"/>
      <c r="F136" s="1249"/>
      <c r="G136" s="1249"/>
      <c r="H136" s="1249"/>
      <c r="I136" s="1312">
        <f>SUM(I132:N132)</f>
        <v>0</v>
      </c>
      <c r="J136" s="1249"/>
      <c r="K136" s="1249"/>
      <c r="L136" s="1249"/>
      <c r="M136" s="1249"/>
      <c r="N136" s="1249"/>
      <c r="O136" s="1312">
        <f>SUM(O132:T132)</f>
        <v>8.1999999999999993</v>
      </c>
      <c r="P136" s="1249"/>
      <c r="Q136" s="1249"/>
      <c r="R136" s="1249"/>
      <c r="S136" s="1249"/>
      <c r="T136" s="1249"/>
      <c r="U136" s="1312">
        <f>SUM(U132:Z132)</f>
        <v>5.3125</v>
      </c>
      <c r="V136" s="1249"/>
      <c r="W136" s="1249"/>
      <c r="X136" s="1249"/>
      <c r="Y136" s="1249"/>
      <c r="Z136" s="1249"/>
      <c r="AA136" s="1312">
        <f>SUM(AA132:AF132)</f>
        <v>12.305</v>
      </c>
      <c r="AB136" s="1249"/>
      <c r="AC136" s="1249"/>
      <c r="AD136" s="1249"/>
      <c r="AE136" s="1249"/>
      <c r="AF136" s="1249"/>
      <c r="AG136" s="1312">
        <f>SUM(AG132:AL132)</f>
        <v>13.679</v>
      </c>
      <c r="AH136" s="1249"/>
      <c r="AI136" s="1249"/>
      <c r="AJ136" s="1249"/>
      <c r="AK136" s="1249"/>
      <c r="AL136" s="1249"/>
      <c r="AM136" s="1312">
        <f>SUM(AM132:AR132)</f>
        <v>10.092000000000001</v>
      </c>
      <c r="AN136" s="1249"/>
      <c r="AO136" s="1249"/>
      <c r="AP136" s="1249"/>
      <c r="AQ136" s="1249"/>
      <c r="AR136" s="1249"/>
      <c r="AS136" s="1312">
        <f>SUM(AS132:AX132)</f>
        <v>3.0105000000000004</v>
      </c>
      <c r="AT136" s="1249"/>
      <c r="AU136" s="1249"/>
      <c r="AV136" s="1249"/>
      <c r="AW136" s="1249"/>
      <c r="AX136" s="1249"/>
      <c r="AY136" s="1312">
        <f>SUM(AY132:BD132)</f>
        <v>0.40100000000000008</v>
      </c>
      <c r="AZ136" s="1249"/>
      <c r="BA136" s="1249"/>
      <c r="BB136" s="1249"/>
      <c r="BC136" s="1249"/>
      <c r="BD136" s="1249"/>
      <c r="BE136" s="1312">
        <f>SUM(BE132:BJ132)</f>
        <v>1.4500000000000002</v>
      </c>
      <c r="BF136" s="1249"/>
      <c r="BG136" s="1249"/>
      <c r="BH136" s="1249"/>
      <c r="BI136" s="1249"/>
      <c r="BJ136" s="1249"/>
      <c r="BK136" s="1312">
        <f>SUM(BK132:BP132)</f>
        <v>0.26</v>
      </c>
      <c r="BL136" s="1249"/>
      <c r="BM136" s="1249"/>
      <c r="BN136" s="1249"/>
      <c r="BO136" s="1249"/>
      <c r="BP136" s="1249"/>
      <c r="BQ136" s="1312">
        <f>SUM(BQ132:BV132)</f>
        <v>1.04</v>
      </c>
      <c r="BR136" s="1249"/>
      <c r="BS136" s="1249"/>
      <c r="BT136" s="1249"/>
      <c r="BU136" s="1249"/>
      <c r="BV136" s="1249"/>
      <c r="BW136" s="1312">
        <f>SUM(BW132:CB132)</f>
        <v>0.52</v>
      </c>
      <c r="BX136" s="1249"/>
      <c r="BY136" s="1249"/>
      <c r="BZ136" s="1249"/>
      <c r="CA136" s="1249"/>
      <c r="CB136" s="1249"/>
      <c r="CC136" s="1312">
        <f>SUM(CC132:CH132)</f>
        <v>0.26</v>
      </c>
      <c r="CD136" s="1249"/>
      <c r="CE136" s="1249"/>
      <c r="CF136" s="1249"/>
      <c r="CG136" s="1249"/>
      <c r="CH136" s="1249"/>
      <c r="CI136" s="1312">
        <f>SUM(CI132:CN132)</f>
        <v>0</v>
      </c>
      <c r="CJ136" s="1249"/>
      <c r="CK136" s="1249"/>
      <c r="CL136" s="1249"/>
      <c r="CM136" s="1249"/>
      <c r="CN136" s="1249"/>
      <c r="CO136" s="1312">
        <f>SUM(CO132:CT132)</f>
        <v>0.13</v>
      </c>
      <c r="CP136" s="1249"/>
      <c r="CQ136" s="1249"/>
      <c r="CR136" s="1249"/>
      <c r="CS136" s="1249"/>
      <c r="CT136" s="1249"/>
      <c r="CU136" s="1312">
        <f>SUM(CU132:CZ132)</f>
        <v>0</v>
      </c>
      <c r="CV136" s="1249"/>
      <c r="CW136" s="1249"/>
      <c r="CX136" s="1249"/>
      <c r="CY136" s="1249"/>
      <c r="CZ136" s="1249"/>
      <c r="DA136" s="1312">
        <f>SUM(DA132:DF132)</f>
        <v>0</v>
      </c>
      <c r="DB136" s="1249"/>
      <c r="DC136" s="1249"/>
      <c r="DD136" s="1249"/>
      <c r="DE136" s="1249"/>
      <c r="DF136" s="1249"/>
      <c r="DG136" s="1312">
        <f>SUM(DG132:DL132)</f>
        <v>0</v>
      </c>
      <c r="DH136" s="1249"/>
      <c r="DI136" s="1249"/>
      <c r="DJ136" s="1249"/>
      <c r="DK136" s="1249"/>
      <c r="DL136" s="1249"/>
      <c r="DM136" s="1312">
        <f>SUM(DM132:DR132)</f>
        <v>0</v>
      </c>
      <c r="DN136" s="1249"/>
      <c r="DO136" s="1249"/>
      <c r="DP136" s="1249"/>
      <c r="DQ136" s="1249"/>
      <c r="DR136" s="1249"/>
      <c r="DS136" s="1312">
        <f>SUM(DS132:DX132)</f>
        <v>0</v>
      </c>
      <c r="DT136" s="1249"/>
      <c r="DU136" s="1249"/>
      <c r="DV136" s="1249"/>
      <c r="DW136" s="1249"/>
      <c r="DX136" s="1249"/>
      <c r="DY136" s="1312">
        <f>SUM(DY132:ED132)</f>
        <v>0</v>
      </c>
      <c r="DZ136" s="1249"/>
      <c r="EA136" s="1249"/>
      <c r="EB136" s="1249"/>
      <c r="EC136" s="1249"/>
      <c r="ED136" s="1249"/>
      <c r="EE136" s="1312">
        <f>SUM(EE132:EJ132)</f>
        <v>0</v>
      </c>
      <c r="EF136" s="1249"/>
      <c r="EG136" s="1249"/>
      <c r="EH136" s="1249"/>
      <c r="EI136" s="1249"/>
      <c r="EJ136" s="1249"/>
      <c r="EK136" s="1312">
        <f>SUM(EK132:EP132)</f>
        <v>0</v>
      </c>
      <c r="EL136" s="1249"/>
      <c r="EM136" s="1249"/>
      <c r="EN136" s="1249"/>
      <c r="EO136" s="1249"/>
      <c r="EP136" s="1249"/>
      <c r="EQ136" s="1312">
        <f>SUM(EQ132:EV132)</f>
        <v>0</v>
      </c>
      <c r="ER136" s="1249"/>
      <c r="ES136" s="1249"/>
      <c r="ET136" s="1249"/>
      <c r="EU136" s="1249"/>
      <c r="EV136" s="1249"/>
    </row>
    <row r="137" spans="1:158" x14ac:dyDescent="0.2">
      <c r="C137" s="1249">
        <v>2014</v>
      </c>
      <c r="D137" s="1249"/>
      <c r="E137" s="1249"/>
      <c r="F137" s="1249"/>
      <c r="G137" s="1249"/>
      <c r="H137" s="1249"/>
      <c r="I137" s="1249"/>
      <c r="J137" s="1249"/>
      <c r="K137" s="1249"/>
      <c r="L137" s="1249"/>
      <c r="M137" s="1249"/>
      <c r="N137" s="1249"/>
      <c r="O137" s="1249">
        <v>2015</v>
      </c>
      <c r="P137" s="1249"/>
      <c r="Q137" s="1249"/>
      <c r="R137" s="1249"/>
      <c r="S137" s="1249"/>
      <c r="T137" s="1249"/>
      <c r="U137" s="1249"/>
      <c r="V137" s="1249"/>
      <c r="W137" s="1249"/>
      <c r="X137" s="1249"/>
      <c r="Y137" s="1249"/>
      <c r="Z137" s="1249"/>
      <c r="AA137" s="1249">
        <v>2016</v>
      </c>
      <c r="AB137" s="1249"/>
      <c r="AC137" s="1249"/>
      <c r="AD137" s="1249"/>
      <c r="AE137" s="1249"/>
      <c r="AF137" s="1249"/>
      <c r="AG137" s="1249"/>
      <c r="AH137" s="1249"/>
      <c r="AI137" s="1249"/>
      <c r="AJ137" s="1249"/>
      <c r="AK137" s="1249"/>
      <c r="AL137" s="1249"/>
      <c r="AM137" s="1249">
        <v>2017</v>
      </c>
      <c r="AN137" s="1249"/>
      <c r="AO137" s="1249"/>
      <c r="AP137" s="1249"/>
      <c r="AQ137" s="1249"/>
      <c r="AR137" s="1249"/>
      <c r="AS137" s="1249"/>
      <c r="AT137" s="1249"/>
      <c r="AU137" s="1249"/>
      <c r="AV137" s="1249"/>
      <c r="AW137" s="1249"/>
      <c r="AX137" s="1249"/>
      <c r="AY137" s="1249">
        <v>2018</v>
      </c>
      <c r="AZ137" s="1249"/>
      <c r="BA137" s="1249"/>
      <c r="BB137" s="1249"/>
      <c r="BC137" s="1249"/>
      <c r="BD137" s="1249"/>
      <c r="BE137" s="1249"/>
      <c r="BF137" s="1249"/>
      <c r="BG137" s="1249"/>
      <c r="BH137" s="1249"/>
      <c r="BI137" s="1249"/>
      <c r="BJ137" s="1249"/>
      <c r="BK137" s="1249">
        <v>2019</v>
      </c>
      <c r="BL137" s="1249"/>
      <c r="BM137" s="1249"/>
      <c r="BN137" s="1249"/>
      <c r="BO137" s="1249"/>
      <c r="BP137" s="1249"/>
      <c r="BQ137" s="1249"/>
      <c r="BR137" s="1249"/>
      <c r="BS137" s="1249"/>
      <c r="BT137" s="1249"/>
      <c r="BU137" s="1249"/>
      <c r="BV137" s="1249"/>
      <c r="BW137" s="1249">
        <v>2020</v>
      </c>
      <c r="BX137" s="1249"/>
      <c r="BY137" s="1249"/>
      <c r="BZ137" s="1249"/>
      <c r="CA137" s="1249"/>
      <c r="CB137" s="1249"/>
      <c r="CC137" s="1249"/>
      <c r="CD137" s="1249"/>
      <c r="CE137" s="1249"/>
      <c r="CF137" s="1249"/>
      <c r="CG137" s="1249"/>
      <c r="CH137" s="1249"/>
      <c r="CI137" s="1249">
        <v>2021</v>
      </c>
      <c r="CJ137" s="1249"/>
      <c r="CK137" s="1249"/>
      <c r="CL137" s="1249"/>
      <c r="CM137" s="1249"/>
      <c r="CN137" s="1249"/>
      <c r="CO137" s="1249"/>
      <c r="CP137" s="1249"/>
      <c r="CQ137" s="1249"/>
      <c r="CR137" s="1249"/>
      <c r="CS137" s="1249"/>
      <c r="CT137" s="1249"/>
      <c r="CU137" s="1249">
        <v>2022</v>
      </c>
      <c r="CV137" s="1249"/>
      <c r="CW137" s="1249"/>
      <c r="CX137" s="1249"/>
      <c r="CY137" s="1249"/>
      <c r="CZ137" s="1249"/>
      <c r="DA137" s="1249"/>
      <c r="DB137" s="1249"/>
      <c r="DC137" s="1249"/>
      <c r="DD137" s="1249"/>
      <c r="DE137" s="1249"/>
      <c r="DF137" s="1249"/>
      <c r="DG137" s="1249">
        <v>2023</v>
      </c>
      <c r="DH137" s="1249"/>
      <c r="DI137" s="1249"/>
      <c r="DJ137" s="1249"/>
      <c r="DK137" s="1249"/>
      <c r="DL137" s="1249"/>
      <c r="DM137" s="1249"/>
      <c r="DN137" s="1249"/>
      <c r="DO137" s="1249"/>
      <c r="DP137" s="1249"/>
      <c r="DQ137" s="1249"/>
      <c r="DR137" s="1249"/>
      <c r="DS137" s="1249">
        <v>2024</v>
      </c>
      <c r="DT137" s="1249"/>
      <c r="DU137" s="1249"/>
      <c r="DV137" s="1249"/>
      <c r="DW137" s="1249"/>
      <c r="DX137" s="1249"/>
      <c r="DY137" s="1249"/>
      <c r="DZ137" s="1249"/>
      <c r="EA137" s="1249"/>
      <c r="EB137" s="1249"/>
      <c r="EC137" s="1249"/>
      <c r="ED137" s="1249"/>
      <c r="EE137" s="1249">
        <v>2025</v>
      </c>
      <c r="EF137" s="1249"/>
      <c r="EG137" s="1249"/>
      <c r="EH137" s="1249"/>
      <c r="EI137" s="1249"/>
      <c r="EJ137" s="1249"/>
      <c r="EK137" s="1249"/>
      <c r="EL137" s="1249"/>
      <c r="EM137" s="1249"/>
      <c r="EN137" s="1249"/>
      <c r="EO137" s="1249"/>
      <c r="EP137" s="1249"/>
      <c r="EQ137" s="1249">
        <v>2026</v>
      </c>
      <c r="ER137" s="1249"/>
      <c r="ES137" s="1249"/>
      <c r="ET137" s="1249"/>
      <c r="EU137" s="1249"/>
      <c r="EV137" s="1249"/>
      <c r="EW137" s="1024"/>
      <c r="EX137" s="1024"/>
      <c r="EY137" s="1024"/>
      <c r="EZ137" s="1024"/>
      <c r="FA137" s="1024"/>
      <c r="FB137" s="1024"/>
    </row>
    <row r="138" spans="1:158" x14ac:dyDescent="0.2">
      <c r="C138" s="1312">
        <f>SUM(C128:N128)</f>
        <v>0</v>
      </c>
      <c r="D138" s="1249"/>
      <c r="E138" s="1249"/>
      <c r="F138" s="1249"/>
      <c r="G138" s="1249"/>
      <c r="H138" s="1249"/>
      <c r="I138" s="1249"/>
      <c r="J138" s="1249"/>
      <c r="K138" s="1249"/>
      <c r="L138" s="1249"/>
      <c r="M138" s="1249"/>
      <c r="N138" s="1249"/>
      <c r="O138" s="1312">
        <f>SUM(O128:Z128)</f>
        <v>13.512499999999999</v>
      </c>
      <c r="P138" s="1249"/>
      <c r="Q138" s="1249"/>
      <c r="R138" s="1249"/>
      <c r="S138" s="1249"/>
      <c r="T138" s="1249"/>
      <c r="U138" s="1249"/>
      <c r="V138" s="1249"/>
      <c r="W138" s="1249"/>
      <c r="X138" s="1249"/>
      <c r="Y138" s="1249"/>
      <c r="Z138" s="1249"/>
      <c r="AA138" s="1312">
        <f>SUM(AA128:AL128)</f>
        <v>25.983999999999998</v>
      </c>
      <c r="AB138" s="1249"/>
      <c r="AC138" s="1249"/>
      <c r="AD138" s="1249"/>
      <c r="AE138" s="1249"/>
      <c r="AF138" s="1249"/>
      <c r="AG138" s="1249"/>
      <c r="AH138" s="1249"/>
      <c r="AI138" s="1249"/>
      <c r="AJ138" s="1249"/>
      <c r="AK138" s="1249"/>
      <c r="AL138" s="1249"/>
      <c r="AM138" s="1312">
        <f>SUM(AM128:AX128)</f>
        <v>13.102500000000001</v>
      </c>
      <c r="AN138" s="1249"/>
      <c r="AO138" s="1249"/>
      <c r="AP138" s="1249"/>
      <c r="AQ138" s="1249"/>
      <c r="AR138" s="1249"/>
      <c r="AS138" s="1249"/>
      <c r="AT138" s="1249"/>
      <c r="AU138" s="1249"/>
      <c r="AV138" s="1249"/>
      <c r="AW138" s="1249"/>
      <c r="AX138" s="1249"/>
      <c r="AY138" s="1312">
        <f>SUM(AY128:BJ128)</f>
        <v>1.8510000000000004</v>
      </c>
      <c r="AZ138" s="1249"/>
      <c r="BA138" s="1249"/>
      <c r="BB138" s="1249"/>
      <c r="BC138" s="1249"/>
      <c r="BD138" s="1249"/>
      <c r="BE138" s="1249"/>
      <c r="BF138" s="1249"/>
      <c r="BG138" s="1249"/>
      <c r="BH138" s="1249"/>
      <c r="BI138" s="1249"/>
      <c r="BJ138" s="1249"/>
      <c r="BK138" s="1312">
        <f>SUM(BK128:BV128)</f>
        <v>1.3</v>
      </c>
      <c r="BL138" s="1249"/>
      <c r="BM138" s="1249"/>
      <c r="BN138" s="1249"/>
      <c r="BO138" s="1249"/>
      <c r="BP138" s="1249"/>
      <c r="BQ138" s="1249"/>
      <c r="BR138" s="1249"/>
      <c r="BS138" s="1249"/>
      <c r="BT138" s="1249"/>
      <c r="BU138" s="1249"/>
      <c r="BV138" s="1249"/>
      <c r="BW138" s="1312">
        <f>SUM(BW128:CH128)</f>
        <v>0.78</v>
      </c>
      <c r="BX138" s="1249"/>
      <c r="BY138" s="1249"/>
      <c r="BZ138" s="1249"/>
      <c r="CA138" s="1249"/>
      <c r="CB138" s="1249"/>
      <c r="CC138" s="1249"/>
      <c r="CD138" s="1249"/>
      <c r="CE138" s="1249"/>
      <c r="CF138" s="1249"/>
      <c r="CG138" s="1249"/>
      <c r="CH138" s="1249"/>
      <c r="CI138" s="1312">
        <f>SUM(CI128:CT128)</f>
        <v>0.13</v>
      </c>
      <c r="CJ138" s="1249"/>
      <c r="CK138" s="1249"/>
      <c r="CL138" s="1249"/>
      <c r="CM138" s="1249"/>
      <c r="CN138" s="1249"/>
      <c r="CO138" s="1249"/>
      <c r="CP138" s="1249"/>
      <c r="CQ138" s="1249"/>
      <c r="CR138" s="1249"/>
      <c r="CS138" s="1249"/>
      <c r="CT138" s="1249"/>
      <c r="CU138" s="1312">
        <f>SUM(CU128:DF128)</f>
        <v>0</v>
      </c>
      <c r="CV138" s="1249"/>
      <c r="CW138" s="1249"/>
      <c r="CX138" s="1249"/>
      <c r="CY138" s="1249"/>
      <c r="CZ138" s="1249"/>
      <c r="DA138" s="1249"/>
      <c r="DB138" s="1249"/>
      <c r="DC138" s="1249"/>
      <c r="DD138" s="1249"/>
      <c r="DE138" s="1249"/>
      <c r="DF138" s="1249"/>
      <c r="DG138" s="1312">
        <f>SUM(DG128:DR128)</f>
        <v>0</v>
      </c>
      <c r="DH138" s="1249"/>
      <c r="DI138" s="1249"/>
      <c r="DJ138" s="1249"/>
      <c r="DK138" s="1249"/>
      <c r="DL138" s="1249"/>
      <c r="DM138" s="1249"/>
      <c r="DN138" s="1249"/>
      <c r="DO138" s="1249"/>
      <c r="DP138" s="1249"/>
      <c r="DQ138" s="1249"/>
      <c r="DR138" s="1249"/>
      <c r="DS138" s="1312">
        <f>SUM(DS128:ED128)</f>
        <v>0</v>
      </c>
      <c r="DT138" s="1249"/>
      <c r="DU138" s="1249"/>
      <c r="DV138" s="1249"/>
      <c r="DW138" s="1249"/>
      <c r="DX138" s="1249"/>
      <c r="DY138" s="1249"/>
      <c r="DZ138" s="1249"/>
      <c r="EA138" s="1249"/>
      <c r="EB138" s="1249"/>
      <c r="EC138" s="1249"/>
      <c r="ED138" s="1249"/>
      <c r="EE138" s="1312">
        <f>SUM(EE128:EP128)</f>
        <v>0</v>
      </c>
      <c r="EF138" s="1249"/>
      <c r="EG138" s="1249"/>
      <c r="EH138" s="1249"/>
      <c r="EI138" s="1249"/>
      <c r="EJ138" s="1249"/>
      <c r="EK138" s="1249"/>
      <c r="EL138" s="1249"/>
      <c r="EM138" s="1249"/>
      <c r="EN138" s="1249"/>
      <c r="EO138" s="1249"/>
      <c r="EP138" s="1249"/>
      <c r="EQ138" s="1312">
        <f>SUM(EQ128:EV128)</f>
        <v>0</v>
      </c>
      <c r="ER138" s="1312"/>
      <c r="ES138" s="1312"/>
      <c r="ET138" s="1312"/>
      <c r="EU138" s="1312"/>
      <c r="EV138" s="1312"/>
      <c r="EW138" s="1024"/>
      <c r="EX138" s="1024"/>
      <c r="EY138" s="1024"/>
      <c r="EZ138" s="1024"/>
      <c r="FA138" s="1024"/>
      <c r="FB138" s="1024"/>
    </row>
    <row r="139" spans="1:158" ht="15" x14ac:dyDescent="0.25">
      <c r="A139" s="1025" t="s">
        <v>1407</v>
      </c>
    </row>
    <row r="141" spans="1:158" x14ac:dyDescent="0.2">
      <c r="A141" s="1026" t="s">
        <v>1408</v>
      </c>
      <c r="C141" s="975">
        <v>2014</v>
      </c>
      <c r="D141" s="975">
        <v>2015</v>
      </c>
      <c r="E141" s="975">
        <v>2016</v>
      </c>
      <c r="F141" s="975">
        <v>2017</v>
      </c>
      <c r="G141" s="975">
        <v>2018</v>
      </c>
      <c r="H141" s="975">
        <v>2019</v>
      </c>
      <c r="I141" s="975">
        <v>2020</v>
      </c>
      <c r="J141" s="975">
        <v>2021</v>
      </c>
      <c r="K141" s="975">
        <v>2022</v>
      </c>
      <c r="L141" s="975">
        <v>2023</v>
      </c>
      <c r="M141" s="975">
        <v>2024</v>
      </c>
      <c r="N141" s="975">
        <v>2025</v>
      </c>
      <c r="O141" s="975">
        <v>2026</v>
      </c>
    </row>
    <row r="142" spans="1:158" x14ac:dyDescent="0.2">
      <c r="C142" s="23">
        <f>C138</f>
        <v>0</v>
      </c>
      <c r="D142" s="23">
        <f>O138</f>
        <v>13.512499999999999</v>
      </c>
      <c r="E142" s="23">
        <f>AA138</f>
        <v>25.983999999999998</v>
      </c>
      <c r="F142" s="23">
        <f>AM138</f>
        <v>13.102500000000001</v>
      </c>
      <c r="G142" s="23">
        <f>AY138</f>
        <v>1.8510000000000004</v>
      </c>
      <c r="H142" s="23">
        <f>BK138</f>
        <v>1.3</v>
      </c>
      <c r="I142" s="23">
        <f>BW138</f>
        <v>0.78</v>
      </c>
      <c r="J142" s="23">
        <f>CI138</f>
        <v>0.13</v>
      </c>
      <c r="K142" s="23">
        <f>CU138</f>
        <v>0</v>
      </c>
      <c r="L142" s="23">
        <f>DG138</f>
        <v>0</v>
      </c>
      <c r="M142" s="23">
        <f>DS138</f>
        <v>0</v>
      </c>
      <c r="N142" s="23">
        <f>EE138</f>
        <v>0</v>
      </c>
      <c r="O142" s="23">
        <f>EQ138</f>
        <v>0</v>
      </c>
    </row>
    <row r="144" spans="1:158" x14ac:dyDescent="0.2">
      <c r="A144" s="1026" t="s">
        <v>1409</v>
      </c>
      <c r="C144" s="1311">
        <v>2014</v>
      </c>
      <c r="D144" s="1311"/>
      <c r="E144" s="1311">
        <v>2015</v>
      </c>
      <c r="F144" s="1311"/>
      <c r="G144" s="1311">
        <v>2016</v>
      </c>
      <c r="H144" s="1311"/>
      <c r="I144" s="1311">
        <v>2017</v>
      </c>
      <c r="J144" s="1311"/>
      <c r="K144" s="1311">
        <v>2018</v>
      </c>
      <c r="L144" s="1311"/>
      <c r="M144" s="1311">
        <v>2019</v>
      </c>
      <c r="N144" s="1311"/>
      <c r="O144" s="1311">
        <v>2020</v>
      </c>
      <c r="P144" s="1311"/>
      <c r="Q144" s="1311">
        <v>2021</v>
      </c>
      <c r="R144" s="1311"/>
      <c r="S144" s="1311">
        <v>2022</v>
      </c>
      <c r="T144" s="1311"/>
      <c r="U144" s="1311">
        <v>2023</v>
      </c>
      <c r="V144" s="1311"/>
      <c r="W144" s="1311">
        <v>2024</v>
      </c>
      <c r="X144" s="1311"/>
      <c r="Y144" s="1311">
        <v>2025</v>
      </c>
      <c r="Z144" s="1311"/>
      <c r="AA144" s="1311">
        <v>2026</v>
      </c>
      <c r="AB144" s="1311"/>
    </row>
    <row r="145" spans="1:152" x14ac:dyDescent="0.2">
      <c r="C145" s="975" t="s">
        <v>1410</v>
      </c>
      <c r="D145" s="975" t="s">
        <v>1411</v>
      </c>
      <c r="E145" s="975" t="s">
        <v>1410</v>
      </c>
      <c r="F145" s="975" t="s">
        <v>1411</v>
      </c>
      <c r="G145" s="975" t="s">
        <v>1410</v>
      </c>
      <c r="H145" s="975" t="s">
        <v>1411</v>
      </c>
      <c r="I145" s="975" t="s">
        <v>1410</v>
      </c>
      <c r="J145" s="975" t="s">
        <v>1411</v>
      </c>
      <c r="K145" s="975" t="s">
        <v>1410</v>
      </c>
      <c r="L145" s="975" t="s">
        <v>1411</v>
      </c>
      <c r="M145" s="975" t="s">
        <v>1410</v>
      </c>
      <c r="N145" s="975" t="s">
        <v>1411</v>
      </c>
      <c r="O145" s="975" t="s">
        <v>1410</v>
      </c>
      <c r="P145" s="975" t="s">
        <v>1411</v>
      </c>
      <c r="Q145" s="975" t="s">
        <v>1410</v>
      </c>
      <c r="R145" s="975" t="s">
        <v>1411</v>
      </c>
      <c r="S145" s="975" t="s">
        <v>1410</v>
      </c>
      <c r="T145" s="975" t="s">
        <v>1411</v>
      </c>
      <c r="U145" s="975" t="s">
        <v>1410</v>
      </c>
      <c r="V145" s="975" t="s">
        <v>1411</v>
      </c>
      <c r="W145" s="975" t="s">
        <v>1410</v>
      </c>
      <c r="X145" s="975" t="s">
        <v>1411</v>
      </c>
      <c r="Y145" s="975" t="s">
        <v>1410</v>
      </c>
      <c r="Z145" s="975" t="s">
        <v>1411</v>
      </c>
      <c r="AA145" s="975" t="s">
        <v>1410</v>
      </c>
      <c r="AB145" s="975" t="s">
        <v>1411</v>
      </c>
    </row>
    <row r="146" spans="1:152" s="43" customFormat="1" x14ac:dyDescent="0.2">
      <c r="A146"/>
      <c r="B146" s="36"/>
      <c r="C146" s="23">
        <f>C136</f>
        <v>0</v>
      </c>
      <c r="D146" s="23">
        <f>I136</f>
        <v>0</v>
      </c>
      <c r="E146" s="23">
        <f>O136</f>
        <v>8.1999999999999993</v>
      </c>
      <c r="F146" s="23">
        <f>U136</f>
        <v>5.3125</v>
      </c>
      <c r="G146" s="23">
        <f>AA136</f>
        <v>12.305</v>
      </c>
      <c r="H146" s="23">
        <f>AG136</f>
        <v>13.679</v>
      </c>
      <c r="I146" s="23">
        <f>AM136</f>
        <v>10.092000000000001</v>
      </c>
      <c r="J146" s="23">
        <f>AS136</f>
        <v>3.0105000000000004</v>
      </c>
      <c r="K146" s="23">
        <f>AY136</f>
        <v>0.40100000000000008</v>
      </c>
      <c r="L146" s="23">
        <f>BE136</f>
        <v>1.4500000000000002</v>
      </c>
      <c r="M146" s="23">
        <f>BK136</f>
        <v>0.26</v>
      </c>
      <c r="N146" s="23">
        <f>BQ136</f>
        <v>1.04</v>
      </c>
      <c r="O146" s="23">
        <f>BW136</f>
        <v>0.52</v>
      </c>
      <c r="P146" s="23">
        <f>CC136</f>
        <v>0.26</v>
      </c>
      <c r="Q146" s="23">
        <f>CI136</f>
        <v>0</v>
      </c>
      <c r="R146" s="23">
        <f>CO136</f>
        <v>0.13</v>
      </c>
      <c r="S146" s="23">
        <f>CU136</f>
        <v>0</v>
      </c>
      <c r="T146" s="23">
        <f>DA136</f>
        <v>0</v>
      </c>
      <c r="U146" s="23">
        <f>DG136</f>
        <v>0</v>
      </c>
      <c r="V146" s="23">
        <f>DM136</f>
        <v>0</v>
      </c>
      <c r="W146" s="23">
        <f>DS136</f>
        <v>0</v>
      </c>
      <c r="X146" s="23">
        <f>DY136</f>
        <v>0</v>
      </c>
      <c r="Y146" s="23">
        <f>EE136</f>
        <v>0</v>
      </c>
      <c r="Z146" s="23">
        <f>EK136</f>
        <v>0</v>
      </c>
      <c r="AA146" s="23">
        <f>EQ136</f>
        <v>0</v>
      </c>
      <c r="AB146" s="23">
        <f>EQ136</f>
        <v>0</v>
      </c>
    </row>
    <row r="148" spans="1:152" x14ac:dyDescent="0.2">
      <c r="A148" s="1026" t="s">
        <v>1412</v>
      </c>
      <c r="C148" s="1311">
        <v>2014</v>
      </c>
      <c r="D148" s="1311"/>
      <c r="E148" s="1311"/>
      <c r="F148" s="1311"/>
      <c r="G148" s="1311">
        <v>2015</v>
      </c>
      <c r="H148" s="1311"/>
      <c r="I148" s="1311"/>
      <c r="J148" s="1311"/>
      <c r="K148" s="1311">
        <v>2016</v>
      </c>
      <c r="L148" s="1311"/>
      <c r="M148" s="1311"/>
      <c r="N148" s="1311"/>
      <c r="O148" s="1311">
        <v>2017</v>
      </c>
      <c r="P148" s="1311"/>
      <c r="Q148" s="1311"/>
      <c r="R148" s="1311"/>
      <c r="S148" s="1311">
        <v>2018</v>
      </c>
      <c r="T148" s="1311"/>
      <c r="U148" s="1311"/>
      <c r="V148" s="1311"/>
      <c r="W148" s="1311">
        <v>2019</v>
      </c>
      <c r="X148" s="1311"/>
      <c r="Y148" s="1311"/>
      <c r="Z148" s="1311"/>
      <c r="AA148" s="1311">
        <v>2020</v>
      </c>
      <c r="AB148" s="1311"/>
      <c r="AC148" s="1311"/>
      <c r="AD148" s="1311"/>
      <c r="AE148" s="1311">
        <v>2021</v>
      </c>
      <c r="AF148" s="1311"/>
      <c r="AG148" s="1311"/>
      <c r="AH148" s="1311"/>
      <c r="AI148" s="1311">
        <v>2022</v>
      </c>
      <c r="AJ148" s="1311"/>
      <c r="AK148" s="1311"/>
      <c r="AL148" s="1311"/>
      <c r="AM148" s="1311">
        <v>2023</v>
      </c>
      <c r="AN148" s="1311"/>
      <c r="AO148" s="1311"/>
      <c r="AP148" s="1311"/>
      <c r="AQ148" s="1311">
        <v>2024</v>
      </c>
      <c r="AR148" s="1311"/>
      <c r="AS148" s="1311"/>
      <c r="AT148" s="1311"/>
      <c r="AU148" s="1311">
        <v>2025</v>
      </c>
      <c r="AV148" s="1311"/>
      <c r="AW148" s="1311"/>
      <c r="AX148" s="1311"/>
      <c r="AY148" s="1311">
        <v>2026</v>
      </c>
      <c r="AZ148" s="1311"/>
      <c r="BA148" s="1311"/>
      <c r="BB148" s="1311"/>
    </row>
    <row r="149" spans="1:152" x14ac:dyDescent="0.2">
      <c r="C149" s="975" t="s">
        <v>987</v>
      </c>
      <c r="D149" s="975" t="s">
        <v>989</v>
      </c>
      <c r="E149" s="975" t="s">
        <v>990</v>
      </c>
      <c r="F149" s="975" t="s">
        <v>991</v>
      </c>
      <c r="G149" s="975" t="s">
        <v>987</v>
      </c>
      <c r="H149" s="975" t="s">
        <v>989</v>
      </c>
      <c r="I149" s="975" t="s">
        <v>990</v>
      </c>
      <c r="J149" s="975" t="s">
        <v>991</v>
      </c>
      <c r="K149" s="975" t="s">
        <v>987</v>
      </c>
      <c r="L149" s="975" t="s">
        <v>989</v>
      </c>
      <c r="M149" s="975" t="s">
        <v>990</v>
      </c>
      <c r="N149" s="975" t="s">
        <v>991</v>
      </c>
      <c r="O149" s="975" t="s">
        <v>987</v>
      </c>
      <c r="P149" s="975" t="s">
        <v>989</v>
      </c>
      <c r="Q149" s="975" t="s">
        <v>990</v>
      </c>
      <c r="R149" s="975" t="s">
        <v>991</v>
      </c>
      <c r="S149" s="975" t="s">
        <v>987</v>
      </c>
      <c r="T149" s="975" t="s">
        <v>989</v>
      </c>
      <c r="U149" s="975" t="s">
        <v>990</v>
      </c>
      <c r="V149" s="975" t="s">
        <v>991</v>
      </c>
      <c r="W149" s="975" t="s">
        <v>987</v>
      </c>
      <c r="X149" s="975" t="s">
        <v>989</v>
      </c>
      <c r="Y149" s="975" t="s">
        <v>990</v>
      </c>
      <c r="Z149" s="975" t="s">
        <v>991</v>
      </c>
      <c r="AA149" s="975" t="s">
        <v>987</v>
      </c>
      <c r="AB149" s="975" t="s">
        <v>989</v>
      </c>
      <c r="AC149" s="975" t="s">
        <v>990</v>
      </c>
      <c r="AD149" s="975" t="s">
        <v>991</v>
      </c>
      <c r="AE149" s="975" t="s">
        <v>987</v>
      </c>
      <c r="AF149" s="975" t="s">
        <v>989</v>
      </c>
      <c r="AG149" s="975" t="s">
        <v>990</v>
      </c>
      <c r="AH149" s="975" t="s">
        <v>991</v>
      </c>
      <c r="AI149" s="975" t="s">
        <v>987</v>
      </c>
      <c r="AJ149" s="975" t="s">
        <v>989</v>
      </c>
      <c r="AK149" s="975" t="s">
        <v>990</v>
      </c>
      <c r="AL149" s="975" t="s">
        <v>991</v>
      </c>
      <c r="AM149" s="975" t="s">
        <v>987</v>
      </c>
      <c r="AN149" s="975" t="s">
        <v>989</v>
      </c>
      <c r="AO149" s="975" t="s">
        <v>990</v>
      </c>
      <c r="AP149" s="975" t="s">
        <v>991</v>
      </c>
      <c r="AQ149" s="975" t="s">
        <v>987</v>
      </c>
      <c r="AR149" s="975" t="s">
        <v>989</v>
      </c>
      <c r="AS149" s="975" t="s">
        <v>990</v>
      </c>
      <c r="AT149" s="975" t="s">
        <v>991</v>
      </c>
      <c r="AU149" s="975" t="s">
        <v>987</v>
      </c>
      <c r="AV149" s="975" t="s">
        <v>989</v>
      </c>
      <c r="AW149" s="975" t="s">
        <v>990</v>
      </c>
      <c r="AX149" s="975" t="s">
        <v>991</v>
      </c>
      <c r="AY149" s="975" t="s">
        <v>987</v>
      </c>
      <c r="AZ149" s="975" t="s">
        <v>989</v>
      </c>
      <c r="BA149" s="975" t="s">
        <v>990</v>
      </c>
      <c r="BB149" s="975" t="s">
        <v>991</v>
      </c>
    </row>
    <row r="150" spans="1:152" x14ac:dyDescent="0.2">
      <c r="C150" s="23">
        <f>C134</f>
        <v>0</v>
      </c>
      <c r="D150" s="23">
        <f>F134</f>
        <v>0</v>
      </c>
      <c r="E150" s="23">
        <f>I134</f>
        <v>0</v>
      </c>
      <c r="F150" s="23">
        <f>L134</f>
        <v>0</v>
      </c>
      <c r="G150" s="23">
        <f>O134</f>
        <v>4.7124999999999995</v>
      </c>
      <c r="H150" s="23">
        <f>R134</f>
        <v>3.4874999999999998</v>
      </c>
      <c r="I150" s="23">
        <f>U134</f>
        <v>1.2925</v>
      </c>
      <c r="J150" s="23">
        <f>X134</f>
        <v>4.0199999999999996</v>
      </c>
      <c r="K150" s="23">
        <f>AA134</f>
        <v>2.5505</v>
      </c>
      <c r="L150" s="23">
        <f>AD134</f>
        <v>9.7545000000000002</v>
      </c>
      <c r="M150" s="23">
        <f>AG134</f>
        <v>9.1464999999999996</v>
      </c>
      <c r="N150" s="23">
        <f>AJ134</f>
        <v>4.5325000000000006</v>
      </c>
      <c r="O150" s="23">
        <f>AM134</f>
        <v>4.08</v>
      </c>
      <c r="P150" s="23">
        <f>AP134</f>
        <v>6.0120000000000005</v>
      </c>
      <c r="Q150" s="23">
        <f>AS134</f>
        <v>2.9880000000000004</v>
      </c>
      <c r="R150" s="23">
        <f>AV134</f>
        <v>2.2500000000000003E-2</v>
      </c>
      <c r="S150" s="23">
        <f>AY134</f>
        <v>0.127</v>
      </c>
      <c r="T150" s="23">
        <f>BB134</f>
        <v>0.27400000000000008</v>
      </c>
      <c r="U150" s="23">
        <f>BE134</f>
        <v>1.06</v>
      </c>
      <c r="V150" s="23">
        <f>BH134</f>
        <v>0.39</v>
      </c>
      <c r="W150" s="23">
        <f>BK134</f>
        <v>0.26</v>
      </c>
      <c r="X150" s="23">
        <f>BN134</f>
        <v>0</v>
      </c>
      <c r="Y150" s="23">
        <f>BQ134</f>
        <v>0.52</v>
      </c>
      <c r="Z150" s="23">
        <f>BT134</f>
        <v>0.52</v>
      </c>
      <c r="AA150" s="23">
        <f>BW134</f>
        <v>0</v>
      </c>
      <c r="AB150" s="23">
        <f>BZ134</f>
        <v>0.52</v>
      </c>
      <c r="AC150" s="23">
        <f>CC134</f>
        <v>0.26</v>
      </c>
      <c r="AD150" s="23">
        <f>CF134</f>
        <v>0</v>
      </c>
      <c r="AE150" s="23">
        <f>CI134</f>
        <v>0</v>
      </c>
      <c r="AF150" s="23">
        <f>BZ134</f>
        <v>0.52</v>
      </c>
      <c r="AG150" s="23">
        <f>CO134</f>
        <v>0.13</v>
      </c>
      <c r="AH150" s="23">
        <f>CR134</f>
        <v>0</v>
      </c>
      <c r="AI150" s="23">
        <f>CU134</f>
        <v>0</v>
      </c>
      <c r="AJ150" s="23">
        <f>CX134</f>
        <v>0</v>
      </c>
      <c r="AK150" s="23">
        <f>DA134</f>
        <v>0</v>
      </c>
      <c r="AL150" s="23">
        <f>DD134</f>
        <v>0</v>
      </c>
      <c r="AM150" s="23">
        <f>DG134</f>
        <v>0</v>
      </c>
      <c r="AN150" s="23">
        <f>DJ134</f>
        <v>0</v>
      </c>
      <c r="AO150" s="23">
        <f>DM134</f>
        <v>0</v>
      </c>
      <c r="AP150" s="23">
        <f>DP134</f>
        <v>0</v>
      </c>
      <c r="AQ150" s="23">
        <f>DS134</f>
        <v>0</v>
      </c>
      <c r="AR150" s="23">
        <f>DV134</f>
        <v>0</v>
      </c>
      <c r="AS150" s="23">
        <f>DY134</f>
        <v>0</v>
      </c>
      <c r="AT150" s="23">
        <f>EB134</f>
        <v>0</v>
      </c>
      <c r="AU150" s="23">
        <f>EE134</f>
        <v>0</v>
      </c>
      <c r="AV150" s="23">
        <f>EH134</f>
        <v>0</v>
      </c>
      <c r="AW150" s="23">
        <f>EK134</f>
        <v>0</v>
      </c>
      <c r="AX150" s="23">
        <f>EN134</f>
        <v>0</v>
      </c>
      <c r="AY150" s="23">
        <f>EQ134</f>
        <v>0</v>
      </c>
      <c r="AZ150" s="23">
        <f>ET134</f>
        <v>0</v>
      </c>
      <c r="BA150" s="16"/>
      <c r="BB150" s="16"/>
    </row>
    <row r="152" spans="1:152" x14ac:dyDescent="0.2">
      <c r="A152" s="1026" t="s">
        <v>1413</v>
      </c>
      <c r="C152" s="1311">
        <v>2014</v>
      </c>
      <c r="D152" s="1311"/>
      <c r="E152" s="1311"/>
      <c r="F152" s="1311"/>
      <c r="G152" s="1311"/>
      <c r="H152" s="1311"/>
      <c r="I152" s="1311"/>
      <c r="J152" s="1311"/>
      <c r="K152" s="1311"/>
      <c r="L152" s="1311"/>
      <c r="M152" s="1311"/>
      <c r="N152" s="1311"/>
      <c r="O152" s="1311">
        <v>2015</v>
      </c>
      <c r="P152" s="1311"/>
      <c r="Q152" s="1311"/>
      <c r="R152" s="1311"/>
      <c r="S152" s="1311"/>
      <c r="T152" s="1311"/>
      <c r="U152" s="1311"/>
      <c r="V152" s="1311"/>
      <c r="W152" s="1311"/>
      <c r="X152" s="1311"/>
      <c r="Y152" s="1311"/>
      <c r="Z152" s="1311"/>
      <c r="AA152" s="1311">
        <v>2016</v>
      </c>
      <c r="AB152" s="1311"/>
      <c r="AC152" s="1311"/>
      <c r="AD152" s="1311"/>
      <c r="AE152" s="1311"/>
      <c r="AF152" s="1311"/>
      <c r="AG152" s="1311"/>
      <c r="AH152" s="1311"/>
      <c r="AI152" s="1311"/>
      <c r="AJ152" s="1311"/>
      <c r="AK152" s="1311"/>
      <c r="AL152" s="1311"/>
      <c r="AM152" s="1311">
        <v>2017</v>
      </c>
      <c r="AN152" s="1311"/>
      <c r="AO152" s="1311"/>
      <c r="AP152" s="1311"/>
      <c r="AQ152" s="1311"/>
      <c r="AR152" s="1311"/>
      <c r="AS152" s="1311"/>
      <c r="AT152" s="1311"/>
      <c r="AU152" s="1311"/>
      <c r="AV152" s="1311"/>
      <c r="AW152" s="1311"/>
      <c r="AX152" s="1311"/>
      <c r="AY152" s="1311">
        <v>2018</v>
      </c>
      <c r="AZ152" s="1311"/>
      <c r="BA152" s="1311"/>
      <c r="BB152" s="1311"/>
      <c r="BC152" s="1311"/>
      <c r="BD152" s="1311"/>
      <c r="BE152" s="1311"/>
      <c r="BF152" s="1311"/>
      <c r="BG152" s="1311"/>
      <c r="BH152" s="1311"/>
      <c r="BI152" s="1311"/>
      <c r="BJ152" s="1311"/>
      <c r="BK152" s="1311">
        <v>2019</v>
      </c>
      <c r="BL152" s="1311"/>
      <c r="BM152" s="1311"/>
      <c r="BN152" s="1311"/>
      <c r="BO152" s="1311"/>
      <c r="BP152" s="1311"/>
      <c r="BQ152" s="1311"/>
      <c r="BR152" s="1311"/>
      <c r="BS152" s="1311"/>
      <c r="BT152" s="1311"/>
      <c r="BU152" s="1311"/>
      <c r="BV152" s="1311"/>
      <c r="BW152" s="1311">
        <v>2020</v>
      </c>
      <c r="BX152" s="1311"/>
      <c r="BY152" s="1311"/>
      <c r="BZ152" s="1311"/>
      <c r="CA152" s="1311"/>
      <c r="CB152" s="1311"/>
      <c r="CC152" s="1311"/>
      <c r="CD152" s="1311"/>
      <c r="CE152" s="1311"/>
      <c r="CF152" s="1311"/>
      <c r="CG152" s="1311"/>
      <c r="CH152" s="1311"/>
      <c r="CI152" s="1311">
        <v>2021</v>
      </c>
      <c r="CJ152" s="1311"/>
      <c r="CK152" s="1311"/>
      <c r="CL152" s="1311"/>
      <c r="CM152" s="1311"/>
      <c r="CN152" s="1311"/>
      <c r="CO152" s="1311"/>
      <c r="CP152" s="1311"/>
      <c r="CQ152" s="1311"/>
      <c r="CR152" s="1311"/>
      <c r="CS152" s="1311"/>
      <c r="CT152" s="1311"/>
      <c r="CU152" s="1311">
        <v>2022</v>
      </c>
      <c r="CV152" s="1311"/>
      <c r="CW152" s="1311"/>
      <c r="CX152" s="1311"/>
      <c r="CY152" s="1311"/>
      <c r="CZ152" s="1311"/>
      <c r="DA152" s="1311"/>
      <c r="DB152" s="1311"/>
      <c r="DC152" s="1311"/>
      <c r="DD152" s="1311"/>
      <c r="DE152" s="1311"/>
      <c r="DF152" s="1311"/>
      <c r="DG152" s="1311">
        <v>2023</v>
      </c>
      <c r="DH152" s="1311"/>
      <c r="DI152" s="1311"/>
      <c r="DJ152" s="1311"/>
      <c r="DK152" s="1311"/>
      <c r="DL152" s="1311"/>
      <c r="DM152" s="1311"/>
      <c r="DN152" s="1311"/>
      <c r="DO152" s="1311"/>
      <c r="DP152" s="1311"/>
      <c r="DQ152" s="1311"/>
      <c r="DR152" s="1311"/>
      <c r="DS152" s="1311">
        <v>2024</v>
      </c>
      <c r="DT152" s="1311"/>
      <c r="DU152" s="1311"/>
      <c r="DV152" s="1311"/>
      <c r="DW152" s="1311"/>
      <c r="DX152" s="1311"/>
      <c r="DY152" s="1311"/>
      <c r="DZ152" s="1311"/>
      <c r="EA152" s="1311"/>
      <c r="EB152" s="1311"/>
      <c r="EC152" s="1311"/>
      <c r="ED152" s="1311"/>
      <c r="EE152" s="1311">
        <v>2025</v>
      </c>
      <c r="EF152" s="1311"/>
      <c r="EG152" s="1311"/>
      <c r="EH152" s="1311"/>
      <c r="EI152" s="1311"/>
      <c r="EJ152" s="1311"/>
      <c r="EK152" s="1311"/>
      <c r="EL152" s="1311"/>
      <c r="EM152" s="1311"/>
      <c r="EN152" s="1311"/>
      <c r="EO152" s="1311"/>
      <c r="EP152" s="1311"/>
      <c r="EQ152" s="1311">
        <v>2026</v>
      </c>
      <c r="ER152" s="1311"/>
      <c r="ES152" s="1311"/>
      <c r="ET152" s="1311"/>
      <c r="EU152" s="1311"/>
      <c r="EV152" s="1311"/>
    </row>
    <row r="153" spans="1:152" x14ac:dyDescent="0.2">
      <c r="C153" s="1027">
        <f>C131</f>
        <v>41640</v>
      </c>
      <c r="D153" s="1027">
        <f t="shared" ref="D153:BO154" si="81">D131</f>
        <v>41671</v>
      </c>
      <c r="E153" s="1027">
        <f t="shared" si="81"/>
        <v>41699</v>
      </c>
      <c r="F153" s="1027">
        <f t="shared" si="81"/>
        <v>41730</v>
      </c>
      <c r="G153" s="1027">
        <f t="shared" si="81"/>
        <v>41760</v>
      </c>
      <c r="H153" s="1027">
        <f t="shared" si="81"/>
        <v>41791</v>
      </c>
      <c r="I153" s="1027">
        <f t="shared" si="81"/>
        <v>41821</v>
      </c>
      <c r="J153" s="1027">
        <f t="shared" si="81"/>
        <v>41852</v>
      </c>
      <c r="K153" s="1027">
        <f t="shared" si="81"/>
        <v>41883</v>
      </c>
      <c r="L153" s="1027">
        <f t="shared" si="81"/>
        <v>41913</v>
      </c>
      <c r="M153" s="1027">
        <f t="shared" si="81"/>
        <v>41944</v>
      </c>
      <c r="N153" s="1027">
        <f t="shared" si="81"/>
        <v>41974</v>
      </c>
      <c r="O153" s="1027">
        <f t="shared" si="81"/>
        <v>42005</v>
      </c>
      <c r="P153" s="1027">
        <f t="shared" si="81"/>
        <v>42036</v>
      </c>
      <c r="Q153" s="1027">
        <f t="shared" si="81"/>
        <v>42064</v>
      </c>
      <c r="R153" s="1027">
        <f t="shared" si="81"/>
        <v>42095</v>
      </c>
      <c r="S153" s="1027">
        <f t="shared" si="81"/>
        <v>42125</v>
      </c>
      <c r="T153" s="1027">
        <f t="shared" si="81"/>
        <v>42156</v>
      </c>
      <c r="U153" s="1027">
        <f t="shared" si="81"/>
        <v>42186</v>
      </c>
      <c r="V153" s="1027">
        <f t="shared" si="81"/>
        <v>42217</v>
      </c>
      <c r="W153" s="1027">
        <f t="shared" si="81"/>
        <v>42248</v>
      </c>
      <c r="X153" s="1027">
        <f t="shared" si="81"/>
        <v>42278</v>
      </c>
      <c r="Y153" s="1027">
        <f t="shared" si="81"/>
        <v>42309</v>
      </c>
      <c r="Z153" s="1027">
        <f t="shared" si="81"/>
        <v>42339</v>
      </c>
      <c r="AA153" s="1027">
        <f t="shared" si="81"/>
        <v>42370</v>
      </c>
      <c r="AB153" s="1027">
        <f t="shared" si="81"/>
        <v>42401</v>
      </c>
      <c r="AC153" s="1027">
        <f t="shared" si="81"/>
        <v>42430</v>
      </c>
      <c r="AD153" s="1027">
        <f t="shared" si="81"/>
        <v>42461</v>
      </c>
      <c r="AE153" s="1027">
        <f t="shared" si="81"/>
        <v>42491</v>
      </c>
      <c r="AF153" s="1027">
        <f t="shared" si="81"/>
        <v>42522</v>
      </c>
      <c r="AG153" s="1027">
        <f t="shared" si="81"/>
        <v>42552</v>
      </c>
      <c r="AH153" s="1027">
        <f t="shared" si="81"/>
        <v>42583</v>
      </c>
      <c r="AI153" s="1027">
        <f t="shared" si="81"/>
        <v>42614</v>
      </c>
      <c r="AJ153" s="1027">
        <f t="shared" si="81"/>
        <v>42644</v>
      </c>
      <c r="AK153" s="1027">
        <f t="shared" si="81"/>
        <v>42675</v>
      </c>
      <c r="AL153" s="1027">
        <f t="shared" si="81"/>
        <v>42705</v>
      </c>
      <c r="AM153" s="1027">
        <f t="shared" si="81"/>
        <v>42736</v>
      </c>
      <c r="AN153" s="1027">
        <f t="shared" si="81"/>
        <v>42767</v>
      </c>
      <c r="AO153" s="1027">
        <f t="shared" si="81"/>
        <v>42795</v>
      </c>
      <c r="AP153" s="1027">
        <f t="shared" si="81"/>
        <v>42826</v>
      </c>
      <c r="AQ153" s="1027">
        <f t="shared" si="81"/>
        <v>42856</v>
      </c>
      <c r="AR153" s="1027">
        <f t="shared" si="81"/>
        <v>42887</v>
      </c>
      <c r="AS153" s="1027">
        <f t="shared" si="81"/>
        <v>42917</v>
      </c>
      <c r="AT153" s="1027">
        <f t="shared" si="81"/>
        <v>42948</v>
      </c>
      <c r="AU153" s="1027">
        <f t="shared" si="81"/>
        <v>42979</v>
      </c>
      <c r="AV153" s="1027">
        <f t="shared" si="81"/>
        <v>43009</v>
      </c>
      <c r="AW153" s="1027">
        <f t="shared" si="81"/>
        <v>43040</v>
      </c>
      <c r="AX153" s="1027">
        <f t="shared" si="81"/>
        <v>43070</v>
      </c>
      <c r="AY153" s="1027">
        <f t="shared" si="81"/>
        <v>43101</v>
      </c>
      <c r="AZ153" s="1027">
        <f t="shared" si="81"/>
        <v>43132</v>
      </c>
      <c r="BA153" s="1027">
        <f t="shared" si="81"/>
        <v>43160</v>
      </c>
      <c r="BB153" s="1027">
        <f t="shared" si="81"/>
        <v>43191</v>
      </c>
      <c r="BC153" s="1027">
        <f t="shared" si="81"/>
        <v>43221</v>
      </c>
      <c r="BD153" s="1027">
        <f t="shared" si="81"/>
        <v>43252</v>
      </c>
      <c r="BE153" s="1027">
        <f t="shared" si="81"/>
        <v>43282</v>
      </c>
      <c r="BF153" s="1027">
        <f t="shared" si="81"/>
        <v>43313</v>
      </c>
      <c r="BG153" s="1027">
        <f t="shared" si="81"/>
        <v>43344</v>
      </c>
      <c r="BH153" s="1027">
        <f t="shared" si="81"/>
        <v>43374</v>
      </c>
      <c r="BI153" s="1027">
        <f t="shared" si="81"/>
        <v>43405</v>
      </c>
      <c r="BJ153" s="1027">
        <f t="shared" si="81"/>
        <v>43435</v>
      </c>
      <c r="BK153" s="1027">
        <f t="shared" si="81"/>
        <v>43466</v>
      </c>
      <c r="BL153" s="1027">
        <f t="shared" si="81"/>
        <v>43497</v>
      </c>
      <c r="BM153" s="1027">
        <f t="shared" si="81"/>
        <v>43525</v>
      </c>
      <c r="BN153" s="1027">
        <f t="shared" si="81"/>
        <v>43556</v>
      </c>
      <c r="BO153" s="1027">
        <f t="shared" si="81"/>
        <v>43586</v>
      </c>
      <c r="BP153" s="1027">
        <f t="shared" ref="BP153:EA154" si="82">BP131</f>
        <v>43617</v>
      </c>
      <c r="BQ153" s="1027">
        <f t="shared" si="82"/>
        <v>43647</v>
      </c>
      <c r="BR153" s="1027">
        <f t="shared" si="82"/>
        <v>43678</v>
      </c>
      <c r="BS153" s="1027">
        <f t="shared" si="82"/>
        <v>43709</v>
      </c>
      <c r="BT153" s="1027">
        <f t="shared" si="82"/>
        <v>43739</v>
      </c>
      <c r="BU153" s="1027">
        <f t="shared" si="82"/>
        <v>43770</v>
      </c>
      <c r="BV153" s="1027">
        <f t="shared" si="82"/>
        <v>43800</v>
      </c>
      <c r="BW153" s="1027">
        <f t="shared" si="82"/>
        <v>43831</v>
      </c>
      <c r="BX153" s="1027">
        <f t="shared" si="82"/>
        <v>43862</v>
      </c>
      <c r="BY153" s="1027">
        <f t="shared" si="82"/>
        <v>43891</v>
      </c>
      <c r="BZ153" s="1027">
        <f t="shared" si="82"/>
        <v>43922</v>
      </c>
      <c r="CA153" s="1027">
        <f t="shared" si="82"/>
        <v>43952</v>
      </c>
      <c r="CB153" s="1027">
        <f t="shared" si="82"/>
        <v>43983</v>
      </c>
      <c r="CC153" s="1027">
        <f t="shared" si="82"/>
        <v>44013</v>
      </c>
      <c r="CD153" s="1027">
        <f t="shared" si="82"/>
        <v>44044</v>
      </c>
      <c r="CE153" s="1027">
        <f t="shared" si="82"/>
        <v>44075</v>
      </c>
      <c r="CF153" s="1027">
        <f t="shared" si="82"/>
        <v>44105</v>
      </c>
      <c r="CG153" s="1027">
        <f t="shared" si="82"/>
        <v>44136</v>
      </c>
      <c r="CH153" s="1027">
        <f t="shared" si="82"/>
        <v>44166</v>
      </c>
      <c r="CI153" s="1027">
        <f t="shared" si="82"/>
        <v>44197</v>
      </c>
      <c r="CJ153" s="1027">
        <f t="shared" si="82"/>
        <v>44228</v>
      </c>
      <c r="CK153" s="1027">
        <f t="shared" si="82"/>
        <v>44256</v>
      </c>
      <c r="CL153" s="1027">
        <f t="shared" si="82"/>
        <v>44287</v>
      </c>
      <c r="CM153" s="1027">
        <f t="shared" si="82"/>
        <v>44317</v>
      </c>
      <c r="CN153" s="1027">
        <f t="shared" si="82"/>
        <v>44348</v>
      </c>
      <c r="CO153" s="1027">
        <f t="shared" si="82"/>
        <v>44378</v>
      </c>
      <c r="CP153" s="1027">
        <f t="shared" si="82"/>
        <v>44409</v>
      </c>
      <c r="CQ153" s="1027">
        <f t="shared" si="82"/>
        <v>44440</v>
      </c>
      <c r="CR153" s="1027">
        <f t="shared" si="82"/>
        <v>44470</v>
      </c>
      <c r="CS153" s="1027">
        <f t="shared" si="82"/>
        <v>44501</v>
      </c>
      <c r="CT153" s="1027">
        <f t="shared" si="82"/>
        <v>44531</v>
      </c>
      <c r="CU153" s="1027">
        <f t="shared" si="82"/>
        <v>44562</v>
      </c>
      <c r="CV153" s="1027">
        <f t="shared" si="82"/>
        <v>44593</v>
      </c>
      <c r="CW153" s="1027">
        <f t="shared" si="82"/>
        <v>44621</v>
      </c>
      <c r="CX153" s="1027">
        <f t="shared" si="82"/>
        <v>44652</v>
      </c>
      <c r="CY153" s="1027">
        <f t="shared" si="82"/>
        <v>44682</v>
      </c>
      <c r="CZ153" s="1027">
        <f t="shared" si="82"/>
        <v>44713</v>
      </c>
      <c r="DA153" s="1027">
        <f t="shared" si="82"/>
        <v>44743</v>
      </c>
      <c r="DB153" s="1027">
        <f t="shared" si="82"/>
        <v>44774</v>
      </c>
      <c r="DC153" s="1027">
        <f t="shared" si="82"/>
        <v>44805</v>
      </c>
      <c r="DD153" s="1027">
        <f t="shared" si="82"/>
        <v>44835</v>
      </c>
      <c r="DE153" s="1027">
        <f t="shared" si="82"/>
        <v>44866</v>
      </c>
      <c r="DF153" s="1027">
        <f t="shared" si="82"/>
        <v>44896</v>
      </c>
      <c r="DG153" s="1027">
        <f t="shared" si="82"/>
        <v>44927</v>
      </c>
      <c r="DH153" s="1027">
        <f t="shared" si="82"/>
        <v>44958</v>
      </c>
      <c r="DI153" s="1027">
        <f t="shared" si="82"/>
        <v>44986</v>
      </c>
      <c r="DJ153" s="1027">
        <f t="shared" si="82"/>
        <v>45017</v>
      </c>
      <c r="DK153" s="1027">
        <f t="shared" si="82"/>
        <v>45047</v>
      </c>
      <c r="DL153" s="1027">
        <f t="shared" si="82"/>
        <v>45078</v>
      </c>
      <c r="DM153" s="1027">
        <f t="shared" si="82"/>
        <v>45108</v>
      </c>
      <c r="DN153" s="1027">
        <f t="shared" si="82"/>
        <v>45139</v>
      </c>
      <c r="DO153" s="1027">
        <f t="shared" si="82"/>
        <v>45170</v>
      </c>
      <c r="DP153" s="1027">
        <f t="shared" si="82"/>
        <v>45200</v>
      </c>
      <c r="DQ153" s="1027">
        <f t="shared" si="82"/>
        <v>45231</v>
      </c>
      <c r="DR153" s="1027">
        <f t="shared" si="82"/>
        <v>45261</v>
      </c>
      <c r="DS153" s="1027">
        <f t="shared" si="82"/>
        <v>45292</v>
      </c>
      <c r="DT153" s="1027">
        <f t="shared" si="82"/>
        <v>45323</v>
      </c>
      <c r="DU153" s="1027">
        <f t="shared" si="82"/>
        <v>45352</v>
      </c>
      <c r="DV153" s="1027">
        <f t="shared" si="82"/>
        <v>45383</v>
      </c>
      <c r="DW153" s="1027">
        <f t="shared" si="82"/>
        <v>45413</v>
      </c>
      <c r="DX153" s="1027">
        <f t="shared" si="82"/>
        <v>45444</v>
      </c>
      <c r="DY153" s="1027">
        <f t="shared" si="82"/>
        <v>45474</v>
      </c>
      <c r="DZ153" s="1027">
        <f t="shared" si="82"/>
        <v>45505</v>
      </c>
      <c r="EA153" s="1027">
        <f t="shared" si="82"/>
        <v>45536</v>
      </c>
      <c r="EB153" s="1027">
        <f t="shared" ref="EB153:EV154" si="83">EB131</f>
        <v>45566</v>
      </c>
      <c r="EC153" s="1027">
        <f t="shared" si="83"/>
        <v>45597</v>
      </c>
      <c r="ED153" s="1027">
        <f t="shared" si="83"/>
        <v>45627</v>
      </c>
      <c r="EE153" s="1027">
        <f t="shared" si="83"/>
        <v>45658</v>
      </c>
      <c r="EF153" s="1027">
        <f t="shared" si="83"/>
        <v>45689</v>
      </c>
      <c r="EG153" s="1027">
        <f t="shared" si="83"/>
        <v>45717</v>
      </c>
      <c r="EH153" s="1027">
        <f t="shared" si="83"/>
        <v>45748</v>
      </c>
      <c r="EI153" s="1027">
        <f t="shared" si="83"/>
        <v>45778</v>
      </c>
      <c r="EJ153" s="1027">
        <f t="shared" si="83"/>
        <v>45809</v>
      </c>
      <c r="EK153" s="1027">
        <f t="shared" si="83"/>
        <v>45839</v>
      </c>
      <c r="EL153" s="1027">
        <f t="shared" si="83"/>
        <v>45870</v>
      </c>
      <c r="EM153" s="1027">
        <f t="shared" si="83"/>
        <v>45901</v>
      </c>
      <c r="EN153" s="1027">
        <f t="shared" si="83"/>
        <v>45931</v>
      </c>
      <c r="EO153" s="1027">
        <f t="shared" si="83"/>
        <v>45962</v>
      </c>
      <c r="EP153" s="1027">
        <f t="shared" si="83"/>
        <v>45992</v>
      </c>
      <c r="EQ153" s="1027">
        <f t="shared" si="83"/>
        <v>46023</v>
      </c>
      <c r="ER153" s="1027">
        <f t="shared" si="83"/>
        <v>46054</v>
      </c>
      <c r="ES153" s="1027">
        <f t="shared" si="83"/>
        <v>46082</v>
      </c>
      <c r="ET153" s="1027">
        <f t="shared" si="83"/>
        <v>46113</v>
      </c>
      <c r="EU153" s="1027">
        <f t="shared" si="83"/>
        <v>46143</v>
      </c>
      <c r="EV153" s="1027">
        <f t="shared" si="83"/>
        <v>46174</v>
      </c>
    </row>
    <row r="154" spans="1:152" x14ac:dyDescent="0.2">
      <c r="C154" s="23">
        <f>C132</f>
        <v>0</v>
      </c>
      <c r="D154" s="23">
        <f t="shared" si="81"/>
        <v>0</v>
      </c>
      <c r="E154" s="23">
        <f t="shared" si="81"/>
        <v>0</v>
      </c>
      <c r="F154" s="23">
        <f t="shared" si="81"/>
        <v>0</v>
      </c>
      <c r="G154" s="23">
        <f t="shared" si="81"/>
        <v>0</v>
      </c>
      <c r="H154" s="23">
        <f t="shared" si="81"/>
        <v>0</v>
      </c>
      <c r="I154" s="23">
        <f t="shared" si="81"/>
        <v>0</v>
      </c>
      <c r="J154" s="23">
        <f t="shared" si="81"/>
        <v>0</v>
      </c>
      <c r="K154" s="23">
        <f t="shared" si="81"/>
        <v>0</v>
      </c>
      <c r="L154" s="23">
        <f t="shared" si="81"/>
        <v>0</v>
      </c>
      <c r="M154" s="23">
        <f t="shared" si="81"/>
        <v>0</v>
      </c>
      <c r="N154" s="23">
        <f t="shared" si="81"/>
        <v>0</v>
      </c>
      <c r="O154" s="23">
        <f t="shared" si="81"/>
        <v>1.5325</v>
      </c>
      <c r="P154" s="23">
        <f t="shared" si="81"/>
        <v>3.0575000000000001</v>
      </c>
      <c r="Q154" s="23">
        <f t="shared" si="81"/>
        <v>0.12250000000000001</v>
      </c>
      <c r="R154" s="23">
        <f t="shared" si="81"/>
        <v>1.0225</v>
      </c>
      <c r="S154" s="23">
        <f t="shared" si="81"/>
        <v>2.1425000000000001</v>
      </c>
      <c r="T154" s="23">
        <f t="shared" si="81"/>
        <v>0.32250000000000001</v>
      </c>
      <c r="U154" s="23">
        <f t="shared" si="81"/>
        <v>0.76250000000000007</v>
      </c>
      <c r="V154" s="23">
        <f t="shared" si="81"/>
        <v>0.12250000000000001</v>
      </c>
      <c r="W154" s="23">
        <f t="shared" si="81"/>
        <v>0.40749999999999997</v>
      </c>
      <c r="X154" s="23">
        <f t="shared" si="81"/>
        <v>0.6</v>
      </c>
      <c r="Y154" s="23">
        <f t="shared" si="81"/>
        <v>1.1074999999999999</v>
      </c>
      <c r="Z154" s="23">
        <f t="shared" si="81"/>
        <v>2.3125</v>
      </c>
      <c r="AA154" s="23">
        <f t="shared" si="81"/>
        <v>0.39200000000000002</v>
      </c>
      <c r="AB154" s="23">
        <f t="shared" si="81"/>
        <v>1.5760000000000001</v>
      </c>
      <c r="AC154" s="23">
        <f t="shared" si="81"/>
        <v>0.58250000000000002</v>
      </c>
      <c r="AD154" s="23">
        <f t="shared" si="81"/>
        <v>6.4225000000000003</v>
      </c>
      <c r="AE154" s="23">
        <f t="shared" si="81"/>
        <v>1.623</v>
      </c>
      <c r="AF154" s="23">
        <f t="shared" si="81"/>
        <v>1.7090000000000001</v>
      </c>
      <c r="AG154" s="23">
        <f t="shared" si="81"/>
        <v>0.52700000000000002</v>
      </c>
      <c r="AH154" s="23">
        <f t="shared" si="81"/>
        <v>7.1244999999999994</v>
      </c>
      <c r="AI154" s="23">
        <f t="shared" si="81"/>
        <v>1.4950000000000001</v>
      </c>
      <c r="AJ154" s="23">
        <f t="shared" si="81"/>
        <v>1.8775000000000002</v>
      </c>
      <c r="AK154" s="23">
        <f t="shared" si="81"/>
        <v>0.97</v>
      </c>
      <c r="AL154" s="23">
        <f t="shared" si="81"/>
        <v>1.6850000000000001</v>
      </c>
      <c r="AM154" s="23">
        <f t="shared" si="81"/>
        <v>2.0655000000000001</v>
      </c>
      <c r="AN154" s="23">
        <f t="shared" si="81"/>
        <v>1.4610000000000001</v>
      </c>
      <c r="AO154" s="23">
        <f t="shared" si="81"/>
        <v>0.5535000000000001</v>
      </c>
      <c r="AP154" s="23">
        <f t="shared" si="81"/>
        <v>4.8475000000000001</v>
      </c>
      <c r="AQ154" s="23">
        <f t="shared" si="81"/>
        <v>0.77750000000000008</v>
      </c>
      <c r="AR154" s="23">
        <f t="shared" si="81"/>
        <v>0.38700000000000001</v>
      </c>
      <c r="AS154" s="23">
        <f t="shared" si="81"/>
        <v>2.4055000000000004</v>
      </c>
      <c r="AT154" s="23">
        <f t="shared" si="81"/>
        <v>0.38250000000000001</v>
      </c>
      <c r="AU154" s="23">
        <f t="shared" si="81"/>
        <v>0.2</v>
      </c>
      <c r="AV154" s="23">
        <f t="shared" si="81"/>
        <v>0</v>
      </c>
      <c r="AW154" s="23">
        <f t="shared" si="81"/>
        <v>2.2500000000000003E-2</v>
      </c>
      <c r="AX154" s="23">
        <f t="shared" si="81"/>
        <v>0</v>
      </c>
      <c r="AY154" s="23">
        <f t="shared" si="81"/>
        <v>0.127</v>
      </c>
      <c r="AZ154" s="23">
        <f t="shared" si="81"/>
        <v>0</v>
      </c>
      <c r="BA154" s="23">
        <f t="shared" si="81"/>
        <v>0</v>
      </c>
      <c r="BB154" s="23">
        <f t="shared" si="81"/>
        <v>0.23250000000000004</v>
      </c>
      <c r="BC154" s="23">
        <f t="shared" si="81"/>
        <v>2.0000000000000004E-2</v>
      </c>
      <c r="BD154" s="23">
        <f t="shared" si="81"/>
        <v>2.1499999999999998E-2</v>
      </c>
      <c r="BE154" s="23">
        <f t="shared" si="81"/>
        <v>0.93</v>
      </c>
      <c r="BF154" s="23">
        <f t="shared" si="81"/>
        <v>0.13</v>
      </c>
      <c r="BG154" s="23">
        <f t="shared" si="81"/>
        <v>0</v>
      </c>
      <c r="BH154" s="23">
        <f t="shared" si="81"/>
        <v>0</v>
      </c>
      <c r="BI154" s="23">
        <f t="shared" si="81"/>
        <v>0.39</v>
      </c>
      <c r="BJ154" s="23">
        <f t="shared" si="81"/>
        <v>0</v>
      </c>
      <c r="BK154" s="23">
        <f t="shared" si="81"/>
        <v>0</v>
      </c>
      <c r="BL154" s="23">
        <f t="shared" si="81"/>
        <v>0.26</v>
      </c>
      <c r="BM154" s="23">
        <f t="shared" si="81"/>
        <v>0</v>
      </c>
      <c r="BN154" s="23">
        <f t="shared" si="81"/>
        <v>0</v>
      </c>
      <c r="BO154" s="23">
        <f t="shared" si="81"/>
        <v>0</v>
      </c>
      <c r="BP154" s="23">
        <f t="shared" si="82"/>
        <v>0</v>
      </c>
      <c r="BQ154" s="23">
        <f t="shared" si="82"/>
        <v>0</v>
      </c>
      <c r="BR154" s="23">
        <f t="shared" si="82"/>
        <v>0</v>
      </c>
      <c r="BS154" s="23">
        <f t="shared" si="82"/>
        <v>0.52</v>
      </c>
      <c r="BT154" s="23">
        <f t="shared" si="82"/>
        <v>0</v>
      </c>
      <c r="BU154" s="23">
        <f t="shared" si="82"/>
        <v>0.52</v>
      </c>
      <c r="BV154" s="23">
        <f t="shared" si="82"/>
        <v>0</v>
      </c>
      <c r="BW154" s="23">
        <f t="shared" si="82"/>
        <v>0</v>
      </c>
      <c r="BX154" s="23">
        <f t="shared" si="82"/>
        <v>0</v>
      </c>
      <c r="BY154" s="23">
        <f t="shared" si="82"/>
        <v>0</v>
      </c>
      <c r="BZ154" s="23">
        <f t="shared" si="82"/>
        <v>0.52</v>
      </c>
      <c r="CA154" s="23">
        <f t="shared" si="82"/>
        <v>0</v>
      </c>
      <c r="CB154" s="23">
        <f t="shared" si="82"/>
        <v>0</v>
      </c>
      <c r="CC154" s="23">
        <f t="shared" si="82"/>
        <v>0.26</v>
      </c>
      <c r="CD154" s="23">
        <f t="shared" si="82"/>
        <v>0</v>
      </c>
      <c r="CE154" s="23">
        <f t="shared" si="82"/>
        <v>0</v>
      </c>
      <c r="CF154" s="23">
        <f t="shared" si="82"/>
        <v>0</v>
      </c>
      <c r="CG154" s="23">
        <f t="shared" si="82"/>
        <v>0</v>
      </c>
      <c r="CH154" s="23">
        <f t="shared" si="82"/>
        <v>0</v>
      </c>
      <c r="CI154" s="23">
        <f t="shared" si="82"/>
        <v>0</v>
      </c>
      <c r="CJ154" s="23">
        <f t="shared" si="82"/>
        <v>0</v>
      </c>
      <c r="CK154" s="23">
        <f t="shared" si="82"/>
        <v>0</v>
      </c>
      <c r="CL154" s="23">
        <f t="shared" si="82"/>
        <v>0</v>
      </c>
      <c r="CM154" s="23">
        <f t="shared" si="82"/>
        <v>0</v>
      </c>
      <c r="CN154" s="23">
        <f t="shared" si="82"/>
        <v>0</v>
      </c>
      <c r="CO154" s="23">
        <f t="shared" si="82"/>
        <v>0.13</v>
      </c>
      <c r="CP154" s="23">
        <f t="shared" si="82"/>
        <v>0</v>
      </c>
      <c r="CQ154" s="23">
        <f t="shared" si="82"/>
        <v>0</v>
      </c>
      <c r="CR154" s="23">
        <f t="shared" si="82"/>
        <v>0</v>
      </c>
      <c r="CS154" s="23">
        <f t="shared" si="82"/>
        <v>0</v>
      </c>
      <c r="CT154" s="23">
        <f t="shared" si="82"/>
        <v>0</v>
      </c>
      <c r="CU154" s="23">
        <f t="shared" si="82"/>
        <v>0</v>
      </c>
      <c r="CV154" s="23">
        <f t="shared" si="82"/>
        <v>0</v>
      </c>
      <c r="CW154" s="23">
        <f t="shared" si="82"/>
        <v>0</v>
      </c>
      <c r="CX154" s="23">
        <f t="shared" si="82"/>
        <v>0</v>
      </c>
      <c r="CY154" s="23">
        <f t="shared" si="82"/>
        <v>0</v>
      </c>
      <c r="CZ154" s="23">
        <f t="shared" si="82"/>
        <v>0</v>
      </c>
      <c r="DA154" s="23">
        <f t="shared" si="82"/>
        <v>0</v>
      </c>
      <c r="DB154" s="23">
        <f t="shared" si="82"/>
        <v>0</v>
      </c>
      <c r="DC154" s="23">
        <f t="shared" si="82"/>
        <v>0</v>
      </c>
      <c r="DD154" s="23">
        <f t="shared" si="82"/>
        <v>0</v>
      </c>
      <c r="DE154" s="23">
        <f t="shared" si="82"/>
        <v>0</v>
      </c>
      <c r="DF154" s="23">
        <f t="shared" si="82"/>
        <v>0</v>
      </c>
      <c r="DG154" s="23">
        <f t="shared" si="82"/>
        <v>0</v>
      </c>
      <c r="DH154" s="23">
        <f t="shared" si="82"/>
        <v>0</v>
      </c>
      <c r="DI154" s="23">
        <f t="shared" si="82"/>
        <v>0</v>
      </c>
      <c r="DJ154" s="23">
        <f t="shared" si="82"/>
        <v>0</v>
      </c>
      <c r="DK154" s="23">
        <f t="shared" si="82"/>
        <v>0</v>
      </c>
      <c r="DL154" s="23">
        <f t="shared" si="82"/>
        <v>0</v>
      </c>
      <c r="DM154" s="23">
        <f t="shared" si="82"/>
        <v>0</v>
      </c>
      <c r="DN154" s="23">
        <f t="shared" si="82"/>
        <v>0</v>
      </c>
      <c r="DO154" s="23">
        <f t="shared" si="82"/>
        <v>0</v>
      </c>
      <c r="DP154" s="23">
        <f t="shared" si="82"/>
        <v>0</v>
      </c>
      <c r="DQ154" s="23">
        <f t="shared" si="82"/>
        <v>0</v>
      </c>
      <c r="DR154" s="23">
        <f t="shared" si="82"/>
        <v>0</v>
      </c>
      <c r="DS154" s="23">
        <f t="shared" si="82"/>
        <v>0</v>
      </c>
      <c r="DT154" s="23">
        <f t="shared" si="82"/>
        <v>0</v>
      </c>
      <c r="DU154" s="23">
        <f t="shared" si="82"/>
        <v>0</v>
      </c>
      <c r="DV154" s="23">
        <f t="shared" si="82"/>
        <v>0</v>
      </c>
      <c r="DW154" s="23">
        <f t="shared" si="82"/>
        <v>0</v>
      </c>
      <c r="DX154" s="23">
        <f t="shared" si="82"/>
        <v>0</v>
      </c>
      <c r="DY154" s="23">
        <f t="shared" si="82"/>
        <v>0</v>
      </c>
      <c r="DZ154" s="23">
        <f t="shared" si="82"/>
        <v>0</v>
      </c>
      <c r="EA154" s="23">
        <f t="shared" si="82"/>
        <v>0</v>
      </c>
      <c r="EB154" s="23">
        <f t="shared" si="83"/>
        <v>0</v>
      </c>
      <c r="EC154" s="23">
        <f t="shared" si="83"/>
        <v>0</v>
      </c>
      <c r="ED154" s="23">
        <f t="shared" si="83"/>
        <v>0</v>
      </c>
      <c r="EE154" s="23">
        <f t="shared" si="83"/>
        <v>0</v>
      </c>
      <c r="EF154" s="23">
        <f t="shared" si="83"/>
        <v>0</v>
      </c>
      <c r="EG154" s="23">
        <f t="shared" si="83"/>
        <v>0</v>
      </c>
      <c r="EH154" s="23">
        <f t="shared" si="83"/>
        <v>0</v>
      </c>
      <c r="EI154" s="23">
        <f t="shared" si="83"/>
        <v>0</v>
      </c>
      <c r="EJ154" s="23">
        <f t="shared" si="83"/>
        <v>0</v>
      </c>
      <c r="EK154" s="23">
        <f t="shared" si="83"/>
        <v>0</v>
      </c>
      <c r="EL154" s="23">
        <f t="shared" si="83"/>
        <v>0</v>
      </c>
      <c r="EM154" s="23">
        <f t="shared" si="83"/>
        <v>0</v>
      </c>
      <c r="EN154" s="23">
        <f t="shared" si="83"/>
        <v>0</v>
      </c>
      <c r="EO154" s="23">
        <f t="shared" si="83"/>
        <v>0</v>
      </c>
      <c r="EP154" s="23">
        <f t="shared" si="83"/>
        <v>0</v>
      </c>
      <c r="EQ154" s="23">
        <f t="shared" si="83"/>
        <v>0</v>
      </c>
      <c r="ER154" s="23">
        <f t="shared" si="83"/>
        <v>0</v>
      </c>
      <c r="ES154" s="23">
        <f t="shared" si="83"/>
        <v>0</v>
      </c>
      <c r="ET154" s="23">
        <f t="shared" si="83"/>
        <v>0</v>
      </c>
      <c r="EU154" s="23">
        <f t="shared" si="83"/>
        <v>0</v>
      </c>
      <c r="EV154" s="23">
        <f t="shared" si="83"/>
        <v>0</v>
      </c>
    </row>
  </sheetData>
  <mergeCells count="216">
    <mergeCell ref="B3:B5"/>
    <mergeCell ref="C133:E133"/>
    <mergeCell ref="F133:H133"/>
    <mergeCell ref="I133:K133"/>
    <mergeCell ref="L133:N133"/>
    <mergeCell ref="O133:Q133"/>
    <mergeCell ref="R133:T133"/>
    <mergeCell ref="U133:W133"/>
    <mergeCell ref="X133:Z133"/>
    <mergeCell ref="AA133:AC133"/>
    <mergeCell ref="AD133:AF133"/>
    <mergeCell ref="AG133:AI133"/>
    <mergeCell ref="AJ133:AL133"/>
    <mergeCell ref="AM133:AO133"/>
    <mergeCell ref="AP133:AR133"/>
    <mergeCell ref="AS133:AU133"/>
    <mergeCell ref="AV133:AX133"/>
    <mergeCell ref="AY133:BA133"/>
    <mergeCell ref="BB133:BD133"/>
    <mergeCell ref="BE133:BG133"/>
    <mergeCell ref="BH133:BJ133"/>
    <mergeCell ref="BK133:BM133"/>
    <mergeCell ref="BN133:BP133"/>
    <mergeCell ref="BQ133:BS133"/>
    <mergeCell ref="BT133:BV133"/>
    <mergeCell ref="BW133:BY133"/>
    <mergeCell ref="BZ133:CB133"/>
    <mergeCell ref="CC133:CE133"/>
    <mergeCell ref="CF133:CH133"/>
    <mergeCell ref="CI133:CK133"/>
    <mergeCell ref="CL133:CN133"/>
    <mergeCell ref="CO133:CQ133"/>
    <mergeCell ref="CR133:CT133"/>
    <mergeCell ref="CU133:CW133"/>
    <mergeCell ref="CX133:CZ133"/>
    <mergeCell ref="DA133:DC133"/>
    <mergeCell ref="DD133:DF133"/>
    <mergeCell ref="DG133:DI133"/>
    <mergeCell ref="DJ133:DL133"/>
    <mergeCell ref="DM133:DO133"/>
    <mergeCell ref="DP133:DR133"/>
    <mergeCell ref="DS133:DU133"/>
    <mergeCell ref="DV133:DX133"/>
    <mergeCell ref="DY133:EA133"/>
    <mergeCell ref="EB133:ED133"/>
    <mergeCell ref="EE133:EG133"/>
    <mergeCell ref="EH133:EJ133"/>
    <mergeCell ref="EK133:EM133"/>
    <mergeCell ref="EN133:EP133"/>
    <mergeCell ref="EQ133:ES133"/>
    <mergeCell ref="ET133:EV133"/>
    <mergeCell ref="C134:E134"/>
    <mergeCell ref="F134:H134"/>
    <mergeCell ref="I134:K134"/>
    <mergeCell ref="L134:N134"/>
    <mergeCell ref="O134:Q134"/>
    <mergeCell ref="R134:T134"/>
    <mergeCell ref="U134:W134"/>
    <mergeCell ref="X134:Z134"/>
    <mergeCell ref="AA134:AC134"/>
    <mergeCell ref="AD134:AF134"/>
    <mergeCell ref="AG134:AI134"/>
    <mergeCell ref="AJ134:AL134"/>
    <mergeCell ref="AM134:AO134"/>
    <mergeCell ref="AP134:AR134"/>
    <mergeCell ref="AS134:AU134"/>
    <mergeCell ref="AV134:AX134"/>
    <mergeCell ref="AY134:BA134"/>
    <mergeCell ref="BB134:BD134"/>
    <mergeCell ref="BE134:BG134"/>
    <mergeCell ref="BH134:BJ134"/>
    <mergeCell ref="BK134:BM134"/>
    <mergeCell ref="BN134:BP134"/>
    <mergeCell ref="BQ134:BS134"/>
    <mergeCell ref="BT134:BV134"/>
    <mergeCell ref="BW134:BY134"/>
    <mergeCell ref="BZ134:CB134"/>
    <mergeCell ref="CC134:CE134"/>
    <mergeCell ref="CF134:CH134"/>
    <mergeCell ref="CI134:CK134"/>
    <mergeCell ref="CL134:CN134"/>
    <mergeCell ref="CO134:CQ134"/>
    <mergeCell ref="CR134:CT134"/>
    <mergeCell ref="CU134:CW134"/>
    <mergeCell ref="CX134:CZ134"/>
    <mergeCell ref="DA134:DC134"/>
    <mergeCell ref="DD134:DF134"/>
    <mergeCell ref="DG134:DI134"/>
    <mergeCell ref="DJ134:DL134"/>
    <mergeCell ref="DM134:DO134"/>
    <mergeCell ref="DP134:DR134"/>
    <mergeCell ref="DS134:DU134"/>
    <mergeCell ref="DV134:DX134"/>
    <mergeCell ref="DY134:EA134"/>
    <mergeCell ref="EB134:ED134"/>
    <mergeCell ref="EE134:EG134"/>
    <mergeCell ref="EH134:EJ134"/>
    <mergeCell ref="EK134:EM134"/>
    <mergeCell ref="EN134:EP134"/>
    <mergeCell ref="EQ134:ES134"/>
    <mergeCell ref="ET134:EV134"/>
    <mergeCell ref="C135:H135"/>
    <mergeCell ref="I135:N135"/>
    <mergeCell ref="O135:T135"/>
    <mergeCell ref="U135:Z135"/>
    <mergeCell ref="AA135:AF135"/>
    <mergeCell ref="AG135:AL135"/>
    <mergeCell ref="AM135:AR135"/>
    <mergeCell ref="AS135:AX135"/>
    <mergeCell ref="AY135:BD135"/>
    <mergeCell ref="BE135:BJ135"/>
    <mergeCell ref="BK135:BP135"/>
    <mergeCell ref="BQ135:BV135"/>
    <mergeCell ref="BW135:CB135"/>
    <mergeCell ref="CC135:CH135"/>
    <mergeCell ref="CI135:CN135"/>
    <mergeCell ref="CO135:CT135"/>
    <mergeCell ref="CU135:CZ135"/>
    <mergeCell ref="DA135:DF135"/>
    <mergeCell ref="DG135:DL135"/>
    <mergeCell ref="DM135:DR135"/>
    <mergeCell ref="DS135:DX135"/>
    <mergeCell ref="DY135:ED135"/>
    <mergeCell ref="EE135:EJ135"/>
    <mergeCell ref="EK135:EP135"/>
    <mergeCell ref="EQ135:EV135"/>
    <mergeCell ref="C136:H136"/>
    <mergeCell ref="I136:N136"/>
    <mergeCell ref="O136:T136"/>
    <mergeCell ref="U136:Z136"/>
    <mergeCell ref="AA136:AF136"/>
    <mergeCell ref="AG136:AL136"/>
    <mergeCell ref="AM136:AR136"/>
    <mergeCell ref="AS136:AX136"/>
    <mergeCell ref="AY136:BD136"/>
    <mergeCell ref="BE136:BJ136"/>
    <mergeCell ref="BK136:BP136"/>
    <mergeCell ref="BQ136:BV136"/>
    <mergeCell ref="BW136:CB136"/>
    <mergeCell ref="CC136:CH136"/>
    <mergeCell ref="CI136:CN136"/>
    <mergeCell ref="CO136:CT136"/>
    <mergeCell ref="CU136:CZ136"/>
    <mergeCell ref="DA136:DF136"/>
    <mergeCell ref="C137:N137"/>
    <mergeCell ref="O137:Z137"/>
    <mergeCell ref="AA137:AL137"/>
    <mergeCell ref="AM137:AX137"/>
    <mergeCell ref="AY137:BJ137"/>
    <mergeCell ref="BK137:BV137"/>
    <mergeCell ref="BW137:CH137"/>
    <mergeCell ref="CI137:CT137"/>
    <mergeCell ref="CU137:DF137"/>
    <mergeCell ref="CI138:CT138"/>
    <mergeCell ref="CU138:DF138"/>
    <mergeCell ref="DG136:DL136"/>
    <mergeCell ref="DM136:DR136"/>
    <mergeCell ref="DS136:DX136"/>
    <mergeCell ref="DY136:ED136"/>
    <mergeCell ref="EE136:EJ136"/>
    <mergeCell ref="EK136:EP136"/>
    <mergeCell ref="EQ136:EV136"/>
    <mergeCell ref="DG137:DR137"/>
    <mergeCell ref="DS137:ED137"/>
    <mergeCell ref="EE137:EP137"/>
    <mergeCell ref="EQ137:EV137"/>
    <mergeCell ref="U144:V144"/>
    <mergeCell ref="W144:X144"/>
    <mergeCell ref="Y144:Z144"/>
    <mergeCell ref="AA144:AB144"/>
    <mergeCell ref="DG138:DR138"/>
    <mergeCell ref="DS138:ED138"/>
    <mergeCell ref="EE138:EP138"/>
    <mergeCell ref="EQ138:EV138"/>
    <mergeCell ref="C144:D144"/>
    <mergeCell ref="E144:F144"/>
    <mergeCell ref="G144:H144"/>
    <mergeCell ref="I144:J144"/>
    <mergeCell ref="K144:L144"/>
    <mergeCell ref="M144:N144"/>
    <mergeCell ref="O144:P144"/>
    <mergeCell ref="Q144:R144"/>
    <mergeCell ref="S144:T144"/>
    <mergeCell ref="C138:N138"/>
    <mergeCell ref="O138:Z138"/>
    <mergeCell ref="AA138:AL138"/>
    <mergeCell ref="AM138:AX138"/>
    <mergeCell ref="AY138:BJ138"/>
    <mergeCell ref="BK138:BV138"/>
    <mergeCell ref="BW138:CH138"/>
    <mergeCell ref="C152:N152"/>
    <mergeCell ref="O152:Z152"/>
    <mergeCell ref="AA152:AL152"/>
    <mergeCell ref="AM152:AX152"/>
    <mergeCell ref="AY152:BJ152"/>
    <mergeCell ref="AA148:AD148"/>
    <mergeCell ref="AE148:AH148"/>
    <mergeCell ref="AI148:AL148"/>
    <mergeCell ref="AM148:AP148"/>
    <mergeCell ref="C148:F148"/>
    <mergeCell ref="G148:J148"/>
    <mergeCell ref="K148:N148"/>
    <mergeCell ref="O148:R148"/>
    <mergeCell ref="S148:V148"/>
    <mergeCell ref="W148:Z148"/>
    <mergeCell ref="AQ148:AT148"/>
    <mergeCell ref="AU148:AX148"/>
    <mergeCell ref="EE152:EP152"/>
    <mergeCell ref="EQ152:EV152"/>
    <mergeCell ref="BK152:BV152"/>
    <mergeCell ref="BW152:CH152"/>
    <mergeCell ref="CI152:CT152"/>
    <mergeCell ref="CU152:DF152"/>
    <mergeCell ref="DG152:DR152"/>
    <mergeCell ref="DS152:ED152"/>
    <mergeCell ref="AY148:BB1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rgb="FFFFFF00"/>
  </sheetPr>
  <dimension ref="A2:U47"/>
  <sheetViews>
    <sheetView workbookViewId="0">
      <selection activeCell="O39" sqref="O39"/>
    </sheetView>
  </sheetViews>
  <sheetFormatPr baseColWidth="10" defaultRowHeight="12.75" x14ac:dyDescent="0.2"/>
  <cols>
    <col min="1" max="1" width="34.140625" customWidth="1"/>
    <col min="12" max="12" width="18.7109375" customWidth="1"/>
    <col min="16" max="16" width="3.85546875" customWidth="1"/>
  </cols>
  <sheetData>
    <row r="2" spans="1:10" x14ac:dyDescent="0.2">
      <c r="A2" s="851" t="s">
        <v>1183</v>
      </c>
      <c r="B2" s="771"/>
      <c r="C2" s="850"/>
      <c r="D2" s="771"/>
      <c r="E2" s="771"/>
      <c r="F2" s="771"/>
      <c r="G2" s="771"/>
      <c r="H2" s="771"/>
      <c r="I2" s="771"/>
    </row>
    <row r="3" spans="1:10" x14ac:dyDescent="0.2">
      <c r="C3" s="195"/>
    </row>
    <row r="4" spans="1:10" x14ac:dyDescent="0.2">
      <c r="A4" s="863" t="s">
        <v>1184</v>
      </c>
      <c r="B4" s="861"/>
      <c r="C4" s="862"/>
      <c r="D4" s="873"/>
      <c r="E4" s="873"/>
      <c r="F4" s="873"/>
      <c r="G4" s="873"/>
      <c r="H4" s="873"/>
      <c r="I4" s="861"/>
      <c r="J4" s="861"/>
    </row>
    <row r="5" spans="1:10" x14ac:dyDescent="0.2">
      <c r="A5" t="s">
        <v>1185</v>
      </c>
      <c r="B5" s="195">
        <v>2700</v>
      </c>
      <c r="C5" s="195" t="s">
        <v>984</v>
      </c>
      <c r="D5" s="43"/>
      <c r="E5" s="43"/>
      <c r="F5" s="43"/>
      <c r="G5" s="43"/>
      <c r="H5" s="43"/>
      <c r="I5" s="114"/>
    </row>
    <row r="6" spans="1:10" x14ac:dyDescent="0.2">
      <c r="A6" t="s">
        <v>1186</v>
      </c>
      <c r="B6" s="195">
        <f>E16</f>
        <v>1107</v>
      </c>
      <c r="C6" s="195" t="s">
        <v>984</v>
      </c>
    </row>
    <row r="7" spans="1:10" x14ac:dyDescent="0.2">
      <c r="A7" s="137" t="s">
        <v>1187</v>
      </c>
      <c r="B7" s="195">
        <v>800</v>
      </c>
      <c r="C7" s="195" t="s">
        <v>984</v>
      </c>
    </row>
    <row r="8" spans="1:10" x14ac:dyDescent="0.2">
      <c r="A8" s="141" t="s">
        <v>1188</v>
      </c>
      <c r="B8" s="852">
        <f>SUM(B5:B7)</f>
        <v>4607</v>
      </c>
      <c r="C8" s="852" t="s">
        <v>984</v>
      </c>
    </row>
    <row r="9" spans="1:10" x14ac:dyDescent="0.2">
      <c r="C9" s="195"/>
    </row>
    <row r="10" spans="1:10" x14ac:dyDescent="0.2">
      <c r="C10" s="195"/>
    </row>
    <row r="11" spans="1:10" ht="13.5" thickBot="1" x14ac:dyDescent="0.25">
      <c r="C11" s="195"/>
    </row>
    <row r="12" spans="1:10" x14ac:dyDescent="0.2">
      <c r="A12" s="772" t="s">
        <v>1189</v>
      </c>
      <c r="B12" s="773"/>
      <c r="C12" s="853"/>
      <c r="D12" s="773"/>
      <c r="E12" s="773"/>
      <c r="F12" s="773"/>
      <c r="G12" s="773"/>
      <c r="H12" s="773"/>
      <c r="I12" s="774"/>
    </row>
    <row r="13" spans="1:10" x14ac:dyDescent="0.2">
      <c r="A13" s="854"/>
      <c r="B13" s="14" t="s">
        <v>1190</v>
      </c>
      <c r="C13" s="855"/>
      <c r="D13" s="14"/>
      <c r="E13" s="855">
        <f>'plannig des personnes Equipe pr'!AC22</f>
        <v>798.75</v>
      </c>
      <c r="F13" s="14" t="s">
        <v>984</v>
      </c>
      <c r="G13" s="14" t="s">
        <v>1191</v>
      </c>
      <c r="H13" s="14"/>
      <c r="I13" s="856"/>
    </row>
    <row r="14" spans="1:10" x14ac:dyDescent="0.2">
      <c r="A14" s="854"/>
      <c r="B14" s="14" t="s">
        <v>1192</v>
      </c>
      <c r="C14" s="855"/>
      <c r="D14" s="14"/>
      <c r="E14" s="855">
        <v>108.25</v>
      </c>
      <c r="F14" s="14" t="s">
        <v>984</v>
      </c>
      <c r="G14" s="872" t="s">
        <v>1193</v>
      </c>
      <c r="H14" s="872"/>
      <c r="I14" s="856"/>
      <c r="J14" t="s">
        <v>1194</v>
      </c>
    </row>
    <row r="15" spans="1:10" x14ac:dyDescent="0.2">
      <c r="A15" s="854"/>
      <c r="B15" s="14" t="s">
        <v>1195</v>
      </c>
      <c r="C15" s="855"/>
      <c r="D15" s="14"/>
      <c r="E15" s="14">
        <v>200</v>
      </c>
      <c r="F15" s="14" t="s">
        <v>984</v>
      </c>
      <c r="G15" s="872" t="s">
        <v>1196</v>
      </c>
      <c r="H15" s="872"/>
      <c r="I15" s="856"/>
    </row>
    <row r="16" spans="1:10" ht="13.5" thickBot="1" x14ac:dyDescent="0.25">
      <c r="A16" s="775"/>
      <c r="B16" s="859" t="s">
        <v>259</v>
      </c>
      <c r="C16" s="860"/>
      <c r="D16" s="859"/>
      <c r="E16" s="860">
        <f>SUM(E13:E15)</f>
        <v>1107</v>
      </c>
      <c r="F16" s="859" t="s">
        <v>984</v>
      </c>
      <c r="G16" s="857"/>
      <c r="H16" s="857"/>
      <c r="I16" s="858"/>
    </row>
    <row r="17" spans="1:21" x14ac:dyDescent="0.2">
      <c r="A17" s="14"/>
      <c r="B17" s="868"/>
      <c r="C17" s="869"/>
      <c r="D17" s="868"/>
      <c r="E17" s="868"/>
      <c r="F17" s="868"/>
      <c r="G17" s="14"/>
      <c r="H17" s="14"/>
      <c r="I17" s="14"/>
    </row>
    <row r="18" spans="1:21" x14ac:dyDescent="0.2">
      <c r="C18" s="195"/>
    </row>
    <row r="19" spans="1:21" x14ac:dyDescent="0.2">
      <c r="A19" s="863" t="s">
        <v>1197</v>
      </c>
      <c r="B19" s="861"/>
      <c r="C19" s="862"/>
      <c r="D19" s="861"/>
      <c r="E19" s="861"/>
      <c r="F19" s="861"/>
      <c r="G19" s="861"/>
      <c r="H19" s="861"/>
      <c r="I19" s="861"/>
    </row>
    <row r="20" spans="1:21" x14ac:dyDescent="0.2">
      <c r="A20" s="865"/>
      <c r="B20" s="866"/>
      <c r="C20" s="867"/>
      <c r="D20" s="870">
        <v>2013</v>
      </c>
      <c r="E20" s="870">
        <v>2014</v>
      </c>
      <c r="F20" s="870">
        <v>2015</v>
      </c>
      <c r="G20" s="870">
        <v>2016</v>
      </c>
      <c r="H20" s="870">
        <v>2017</v>
      </c>
      <c r="I20" s="866"/>
      <c r="K20" s="1168"/>
      <c r="L20" s="14" t="s">
        <v>1516</v>
      </c>
      <c r="M20" s="1169"/>
      <c r="N20" s="200"/>
      <c r="O20" s="766"/>
      <c r="P20" s="1170"/>
      <c r="Q20" s="1170"/>
      <c r="R20" s="1170"/>
      <c r="S20" s="1170"/>
      <c r="T20" s="200"/>
      <c r="U20" s="14"/>
    </row>
    <row r="21" spans="1:21" x14ac:dyDescent="0.2">
      <c r="A21" s="864" t="s">
        <v>1198</v>
      </c>
      <c r="B21" s="16" t="s">
        <v>511</v>
      </c>
      <c r="C21" s="757" t="s">
        <v>984</v>
      </c>
      <c r="D21" s="16" t="s">
        <v>349</v>
      </c>
      <c r="E21" s="16" t="s">
        <v>834</v>
      </c>
      <c r="F21" s="16" t="s">
        <v>835</v>
      </c>
      <c r="G21" s="16" t="s">
        <v>945</v>
      </c>
      <c r="H21" s="966" t="s">
        <v>946</v>
      </c>
      <c r="I21" s="16" t="s">
        <v>511</v>
      </c>
      <c r="K21" s="32"/>
      <c r="N21" s="43"/>
      <c r="O21" s="43"/>
      <c r="Q21" s="575"/>
      <c r="T21" s="32"/>
      <c r="U21" s="14"/>
    </row>
    <row r="22" spans="1:21" x14ac:dyDescent="0.2">
      <c r="A22" s="15" t="s">
        <v>1199</v>
      </c>
      <c r="B22" s="110">
        <f>I22</f>
        <v>500</v>
      </c>
      <c r="C22" s="757" t="s">
        <v>984</v>
      </c>
      <c r="D22" s="16">
        <v>0</v>
      </c>
      <c r="F22" s="16">
        <v>200</v>
      </c>
      <c r="G22" s="16">
        <v>200</v>
      </c>
      <c r="H22" s="16">
        <v>100</v>
      </c>
      <c r="I22" s="110">
        <f>SUM(D22:H22)</f>
        <v>500</v>
      </c>
      <c r="J22" s="195"/>
      <c r="K22" s="1171"/>
      <c r="L22" s="1196" t="s">
        <v>1497</v>
      </c>
      <c r="M22" s="1196" t="s">
        <v>1498</v>
      </c>
      <c r="N22" s="43" t="s">
        <v>1499</v>
      </c>
      <c r="O22" s="43" t="s">
        <v>1500</v>
      </c>
      <c r="Q22" s="575"/>
      <c r="T22" s="1171"/>
      <c r="U22" s="14"/>
    </row>
    <row r="23" spans="1:21" x14ac:dyDescent="0.2">
      <c r="A23" s="15" t="s">
        <v>1200</v>
      </c>
      <c r="B23" s="110">
        <f>I23</f>
        <v>350</v>
      </c>
      <c r="C23" s="757" t="s">
        <v>984</v>
      </c>
      <c r="D23" s="16">
        <v>50</v>
      </c>
      <c r="E23" s="16">
        <v>50</v>
      </c>
      <c r="F23" s="16">
        <v>100</v>
      </c>
      <c r="G23" s="16">
        <v>100</v>
      </c>
      <c r="H23" s="16">
        <v>50</v>
      </c>
      <c r="I23" s="110">
        <f t="shared" ref="I23:I32" si="0">SUM(D23:H23)</f>
        <v>350</v>
      </c>
      <c r="J23" s="195"/>
      <c r="K23" s="1171"/>
      <c r="L23" s="114" t="s">
        <v>646</v>
      </c>
      <c r="M23" s="195">
        <f>Q37</f>
        <v>392596.77999999997</v>
      </c>
      <c r="N23" s="178">
        <f>M23-Q35*1000</f>
        <v>357596.77999999997</v>
      </c>
      <c r="O23" s="178">
        <f>Q35*1000</f>
        <v>35000</v>
      </c>
      <c r="Q23" s="575">
        <v>96037</v>
      </c>
      <c r="R23" t="s">
        <v>1501</v>
      </c>
      <c r="T23" s="1171"/>
      <c r="U23" s="14"/>
    </row>
    <row r="24" spans="1:21" x14ac:dyDescent="0.2">
      <c r="A24" s="874" t="s">
        <v>1201</v>
      </c>
      <c r="B24" s="110">
        <f>I24</f>
        <v>2549.5</v>
      </c>
      <c r="C24" s="757" t="s">
        <v>984</v>
      </c>
      <c r="D24" s="110">
        <f>'plannig des personnes Equipe pr'!AD24</f>
        <v>236.5</v>
      </c>
      <c r="E24" s="110">
        <f>'plannig des personnes Equipe pr'!AK24</f>
        <v>220</v>
      </c>
      <c r="F24" s="110">
        <f>'plannig des personnes Equipe pr'!AF24</f>
        <v>797.5</v>
      </c>
      <c r="G24" s="110">
        <f>F24</f>
        <v>797.5</v>
      </c>
      <c r="H24" s="110">
        <v>498</v>
      </c>
      <c r="I24" s="110">
        <f t="shared" si="0"/>
        <v>2549.5</v>
      </c>
      <c r="J24" s="195"/>
      <c r="K24" s="1171"/>
      <c r="L24" s="114" t="s">
        <v>1502</v>
      </c>
      <c r="M24" s="195">
        <v>220322.46</v>
      </c>
      <c r="N24" s="178">
        <v>0</v>
      </c>
      <c r="O24" s="178">
        <f>M24</f>
        <v>220322.46</v>
      </c>
      <c r="Q24" s="575">
        <v>112160.31</v>
      </c>
      <c r="R24" t="s">
        <v>1446</v>
      </c>
      <c r="T24" s="1171"/>
      <c r="U24" s="14"/>
    </row>
    <row r="25" spans="1:21" x14ac:dyDescent="0.2">
      <c r="A25" s="15" t="s">
        <v>1202</v>
      </c>
      <c r="B25" s="110">
        <f t="shared" ref="B25:B32" si="1">I25</f>
        <v>390</v>
      </c>
      <c r="C25" s="757" t="s">
        <v>984</v>
      </c>
      <c r="D25" s="110">
        <v>20</v>
      </c>
      <c r="E25" s="110">
        <v>20</v>
      </c>
      <c r="F25" s="110">
        <v>150</v>
      </c>
      <c r="G25" s="110">
        <v>150</v>
      </c>
      <c r="H25" s="110">
        <v>50</v>
      </c>
      <c r="I25" s="110">
        <f t="shared" si="0"/>
        <v>390</v>
      </c>
      <c r="J25" s="195"/>
      <c r="K25" s="1171"/>
      <c r="L25" s="1197" t="s">
        <v>1503</v>
      </c>
      <c r="M25" s="195">
        <v>33953</v>
      </c>
      <c r="N25" s="178">
        <v>0</v>
      </c>
      <c r="O25" s="178">
        <f>M25</f>
        <v>33953</v>
      </c>
      <c r="Q25" s="575">
        <v>19536.310000000001</v>
      </c>
      <c r="R25" t="s">
        <v>1504</v>
      </c>
      <c r="T25" s="1171"/>
      <c r="U25" s="14"/>
    </row>
    <row r="26" spans="1:21" x14ac:dyDescent="0.2">
      <c r="A26" s="15" t="s">
        <v>1203</v>
      </c>
      <c r="B26" s="110">
        <f t="shared" si="1"/>
        <v>53.45</v>
      </c>
      <c r="C26" s="757" t="s">
        <v>984</v>
      </c>
      <c r="D26" s="110">
        <v>7.15</v>
      </c>
      <c r="E26" s="110">
        <v>8</v>
      </c>
      <c r="F26" s="110">
        <v>14.3</v>
      </c>
      <c r="G26" s="110">
        <v>14</v>
      </c>
      <c r="H26" s="110">
        <v>10</v>
      </c>
      <c r="I26" s="110">
        <f t="shared" si="0"/>
        <v>53.45</v>
      </c>
      <c r="J26" s="195"/>
      <c r="K26" s="1171"/>
      <c r="L26" s="114" t="s">
        <v>1505</v>
      </c>
      <c r="M26" s="195">
        <v>93518</v>
      </c>
      <c r="N26" s="178">
        <v>0</v>
      </c>
      <c r="O26" s="178">
        <f>M26</f>
        <v>93518</v>
      </c>
      <c r="Q26" s="575">
        <v>66040.849999999991</v>
      </c>
      <c r="R26" t="s">
        <v>1506</v>
      </c>
      <c r="T26" s="1171"/>
      <c r="U26" s="14"/>
    </row>
    <row r="27" spans="1:21" x14ac:dyDescent="0.2">
      <c r="A27" s="15" t="s">
        <v>1204</v>
      </c>
      <c r="B27" s="110">
        <f t="shared" si="1"/>
        <v>56.45</v>
      </c>
      <c r="C27" s="757" t="s">
        <v>984</v>
      </c>
      <c r="D27" s="110">
        <v>7.15</v>
      </c>
      <c r="E27" s="110">
        <v>7</v>
      </c>
      <c r="F27" s="110">
        <v>14.3</v>
      </c>
      <c r="G27" s="110">
        <v>14</v>
      </c>
      <c r="H27" s="110">
        <v>14</v>
      </c>
      <c r="I27" s="110">
        <f t="shared" si="0"/>
        <v>56.45</v>
      </c>
      <c r="J27" s="195"/>
      <c r="K27" s="1171"/>
      <c r="L27" s="114" t="s">
        <v>1507</v>
      </c>
      <c r="M27" s="195">
        <v>101387.75</v>
      </c>
      <c r="N27" s="178">
        <f>M27</f>
        <v>101387.75</v>
      </c>
      <c r="O27" s="178">
        <v>0</v>
      </c>
      <c r="Q27" s="575">
        <v>27108.55</v>
      </c>
      <c r="R27" t="s">
        <v>1432</v>
      </c>
      <c r="T27" s="1171"/>
      <c r="U27" s="14"/>
    </row>
    <row r="28" spans="1:21" x14ac:dyDescent="0.2">
      <c r="A28" s="874" t="s">
        <v>1205</v>
      </c>
      <c r="B28" s="110">
        <f t="shared" si="1"/>
        <v>273</v>
      </c>
      <c r="C28" s="757" t="s">
        <v>984</v>
      </c>
      <c r="D28" s="110">
        <f>'plannig des personnes Equipe pr'!AD21+20</f>
        <v>20</v>
      </c>
      <c r="E28" s="110">
        <f>'plannig des personnes Equipe pr'!AE21+20</f>
        <v>55</v>
      </c>
      <c r="F28" s="110">
        <f>'plannig des personnes Equipe pr'!AF21+20</f>
        <v>75</v>
      </c>
      <c r="G28" s="110">
        <v>75</v>
      </c>
      <c r="H28" s="110">
        <v>48</v>
      </c>
      <c r="I28" s="110">
        <f t="shared" si="0"/>
        <v>273</v>
      </c>
      <c r="J28" s="195"/>
      <c r="K28" s="1171"/>
      <c r="L28" t="s">
        <v>1508</v>
      </c>
      <c r="M28" s="195">
        <v>2160</v>
      </c>
      <c r="N28" s="178"/>
      <c r="O28" s="178">
        <f>M28</f>
        <v>2160</v>
      </c>
      <c r="Q28" s="575">
        <v>8250.07</v>
      </c>
      <c r="R28" t="s">
        <v>1509</v>
      </c>
      <c r="T28" s="1171"/>
      <c r="U28" s="14"/>
    </row>
    <row r="29" spans="1:21" x14ac:dyDescent="0.2">
      <c r="A29" s="874" t="s">
        <v>1517</v>
      </c>
      <c r="B29" s="110">
        <f t="shared" si="1"/>
        <v>495</v>
      </c>
      <c r="C29" s="757" t="s">
        <v>984</v>
      </c>
      <c r="D29" s="110">
        <v>110</v>
      </c>
      <c r="E29" s="110">
        <v>110</v>
      </c>
      <c r="F29" s="110">
        <v>110</v>
      </c>
      <c r="G29" s="110">
        <v>110</v>
      </c>
      <c r="H29" s="110">
        <v>55</v>
      </c>
      <c r="I29" s="110">
        <f t="shared" si="0"/>
        <v>495</v>
      </c>
      <c r="J29" s="195"/>
      <c r="K29" s="1171"/>
      <c r="M29" s="195"/>
      <c r="N29" s="178"/>
      <c r="O29" s="178"/>
      <c r="Q29" s="575"/>
      <c r="T29" s="1171"/>
      <c r="U29" s="14"/>
    </row>
    <row r="30" spans="1:21" ht="15" x14ac:dyDescent="0.25">
      <c r="A30" s="15" t="s">
        <v>1206</v>
      </c>
      <c r="B30" s="110">
        <f t="shared" si="1"/>
        <v>88</v>
      </c>
      <c r="C30" s="757" t="s">
        <v>984</v>
      </c>
      <c r="D30" s="110">
        <v>11</v>
      </c>
      <c r="E30" s="110">
        <v>11</v>
      </c>
      <c r="F30" s="110">
        <v>22</v>
      </c>
      <c r="G30" s="884">
        <v>22</v>
      </c>
      <c r="H30" s="884">
        <v>22</v>
      </c>
      <c r="I30" s="110">
        <f t="shared" si="0"/>
        <v>88</v>
      </c>
      <c r="J30" s="195"/>
      <c r="K30" s="1171"/>
      <c r="L30" t="s">
        <v>1510</v>
      </c>
      <c r="M30" s="195">
        <v>24500</v>
      </c>
      <c r="N30" s="178"/>
      <c r="O30" s="178">
        <f>M30</f>
        <v>24500</v>
      </c>
      <c r="Q30" s="1198">
        <f>SUM(Q23:Q28)</f>
        <v>329133.08999999997</v>
      </c>
      <c r="T30" s="1171"/>
      <c r="U30" s="14"/>
    </row>
    <row r="31" spans="1:21" x14ac:dyDescent="0.2">
      <c r="A31" s="15" t="s">
        <v>1207</v>
      </c>
      <c r="B31" s="110">
        <f t="shared" si="1"/>
        <v>268.5</v>
      </c>
      <c r="C31" s="757" t="s">
        <v>984</v>
      </c>
      <c r="D31" s="110">
        <v>38.5</v>
      </c>
      <c r="E31" s="110">
        <v>38</v>
      </c>
      <c r="F31" s="110">
        <v>77</v>
      </c>
      <c r="G31" s="885">
        <v>77</v>
      </c>
      <c r="H31" s="885">
        <v>38</v>
      </c>
      <c r="I31" s="110">
        <f t="shared" si="0"/>
        <v>268.5</v>
      </c>
      <c r="J31" s="195"/>
      <c r="K31" s="1171"/>
      <c r="L31" t="s">
        <v>1511</v>
      </c>
      <c r="M31" s="195">
        <v>1000</v>
      </c>
      <c r="N31" s="178"/>
      <c r="O31" s="178">
        <f>M31</f>
        <v>1000</v>
      </c>
      <c r="Q31" s="575"/>
      <c r="T31" s="1171"/>
      <c r="U31" s="14"/>
    </row>
    <row r="32" spans="1:21" x14ac:dyDescent="0.2">
      <c r="A32" s="15" t="s">
        <v>1208</v>
      </c>
      <c r="B32" s="110">
        <f t="shared" si="1"/>
        <v>150</v>
      </c>
      <c r="C32" s="757" t="s">
        <v>984</v>
      </c>
      <c r="D32" s="110">
        <v>0</v>
      </c>
      <c r="E32" s="110">
        <v>0</v>
      </c>
      <c r="F32" s="110">
        <v>0</v>
      </c>
      <c r="G32" s="16">
        <v>0</v>
      </c>
      <c r="H32" s="16">
        <v>150</v>
      </c>
      <c r="I32" s="110">
        <f t="shared" si="0"/>
        <v>150</v>
      </c>
      <c r="J32" s="195"/>
      <c r="K32" s="1171"/>
      <c r="L32" s="1199" t="s">
        <v>1512</v>
      </c>
      <c r="M32" s="1200">
        <f>SUM(M23:M31)</f>
        <v>869437.99</v>
      </c>
      <c r="N32" s="178">
        <f>SUM(N23:N31)</f>
        <v>458984.52999999997</v>
      </c>
      <c r="O32" s="178">
        <f>SUM(O23:O31)</f>
        <v>410453.45999999996</v>
      </c>
      <c r="Q32" s="575" t="s">
        <v>1513</v>
      </c>
      <c r="T32" s="1171"/>
      <c r="U32" s="14"/>
    </row>
    <row r="33" spans="1:21" x14ac:dyDescent="0.2">
      <c r="A33" s="756" t="s">
        <v>511</v>
      </c>
      <c r="B33" s="110">
        <f>SUM(B22:B32)</f>
        <v>5173.8999999999996</v>
      </c>
      <c r="C33" s="669" t="s">
        <v>984</v>
      </c>
      <c r="D33" s="871">
        <f t="shared" ref="D33:I33" si="2">SUM(D22:D32)</f>
        <v>500.29999999999995</v>
      </c>
      <c r="E33" s="871">
        <f t="shared" si="2"/>
        <v>519</v>
      </c>
      <c r="F33" s="871">
        <f t="shared" si="2"/>
        <v>1560.1</v>
      </c>
      <c r="G33" s="871">
        <f t="shared" si="2"/>
        <v>1559.5</v>
      </c>
      <c r="H33" s="871">
        <f t="shared" si="2"/>
        <v>1035</v>
      </c>
      <c r="I33" s="871">
        <f t="shared" si="2"/>
        <v>5173.8999999999996</v>
      </c>
      <c r="K33" s="14"/>
      <c r="M33" s="195"/>
      <c r="N33" s="43"/>
      <c r="O33" s="43"/>
      <c r="Q33" s="575"/>
      <c r="T33" s="1172"/>
      <c r="U33" s="14"/>
    </row>
    <row r="34" spans="1:21" x14ac:dyDescent="0.2">
      <c r="C34" s="195"/>
      <c r="N34" s="43"/>
      <c r="O34" s="43"/>
      <c r="Q34" s="575">
        <f>((110/11)*6)*0.8</f>
        <v>48</v>
      </c>
      <c r="R34" t="s">
        <v>1442</v>
      </c>
      <c r="S34" t="s">
        <v>1514</v>
      </c>
    </row>
    <row r="35" spans="1:21" x14ac:dyDescent="0.2">
      <c r="C35" s="866"/>
      <c r="D35" s="866"/>
      <c r="E35" s="867"/>
      <c r="F35" s="875"/>
      <c r="G35" s="875"/>
      <c r="H35" s="875"/>
      <c r="N35" s="43"/>
      <c r="O35" s="43"/>
      <c r="Q35" s="575">
        <f>55/11*7</f>
        <v>35</v>
      </c>
      <c r="R35" t="s">
        <v>1443</v>
      </c>
      <c r="S35" t="s">
        <v>1515</v>
      </c>
    </row>
    <row r="36" spans="1:21" x14ac:dyDescent="0.2">
      <c r="E36" s="329"/>
      <c r="N36" s="43"/>
      <c r="O36" s="43"/>
      <c r="Q36" s="575"/>
    </row>
    <row r="37" spans="1:21" x14ac:dyDescent="0.2">
      <c r="D37" s="1168" t="s">
        <v>1518</v>
      </c>
      <c r="E37" s="32"/>
      <c r="F37" s="32"/>
      <c r="G37" s="32"/>
      <c r="H37" s="32"/>
      <c r="N37" s="43"/>
      <c r="O37" s="43"/>
      <c r="Q37" s="575">
        <f>Q30-Q25+(Q34+Q35)*1000</f>
        <v>392596.77999999997</v>
      </c>
    </row>
    <row r="38" spans="1:21" x14ac:dyDescent="0.2">
      <c r="A38" s="15"/>
      <c r="B38" s="15"/>
      <c r="C38" s="15"/>
      <c r="D38" s="864">
        <v>2013</v>
      </c>
      <c r="E38" s="864">
        <v>2014</v>
      </c>
      <c r="F38" s="864">
        <v>2015</v>
      </c>
      <c r="G38" s="864">
        <v>2016</v>
      </c>
      <c r="H38" s="864">
        <v>2017</v>
      </c>
      <c r="I38" s="880" t="s">
        <v>511</v>
      </c>
    </row>
    <row r="39" spans="1:21" x14ac:dyDescent="0.2">
      <c r="A39" s="878" t="s">
        <v>358</v>
      </c>
      <c r="B39" s="15"/>
      <c r="C39" s="15"/>
      <c r="D39" s="757"/>
      <c r="E39" s="757">
        <f>E23*0.3</f>
        <v>15</v>
      </c>
      <c r="F39" s="757">
        <f>F23*0.3</f>
        <v>30</v>
      </c>
      <c r="G39" s="757">
        <f>G23*0.3</f>
        <v>30</v>
      </c>
      <c r="H39" s="757">
        <f>H23*0.3</f>
        <v>15</v>
      </c>
      <c r="I39" s="757">
        <f>SUM(D39:H39)</f>
        <v>90</v>
      </c>
    </row>
    <row r="40" spans="1:21" x14ac:dyDescent="0.2">
      <c r="A40" s="878" t="s">
        <v>359</v>
      </c>
      <c r="B40" s="15"/>
      <c r="C40" s="15"/>
      <c r="D40" s="757"/>
      <c r="E40" s="757">
        <f>E23*0.7+E32</f>
        <v>35</v>
      </c>
      <c r="F40" s="757">
        <f>F23*0.7+F32</f>
        <v>70</v>
      </c>
      <c r="G40" s="757">
        <f>G23*0.7+G32</f>
        <v>70</v>
      </c>
      <c r="H40" s="757">
        <f>H23*0.7+H32</f>
        <v>185</v>
      </c>
      <c r="I40" s="757">
        <f>SUM(D40:H40)</f>
        <v>360</v>
      </c>
    </row>
    <row r="41" spans="1:21" x14ac:dyDescent="0.2">
      <c r="A41" s="878" t="s">
        <v>405</v>
      </c>
      <c r="B41" s="15"/>
      <c r="C41" s="15"/>
      <c r="D41" s="757">
        <f>N27/1000</f>
        <v>101.38775</v>
      </c>
      <c r="E41" s="757">
        <f>E25+E26+E27+E28+E30+E31+E22+E29</f>
        <v>249</v>
      </c>
      <c r="F41" s="757">
        <f>F25+F26+F27+F28+F30+F31+F22+F29</f>
        <v>662.6</v>
      </c>
      <c r="G41" s="757">
        <f>G25+G26+G27+G28+G30+G31+G22+G29</f>
        <v>662</v>
      </c>
      <c r="H41" s="757">
        <f>H25+H26+H27+H28+H30+H31+H22+H29</f>
        <v>337</v>
      </c>
      <c r="I41" s="757">
        <f>SUM(D41:H41)</f>
        <v>2011.98775</v>
      </c>
      <c r="K41" s="195"/>
    </row>
    <row r="42" spans="1:21" x14ac:dyDescent="0.2">
      <c r="A42" s="878" t="s">
        <v>1209</v>
      </c>
      <c r="B42" s="15"/>
      <c r="C42" s="15"/>
      <c r="D42" s="757">
        <f>N23/1000</f>
        <v>357.59677999999997</v>
      </c>
      <c r="E42" s="757">
        <f>E24</f>
        <v>220</v>
      </c>
      <c r="F42" s="757">
        <f>F24</f>
        <v>797.5</v>
      </c>
      <c r="G42" s="757">
        <f>G24</f>
        <v>797.5</v>
      </c>
      <c r="H42" s="757">
        <f>H24</f>
        <v>498</v>
      </c>
      <c r="I42" s="757">
        <f>SUM(D42:H42)</f>
        <v>2670.5967799999999</v>
      </c>
    </row>
    <row r="43" spans="1:21" x14ac:dyDescent="0.2">
      <c r="A43" s="462" t="s">
        <v>361</v>
      </c>
      <c r="B43" s="15"/>
      <c r="C43" s="15"/>
      <c r="D43" s="757"/>
      <c r="E43" s="757"/>
      <c r="F43" s="757"/>
      <c r="G43" s="757"/>
      <c r="H43" s="757"/>
      <c r="I43" s="757">
        <f>SUM(D43:G43)</f>
        <v>0</v>
      </c>
    </row>
    <row r="44" spans="1:21" x14ac:dyDescent="0.2">
      <c r="A44" s="879" t="s">
        <v>511</v>
      </c>
      <c r="B44" s="15"/>
      <c r="C44" s="15"/>
      <c r="D44" s="762">
        <f>SUM(D39:D42)</f>
        <v>458.98452999999995</v>
      </c>
      <c r="E44" s="762">
        <f>SUM(E39:E43)</f>
        <v>519</v>
      </c>
      <c r="F44" s="762">
        <f>SUM(F39:F43)</f>
        <v>1560.1</v>
      </c>
      <c r="G44" s="762">
        <f>SUM(G39:G43)</f>
        <v>1559.5</v>
      </c>
      <c r="H44" s="762">
        <f>SUM(H39:H43)</f>
        <v>1035</v>
      </c>
      <c r="I44" s="762">
        <f>SUM(I39:I43)</f>
        <v>5132.5845300000001</v>
      </c>
    </row>
    <row r="45" spans="1:21" x14ac:dyDescent="0.2">
      <c r="A45" s="876"/>
    </row>
    <row r="46" spans="1:21" x14ac:dyDescent="0.2">
      <c r="A46" s="462"/>
      <c r="D46" s="195"/>
    </row>
    <row r="47" spans="1:21" x14ac:dyDescent="0.2">
      <c r="A47" s="877"/>
    </row>
  </sheetData>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rgb="FFFFFF00"/>
  </sheetPr>
  <dimension ref="A1:AK40"/>
  <sheetViews>
    <sheetView workbookViewId="0">
      <pane xSplit="5" ySplit="5" topLeftCell="AC6" activePane="bottomRight" state="frozen"/>
      <selection activeCell="J34" sqref="J34"/>
      <selection pane="topRight" activeCell="J34" sqref="J34"/>
      <selection pane="bottomLeft" activeCell="J34" sqref="J34"/>
      <selection pane="bottomRight" activeCell="D2" sqref="D2"/>
    </sheetView>
  </sheetViews>
  <sheetFormatPr baseColWidth="10" defaultColWidth="11.5703125" defaultRowHeight="12.75" x14ac:dyDescent="0.2"/>
  <cols>
    <col min="1" max="1" width="11.5703125" style="1036"/>
    <col min="2" max="2" width="13.7109375" style="1036" customWidth="1"/>
    <col min="3" max="3" width="28.7109375" style="1036" customWidth="1"/>
    <col min="4" max="4" width="27.7109375" style="1036" customWidth="1"/>
    <col min="5" max="5" width="7.28515625" style="1036" customWidth="1"/>
    <col min="6" max="8" width="4.7109375" style="1036" customWidth="1"/>
    <col min="9" max="9" width="6.140625" style="1036" customWidth="1"/>
    <col min="10" max="23" width="4.7109375" style="1036" customWidth="1"/>
    <col min="24" max="24" width="4.42578125" style="1036" customWidth="1"/>
    <col min="25" max="28" width="11.42578125" style="1037" customWidth="1"/>
    <col min="29" max="34" width="11.5703125" style="1036" customWidth="1"/>
    <col min="35" max="16384" width="11.5703125" style="1036"/>
  </cols>
  <sheetData>
    <row r="1" spans="1:37" x14ac:dyDescent="0.2">
      <c r="E1" s="1083"/>
      <c r="K1" s="1037"/>
    </row>
    <row r="2" spans="1:37" x14ac:dyDescent="0.2">
      <c r="F2" s="1037"/>
      <c r="G2" s="1037"/>
      <c r="H2" s="1037"/>
      <c r="I2" s="1082"/>
      <c r="J2" s="1037"/>
      <c r="K2" s="1037"/>
    </row>
    <row r="3" spans="1:37" x14ac:dyDescent="0.2">
      <c r="Y3" s="1315" t="s">
        <v>1451</v>
      </c>
      <c r="Z3" s="1315"/>
      <c r="AA3" s="1315"/>
      <c r="AB3" s="1315"/>
      <c r="AC3" s="1316"/>
      <c r="AD3" s="1315" t="s">
        <v>1450</v>
      </c>
      <c r="AE3" s="1315"/>
      <c r="AF3" s="1315"/>
      <c r="AG3" s="1315"/>
      <c r="AH3" s="1316"/>
    </row>
    <row r="4" spans="1:37" x14ac:dyDescent="0.2">
      <c r="F4" s="1315">
        <v>2013</v>
      </c>
      <c r="G4" s="1315"/>
      <c r="H4" s="1315">
        <v>2014</v>
      </c>
      <c r="I4" s="1315"/>
      <c r="J4" s="1315"/>
      <c r="K4" s="1315"/>
      <c r="L4" s="1317">
        <v>2015</v>
      </c>
      <c r="M4" s="1318"/>
      <c r="N4" s="1318"/>
      <c r="O4" s="1319"/>
      <c r="P4" s="1317">
        <v>2016</v>
      </c>
      <c r="Q4" s="1318"/>
      <c r="R4" s="1318"/>
      <c r="S4" s="1319"/>
      <c r="T4" s="1315">
        <v>2017</v>
      </c>
      <c r="U4" s="1315"/>
      <c r="V4" s="1315"/>
      <c r="W4" s="1315"/>
      <c r="Y4" s="1081">
        <v>2013</v>
      </c>
      <c r="Z4" s="1081">
        <v>2014</v>
      </c>
      <c r="AA4" s="1081">
        <v>2015</v>
      </c>
      <c r="AB4" s="1081">
        <v>2016</v>
      </c>
      <c r="AC4" s="1080" t="s">
        <v>259</v>
      </c>
      <c r="AD4" s="1081">
        <v>2013</v>
      </c>
      <c r="AE4" s="1081">
        <v>2014</v>
      </c>
      <c r="AF4" s="1081">
        <v>2015</v>
      </c>
      <c r="AG4" s="1081">
        <v>2016</v>
      </c>
      <c r="AH4" s="1080" t="s">
        <v>259</v>
      </c>
      <c r="AJ4" s="1036" t="s">
        <v>1452</v>
      </c>
    </row>
    <row r="5" spans="1:37" x14ac:dyDescent="0.2">
      <c r="A5" s="1036" t="s">
        <v>1449</v>
      </c>
      <c r="C5" s="1036" t="s">
        <v>1448</v>
      </c>
      <c r="D5" s="1036" t="s">
        <v>1447</v>
      </c>
      <c r="E5" s="1069"/>
      <c r="F5" s="1081" t="s">
        <v>990</v>
      </c>
      <c r="G5" s="1081" t="s">
        <v>991</v>
      </c>
      <c r="H5" s="1081" t="s">
        <v>987</v>
      </c>
      <c r="I5" s="1081" t="s">
        <v>989</v>
      </c>
      <c r="J5" s="1081" t="s">
        <v>990</v>
      </c>
      <c r="K5" s="1081" t="s">
        <v>991</v>
      </c>
      <c r="L5" s="1081" t="s">
        <v>987</v>
      </c>
      <c r="M5" s="1081" t="s">
        <v>989</v>
      </c>
      <c r="N5" s="1081" t="s">
        <v>990</v>
      </c>
      <c r="O5" s="1081" t="s">
        <v>991</v>
      </c>
      <c r="P5" s="1081" t="s">
        <v>987</v>
      </c>
      <c r="Q5" s="1081" t="s">
        <v>989</v>
      </c>
      <c r="R5" s="1081" t="s">
        <v>990</v>
      </c>
      <c r="S5" s="1081" t="s">
        <v>991</v>
      </c>
      <c r="T5" s="1081" t="s">
        <v>987</v>
      </c>
      <c r="U5" s="1081" t="s">
        <v>989</v>
      </c>
      <c r="V5" s="1081" t="s">
        <v>990</v>
      </c>
      <c r="W5" s="1081" t="s">
        <v>991</v>
      </c>
      <c r="Y5" s="1081"/>
      <c r="Z5" s="1081"/>
      <c r="AA5" s="1081"/>
      <c r="AB5" s="1081"/>
      <c r="AC5" s="1080"/>
      <c r="AD5" s="1080"/>
      <c r="AE5" s="1080"/>
      <c r="AF5" s="1080"/>
      <c r="AG5" s="1080"/>
      <c r="AH5" s="1080"/>
    </row>
    <row r="6" spans="1:37" x14ac:dyDescent="0.2">
      <c r="A6" s="1036" t="s">
        <v>1426</v>
      </c>
      <c r="B6" s="1036" t="s">
        <v>1446</v>
      </c>
      <c r="C6" s="1036" t="s">
        <v>1445</v>
      </c>
      <c r="D6" s="1036" t="s">
        <v>1444</v>
      </c>
      <c r="E6" s="1070">
        <v>1</v>
      </c>
      <c r="F6" s="1078"/>
      <c r="G6" s="1079"/>
      <c r="H6" s="1078"/>
      <c r="I6" s="1077"/>
      <c r="J6" s="1077"/>
      <c r="K6" s="1079"/>
      <c r="L6" s="1078"/>
      <c r="M6" s="1077"/>
      <c r="N6" s="1077"/>
      <c r="O6" s="1079"/>
      <c r="P6" s="1078"/>
      <c r="Q6" s="1077"/>
      <c r="R6" s="1076"/>
      <c r="S6" s="1075"/>
      <c r="T6" s="1074"/>
      <c r="U6" s="1073"/>
      <c r="V6" s="1073"/>
      <c r="W6" s="1072"/>
      <c r="X6" s="1036">
        <v>110</v>
      </c>
      <c r="Y6" s="1071"/>
      <c r="Z6" s="1071"/>
      <c r="AA6" s="1071"/>
      <c r="AB6" s="1071"/>
      <c r="AC6" s="1071"/>
      <c r="AD6" s="1044">
        <f>X6*0.5</f>
        <v>55</v>
      </c>
      <c r="AE6" s="1044">
        <f>X6/2+(X6/2)*AJ6</f>
        <v>110</v>
      </c>
      <c r="AF6" s="1044">
        <f>X6</f>
        <v>110</v>
      </c>
      <c r="AG6" s="1044">
        <f>X6</f>
        <v>110</v>
      </c>
      <c r="AH6" s="1044">
        <f>SUM(AD6:AG6)</f>
        <v>385</v>
      </c>
      <c r="AI6" s="1036" t="s">
        <v>1418</v>
      </c>
      <c r="AJ6" s="1068">
        <v>1</v>
      </c>
      <c r="AK6" s="1036">
        <f>AJ6*X6</f>
        <v>110</v>
      </c>
    </row>
    <row r="7" spans="1:37" x14ac:dyDescent="0.2">
      <c r="A7" s="1036" t="s">
        <v>1422</v>
      </c>
      <c r="B7" s="1036" t="s">
        <v>1443</v>
      </c>
      <c r="C7" s="1036" t="s">
        <v>1441</v>
      </c>
      <c r="D7" s="1036" t="s">
        <v>1440</v>
      </c>
      <c r="E7" s="1069">
        <v>1</v>
      </c>
      <c r="F7" s="1057"/>
      <c r="G7" s="1058"/>
      <c r="H7" s="1057"/>
      <c r="I7" s="1056"/>
      <c r="J7" s="1056"/>
      <c r="K7" s="1058"/>
      <c r="L7" s="1057"/>
      <c r="M7" s="1056"/>
      <c r="N7" s="1056"/>
      <c r="O7" s="1058"/>
      <c r="P7" s="1057"/>
      <c r="Q7" s="1056"/>
      <c r="R7" s="1067"/>
      <c r="S7" s="1066"/>
      <c r="T7" s="1054"/>
      <c r="U7" s="1067"/>
      <c r="V7" s="1067"/>
      <c r="W7" s="1066"/>
      <c r="X7" s="1036">
        <v>55</v>
      </c>
      <c r="Y7" s="1047">
        <f>0.5*X7</f>
        <v>27.5</v>
      </c>
      <c r="Z7" s="1047">
        <f>X7</f>
        <v>55</v>
      </c>
      <c r="AA7" s="1047">
        <f>X7/2+(X7/2)*AJ7</f>
        <v>41.25</v>
      </c>
      <c r="AB7" s="1047">
        <f>X7/2</f>
        <v>27.5</v>
      </c>
      <c r="AC7" s="1047">
        <f>SUM(Y7:AB7)</f>
        <v>151.25</v>
      </c>
      <c r="AD7" s="1044"/>
      <c r="AE7" s="1044"/>
      <c r="AF7" s="1044"/>
      <c r="AG7" s="1044"/>
      <c r="AH7" s="1044"/>
      <c r="AI7" s="1036" t="s">
        <v>1423</v>
      </c>
      <c r="AJ7" s="1068">
        <v>0.5</v>
      </c>
      <c r="AK7" s="1036">
        <f t="shared" ref="AK7:AK21" si="0">AJ7*X7</f>
        <v>27.5</v>
      </c>
    </row>
    <row r="8" spans="1:37" x14ac:dyDescent="0.2">
      <c r="A8" s="1036" t="s">
        <v>1426</v>
      </c>
      <c r="B8" s="1036" t="s">
        <v>1442</v>
      </c>
      <c r="C8" s="1036" t="s">
        <v>1441</v>
      </c>
      <c r="D8" s="1036" t="s">
        <v>1440</v>
      </c>
      <c r="E8" s="1070">
        <v>0.8</v>
      </c>
      <c r="F8" s="1057"/>
      <c r="G8" s="1058"/>
      <c r="H8" s="1057"/>
      <c r="I8" s="1056"/>
      <c r="J8" s="1056"/>
      <c r="K8" s="1058"/>
      <c r="L8" s="1057"/>
      <c r="M8" s="1056"/>
      <c r="N8" s="1056"/>
      <c r="O8" s="1058"/>
      <c r="P8" s="1057"/>
      <c r="Q8" s="1056"/>
      <c r="R8" s="1067"/>
      <c r="S8" s="1066"/>
      <c r="T8" s="1054"/>
      <c r="U8" s="1067"/>
      <c r="V8" s="1067"/>
      <c r="W8" s="1066"/>
      <c r="X8" s="1036">
        <v>110</v>
      </c>
      <c r="Y8" s="1047"/>
      <c r="Z8" s="1047"/>
      <c r="AA8" s="1047"/>
      <c r="AB8" s="1047"/>
      <c r="AC8" s="1047"/>
      <c r="AD8" s="1044">
        <f>0.5*X8*E8</f>
        <v>44</v>
      </c>
      <c r="AE8" s="1044">
        <f>X8*E8</f>
        <v>88</v>
      </c>
      <c r="AF8" s="1044">
        <f>X8*E8</f>
        <v>88</v>
      </c>
      <c r="AG8" s="1044">
        <f>(X8*E8)</f>
        <v>88</v>
      </c>
      <c r="AH8" s="1044">
        <f>SUM(AD8:AG8)</f>
        <v>308</v>
      </c>
      <c r="AI8" s="1036" t="s">
        <v>1418</v>
      </c>
      <c r="AJ8" s="1068">
        <v>0.5</v>
      </c>
      <c r="AK8" s="1036">
        <f t="shared" si="0"/>
        <v>55</v>
      </c>
    </row>
    <row r="9" spans="1:37" x14ac:dyDescent="0.2">
      <c r="A9" s="1036" t="s">
        <v>1426</v>
      </c>
      <c r="B9" s="1036" t="s">
        <v>1421</v>
      </c>
      <c r="C9" s="1063" t="s">
        <v>1439</v>
      </c>
      <c r="D9" s="1036" t="s">
        <v>1437</v>
      </c>
      <c r="E9" s="1069">
        <v>1</v>
      </c>
      <c r="F9" s="1054"/>
      <c r="G9" s="1066"/>
      <c r="H9" s="1060"/>
      <c r="I9" s="1059"/>
      <c r="J9" s="1059"/>
      <c r="K9" s="1061"/>
      <c r="L9" s="1060"/>
      <c r="M9" s="1059"/>
      <c r="N9" s="1056"/>
      <c r="O9" s="1058"/>
      <c r="P9" s="1057"/>
      <c r="Q9" s="1056"/>
      <c r="R9" s="1067"/>
      <c r="S9" s="1066"/>
      <c r="T9" s="1054"/>
      <c r="U9" s="1067"/>
      <c r="V9" s="1067"/>
      <c r="W9" s="1066"/>
      <c r="X9" s="1036">
        <v>110</v>
      </c>
      <c r="Y9" s="1047"/>
      <c r="Z9" s="1047">
        <f>X9</f>
        <v>110</v>
      </c>
      <c r="AA9" s="1047">
        <f>X9</f>
        <v>110</v>
      </c>
      <c r="AB9" s="1047">
        <f>X9/2</f>
        <v>55</v>
      </c>
      <c r="AC9" s="1047">
        <f>SUM(Y9:AB9)</f>
        <v>275</v>
      </c>
      <c r="AD9" s="1044"/>
      <c r="AE9" s="1044"/>
      <c r="AF9" s="1044"/>
      <c r="AG9" s="1044"/>
      <c r="AH9" s="1044"/>
      <c r="AI9" s="1036" t="s">
        <v>1423</v>
      </c>
      <c r="AJ9" s="1068">
        <v>0</v>
      </c>
      <c r="AK9" s="1036">
        <f t="shared" si="0"/>
        <v>0</v>
      </c>
    </row>
    <row r="10" spans="1:37" x14ac:dyDescent="0.2">
      <c r="A10" s="1036" t="s">
        <v>1422</v>
      </c>
      <c r="B10" s="1036" t="s">
        <v>1421</v>
      </c>
      <c r="C10" s="1036" t="s">
        <v>1438</v>
      </c>
      <c r="D10" s="1068" t="s">
        <v>1437</v>
      </c>
      <c r="E10" s="1068">
        <v>1</v>
      </c>
      <c r="F10" s="1054"/>
      <c r="G10" s="1066"/>
      <c r="H10" s="1060"/>
      <c r="I10" s="1059"/>
      <c r="J10" s="1059"/>
      <c r="K10" s="1061"/>
      <c r="L10" s="1060"/>
      <c r="M10" s="1059"/>
      <c r="N10" s="1056"/>
      <c r="O10" s="1058"/>
      <c r="P10" s="1057"/>
      <c r="Q10" s="1056"/>
      <c r="R10" s="1067"/>
      <c r="S10" s="1066"/>
      <c r="T10" s="1054"/>
      <c r="U10" s="1067"/>
      <c r="V10" s="1067"/>
      <c r="W10" s="1066"/>
      <c r="X10" s="1036">
        <v>55</v>
      </c>
      <c r="Y10" s="1047"/>
      <c r="Z10" s="1047">
        <f>X10</f>
        <v>55</v>
      </c>
      <c r="AA10" s="1047">
        <f>X10</f>
        <v>55</v>
      </c>
      <c r="AB10" s="1047">
        <f>X10/2</f>
        <v>27.5</v>
      </c>
      <c r="AC10" s="1047">
        <f>SUM(Y10:AB10)</f>
        <v>137.5</v>
      </c>
      <c r="AD10" s="1044"/>
      <c r="AE10" s="1044"/>
      <c r="AF10" s="1044"/>
      <c r="AG10" s="1044"/>
      <c r="AH10" s="1044"/>
      <c r="AI10" s="1036" t="s">
        <v>1423</v>
      </c>
      <c r="AJ10" s="1068">
        <v>0</v>
      </c>
      <c r="AK10" s="1036">
        <f t="shared" si="0"/>
        <v>0</v>
      </c>
    </row>
    <row r="11" spans="1:37" x14ac:dyDescent="0.2">
      <c r="A11" s="1036" t="s">
        <v>1422</v>
      </c>
      <c r="B11" s="1036" t="s">
        <v>1421</v>
      </c>
      <c r="C11" s="1063" t="s">
        <v>1436</v>
      </c>
      <c r="E11" s="1062">
        <v>0.5</v>
      </c>
      <c r="F11" s="1054"/>
      <c r="G11" s="1066"/>
      <c r="H11" s="1060"/>
      <c r="I11" s="1059"/>
      <c r="J11" s="1059"/>
      <c r="K11" s="1061"/>
      <c r="L11" s="1060"/>
      <c r="M11" s="1059"/>
      <c r="N11" s="1056"/>
      <c r="O11" s="1058"/>
      <c r="P11" s="1057"/>
      <c r="Q11" s="1056"/>
      <c r="R11" s="1067"/>
      <c r="S11" s="1066"/>
      <c r="T11" s="1054"/>
      <c r="U11" s="1067"/>
      <c r="V11" s="1067"/>
      <c r="W11" s="1066"/>
      <c r="X11" s="1036">
        <v>55</v>
      </c>
      <c r="Y11" s="1047"/>
      <c r="Z11" s="1047"/>
      <c r="AA11" s="1047"/>
      <c r="AB11" s="1047"/>
      <c r="AC11" s="1047"/>
      <c r="AD11" s="1044">
        <v>0</v>
      </c>
      <c r="AE11" s="1044">
        <f>X11*E11</f>
        <v>27.5</v>
      </c>
      <c r="AF11" s="1044">
        <f>X11*E11</f>
        <v>27.5</v>
      </c>
      <c r="AG11" s="1044">
        <f>(X11*E11)/2</f>
        <v>13.75</v>
      </c>
      <c r="AH11" s="1044">
        <f t="shared" ref="AH11:AH16" si="1">SUM(AD11:AG11)</f>
        <v>68.75</v>
      </c>
      <c r="AI11" s="1036" t="s">
        <v>1418</v>
      </c>
      <c r="AJ11" s="1068">
        <v>0</v>
      </c>
      <c r="AK11" s="1036">
        <f t="shared" si="0"/>
        <v>0</v>
      </c>
    </row>
    <row r="12" spans="1:37" x14ac:dyDescent="0.2">
      <c r="A12" s="1036" t="s">
        <v>1426</v>
      </c>
      <c r="B12" s="1036" t="s">
        <v>1435</v>
      </c>
      <c r="C12" s="1036" t="s">
        <v>1434</v>
      </c>
      <c r="D12" s="1036" t="s">
        <v>1433</v>
      </c>
      <c r="E12" s="1062">
        <v>1</v>
      </c>
      <c r="F12" s="1054"/>
      <c r="G12" s="1061"/>
      <c r="H12" s="1060"/>
      <c r="I12" s="1059"/>
      <c r="J12" s="1059"/>
      <c r="K12" s="1061"/>
      <c r="L12" s="1060"/>
      <c r="M12" s="1059"/>
      <c r="N12" s="1056"/>
      <c r="O12" s="1058"/>
      <c r="P12" s="1057"/>
      <c r="Q12" s="1056"/>
      <c r="R12" s="1067"/>
      <c r="S12" s="1066"/>
      <c r="T12" s="1054"/>
      <c r="U12" s="1067"/>
      <c r="V12" s="1067"/>
      <c r="W12" s="1066"/>
      <c r="X12" s="1036">
        <v>110</v>
      </c>
      <c r="Y12" s="1047"/>
      <c r="Z12" s="1047"/>
      <c r="AA12" s="1047"/>
      <c r="AB12" s="1047"/>
      <c r="AC12" s="1047"/>
      <c r="AD12" s="1044"/>
      <c r="AE12" s="1044">
        <f>X12</f>
        <v>110</v>
      </c>
      <c r="AF12" s="1044">
        <f>X12</f>
        <v>110</v>
      </c>
      <c r="AG12" s="1044">
        <f>X12/2</f>
        <v>55</v>
      </c>
      <c r="AH12" s="1044">
        <f t="shared" si="1"/>
        <v>275</v>
      </c>
      <c r="AI12" s="1036" t="s">
        <v>1418</v>
      </c>
      <c r="AJ12" s="1068">
        <v>0.25</v>
      </c>
      <c r="AK12" s="1036">
        <f t="shared" si="0"/>
        <v>27.5</v>
      </c>
    </row>
    <row r="13" spans="1:37" x14ac:dyDescent="0.2">
      <c r="A13" s="1036" t="s">
        <v>1426</v>
      </c>
      <c r="B13" s="1036" t="s">
        <v>1421</v>
      </c>
      <c r="C13" s="1036" t="s">
        <v>938</v>
      </c>
      <c r="E13" s="1062">
        <v>1</v>
      </c>
      <c r="F13" s="1054"/>
      <c r="G13" s="1066"/>
      <c r="H13" s="1057"/>
      <c r="I13" s="1056"/>
      <c r="J13" s="1056"/>
      <c r="K13" s="1058"/>
      <c r="L13" s="1057"/>
      <c r="M13" s="1056"/>
      <c r="N13" s="1056"/>
      <c r="O13" s="1058"/>
      <c r="P13" s="1057"/>
      <c r="Q13" s="1056"/>
      <c r="R13" s="1067"/>
      <c r="S13" s="1066"/>
      <c r="T13" s="1054"/>
      <c r="U13" s="1067"/>
      <c r="V13" s="1067"/>
      <c r="W13" s="1066"/>
      <c r="X13" s="1036">
        <v>110</v>
      </c>
      <c r="Y13" s="1047"/>
      <c r="Z13" s="1047"/>
      <c r="AA13" s="1047"/>
      <c r="AB13" s="1047"/>
      <c r="AC13" s="1047"/>
      <c r="AD13" s="1044"/>
      <c r="AE13" s="1044">
        <f>X13</f>
        <v>110</v>
      </c>
      <c r="AF13" s="1044">
        <f>X13</f>
        <v>110</v>
      </c>
      <c r="AG13" s="1044">
        <f>X13/2</f>
        <v>55</v>
      </c>
      <c r="AH13" s="1044">
        <f t="shared" si="1"/>
        <v>275</v>
      </c>
      <c r="AI13" s="1036" t="s">
        <v>1418</v>
      </c>
      <c r="AJ13" s="1068">
        <v>0</v>
      </c>
      <c r="AK13" s="1036">
        <f t="shared" si="0"/>
        <v>0</v>
      </c>
    </row>
    <row r="14" spans="1:37" x14ac:dyDescent="0.2">
      <c r="A14" s="1036" t="s">
        <v>1422</v>
      </c>
      <c r="B14" s="1036" t="s">
        <v>1421</v>
      </c>
      <c r="C14" s="1036" t="s">
        <v>938</v>
      </c>
      <c r="E14" s="1062">
        <v>1</v>
      </c>
      <c r="F14" s="1054"/>
      <c r="G14" s="1066"/>
      <c r="H14" s="1057"/>
      <c r="I14" s="1056"/>
      <c r="J14" s="1056"/>
      <c r="K14" s="1058"/>
      <c r="L14" s="1057"/>
      <c r="M14" s="1056"/>
      <c r="N14" s="1056"/>
      <c r="O14" s="1058"/>
      <c r="P14" s="1057"/>
      <c r="Q14" s="1056"/>
      <c r="R14" s="1042"/>
      <c r="S14" s="1041"/>
      <c r="T14" s="1043"/>
      <c r="U14" s="1042"/>
      <c r="V14" s="1042"/>
      <c r="W14" s="1041"/>
      <c r="X14" s="1036">
        <f>55*E14</f>
        <v>55</v>
      </c>
      <c r="Y14" s="1047"/>
      <c r="Z14" s="1047"/>
      <c r="AA14" s="1047"/>
      <c r="AB14" s="1047"/>
      <c r="AC14" s="1047"/>
      <c r="AD14" s="1044"/>
      <c r="AE14" s="1044">
        <f>X14</f>
        <v>55</v>
      </c>
      <c r="AF14" s="1044">
        <f>X14</f>
        <v>55</v>
      </c>
      <c r="AG14" s="1044">
        <f>X14/2</f>
        <v>27.5</v>
      </c>
      <c r="AH14" s="1044">
        <f t="shared" si="1"/>
        <v>137.5</v>
      </c>
      <c r="AI14" s="1036" t="s">
        <v>1418</v>
      </c>
      <c r="AJ14" s="1068">
        <v>0</v>
      </c>
      <c r="AK14" s="1036">
        <f t="shared" si="0"/>
        <v>0</v>
      </c>
    </row>
    <row r="15" spans="1:37" x14ac:dyDescent="0.2">
      <c r="A15" s="1063" t="s">
        <v>1426</v>
      </c>
      <c r="B15" s="1063" t="s">
        <v>1432</v>
      </c>
      <c r="C15" s="1036" t="s">
        <v>1431</v>
      </c>
      <c r="E15" s="1062">
        <v>1</v>
      </c>
      <c r="F15" s="1054"/>
      <c r="G15" s="1065"/>
      <c r="H15" s="1064"/>
      <c r="I15" s="1056"/>
      <c r="J15" s="1056"/>
      <c r="K15" s="1058"/>
      <c r="L15" s="1057"/>
      <c r="M15" s="1056"/>
      <c r="N15" s="1056"/>
      <c r="O15" s="1058"/>
      <c r="P15" s="1057"/>
      <c r="Q15" s="1056"/>
      <c r="R15" s="1042"/>
      <c r="S15" s="1041"/>
      <c r="T15" s="1043"/>
      <c r="U15" s="1042"/>
      <c r="V15" s="1042"/>
      <c r="W15" s="1041"/>
      <c r="X15" s="1036">
        <v>110</v>
      </c>
      <c r="Y15" s="1047"/>
      <c r="Z15" s="1047"/>
      <c r="AA15" s="1047"/>
      <c r="AB15" s="1047"/>
      <c r="AC15" s="1047"/>
      <c r="AD15" s="1044">
        <f>X15*0.5</f>
        <v>55</v>
      </c>
      <c r="AE15" s="1044">
        <f>X15</f>
        <v>110</v>
      </c>
      <c r="AF15" s="1044">
        <f>X15</f>
        <v>110</v>
      </c>
      <c r="AG15" s="1044">
        <f>X15/2</f>
        <v>55</v>
      </c>
      <c r="AH15" s="1044">
        <f t="shared" si="1"/>
        <v>330</v>
      </c>
      <c r="AI15" s="1036" t="s">
        <v>1418</v>
      </c>
      <c r="AJ15" s="1068">
        <v>0.25</v>
      </c>
      <c r="AK15" s="1036">
        <f t="shared" si="0"/>
        <v>27.5</v>
      </c>
    </row>
    <row r="16" spans="1:37" x14ac:dyDescent="0.2">
      <c r="A16" s="1036" t="s">
        <v>1426</v>
      </c>
      <c r="B16" s="1063" t="s">
        <v>1430</v>
      </c>
      <c r="C16" s="1036" t="s">
        <v>1429</v>
      </c>
      <c r="D16" s="1036" t="s">
        <v>1428</v>
      </c>
      <c r="E16" s="1062">
        <v>1</v>
      </c>
      <c r="F16" s="1057"/>
      <c r="G16" s="1061"/>
      <c r="H16" s="1060"/>
      <c r="I16" s="1059"/>
      <c r="J16" s="1059"/>
      <c r="K16" s="1061"/>
      <c r="L16" s="1060"/>
      <c r="M16" s="1059"/>
      <c r="N16" s="1056"/>
      <c r="O16" s="1058"/>
      <c r="P16" s="1057"/>
      <c r="Q16" s="1056"/>
      <c r="R16" s="1042"/>
      <c r="S16" s="1041"/>
      <c r="T16" s="1043"/>
      <c r="U16" s="1042"/>
      <c r="V16" s="1042"/>
      <c r="W16" s="1041"/>
      <c r="X16" s="1036">
        <v>110</v>
      </c>
      <c r="Y16" s="1047"/>
      <c r="Z16" s="1047"/>
      <c r="AA16" s="1047"/>
      <c r="AB16" s="1047"/>
      <c r="AC16" s="1047"/>
      <c r="AD16" s="1044">
        <f>X16*0.75</f>
        <v>82.5</v>
      </c>
      <c r="AE16" s="1044">
        <f>X16</f>
        <v>110</v>
      </c>
      <c r="AF16" s="1044">
        <f>X16</f>
        <v>110</v>
      </c>
      <c r="AG16" s="1044">
        <f>X16/2</f>
        <v>55</v>
      </c>
      <c r="AH16" s="1044">
        <f t="shared" si="1"/>
        <v>357.5</v>
      </c>
      <c r="AI16" s="1036" t="s">
        <v>1418</v>
      </c>
      <c r="AJ16" s="1068">
        <v>0</v>
      </c>
      <c r="AK16" s="1036">
        <f t="shared" si="0"/>
        <v>0</v>
      </c>
    </row>
    <row r="17" spans="1:37" x14ac:dyDescent="0.2">
      <c r="F17" s="1043"/>
      <c r="G17" s="1041"/>
      <c r="H17" s="1043"/>
      <c r="I17" s="1042"/>
      <c r="J17" s="1042"/>
      <c r="K17" s="1041"/>
      <c r="L17" s="1043"/>
      <c r="M17" s="1042"/>
      <c r="N17" s="1042"/>
      <c r="O17" s="1041"/>
      <c r="P17" s="1043"/>
      <c r="Q17" s="1042"/>
      <c r="R17" s="1042"/>
      <c r="S17" s="1041"/>
      <c r="T17" s="1043"/>
      <c r="U17" s="1042"/>
      <c r="V17" s="1042"/>
      <c r="W17" s="1041"/>
      <c r="Y17" s="1047"/>
      <c r="Z17" s="1047"/>
      <c r="AA17" s="1047"/>
      <c r="AB17" s="1047"/>
      <c r="AC17" s="1047"/>
      <c r="AD17" s="1044"/>
      <c r="AE17" s="1044"/>
      <c r="AF17" s="1044"/>
      <c r="AG17" s="1044"/>
      <c r="AH17" s="1044"/>
      <c r="AK17" s="1036">
        <f t="shared" si="0"/>
        <v>0</v>
      </c>
    </row>
    <row r="18" spans="1:37" x14ac:dyDescent="0.2">
      <c r="F18" s="1043"/>
      <c r="G18" s="1041"/>
      <c r="H18" s="1043"/>
      <c r="I18" s="1042"/>
      <c r="J18" s="1042"/>
      <c r="K18" s="1041"/>
      <c r="L18" s="1043"/>
      <c r="M18" s="1042"/>
      <c r="N18" s="1042"/>
      <c r="O18" s="1041"/>
      <c r="P18" s="1043"/>
      <c r="Q18" s="1042"/>
      <c r="R18" s="1042"/>
      <c r="S18" s="1041"/>
      <c r="T18" s="1043"/>
      <c r="U18" s="1042"/>
      <c r="V18" s="1042"/>
      <c r="W18" s="1041"/>
      <c r="Y18" s="1047"/>
      <c r="Z18" s="1047"/>
      <c r="AA18" s="1047"/>
      <c r="AB18" s="1047"/>
      <c r="AC18" s="1047"/>
      <c r="AD18" s="1044"/>
      <c r="AE18" s="1044"/>
      <c r="AF18" s="1044"/>
      <c r="AG18" s="1044"/>
      <c r="AH18" s="1044"/>
      <c r="AK18" s="1036">
        <f t="shared" si="0"/>
        <v>0</v>
      </c>
    </row>
    <row r="19" spans="1:37" x14ac:dyDescent="0.2">
      <c r="A19" s="1036" t="s">
        <v>1426</v>
      </c>
      <c r="B19" s="1036" t="s">
        <v>1421</v>
      </c>
      <c r="C19" s="1036" t="s">
        <v>1427</v>
      </c>
      <c r="D19" s="1046">
        <v>1</v>
      </c>
      <c r="E19" s="1045">
        <v>0.7</v>
      </c>
      <c r="F19" s="1054"/>
      <c r="G19" s="1051"/>
      <c r="H19" s="1053"/>
      <c r="I19" s="1052"/>
      <c r="J19" s="1052"/>
      <c r="K19" s="1051"/>
      <c r="L19" s="1053"/>
      <c r="M19" s="1052"/>
      <c r="N19" s="1052"/>
      <c r="O19" s="1051"/>
      <c r="P19" s="1053"/>
      <c r="Q19" s="1052"/>
      <c r="R19" s="1042"/>
      <c r="S19" s="1041"/>
      <c r="T19" s="1043"/>
      <c r="U19" s="1042"/>
      <c r="V19" s="1042"/>
      <c r="W19" s="1041"/>
      <c r="X19" s="1036">
        <v>110</v>
      </c>
      <c r="Y19" s="1047"/>
      <c r="Z19" s="1047"/>
      <c r="AA19" s="1047"/>
      <c r="AB19" s="1047"/>
      <c r="AC19" s="1047"/>
      <c r="AD19" s="1044">
        <v>0</v>
      </c>
      <c r="AE19" s="1044">
        <f>X19*E19</f>
        <v>77</v>
      </c>
      <c r="AF19" s="1044">
        <f>X19*E19</f>
        <v>77</v>
      </c>
      <c r="AG19" s="1044">
        <f>(X19*E19)/2</f>
        <v>38.5</v>
      </c>
      <c r="AH19" s="1044">
        <f>SUM(AD19:AG19)</f>
        <v>192.5</v>
      </c>
      <c r="AI19" s="1036" t="s">
        <v>1418</v>
      </c>
      <c r="AJ19" s="1068">
        <v>0</v>
      </c>
      <c r="AK19" s="1036">
        <f t="shared" si="0"/>
        <v>0</v>
      </c>
    </row>
    <row r="20" spans="1:37" x14ac:dyDescent="0.2">
      <c r="A20" s="1036" t="s">
        <v>1426</v>
      </c>
      <c r="B20" s="1036" t="s">
        <v>1421</v>
      </c>
      <c r="C20" s="1036" t="s">
        <v>1425</v>
      </c>
      <c r="D20" s="1046" t="s">
        <v>1424</v>
      </c>
      <c r="E20" s="1055">
        <v>1</v>
      </c>
      <c r="F20" s="1054"/>
      <c r="G20" s="1051"/>
      <c r="H20" s="1053"/>
      <c r="I20" s="1052"/>
      <c r="J20" s="1052"/>
      <c r="K20" s="1051"/>
      <c r="L20" s="1049"/>
      <c r="M20" s="1048"/>
      <c r="N20" s="1048"/>
      <c r="O20" s="1050"/>
      <c r="P20" s="1049"/>
      <c r="Q20" s="1048"/>
      <c r="R20" s="1042"/>
      <c r="S20" s="1041"/>
      <c r="T20" s="1043"/>
      <c r="U20" s="1042"/>
      <c r="V20" s="1042"/>
      <c r="W20" s="1041"/>
      <c r="X20" s="1036">
        <v>110</v>
      </c>
      <c r="Y20" s="1047"/>
      <c r="Z20" s="1047">
        <f>(X20/11*7)</f>
        <v>70</v>
      </c>
      <c r="AA20" s="1047">
        <f>X20</f>
        <v>110</v>
      </c>
      <c r="AB20" s="1047">
        <f>X20/2</f>
        <v>55</v>
      </c>
      <c r="AC20" s="1047">
        <f>SUM(Y20:AB20)</f>
        <v>235</v>
      </c>
      <c r="AD20" s="1044"/>
      <c r="AE20" s="1044"/>
      <c r="AF20" s="1044"/>
      <c r="AG20" s="1044"/>
      <c r="AH20" s="1044"/>
      <c r="AI20" s="1036" t="s">
        <v>1423</v>
      </c>
      <c r="AJ20" s="1068">
        <v>0</v>
      </c>
      <c r="AK20" s="1036">
        <f t="shared" si="0"/>
        <v>0</v>
      </c>
    </row>
    <row r="21" spans="1:37" x14ac:dyDescent="0.2">
      <c r="A21" s="1036" t="s">
        <v>1422</v>
      </c>
      <c r="B21" s="1036" t="s">
        <v>1421</v>
      </c>
      <c r="C21" s="1036" t="s">
        <v>1420</v>
      </c>
      <c r="D21" s="1046" t="s">
        <v>1419</v>
      </c>
      <c r="E21" s="1045">
        <v>1</v>
      </c>
      <c r="F21" s="1043"/>
      <c r="G21" s="1041"/>
      <c r="H21" s="1043"/>
      <c r="I21" s="1042"/>
      <c r="J21" s="1042"/>
      <c r="K21" s="1041"/>
      <c r="L21" s="1043"/>
      <c r="M21" s="1042"/>
      <c r="N21" s="1042"/>
      <c r="O21" s="1041"/>
      <c r="P21" s="1043"/>
      <c r="Q21" s="1042"/>
      <c r="R21" s="1042"/>
      <c r="S21" s="1041"/>
      <c r="T21" s="1043"/>
      <c r="U21" s="1042"/>
      <c r="V21" s="1042"/>
      <c r="W21" s="1041"/>
      <c r="X21" s="1036">
        <v>55</v>
      </c>
      <c r="Y21" s="1044"/>
      <c r="Z21" s="1044"/>
      <c r="AA21" s="1044"/>
      <c r="AB21" s="1044"/>
      <c r="AC21" s="1044"/>
      <c r="AD21" s="1044">
        <v>0</v>
      </c>
      <c r="AE21" s="1044">
        <f>X21/11*7</f>
        <v>35</v>
      </c>
      <c r="AF21" s="1044">
        <f>X21</f>
        <v>55</v>
      </c>
      <c r="AG21" s="1044">
        <f>X21/2</f>
        <v>27.5</v>
      </c>
      <c r="AH21" s="1044">
        <f>SUM(AD21:AG21)</f>
        <v>117.5</v>
      </c>
      <c r="AI21" s="1036" t="s">
        <v>1418</v>
      </c>
      <c r="AJ21" s="1068">
        <v>0</v>
      </c>
      <c r="AK21" s="1036">
        <f t="shared" si="0"/>
        <v>0</v>
      </c>
    </row>
    <row r="22" spans="1:37" x14ac:dyDescent="0.2">
      <c r="F22" s="1043"/>
      <c r="G22" s="1041"/>
      <c r="H22" s="1043"/>
      <c r="I22" s="1042"/>
      <c r="J22" s="1042"/>
      <c r="K22" s="1041"/>
      <c r="L22" s="1043"/>
      <c r="M22" s="1042"/>
      <c r="N22" s="1042"/>
      <c r="O22" s="1041"/>
      <c r="P22" s="1043"/>
      <c r="Q22" s="1042"/>
      <c r="R22" s="1042"/>
      <c r="S22" s="1041"/>
      <c r="T22" s="1043"/>
      <c r="U22" s="1042"/>
      <c r="V22" s="1042"/>
      <c r="W22" s="1041"/>
      <c r="Y22" s="1044">
        <f>SUM(Y6:Y20)</f>
        <v>27.5</v>
      </c>
      <c r="Z22" s="1044">
        <f>SUM(Z6:Z20)</f>
        <v>290</v>
      </c>
      <c r="AA22" s="1044">
        <f>SUM(AA6:AA20)</f>
        <v>316.25</v>
      </c>
      <c r="AB22" s="1044">
        <f>SUM(AB6:AB20)</f>
        <v>165</v>
      </c>
      <c r="AC22" s="1044">
        <f>SUM(AC6:AC20)</f>
        <v>798.75</v>
      </c>
      <c r="AD22" s="1044">
        <f>SUM(AD5:AD21)</f>
        <v>236.5</v>
      </c>
      <c r="AE22" s="1044">
        <f>SUM(AE5:AE21)</f>
        <v>832.5</v>
      </c>
      <c r="AF22" s="1044">
        <f>SUM(AF5:AF21)</f>
        <v>852.5</v>
      </c>
      <c r="AG22" s="1044">
        <f>SUM(AG5:AG21)</f>
        <v>525.25</v>
      </c>
      <c r="AH22" s="1044">
        <f>SUM(AH5:AH21)</f>
        <v>2446.75</v>
      </c>
    </row>
    <row r="23" spans="1:37" x14ac:dyDescent="0.2">
      <c r="F23" s="1043"/>
      <c r="G23" s="1041"/>
      <c r="H23" s="1043"/>
      <c r="I23" s="1042"/>
      <c r="J23" s="1042"/>
      <c r="K23" s="1041"/>
      <c r="L23" s="1043"/>
      <c r="M23" s="1042"/>
      <c r="N23" s="1042"/>
      <c r="O23" s="1041"/>
      <c r="P23" s="1043"/>
      <c r="Q23" s="1042"/>
      <c r="R23" s="1042"/>
      <c r="S23" s="1041"/>
      <c r="T23" s="1043"/>
      <c r="U23" s="1042"/>
      <c r="V23" s="1042"/>
      <c r="W23" s="1041"/>
    </row>
    <row r="24" spans="1:37" x14ac:dyDescent="0.2">
      <c r="F24" s="1043"/>
      <c r="G24" s="1041"/>
      <c r="H24" s="1043"/>
      <c r="I24" s="1042"/>
      <c r="J24" s="1042"/>
      <c r="K24" s="1041"/>
      <c r="L24" s="1043"/>
      <c r="M24" s="1042"/>
      <c r="N24" s="1042"/>
      <c r="O24" s="1041"/>
      <c r="P24" s="1043"/>
      <c r="Q24" s="1042"/>
      <c r="R24" s="1042"/>
      <c r="S24" s="1041"/>
      <c r="T24" s="1043"/>
      <c r="U24" s="1042"/>
      <c r="V24" s="1042"/>
      <c r="W24" s="1041"/>
      <c r="AD24" s="1044">
        <f>SUM(AD6:AD19)</f>
        <v>236.5</v>
      </c>
      <c r="AE24" s="1044">
        <f>SUM(AE6:AE19)</f>
        <v>797.5</v>
      </c>
      <c r="AF24" s="1044">
        <f>SUM(AF6:AF19)</f>
        <v>797.5</v>
      </c>
      <c r="AG24" s="1044">
        <f>SUM(AG6:AG19)</f>
        <v>497.75</v>
      </c>
      <c r="AH24" s="1044">
        <f>SUM(AH6:AH19)</f>
        <v>2329.25</v>
      </c>
      <c r="AK24" s="1036">
        <f>SUM(AK6:AK21)-AK7</f>
        <v>220</v>
      </c>
    </row>
    <row r="25" spans="1:37" x14ac:dyDescent="0.2">
      <c r="F25" s="1043"/>
      <c r="G25" s="1041"/>
      <c r="H25" s="1043"/>
      <c r="I25" s="1042"/>
      <c r="J25" s="1042"/>
      <c r="K25" s="1041"/>
      <c r="L25" s="1043"/>
      <c r="M25" s="1042"/>
      <c r="N25" s="1042"/>
      <c r="O25" s="1041"/>
      <c r="P25" s="1043"/>
      <c r="Q25" s="1042"/>
      <c r="R25" s="1042"/>
      <c r="S25" s="1041"/>
      <c r="T25" s="1043"/>
      <c r="U25" s="1042"/>
      <c r="V25" s="1042"/>
      <c r="W25" s="1041"/>
      <c r="AH25" s="1084"/>
    </row>
    <row r="26" spans="1:37" x14ac:dyDescent="0.2">
      <c r="F26" s="1043"/>
      <c r="G26" s="1041"/>
      <c r="H26" s="1043"/>
      <c r="I26" s="1042"/>
      <c r="J26" s="1042"/>
      <c r="K26" s="1041"/>
      <c r="L26" s="1043"/>
      <c r="M26" s="1042"/>
      <c r="N26" s="1042"/>
      <c r="O26" s="1041"/>
      <c r="P26" s="1043"/>
      <c r="Q26" s="1042"/>
      <c r="R26" s="1042"/>
      <c r="S26" s="1041"/>
      <c r="T26" s="1043"/>
      <c r="U26" s="1042"/>
      <c r="V26" s="1042"/>
      <c r="W26" s="1041"/>
    </row>
    <row r="27" spans="1:37" x14ac:dyDescent="0.2">
      <c r="F27" s="1043"/>
      <c r="G27" s="1041"/>
      <c r="H27" s="1043"/>
      <c r="I27" s="1042"/>
      <c r="J27" s="1042"/>
      <c r="K27" s="1041"/>
      <c r="L27" s="1043"/>
      <c r="M27" s="1042"/>
      <c r="N27" s="1042"/>
      <c r="O27" s="1041"/>
      <c r="P27" s="1043"/>
      <c r="Q27" s="1042"/>
      <c r="R27" s="1042"/>
      <c r="S27" s="1041"/>
      <c r="T27" s="1043"/>
      <c r="U27" s="1042"/>
      <c r="V27" s="1042"/>
      <c r="W27" s="1041"/>
    </row>
    <row r="28" spans="1:37" x14ac:dyDescent="0.2">
      <c r="F28" s="1043"/>
      <c r="G28" s="1041"/>
      <c r="H28" s="1043"/>
      <c r="I28" s="1042"/>
      <c r="J28" s="1042"/>
      <c r="K28" s="1041"/>
      <c r="L28" s="1043"/>
      <c r="M28" s="1042"/>
      <c r="N28" s="1042"/>
      <c r="O28" s="1041"/>
      <c r="P28" s="1043"/>
      <c r="Q28" s="1042"/>
      <c r="R28" s="1042"/>
      <c r="S28" s="1041"/>
      <c r="T28" s="1043"/>
      <c r="U28" s="1042"/>
      <c r="V28" s="1042"/>
      <c r="W28" s="1041"/>
    </row>
    <row r="29" spans="1:37" x14ac:dyDescent="0.2">
      <c r="F29" s="1043"/>
      <c r="G29" s="1041"/>
      <c r="H29" s="1043"/>
      <c r="I29" s="1042"/>
      <c r="J29" s="1042"/>
      <c r="K29" s="1041"/>
      <c r="L29" s="1043"/>
      <c r="M29" s="1042"/>
      <c r="N29" s="1042"/>
      <c r="O29" s="1041"/>
      <c r="P29" s="1043"/>
      <c r="Q29" s="1042"/>
      <c r="R29" s="1042"/>
      <c r="S29" s="1041"/>
      <c r="T29" s="1043"/>
      <c r="U29" s="1042"/>
      <c r="V29" s="1042"/>
      <c r="W29" s="1041"/>
    </row>
    <row r="30" spans="1:37" x14ac:dyDescent="0.2">
      <c r="F30" s="1043"/>
      <c r="G30" s="1041"/>
      <c r="H30" s="1043"/>
      <c r="I30" s="1042"/>
      <c r="J30" s="1042"/>
      <c r="K30" s="1041"/>
      <c r="L30" s="1043"/>
      <c r="M30" s="1042"/>
      <c r="N30" s="1042"/>
      <c r="O30" s="1041"/>
      <c r="P30" s="1043"/>
      <c r="Q30" s="1042"/>
      <c r="R30" s="1042"/>
      <c r="S30" s="1041"/>
      <c r="T30" s="1043"/>
      <c r="U30" s="1042"/>
      <c r="V30" s="1042"/>
      <c r="W30" s="1041"/>
    </row>
    <row r="31" spans="1:37" x14ac:dyDescent="0.2">
      <c r="F31" s="1043"/>
      <c r="G31" s="1041"/>
      <c r="H31" s="1043"/>
      <c r="I31" s="1042"/>
      <c r="J31" s="1042"/>
      <c r="K31" s="1041"/>
      <c r="L31" s="1043"/>
      <c r="M31" s="1042"/>
      <c r="N31" s="1042"/>
      <c r="O31" s="1041"/>
      <c r="P31" s="1043"/>
      <c r="Q31" s="1042"/>
      <c r="R31" s="1042"/>
      <c r="S31" s="1041"/>
      <c r="T31" s="1043"/>
      <c r="U31" s="1042"/>
      <c r="V31" s="1042"/>
      <c r="W31" s="1041"/>
    </row>
    <row r="32" spans="1:37" x14ac:dyDescent="0.2">
      <c r="F32" s="1043"/>
      <c r="G32" s="1041"/>
      <c r="H32" s="1043"/>
      <c r="I32" s="1042"/>
      <c r="J32" s="1042"/>
      <c r="K32" s="1041"/>
      <c r="L32" s="1043"/>
      <c r="M32" s="1042"/>
      <c r="N32" s="1042"/>
      <c r="O32" s="1041"/>
      <c r="P32" s="1043"/>
      <c r="Q32" s="1042"/>
      <c r="R32" s="1042"/>
      <c r="S32" s="1041"/>
      <c r="T32" s="1043"/>
      <c r="U32" s="1042"/>
      <c r="V32" s="1042"/>
      <c r="W32" s="1041"/>
    </row>
    <row r="33" spans="6:23" x14ac:dyDescent="0.2">
      <c r="F33" s="1043"/>
      <c r="G33" s="1041"/>
      <c r="H33" s="1043"/>
      <c r="I33" s="1042"/>
      <c r="J33" s="1042"/>
      <c r="K33" s="1041"/>
      <c r="L33" s="1043"/>
      <c r="M33" s="1042"/>
      <c r="N33" s="1042"/>
      <c r="O33" s="1041"/>
      <c r="P33" s="1043"/>
      <c r="Q33" s="1042"/>
      <c r="R33" s="1042"/>
      <c r="S33" s="1041"/>
      <c r="T33" s="1043"/>
      <c r="U33" s="1042"/>
      <c r="V33" s="1042"/>
      <c r="W33" s="1041"/>
    </row>
    <row r="34" spans="6:23" x14ac:dyDescent="0.2">
      <c r="F34" s="1043"/>
      <c r="G34" s="1041"/>
      <c r="H34" s="1043"/>
      <c r="I34" s="1042"/>
      <c r="J34" s="1042"/>
      <c r="K34" s="1041"/>
      <c r="L34" s="1043"/>
      <c r="M34" s="1042"/>
      <c r="N34" s="1042"/>
      <c r="O34" s="1041"/>
      <c r="P34" s="1043"/>
      <c r="Q34" s="1042"/>
      <c r="R34" s="1042"/>
      <c r="S34" s="1041"/>
      <c r="T34" s="1043"/>
      <c r="U34" s="1042"/>
      <c r="V34" s="1042"/>
      <c r="W34" s="1041"/>
    </row>
    <row r="35" spans="6:23" x14ac:dyDescent="0.2">
      <c r="F35" s="1043"/>
      <c r="G35" s="1041"/>
      <c r="H35" s="1043"/>
      <c r="I35" s="1042"/>
      <c r="J35" s="1042"/>
      <c r="K35" s="1041"/>
      <c r="L35" s="1043"/>
      <c r="M35" s="1042"/>
      <c r="N35" s="1042"/>
      <c r="O35" s="1041"/>
      <c r="P35" s="1043"/>
      <c r="Q35" s="1042"/>
      <c r="R35" s="1042"/>
      <c r="S35" s="1041"/>
      <c r="T35" s="1043"/>
      <c r="U35" s="1042"/>
      <c r="V35" s="1042"/>
      <c r="W35" s="1041"/>
    </row>
    <row r="36" spans="6:23" x14ac:dyDescent="0.2">
      <c r="F36" s="1043"/>
      <c r="G36" s="1041"/>
      <c r="H36" s="1043"/>
      <c r="I36" s="1042"/>
      <c r="J36" s="1042"/>
      <c r="K36" s="1041"/>
      <c r="L36" s="1043"/>
      <c r="M36" s="1042"/>
      <c r="N36" s="1042"/>
      <c r="O36" s="1041"/>
      <c r="P36" s="1043"/>
      <c r="Q36" s="1042"/>
      <c r="R36" s="1042"/>
      <c r="S36" s="1041"/>
      <c r="T36" s="1043"/>
      <c r="U36" s="1042"/>
      <c r="V36" s="1042"/>
      <c r="W36" s="1041"/>
    </row>
    <row r="37" spans="6:23" x14ac:dyDescent="0.2">
      <c r="F37" s="1043"/>
      <c r="G37" s="1041"/>
      <c r="H37" s="1043"/>
      <c r="I37" s="1042"/>
      <c r="J37" s="1042"/>
      <c r="K37" s="1041"/>
      <c r="L37" s="1043"/>
      <c r="M37" s="1042"/>
      <c r="N37" s="1042"/>
      <c r="O37" s="1041"/>
      <c r="P37" s="1043"/>
      <c r="Q37" s="1042"/>
      <c r="R37" s="1042"/>
      <c r="S37" s="1041"/>
      <c r="T37" s="1043"/>
      <c r="U37" s="1042"/>
      <c r="V37" s="1042"/>
      <c r="W37" s="1041"/>
    </row>
    <row r="38" spans="6:23" x14ac:dyDescent="0.2">
      <c r="F38" s="1043"/>
      <c r="G38" s="1041"/>
      <c r="H38" s="1043"/>
      <c r="I38" s="1042"/>
      <c r="J38" s="1042"/>
      <c r="K38" s="1041"/>
      <c r="L38" s="1043"/>
      <c r="M38" s="1042"/>
      <c r="N38" s="1042"/>
      <c r="O38" s="1041"/>
      <c r="P38" s="1043"/>
      <c r="Q38" s="1042"/>
      <c r="R38" s="1042"/>
      <c r="S38" s="1041"/>
      <c r="T38" s="1043"/>
      <c r="U38" s="1042"/>
      <c r="V38" s="1042"/>
      <c r="W38" s="1041"/>
    </row>
    <row r="39" spans="6:23" x14ac:dyDescent="0.2">
      <c r="F39" s="1043"/>
      <c r="G39" s="1041"/>
      <c r="H39" s="1043"/>
      <c r="I39" s="1042"/>
      <c r="J39" s="1042"/>
      <c r="K39" s="1041"/>
      <c r="L39" s="1043"/>
      <c r="M39" s="1042"/>
      <c r="N39" s="1042"/>
      <c r="O39" s="1041"/>
      <c r="P39" s="1043"/>
      <c r="Q39" s="1042"/>
      <c r="R39" s="1042"/>
      <c r="S39" s="1041"/>
      <c r="T39" s="1043"/>
      <c r="U39" s="1042"/>
      <c r="V39" s="1042"/>
      <c r="W39" s="1041"/>
    </row>
    <row r="40" spans="6:23" x14ac:dyDescent="0.2">
      <c r="F40" s="1040"/>
      <c r="G40" s="1038"/>
      <c r="H40" s="1040"/>
      <c r="I40" s="1039"/>
      <c r="J40" s="1039"/>
      <c r="K40" s="1038"/>
      <c r="L40" s="1040"/>
      <c r="M40" s="1039"/>
      <c r="N40" s="1039"/>
      <c r="O40" s="1038"/>
      <c r="P40" s="1040"/>
      <c r="Q40" s="1039"/>
      <c r="R40" s="1039"/>
      <c r="S40" s="1038"/>
      <c r="T40" s="1040"/>
      <c r="U40" s="1039"/>
      <c r="V40" s="1039"/>
      <c r="W40" s="1038"/>
    </row>
  </sheetData>
  <mergeCells count="7">
    <mergeCell ref="Y3:AC3"/>
    <mergeCell ref="AD3:AH3"/>
    <mergeCell ref="F4:G4"/>
    <mergeCell ref="H4:K4"/>
    <mergeCell ref="T4:W4"/>
    <mergeCell ref="L4:O4"/>
    <mergeCell ref="P4:S4"/>
  </mergeCells>
  <pageMargins left="0.78740157499999996" right="0.78740157499999996" top="0.984251969" bottom="0.984251969" header="0.4921259845" footer="0.492125984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6" tint="-0.249977111117893"/>
    <pageSetUpPr fitToPage="1"/>
  </sheetPr>
  <dimension ref="A1:O41"/>
  <sheetViews>
    <sheetView view="pageBreakPreview" topLeftCell="A7" zoomScaleNormal="100" workbookViewId="0">
      <selection activeCell="C8" sqref="C8"/>
    </sheetView>
  </sheetViews>
  <sheetFormatPr baseColWidth="10" defaultRowHeight="12.75" x14ac:dyDescent="0.2"/>
  <cols>
    <col min="1" max="1" width="15" customWidth="1"/>
    <col min="2" max="2" width="28.140625" customWidth="1"/>
    <col min="3" max="3" width="12.28515625" bestFit="1" customWidth="1"/>
    <col min="8" max="15" width="11.5703125" style="1033" customWidth="1"/>
  </cols>
  <sheetData>
    <row r="1" spans="1:15" s="141" customFormat="1" ht="15.75" x14ac:dyDescent="0.25">
      <c r="A1" s="664" t="s">
        <v>21</v>
      </c>
      <c r="H1" s="1031"/>
      <c r="I1" s="1031"/>
      <c r="J1" s="1031"/>
      <c r="K1" s="1031"/>
      <c r="L1" s="1031"/>
      <c r="M1" s="1031"/>
      <c r="N1" s="1031"/>
      <c r="O1" s="1031"/>
    </row>
    <row r="3" spans="1:15" s="665" customFormat="1" x14ac:dyDescent="0.2">
      <c r="A3" s="665" t="s">
        <v>22</v>
      </c>
      <c r="H3" s="1032"/>
      <c r="I3" s="1032"/>
      <c r="J3" s="1032"/>
      <c r="K3" s="1032"/>
      <c r="L3" s="1032"/>
      <c r="M3" s="1032"/>
      <c r="N3" s="1032"/>
      <c r="O3" s="1032"/>
    </row>
    <row r="5" spans="1:15" x14ac:dyDescent="0.2">
      <c r="A5" t="s">
        <v>23</v>
      </c>
      <c r="C5" s="195"/>
      <c r="D5" t="s">
        <v>984</v>
      </c>
    </row>
    <row r="6" spans="1:15" x14ac:dyDescent="0.2">
      <c r="A6" t="s">
        <v>24</v>
      </c>
      <c r="D6" t="s">
        <v>210</v>
      </c>
      <c r="E6" t="s">
        <v>25</v>
      </c>
    </row>
    <row r="7" spans="1:15" x14ac:dyDescent="0.2">
      <c r="A7" t="s">
        <v>26</v>
      </c>
      <c r="C7" s="195">
        <v>1420</v>
      </c>
      <c r="D7" t="s">
        <v>984</v>
      </c>
    </row>
    <row r="9" spans="1:15" s="665" customFormat="1" x14ac:dyDescent="0.2">
      <c r="A9" s="665" t="s">
        <v>27</v>
      </c>
      <c r="H9" s="1032"/>
      <c r="I9" s="1032"/>
      <c r="J9" s="1032"/>
      <c r="K9" s="1032"/>
      <c r="L9" s="1032"/>
      <c r="M9" s="1032"/>
      <c r="N9" s="1032"/>
      <c r="O9" s="1032"/>
    </row>
    <row r="11" spans="1:15" x14ac:dyDescent="0.2">
      <c r="A11" t="s">
        <v>28</v>
      </c>
      <c r="C11">
        <v>26</v>
      </c>
      <c r="D11" t="s">
        <v>1123</v>
      </c>
    </row>
    <row r="12" spans="1:15" x14ac:dyDescent="0.2">
      <c r="A12" t="s">
        <v>51</v>
      </c>
      <c r="C12">
        <v>4.5</v>
      </c>
      <c r="D12" t="s">
        <v>52</v>
      </c>
    </row>
    <row r="13" spans="1:15" x14ac:dyDescent="0.2">
      <c r="A13" t="s">
        <v>26</v>
      </c>
      <c r="C13" s="195">
        <f>C11*C12</f>
        <v>117</v>
      </c>
      <c r="D13" t="s">
        <v>984</v>
      </c>
    </row>
    <row r="15" spans="1:15" s="666" customFormat="1" x14ac:dyDescent="0.2">
      <c r="A15" s="665" t="s">
        <v>53</v>
      </c>
      <c r="H15" s="1033"/>
      <c r="I15" s="1033"/>
      <c r="J15" s="1033"/>
      <c r="K15" s="1033"/>
      <c r="L15" s="1033"/>
      <c r="M15" s="1033"/>
      <c r="N15" s="1033"/>
      <c r="O15" s="1033"/>
    </row>
    <row r="17" spans="1:15" x14ac:dyDescent="0.2">
      <c r="A17" t="s">
        <v>23</v>
      </c>
      <c r="C17" s="195"/>
      <c r="D17" t="s">
        <v>984</v>
      </c>
    </row>
    <row r="18" spans="1:15" x14ac:dyDescent="0.2">
      <c r="A18" t="s">
        <v>24</v>
      </c>
      <c r="C18" s="575"/>
      <c r="D18" t="s">
        <v>210</v>
      </c>
      <c r="E18" t="s">
        <v>25</v>
      </c>
    </row>
    <row r="19" spans="1:15" x14ac:dyDescent="0.2">
      <c r="A19" t="s">
        <v>26</v>
      </c>
      <c r="C19" s="195">
        <v>500</v>
      </c>
      <c r="D19" t="s">
        <v>984</v>
      </c>
    </row>
    <row r="21" spans="1:15" s="666" customFormat="1" x14ac:dyDescent="0.2">
      <c r="A21" s="665" t="s">
        <v>54</v>
      </c>
      <c r="H21" s="1033"/>
      <c r="I21" s="1033"/>
      <c r="J21" s="1033"/>
      <c r="K21" s="1033"/>
      <c r="L21" s="1033"/>
      <c r="M21" s="1033"/>
      <c r="N21" s="1033"/>
      <c r="O21" s="1033"/>
    </row>
    <row r="23" spans="1:15" x14ac:dyDescent="0.2">
      <c r="A23" t="s">
        <v>23</v>
      </c>
      <c r="C23" s="195"/>
      <c r="D23" t="s">
        <v>984</v>
      </c>
    </row>
    <row r="24" spans="1:15" x14ac:dyDescent="0.2">
      <c r="A24" t="s">
        <v>55</v>
      </c>
      <c r="C24" s="36"/>
      <c r="D24" t="s">
        <v>210</v>
      </c>
      <c r="E24" t="s">
        <v>25</v>
      </c>
    </row>
    <row r="25" spans="1:15" x14ac:dyDescent="0.2">
      <c r="A25" t="s">
        <v>26</v>
      </c>
      <c r="C25" s="195">
        <v>500</v>
      </c>
      <c r="D25" t="s">
        <v>984</v>
      </c>
    </row>
    <row r="27" spans="1:15" s="667" customFormat="1" x14ac:dyDescent="0.2">
      <c r="A27" s="667" t="s">
        <v>56</v>
      </c>
      <c r="C27" s="668">
        <f>C25+C19+C13+C7</f>
        <v>2537</v>
      </c>
      <c r="D27" s="667" t="s">
        <v>984</v>
      </c>
      <c r="H27" s="1034" t="s">
        <v>1214</v>
      </c>
      <c r="I27" s="1033"/>
      <c r="J27" s="1033" t="s">
        <v>1417</v>
      </c>
      <c r="K27" s="1033"/>
      <c r="L27" s="1033"/>
      <c r="M27" s="1033"/>
      <c r="N27" s="1033"/>
      <c r="O27" s="1034" t="s">
        <v>1416</v>
      </c>
    </row>
    <row r="28" spans="1:15" x14ac:dyDescent="0.2">
      <c r="O28" s="1034" t="s">
        <v>1417</v>
      </c>
    </row>
    <row r="29" spans="1:15" x14ac:dyDescent="0.2">
      <c r="A29" t="s">
        <v>57</v>
      </c>
    </row>
    <row r="30" spans="1:15" x14ac:dyDescent="0.2">
      <c r="A30" s="15"/>
      <c r="B30" s="15" t="s">
        <v>58</v>
      </c>
      <c r="C30" s="756">
        <v>2014</v>
      </c>
      <c r="D30" s="756">
        <v>2015</v>
      </c>
      <c r="E30" s="756">
        <v>2016</v>
      </c>
      <c r="F30" s="756">
        <v>2017</v>
      </c>
      <c r="G30" s="756">
        <v>2018</v>
      </c>
      <c r="H30" s="756">
        <v>2019</v>
      </c>
      <c r="I30" s="756">
        <v>2020</v>
      </c>
    </row>
    <row r="31" spans="1:15" x14ac:dyDescent="0.2">
      <c r="A31" s="15"/>
      <c r="B31" s="15" t="s">
        <v>59</v>
      </c>
      <c r="C31" s="15"/>
      <c r="D31" s="15"/>
      <c r="E31" s="15"/>
      <c r="F31" s="15"/>
      <c r="G31" s="15"/>
      <c r="H31" s="15"/>
      <c r="I31" s="15"/>
    </row>
    <row r="32" spans="1:15" x14ac:dyDescent="0.2">
      <c r="A32" s="756" t="s">
        <v>60</v>
      </c>
      <c r="B32" s="669">
        <f>C7</f>
        <v>1420</v>
      </c>
      <c r="C32" s="670"/>
      <c r="D32" s="1035">
        <f>B32*D33</f>
        <v>426</v>
      </c>
      <c r="E32" s="1208">
        <f>B32*E33</f>
        <v>710</v>
      </c>
      <c r="F32" s="1035">
        <f>B32*F33</f>
        <v>284</v>
      </c>
      <c r="G32" s="1035"/>
      <c r="H32" s="1035"/>
      <c r="I32" s="1035"/>
    </row>
    <row r="33" spans="1:9" x14ac:dyDescent="0.2">
      <c r="A33" s="756"/>
      <c r="B33" s="669"/>
      <c r="C33" s="671"/>
      <c r="D33" s="18">
        <v>0.3</v>
      </c>
      <c r="E33" s="18">
        <v>0.5</v>
      </c>
      <c r="F33" s="18">
        <v>0.2</v>
      </c>
      <c r="G33" s="18"/>
      <c r="H33" s="18"/>
      <c r="I33" s="18"/>
    </row>
    <row r="34" spans="1:9" x14ac:dyDescent="0.2">
      <c r="A34" s="756" t="s">
        <v>61</v>
      </c>
      <c r="B34" s="669">
        <f>C13</f>
        <v>117</v>
      </c>
      <c r="C34" s="670"/>
      <c r="D34" s="1035">
        <f>B34*D35</f>
        <v>35.1</v>
      </c>
      <c r="E34" s="1035"/>
      <c r="F34" s="1035">
        <f>B34*F35</f>
        <v>81.899999999999991</v>
      </c>
      <c r="G34" s="670"/>
      <c r="H34" s="670"/>
      <c r="I34" s="670"/>
    </row>
    <row r="35" spans="1:9" x14ac:dyDescent="0.2">
      <c r="A35" s="756"/>
      <c r="B35" s="669"/>
      <c r="C35" s="671"/>
      <c r="D35" s="18">
        <v>0.3</v>
      </c>
      <c r="E35" s="18"/>
      <c r="F35" s="18">
        <v>0.7</v>
      </c>
      <c r="G35" s="671"/>
      <c r="H35" s="671"/>
      <c r="I35" s="671"/>
    </row>
    <row r="36" spans="1:9" x14ac:dyDescent="0.2">
      <c r="A36" s="756" t="s">
        <v>62</v>
      </c>
      <c r="B36" s="669">
        <f>C19</f>
        <v>500</v>
      </c>
      <c r="C36" s="670"/>
      <c r="D36" s="1035">
        <f>B36*D37</f>
        <v>125</v>
      </c>
      <c r="E36" s="1035">
        <f>B36*E37</f>
        <v>200</v>
      </c>
      <c r="F36" s="1035">
        <f>B36*F37</f>
        <v>175</v>
      </c>
      <c r="G36" s="670"/>
      <c r="H36" s="670"/>
      <c r="I36" s="670"/>
    </row>
    <row r="37" spans="1:9" x14ac:dyDescent="0.2">
      <c r="A37" s="756"/>
      <c r="B37" s="669"/>
      <c r="C37" s="671"/>
      <c r="D37" s="18">
        <v>0.25</v>
      </c>
      <c r="E37" s="18">
        <v>0.4</v>
      </c>
      <c r="F37" s="18">
        <v>0.35</v>
      </c>
      <c r="G37" s="671"/>
      <c r="H37" s="671"/>
      <c r="I37" s="671"/>
    </row>
    <row r="38" spans="1:9" x14ac:dyDescent="0.2">
      <c r="A38" s="756" t="s">
        <v>63</v>
      </c>
      <c r="B38" s="669">
        <f>C25</f>
        <v>500</v>
      </c>
      <c r="C38" s="670"/>
      <c r="D38" s="1035">
        <f>B38*D39</f>
        <v>125</v>
      </c>
      <c r="E38" s="1035">
        <f>B38*E39</f>
        <v>200</v>
      </c>
      <c r="F38" s="1035">
        <f>B38*F39</f>
        <v>175</v>
      </c>
      <c r="G38" s="670"/>
      <c r="H38" s="670"/>
      <c r="I38" s="670"/>
    </row>
    <row r="39" spans="1:9" x14ac:dyDescent="0.2">
      <c r="A39" s="756"/>
      <c r="B39" s="669"/>
      <c r="C39" s="671"/>
      <c r="D39" s="18">
        <v>0.25</v>
      </c>
      <c r="E39" s="18">
        <v>0.4</v>
      </c>
      <c r="F39" s="18">
        <v>0.35</v>
      </c>
      <c r="G39" s="671"/>
      <c r="H39" s="671"/>
      <c r="I39" s="671"/>
    </row>
    <row r="40" spans="1:9" x14ac:dyDescent="0.2">
      <c r="A40" s="864" t="s">
        <v>64</v>
      </c>
      <c r="B40" s="762">
        <f>SUM(B32:B38)</f>
        <v>2537</v>
      </c>
      <c r="C40" s="670">
        <f t="shared" ref="C40:I40" si="0">C32+C34+C36+C38</f>
        <v>0</v>
      </c>
      <c r="D40" s="670">
        <f t="shared" si="0"/>
        <v>711.1</v>
      </c>
      <c r="E40" s="670">
        <f t="shared" si="0"/>
        <v>1110</v>
      </c>
      <c r="F40" s="670">
        <f t="shared" si="0"/>
        <v>715.9</v>
      </c>
      <c r="G40" s="670">
        <f t="shared" si="0"/>
        <v>0</v>
      </c>
      <c r="H40" s="670">
        <f t="shared" si="0"/>
        <v>0</v>
      </c>
      <c r="I40" s="670">
        <f t="shared" si="0"/>
        <v>0</v>
      </c>
    </row>
    <row r="41" spans="1:9" x14ac:dyDescent="0.2">
      <c r="A41" s="864" t="s">
        <v>65</v>
      </c>
      <c r="B41" s="15"/>
      <c r="C41" s="15"/>
      <c r="D41" s="671">
        <f>D40/$B$40</f>
        <v>0.28029168309026409</v>
      </c>
      <c r="E41" s="671">
        <f>E40/$B$40</f>
        <v>0.43752463539613717</v>
      </c>
      <c r="F41" s="671">
        <f>F40/$B$40</f>
        <v>0.28218368151359874</v>
      </c>
      <c r="G41" s="671">
        <f>G40/$B$40</f>
        <v>0</v>
      </c>
      <c r="H41" s="671">
        <f>H40/$B$40</f>
        <v>0</v>
      </c>
      <c r="I41" s="671"/>
    </row>
  </sheetData>
  <phoneticPr fontId="6" type="noConversion"/>
  <dataValidations count="1">
    <dataValidation type="list" allowBlank="1" showInputMessage="1" showErrorMessage="1" sqref="J27">
      <formula1>$O$27:$O$28</formula1>
    </dataValidation>
  </dataValidations>
  <pageMargins left="0.78740157499999996" right="0.78740157499999996" top="0.984251969" bottom="0.984251969" header="0.4921259845" footer="0.4921259845"/>
  <pageSetup scale="63"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00B050"/>
    <pageSetUpPr fitToPage="1"/>
  </sheetPr>
  <dimension ref="A1:AA108"/>
  <sheetViews>
    <sheetView showGridLines="0" showZeros="0" zoomScale="115" zoomScaleNormal="115" workbookViewId="0">
      <pane xSplit="4" ySplit="5" topLeftCell="E9" activePane="bottomRight" state="frozenSplit"/>
      <selection pane="topRight" activeCell="E1" sqref="E1"/>
      <selection pane="bottomLeft" activeCell="A25" sqref="A25"/>
      <selection pane="bottomRight" activeCell="A50" sqref="A50"/>
    </sheetView>
  </sheetViews>
  <sheetFormatPr baseColWidth="10" defaultRowHeight="12.75" outlineLevelRow="2" x14ac:dyDescent="0.2"/>
  <cols>
    <col min="1" max="1" width="14.7109375" style="504" customWidth="1"/>
    <col min="2" max="2" width="11.42578125" style="504"/>
    <col min="3" max="3" width="6.28515625" style="504" customWidth="1"/>
    <col min="4" max="4" width="6.85546875" style="504" customWidth="1"/>
    <col min="5" max="5" width="12.140625" style="504" bestFit="1" customWidth="1"/>
    <col min="6" max="6" width="13" style="504" bestFit="1" customWidth="1"/>
    <col min="7" max="11" width="11.5703125" style="504" customWidth="1"/>
    <col min="12" max="12" width="12.5703125" style="504" customWidth="1"/>
    <col min="13" max="27" width="11.5703125" style="504" customWidth="1"/>
    <col min="28" max="28" width="2.85546875" style="477" customWidth="1"/>
    <col min="29" max="30" width="12.28515625" style="477" bestFit="1" customWidth="1"/>
    <col min="31" max="16384" width="11.42578125" style="477"/>
  </cols>
  <sheetData>
    <row r="1" spans="1:27" ht="15.75" x14ac:dyDescent="0.25">
      <c r="A1" s="474" t="s">
        <v>1125</v>
      </c>
      <c r="B1" s="451"/>
      <c r="C1" s="475"/>
      <c r="D1" s="475"/>
      <c r="E1" s="476"/>
      <c r="F1" s="476"/>
      <c r="G1" s="476"/>
      <c r="H1" s="476"/>
      <c r="I1" s="476"/>
      <c r="J1" s="476"/>
      <c r="K1" s="476"/>
      <c r="L1" s="476"/>
      <c r="M1" s="476"/>
      <c r="N1" s="476"/>
      <c r="O1" s="476"/>
      <c r="P1" s="476"/>
      <c r="Q1" s="476"/>
      <c r="R1" s="476"/>
      <c r="S1" s="476"/>
      <c r="T1" s="476"/>
      <c r="U1" s="476"/>
      <c r="V1" s="476"/>
      <c r="W1" s="476"/>
      <c r="X1" s="476"/>
      <c r="Y1" s="476"/>
      <c r="Z1" s="476"/>
      <c r="AA1" s="476"/>
    </row>
    <row r="2" spans="1:27" ht="13.5" thickBot="1" x14ac:dyDescent="0.25">
      <c r="A2" s="478"/>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row>
    <row r="3" spans="1:27" x14ac:dyDescent="0.2">
      <c r="A3" s="479"/>
      <c r="B3" s="480"/>
      <c r="C3" s="480"/>
      <c r="D3" s="480"/>
      <c r="E3" s="481"/>
      <c r="F3" s="481"/>
      <c r="G3" s="481"/>
      <c r="H3" s="481"/>
      <c r="I3" s="481"/>
      <c r="J3" s="481"/>
      <c r="K3" s="481"/>
      <c r="L3" s="481"/>
      <c r="M3" s="481"/>
      <c r="N3" s="481"/>
      <c r="O3" s="481"/>
      <c r="P3" s="481"/>
      <c r="Q3" s="481"/>
      <c r="R3" s="481"/>
      <c r="S3" s="481"/>
      <c r="T3" s="481"/>
      <c r="U3" s="481"/>
      <c r="V3" s="481"/>
      <c r="W3" s="481"/>
      <c r="X3" s="481"/>
      <c r="Y3" s="481"/>
      <c r="Z3" s="481"/>
      <c r="AA3" s="481"/>
    </row>
    <row r="4" spans="1:27" ht="15.75" x14ac:dyDescent="0.25">
      <c r="A4" s="482"/>
      <c r="B4" s="483" t="s">
        <v>353</v>
      </c>
      <c r="C4" s="484"/>
      <c r="D4" s="484"/>
      <c r="E4" s="816">
        <v>42369</v>
      </c>
      <c r="F4" s="816">
        <v>42735</v>
      </c>
      <c r="G4" s="816">
        <v>43100</v>
      </c>
      <c r="H4" s="816">
        <v>43465</v>
      </c>
      <c r="I4" s="816">
        <v>43830</v>
      </c>
      <c r="J4" s="816">
        <v>44196</v>
      </c>
      <c r="K4" s="816">
        <v>44561</v>
      </c>
      <c r="L4" s="816">
        <v>44926</v>
      </c>
      <c r="M4" s="816">
        <v>45291</v>
      </c>
      <c r="N4" s="816">
        <v>45657</v>
      </c>
      <c r="O4" s="816">
        <v>46022</v>
      </c>
      <c r="P4" s="816">
        <v>46387</v>
      </c>
      <c r="Q4" s="816">
        <v>46752</v>
      </c>
      <c r="R4" s="816">
        <v>47118</v>
      </c>
      <c r="S4" s="816">
        <v>47483</v>
      </c>
      <c r="T4" s="816">
        <v>47848</v>
      </c>
      <c r="U4" s="816">
        <v>48213</v>
      </c>
      <c r="V4" s="816">
        <v>48579</v>
      </c>
      <c r="W4" s="816">
        <v>48944</v>
      </c>
      <c r="X4" s="816">
        <v>49309</v>
      </c>
      <c r="Y4" s="816">
        <v>49674</v>
      </c>
      <c r="Z4" s="816">
        <v>50040</v>
      </c>
      <c r="AA4" s="817">
        <v>50405</v>
      </c>
    </row>
    <row r="5" spans="1:27" s="487" customFormat="1" ht="16.5" thickBot="1" x14ac:dyDescent="0.25">
      <c r="A5" s="485"/>
      <c r="B5" s="486"/>
      <c r="C5" s="486"/>
      <c r="D5" s="486"/>
      <c r="E5" s="458" t="s">
        <v>354</v>
      </c>
      <c r="F5" s="458" t="s">
        <v>354</v>
      </c>
      <c r="G5" s="458" t="s">
        <v>354</v>
      </c>
      <c r="H5" s="458" t="s">
        <v>354</v>
      </c>
      <c r="I5" s="458" t="s">
        <v>354</v>
      </c>
      <c r="J5" s="458" t="s">
        <v>354</v>
      </c>
      <c r="K5" s="458" t="s">
        <v>354</v>
      </c>
      <c r="L5" s="458" t="s">
        <v>354</v>
      </c>
      <c r="M5" s="458" t="s">
        <v>354</v>
      </c>
      <c r="N5" s="458" t="s">
        <v>354</v>
      </c>
      <c r="O5" s="458" t="s">
        <v>354</v>
      </c>
      <c r="P5" s="458" t="s">
        <v>354</v>
      </c>
      <c r="Q5" s="458" t="s">
        <v>354</v>
      </c>
      <c r="R5" s="458" t="s">
        <v>354</v>
      </c>
      <c r="S5" s="458" t="s">
        <v>354</v>
      </c>
      <c r="T5" s="458" t="s">
        <v>354</v>
      </c>
      <c r="U5" s="458" t="s">
        <v>354</v>
      </c>
      <c r="V5" s="458" t="s">
        <v>354</v>
      </c>
      <c r="W5" s="458" t="s">
        <v>354</v>
      </c>
      <c r="X5" s="458" t="s">
        <v>354</v>
      </c>
      <c r="Y5" s="458" t="s">
        <v>354</v>
      </c>
      <c r="Z5" s="458" t="s">
        <v>354</v>
      </c>
      <c r="AA5" s="458" t="s">
        <v>354</v>
      </c>
    </row>
    <row r="6" spans="1:27" x14ac:dyDescent="0.2">
      <c r="A6" s="488"/>
      <c r="B6" s="489"/>
      <c r="C6" s="489"/>
      <c r="D6" s="489"/>
      <c r="E6" s="490"/>
      <c r="F6" s="490"/>
      <c r="G6" s="490"/>
      <c r="H6" s="490"/>
      <c r="I6" s="490"/>
      <c r="J6" s="490"/>
      <c r="K6" s="490"/>
      <c r="L6" s="490"/>
      <c r="M6" s="490"/>
      <c r="N6" s="490"/>
      <c r="O6" s="490"/>
      <c r="P6" s="490"/>
      <c r="Q6" s="490"/>
      <c r="R6" s="490"/>
      <c r="S6" s="490"/>
      <c r="T6" s="490"/>
      <c r="U6" s="490"/>
      <c r="V6" s="490"/>
      <c r="W6" s="490"/>
      <c r="X6" s="490"/>
      <c r="Y6" s="490"/>
      <c r="Z6" s="490"/>
      <c r="AA6" s="490" t="s">
        <v>428</v>
      </c>
    </row>
    <row r="7" spans="1:27" x14ac:dyDescent="0.2">
      <c r="A7" s="491" t="s">
        <v>429</v>
      </c>
      <c r="B7" s="489"/>
      <c r="C7" s="489"/>
      <c r="D7" s="489"/>
      <c r="E7" s="492">
        <f t="shared" ref="E7:O7" si="0">E9+E11</f>
        <v>13512500</v>
      </c>
      <c r="F7" s="492">
        <f t="shared" si="0"/>
        <v>39496500</v>
      </c>
      <c r="G7" s="492">
        <f t="shared" si="0"/>
        <v>52599000</v>
      </c>
      <c r="H7" s="492">
        <f t="shared" si="0"/>
        <v>50817666.666666664</v>
      </c>
      <c r="I7" s="492">
        <f t="shared" si="0"/>
        <v>48485333.333333328</v>
      </c>
      <c r="J7" s="492">
        <f t="shared" si="0"/>
        <v>45502999.999999993</v>
      </c>
      <c r="K7" s="492">
        <f t="shared" si="0"/>
        <v>41870666.666666657</v>
      </c>
      <c r="L7" s="492">
        <f t="shared" si="0"/>
        <v>38458333.333333321</v>
      </c>
      <c r="M7" s="492">
        <f t="shared" si="0"/>
        <v>35243999.999999985</v>
      </c>
      <c r="N7" s="492">
        <f t="shared" si="0"/>
        <v>32029666.666666649</v>
      </c>
      <c r="O7" s="492">
        <f t="shared" si="0"/>
        <v>28815333.333333313</v>
      </c>
      <c r="P7" s="492">
        <f>P9+P11</f>
        <v>25600999.999999981</v>
      </c>
      <c r="Q7" s="492">
        <f t="shared" ref="Q7:AA7" si="1">Q9+Q11</f>
        <v>22386666.666666649</v>
      </c>
      <c r="R7" s="492">
        <f t="shared" si="1"/>
        <v>20096333.333333313</v>
      </c>
      <c r="S7" s="492">
        <f t="shared" si="1"/>
        <v>17805999.999999981</v>
      </c>
      <c r="T7" s="492">
        <f t="shared" si="1"/>
        <v>15515666.666666647</v>
      </c>
      <c r="U7" s="492">
        <f t="shared" si="1"/>
        <v>13225333.333333313</v>
      </c>
      <c r="V7" s="492">
        <f t="shared" si="1"/>
        <v>10934999.99999998</v>
      </c>
      <c r="W7" s="492">
        <f t="shared" si="1"/>
        <v>8799999.9999999795</v>
      </c>
      <c r="X7" s="492">
        <f t="shared" si="1"/>
        <v>6664999.9999999795</v>
      </c>
      <c r="Y7" s="492">
        <f t="shared" si="1"/>
        <v>4529999.9999999795</v>
      </c>
      <c r="Z7" s="492">
        <f t="shared" si="1"/>
        <v>2394999.999999979</v>
      </c>
      <c r="AA7" s="492">
        <f t="shared" si="1"/>
        <v>259999.99999997905</v>
      </c>
    </row>
    <row r="8" spans="1:27" outlineLevel="1" x14ac:dyDescent="0.2">
      <c r="A8" s="488"/>
      <c r="B8" s="489"/>
      <c r="C8" s="489"/>
      <c r="D8" s="489"/>
      <c r="E8" s="463"/>
      <c r="F8" s="463"/>
      <c r="G8" s="463"/>
      <c r="H8" s="463"/>
      <c r="I8" s="463"/>
      <c r="J8" s="463"/>
      <c r="K8" s="463"/>
      <c r="L8" s="463"/>
      <c r="M8" s="463"/>
      <c r="N8" s="463"/>
      <c r="O8" s="463"/>
      <c r="P8" s="463"/>
      <c r="Q8" s="463"/>
      <c r="R8" s="463"/>
      <c r="S8" s="463"/>
      <c r="T8" s="463"/>
      <c r="U8" s="463"/>
      <c r="V8" s="463"/>
      <c r="W8" s="463"/>
      <c r="X8" s="463"/>
      <c r="Y8" s="463"/>
      <c r="Z8" s="463"/>
      <c r="AA8" s="463"/>
    </row>
    <row r="9" spans="1:27" outlineLevel="1" x14ac:dyDescent="0.2">
      <c r="A9" s="493" t="s">
        <v>430</v>
      </c>
      <c r="B9" s="489"/>
      <c r="C9" s="489"/>
      <c r="D9" s="489"/>
      <c r="E9" s="463">
        <f>'Données Investissement'!D145*1000000</f>
        <v>13512500</v>
      </c>
      <c r="F9" s="463">
        <f>'Données Investissement'!E145*1000000+E9</f>
        <v>39496500</v>
      </c>
      <c r="G9" s="463">
        <f>'Données Investissement'!F145*1000000+F9-Exploitation!B28</f>
        <v>52599000</v>
      </c>
      <c r="H9" s="463">
        <f>'Données Investissement'!G145*1000000+G9-Exploitation!C28</f>
        <v>50817666.666666664</v>
      </c>
      <c r="I9" s="463">
        <f>'Données Investissement'!H145*1000000+H9-Exploitation!D28</f>
        <v>48485333.333333328</v>
      </c>
      <c r="J9" s="463">
        <f>'Données Investissement'!I145*1000000+I9-Exploitation!E28</f>
        <v>45502999.999999993</v>
      </c>
      <c r="K9" s="463">
        <f>'Données Investissement'!J145*1000000+J9-Exploitation!F28</f>
        <v>41870666.666666657</v>
      </c>
      <c r="L9" s="463">
        <f>'Données Investissement'!K145*1000000+K9-Exploitation!G28</f>
        <v>38458333.333333321</v>
      </c>
      <c r="M9" s="463">
        <f>'Données Investissement'!L145*1000000+L9-Exploitation!H28</f>
        <v>35243999.999999985</v>
      </c>
      <c r="N9" s="463">
        <f>'Données Investissement'!M145*1000000+M9-Exploitation!I28</f>
        <v>32029666.666666649</v>
      </c>
      <c r="O9" s="463">
        <f>'Données Investissement'!N145*1000000+N9-Exploitation!J28</f>
        <v>28815333.333333313</v>
      </c>
      <c r="P9" s="463">
        <f>'Données Investissement'!O145*1000000+O9-Exploitation!K28</f>
        <v>25600999.999999981</v>
      </c>
      <c r="Q9" s="463">
        <f>'Données Investissement'!P145*1000000+P9-Exploitation!L28</f>
        <v>22386666.666666649</v>
      </c>
      <c r="R9" s="463">
        <f>'Données Investissement'!Q145*1000000+Q9-Exploitation!M28</f>
        <v>20096333.333333313</v>
      </c>
      <c r="S9" s="463">
        <f>'Données Investissement'!R145*1000000+R9-Exploitation!N28</f>
        <v>17805999.999999981</v>
      </c>
      <c r="T9" s="463">
        <f>'Données Investissement'!S145*1000000+S9-Exploitation!O28</f>
        <v>15515666.666666647</v>
      </c>
      <c r="U9" s="463">
        <f>'Données Investissement'!T145*1000000+T9-Exploitation!P28</f>
        <v>13225333.333333313</v>
      </c>
      <c r="V9" s="463">
        <f>'Données Investissement'!U145*1000000+U9-Exploitation!Q28</f>
        <v>10934999.99999998</v>
      </c>
      <c r="W9" s="463">
        <f>'Données Investissement'!V145*1000000+V9-Exploitation!R28</f>
        <v>8799999.9999999795</v>
      </c>
      <c r="X9" s="463">
        <f>'Données Investissement'!W145*1000000+W9-Exploitation!S28</f>
        <v>6664999.9999999795</v>
      </c>
      <c r="Y9" s="463">
        <f>'Données Investissement'!X145*1000000+X9-Exploitation!T28</f>
        <v>4529999.9999999795</v>
      </c>
      <c r="Z9" s="463">
        <f>'Données Investissement'!Y145*1000000+Y9-Exploitation!U28</f>
        <v>2394999.999999979</v>
      </c>
      <c r="AA9" s="463">
        <f>'Données Investissement'!Z145*1000000+Z9-Exploitation!V28</f>
        <v>259999.99999997905</v>
      </c>
    </row>
    <row r="10" spans="1:27" outlineLevel="1" x14ac:dyDescent="0.2">
      <c r="A10" s="488"/>
      <c r="B10" s="489"/>
      <c r="C10" s="489"/>
      <c r="D10" s="489"/>
      <c r="E10" s="463"/>
      <c r="F10" s="463"/>
      <c r="G10" s="463"/>
      <c r="H10" s="463"/>
      <c r="I10" s="463"/>
      <c r="J10" s="463"/>
      <c r="K10" s="463"/>
      <c r="L10" s="463"/>
      <c r="M10" s="463"/>
      <c r="N10" s="463"/>
      <c r="O10" s="463"/>
      <c r="P10" s="463"/>
      <c r="Q10" s="463"/>
      <c r="R10" s="463"/>
      <c r="S10" s="463"/>
      <c r="T10" s="463"/>
      <c r="U10" s="463"/>
      <c r="V10" s="463"/>
      <c r="W10" s="463"/>
      <c r="X10" s="463"/>
      <c r="Y10" s="463"/>
      <c r="Z10" s="463"/>
      <c r="AA10" s="463"/>
    </row>
    <row r="11" spans="1:27" outlineLevel="1" x14ac:dyDescent="0.2">
      <c r="A11" s="493" t="s">
        <v>431</v>
      </c>
      <c r="B11" s="489"/>
      <c r="C11" s="489"/>
      <c r="D11" s="489"/>
      <c r="E11" s="463"/>
      <c r="F11" s="463"/>
      <c r="G11" s="463">
        <v>0</v>
      </c>
      <c r="H11" s="463"/>
      <c r="I11" s="463"/>
      <c r="J11" s="463"/>
      <c r="K11" s="463"/>
      <c r="L11" s="463"/>
      <c r="M11" s="463"/>
      <c r="N11" s="463"/>
      <c r="O11" s="463"/>
      <c r="P11" s="463"/>
      <c r="Q11" s="463"/>
      <c r="R11" s="463"/>
      <c r="S11" s="463"/>
      <c r="T11" s="463"/>
      <c r="U11" s="463"/>
      <c r="V11" s="463"/>
      <c r="W11" s="463"/>
      <c r="X11" s="463"/>
      <c r="Y11" s="463"/>
      <c r="Z11" s="463"/>
      <c r="AA11" s="463"/>
    </row>
    <row r="12" spans="1:27" x14ac:dyDescent="0.2">
      <c r="A12" s="488" t="s">
        <v>432</v>
      </c>
      <c r="B12" s="489"/>
      <c r="C12" s="489"/>
      <c r="D12" s="489"/>
      <c r="E12" s="466"/>
      <c r="F12" s="466"/>
      <c r="G12" s="466"/>
      <c r="H12" s="466"/>
      <c r="I12" s="466"/>
      <c r="J12" s="466"/>
      <c r="K12" s="466"/>
      <c r="L12" s="466"/>
      <c r="M12" s="466"/>
      <c r="N12" s="466"/>
      <c r="O12" s="466"/>
      <c r="P12" s="466"/>
      <c r="Q12" s="466"/>
      <c r="R12" s="466"/>
      <c r="S12" s="466"/>
      <c r="T12" s="466"/>
      <c r="U12" s="466"/>
      <c r="V12" s="466"/>
      <c r="W12" s="466"/>
      <c r="X12" s="466"/>
      <c r="Y12" s="466"/>
      <c r="Z12" s="466"/>
      <c r="AA12" s="466"/>
    </row>
    <row r="13" spans="1:27" x14ac:dyDescent="0.2">
      <c r="A13" s="491" t="s">
        <v>433</v>
      </c>
      <c r="B13" s="489"/>
      <c r="C13" s="489"/>
      <c r="D13" s="489"/>
      <c r="E13" s="467"/>
      <c r="F13" s="467"/>
      <c r="G13" s="467">
        <f>G15</f>
        <v>0</v>
      </c>
      <c r="H13" s="467"/>
      <c r="I13" s="467"/>
      <c r="J13" s="467"/>
      <c r="K13" s="467"/>
      <c r="L13" s="467"/>
      <c r="M13" s="467"/>
      <c r="N13" s="467"/>
      <c r="O13" s="467"/>
      <c r="P13" s="467">
        <f>P15</f>
        <v>0</v>
      </c>
      <c r="Q13" s="467"/>
      <c r="R13" s="467"/>
      <c r="S13" s="467"/>
      <c r="T13" s="467"/>
      <c r="U13" s="467"/>
      <c r="V13" s="467"/>
      <c r="W13" s="467"/>
      <c r="X13" s="467"/>
      <c r="Y13" s="467"/>
      <c r="Z13" s="467"/>
      <c r="AA13" s="461">
        <f>AA15</f>
        <v>0</v>
      </c>
    </row>
    <row r="14" spans="1:27" outlineLevel="1" x14ac:dyDescent="0.2">
      <c r="A14" s="488"/>
      <c r="B14" s="489"/>
      <c r="C14" s="489"/>
      <c r="D14" s="489"/>
      <c r="E14" s="466"/>
      <c r="F14" s="466"/>
      <c r="G14" s="466"/>
      <c r="H14" s="466"/>
      <c r="I14" s="466"/>
      <c r="J14" s="466"/>
      <c r="K14" s="466"/>
      <c r="L14" s="466"/>
      <c r="M14" s="466"/>
      <c r="N14" s="466"/>
      <c r="O14" s="466"/>
      <c r="P14" s="466"/>
      <c r="Q14" s="466"/>
      <c r="R14" s="466"/>
      <c r="S14" s="466"/>
      <c r="T14" s="466"/>
      <c r="U14" s="466"/>
      <c r="V14" s="466"/>
      <c r="W14" s="466"/>
      <c r="X14" s="466"/>
      <c r="Y14" s="466"/>
      <c r="Z14" s="466"/>
      <c r="AA14" s="466"/>
    </row>
    <row r="15" spans="1:27" outlineLevel="1" x14ac:dyDescent="0.2">
      <c r="A15" s="488" t="s">
        <v>434</v>
      </c>
      <c r="B15" s="489"/>
      <c r="C15" s="489"/>
      <c r="D15" s="489"/>
      <c r="E15" s="466"/>
      <c r="F15" s="466"/>
      <c r="G15" s="466">
        <v>0</v>
      </c>
      <c r="H15" s="466"/>
      <c r="I15" s="466"/>
      <c r="J15" s="466"/>
      <c r="K15" s="466"/>
      <c r="L15" s="466"/>
      <c r="M15" s="466"/>
      <c r="N15" s="466"/>
      <c r="O15" s="466"/>
      <c r="P15" s="466"/>
      <c r="Q15" s="466"/>
      <c r="R15" s="466"/>
      <c r="S15" s="466"/>
      <c r="T15" s="466"/>
      <c r="U15" s="466"/>
      <c r="V15" s="466"/>
      <c r="W15" s="466"/>
      <c r="X15" s="466"/>
      <c r="Y15" s="466"/>
      <c r="Z15" s="466"/>
      <c r="AA15" s="463">
        <v>0</v>
      </c>
    </row>
    <row r="16" spans="1:27" x14ac:dyDescent="0.2">
      <c r="A16" s="488"/>
      <c r="B16" s="489"/>
      <c r="C16" s="489"/>
      <c r="D16" s="489"/>
      <c r="E16" s="466"/>
      <c r="F16" s="466"/>
      <c r="G16" s="466"/>
      <c r="H16" s="466"/>
      <c r="I16" s="466"/>
      <c r="J16" s="466"/>
      <c r="K16" s="466"/>
      <c r="L16" s="466"/>
      <c r="M16" s="466"/>
      <c r="N16" s="466"/>
      <c r="O16" s="466"/>
      <c r="P16" s="466"/>
      <c r="Q16" s="466"/>
      <c r="R16" s="466"/>
      <c r="S16" s="466"/>
      <c r="T16" s="466"/>
      <c r="U16" s="466"/>
      <c r="V16" s="466"/>
      <c r="W16" s="466"/>
      <c r="X16" s="466"/>
      <c r="Y16" s="466"/>
      <c r="Z16" s="466"/>
      <c r="AA16" s="466"/>
    </row>
    <row r="17" spans="1:27" x14ac:dyDescent="0.2">
      <c r="A17" s="491" t="s">
        <v>435</v>
      </c>
      <c r="B17" s="489"/>
      <c r="C17" s="489"/>
      <c r="D17" s="489"/>
      <c r="E17" s="492">
        <f t="shared" ref="E17:AA17" si="2">E20+E29</f>
        <v>126742.00913406392</v>
      </c>
      <c r="F17" s="492">
        <f t="shared" si="2"/>
        <v>477304.93150849314</v>
      </c>
      <c r="G17" s="492">
        <f t="shared" si="2"/>
        <v>767151.87325813924</v>
      </c>
      <c r="H17" s="492">
        <f t="shared" si="2"/>
        <v>2212864.3476736993</v>
      </c>
      <c r="I17" s="492">
        <f t="shared" si="2"/>
        <v>3058067.4507806641</v>
      </c>
      <c r="J17" s="492">
        <f t="shared" si="2"/>
        <v>4547260.2435327433</v>
      </c>
      <c r="K17" s="492">
        <f t="shared" si="2"/>
        <v>5633188.0003158785</v>
      </c>
      <c r="L17" s="492">
        <f t="shared" si="2"/>
        <v>6512577.2368273558</v>
      </c>
      <c r="M17" s="492">
        <f t="shared" si="2"/>
        <v>6554202.1671648417</v>
      </c>
      <c r="N17" s="492">
        <f t="shared" si="2"/>
        <v>6576538.2795919925</v>
      </c>
      <c r="O17" s="492">
        <f t="shared" si="2"/>
        <v>6564087.2512997072</v>
      </c>
      <c r="P17" s="492">
        <f t="shared" si="2"/>
        <v>6585866.1391950175</v>
      </c>
      <c r="Q17" s="492">
        <f t="shared" si="2"/>
        <v>6587894.8251561988</v>
      </c>
      <c r="R17" s="492">
        <f t="shared" si="2"/>
        <v>6527694.9846248776</v>
      </c>
      <c r="S17" s="492">
        <f t="shared" si="2"/>
        <v>6535025.8655288136</v>
      </c>
      <c r="T17" s="492">
        <f t="shared" si="2"/>
        <v>6541213.9072892787</v>
      </c>
      <c r="U17" s="492">
        <f t="shared" si="2"/>
        <v>6543156.6230397532</v>
      </c>
      <c r="V17" s="492">
        <f t="shared" si="2"/>
        <v>6548578.6642023344</v>
      </c>
      <c r="W17" s="492">
        <f t="shared" si="2"/>
        <v>6538037.3981106943</v>
      </c>
      <c r="X17" s="492">
        <f t="shared" si="2"/>
        <v>6541237.7114519412</v>
      </c>
      <c r="Y17" s="492">
        <f t="shared" si="2"/>
        <v>6549916.3844249537</v>
      </c>
      <c r="Z17" s="492">
        <f t="shared" si="2"/>
        <v>6551074.5837316895</v>
      </c>
      <c r="AA17" s="492">
        <f t="shared" si="2"/>
        <v>6555296.9810890304</v>
      </c>
    </row>
    <row r="18" spans="1:27" outlineLevel="1" x14ac:dyDescent="0.2">
      <c r="A18" s="488"/>
      <c r="B18" s="489"/>
      <c r="C18" s="489"/>
      <c r="D18" s="489"/>
      <c r="E18" s="463"/>
      <c r="F18" s="463"/>
      <c r="G18" s="463"/>
      <c r="H18" s="463"/>
      <c r="I18" s="463"/>
      <c r="J18" s="463"/>
      <c r="K18" s="463"/>
      <c r="L18" s="463"/>
      <c r="M18" s="463"/>
      <c r="N18" s="463"/>
      <c r="O18" s="463"/>
      <c r="P18" s="463"/>
      <c r="Q18" s="463"/>
      <c r="R18" s="463"/>
      <c r="S18" s="463"/>
      <c r="T18" s="463"/>
      <c r="U18" s="463"/>
      <c r="V18" s="463"/>
      <c r="W18" s="463"/>
      <c r="X18" s="463"/>
      <c r="Y18" s="463"/>
      <c r="Z18" s="463"/>
      <c r="AA18" s="463"/>
    </row>
    <row r="19" spans="1:27" outlineLevel="1" x14ac:dyDescent="0.2">
      <c r="A19" s="488"/>
      <c r="B19" s="489"/>
      <c r="C19" s="489"/>
      <c r="D19" s="489"/>
      <c r="E19" s="463"/>
      <c r="F19" s="463"/>
      <c r="G19" s="463"/>
      <c r="H19" s="463"/>
      <c r="I19" s="463"/>
      <c r="J19" s="463"/>
      <c r="K19" s="463"/>
      <c r="L19" s="463"/>
      <c r="M19" s="463"/>
      <c r="N19" s="463"/>
      <c r="O19" s="463"/>
      <c r="P19" s="463"/>
      <c r="Q19" s="463"/>
      <c r="R19" s="463"/>
      <c r="S19" s="463"/>
      <c r="T19" s="463"/>
      <c r="U19" s="463"/>
      <c r="V19" s="463"/>
      <c r="W19" s="463"/>
      <c r="X19" s="463"/>
      <c r="Y19" s="463"/>
      <c r="Z19" s="463"/>
      <c r="AA19" s="463"/>
    </row>
    <row r="20" spans="1:27" outlineLevel="1" x14ac:dyDescent="0.2">
      <c r="A20" s="493" t="s">
        <v>436</v>
      </c>
      <c r="B20" s="489"/>
      <c r="C20" s="489"/>
      <c r="D20" s="489"/>
      <c r="E20" s="463">
        <f t="shared" ref="E20:AA20" si="3">E21+E22+E23+E24+E25+E26</f>
        <v>126742.00913406392</v>
      </c>
      <c r="F20" s="463">
        <f t="shared" si="3"/>
        <v>477304.93150849314</v>
      </c>
      <c r="G20" s="463">
        <f t="shared" si="3"/>
        <v>767151.87315813929</v>
      </c>
      <c r="H20" s="463">
        <f t="shared" si="3"/>
        <v>2212864.3476736993</v>
      </c>
      <c r="I20" s="463">
        <f t="shared" si="3"/>
        <v>3058067.4507806641</v>
      </c>
      <c r="J20" s="463">
        <f t="shared" si="3"/>
        <v>4547260.2435327433</v>
      </c>
      <c r="K20" s="463">
        <f t="shared" si="3"/>
        <v>5633188.0003158785</v>
      </c>
      <c r="L20" s="463">
        <f t="shared" si="3"/>
        <v>6512577.2368273558</v>
      </c>
      <c r="M20" s="463">
        <f t="shared" si="3"/>
        <v>6554202.1671648417</v>
      </c>
      <c r="N20" s="463">
        <f t="shared" si="3"/>
        <v>6576538.2795919925</v>
      </c>
      <c r="O20" s="463">
        <f t="shared" si="3"/>
        <v>6564087.2512997072</v>
      </c>
      <c r="P20" s="463">
        <f t="shared" si="3"/>
        <v>6585866.1391950175</v>
      </c>
      <c r="Q20" s="463">
        <f t="shared" si="3"/>
        <v>6587894.8251561988</v>
      </c>
      <c r="R20" s="463">
        <f t="shared" si="3"/>
        <v>6527694.9846248776</v>
      </c>
      <c r="S20" s="463">
        <f t="shared" si="3"/>
        <v>6535025.8655288136</v>
      </c>
      <c r="T20" s="463">
        <f t="shared" si="3"/>
        <v>6541213.9072892787</v>
      </c>
      <c r="U20" s="463">
        <f t="shared" si="3"/>
        <v>6543156.6230397532</v>
      </c>
      <c r="V20" s="463">
        <f t="shared" si="3"/>
        <v>6548578.6642023344</v>
      </c>
      <c r="W20" s="463">
        <f t="shared" si="3"/>
        <v>6538037.3981106943</v>
      </c>
      <c r="X20" s="463">
        <f t="shared" si="3"/>
        <v>6541237.7114519412</v>
      </c>
      <c r="Y20" s="463">
        <f t="shared" si="3"/>
        <v>6549916.3844249537</v>
      </c>
      <c r="Z20" s="463">
        <f t="shared" si="3"/>
        <v>6551074.5837316895</v>
      </c>
      <c r="AA20" s="463">
        <f t="shared" si="3"/>
        <v>6555296.9810890304</v>
      </c>
    </row>
    <row r="21" spans="1:27" outlineLevel="1" x14ac:dyDescent="0.2">
      <c r="A21" s="494" t="s">
        <v>437</v>
      </c>
      <c r="B21" s="489"/>
      <c r="C21" s="489"/>
      <c r="D21" s="489"/>
      <c r="E21" s="463"/>
      <c r="F21" s="463"/>
      <c r="G21" s="463">
        <f>Exploitation!B41</f>
        <v>288951.38511211035</v>
      </c>
      <c r="H21" s="463">
        <f>Exploitation!C41</f>
        <v>1763928.999037636</v>
      </c>
      <c r="I21" s="463">
        <f>Exploitation!D41</f>
        <v>2627842.6304144384</v>
      </c>
      <c r="J21" s="463">
        <f>Exploitation!E41</f>
        <v>3828448.6489721565</v>
      </c>
      <c r="K21" s="463">
        <f>Exploitation!F41</f>
        <v>4514722.2605032269</v>
      </c>
      <c r="L21" s="463">
        <f>Exploitation!G41</f>
        <v>4918475.7949057501</v>
      </c>
      <c r="M21" s="463">
        <f>Exploitation!H41</f>
        <v>4906110.4508312363</v>
      </c>
      <c r="N21" s="463">
        <f>Exploitation!I41</f>
        <v>4905782.5405072551</v>
      </c>
      <c r="O21" s="463">
        <f>Exploitation!J41</f>
        <v>4944666.3218353512</v>
      </c>
      <c r="P21" s="463">
        <f>Exploitation!K41</f>
        <v>4995357.730545938</v>
      </c>
      <c r="Q21" s="463">
        <f>Exploitation!L41</f>
        <v>5040351.6650939602</v>
      </c>
      <c r="R21" s="463">
        <f>Exploitation!M41</f>
        <v>5024331.2771957181</v>
      </c>
      <c r="S21" s="463">
        <f>Exploitation!N41</f>
        <v>5076201.872241254</v>
      </c>
      <c r="T21" s="463">
        <f>Exploitation!O41</f>
        <v>5128214.7465066649</v>
      </c>
      <c r="U21" s="463">
        <f>Exploitation!P41</f>
        <v>5178193.32173617</v>
      </c>
      <c r="V21" s="463">
        <f>Exploitation!Q41</f>
        <v>5233011.4629762098</v>
      </c>
      <c r="W21" s="463">
        <f>Exploitation!R41</f>
        <v>5273599.0881549269</v>
      </c>
      <c r="X21" s="463">
        <f>Exploitation!S41</f>
        <v>5329701.4488734007</v>
      </c>
      <c r="Y21" s="463">
        <f>Exploitation!T41</f>
        <v>5391874.6495567113</v>
      </c>
      <c r="Z21" s="463">
        <f>Exploitation!U41</f>
        <v>5447940.397554894</v>
      </c>
      <c r="AA21" s="463">
        <f>Exploitation!V41</f>
        <v>5509416.2686890364</v>
      </c>
    </row>
    <row r="22" spans="1:27" outlineLevel="1" x14ac:dyDescent="0.2">
      <c r="A22" s="494" t="s">
        <v>438</v>
      </c>
      <c r="B22" s="489"/>
      <c r="C22" s="489"/>
      <c r="D22" s="489"/>
      <c r="E22" s="463"/>
      <c r="F22" s="463"/>
      <c r="G22" s="463">
        <f>Resultat!D5/365*45</f>
        <v>203560.56678990542</v>
      </c>
      <c r="H22" s="463">
        <f>Resultat!E5/365*45</f>
        <v>1992622.8296753759</v>
      </c>
      <c r="I22" s="463">
        <f>Resultat!F5/365*45</f>
        <v>3112428.7559430636</v>
      </c>
      <c r="J22" s="463">
        <f>Resultat!G5/365*45</f>
        <v>4778770.3850166593</v>
      </c>
      <c r="K22" s="463">
        <f>Resultat!H5/365*45</f>
        <v>6001731.6870227018</v>
      </c>
      <c r="L22" s="463">
        <f>Resultat!I5/365*45</f>
        <v>7022758.7331757052</v>
      </c>
      <c r="M22" s="463">
        <f>Resultat!J5/365*45</f>
        <v>7084824.3419681396</v>
      </c>
      <c r="N22" s="463">
        <f>Resultat!K5/365*45</f>
        <v>7128432.1260017641</v>
      </c>
      <c r="O22" s="463">
        <f>Resultat!L5/365*45</f>
        <v>7136688.1815209109</v>
      </c>
      <c r="P22" s="463">
        <f>Resultat!M5/365*45</f>
        <v>7177632.9271524241</v>
      </c>
      <c r="Q22" s="463">
        <f>Resultat!N5/365*45</f>
        <v>7177632.9271524241</v>
      </c>
      <c r="R22" s="463">
        <f>Resultat!O5/365*45</f>
        <v>7177632.9271524241</v>
      </c>
      <c r="S22" s="463">
        <f>Resultat!P5/365*45</f>
        <v>7177632.9271524241</v>
      </c>
      <c r="T22" s="463">
        <f>Resultat!Q5/365*45</f>
        <v>7177632.9271524241</v>
      </c>
      <c r="U22" s="463">
        <f>Resultat!R5/365*45</f>
        <v>7177632.9271524241</v>
      </c>
      <c r="V22" s="463">
        <f>Resultat!S5/365*45</f>
        <v>7177632.9271524241</v>
      </c>
      <c r="W22" s="463">
        <f>Resultat!T5/365*45</f>
        <v>7177632.9271524241</v>
      </c>
      <c r="X22" s="463">
        <f>Resultat!U5/365*45</f>
        <v>7177632.9271524241</v>
      </c>
      <c r="Y22" s="463">
        <f>Resultat!V5/365*45</f>
        <v>7177632.9271524241</v>
      </c>
      <c r="Z22" s="463">
        <f>Resultat!W5/365*45</f>
        <v>7177632.9271524241</v>
      </c>
      <c r="AA22" s="463">
        <f>Resultat!X5/365*45</f>
        <v>7177632.9271524241</v>
      </c>
    </row>
    <row r="23" spans="1:27" outlineLevel="1" x14ac:dyDescent="0.2">
      <c r="A23" s="488" t="s">
        <v>439</v>
      </c>
      <c r="B23" s="489"/>
      <c r="C23" s="489"/>
      <c r="D23" s="489"/>
      <c r="E23" s="463">
        <f>(Resultat!B7+Resultat!B11+Resultat!B12+Resultat!B14+Resultat!B18+Resultat!B26)/365*60</f>
        <v>-53424.657532602738</v>
      </c>
      <c r="F23" s="463">
        <f>(Resultat!C7+Resultat!C11+Resultat!C12+Resultat!C14+Resultat!C18+Resultat!C26)/365*60</f>
        <v>-49315.068491506841</v>
      </c>
      <c r="G23" s="463">
        <f>(Resultat!D7+Resultat!D11+Resultat!D12+Resultat!D14+Resultat!D18+Resultat!D26+Resultat!D23)/365*60</f>
        <v>-246513.41207720977</v>
      </c>
      <c r="H23" s="463">
        <f>(Resultat!E7+Resultat!E11+Resultat!E12+Resultat!E14+Resultat!E18+Resultat!E26+Resultat!E23)/365*60</f>
        <v>-1743067.4810393127</v>
      </c>
      <c r="I23" s="463">
        <f>(Resultat!F7+Resultat!F11+Resultat!F12+Resultat!F14+Resultat!F18+Resultat!F26+Resultat!F23)/365*60</f>
        <v>-2724217.2689101715</v>
      </c>
      <c r="J23" s="463">
        <f>(Resultat!G7+Resultat!G11+Resultat!G12+Resultat!G14+Resultat!G18+Resultat!G26+Resultat!G23)/365*60</f>
        <v>-4087692.1237894045</v>
      </c>
      <c r="K23" s="463">
        <f>(Resultat!H7+Resultat!H11+Resultat!H12+Resultat!H14+Resultat!H18+Resultat!H26+Resultat!H23)/365*60</f>
        <v>-4895732.6138767181</v>
      </c>
      <c r="L23" s="463">
        <f>(Resultat!I7+Resultat!I11+Resultat!I12+Resultat!I14+Resultat!I18+Resultat!I26+Resultat!I23)/365*60</f>
        <v>-5431390.6245874316</v>
      </c>
      <c r="M23" s="463">
        <f>(Resultat!J7+Resultat!J11+Resultat!J12+Resultat!J14+Resultat!J18+Resultat!J26+Resultat!J23)/365*60</f>
        <v>-5438399.2923012013</v>
      </c>
      <c r="N23" s="463">
        <f>(Resultat!K7+Resultat!K11+Resultat!K12+Resultat!K14+Resultat!K18+Resultat!K26+Resultat!K23)/365*60</f>
        <v>-5459898.6091392487</v>
      </c>
      <c r="O23" s="463">
        <f>(Resultat!L7+Resultat!L11+Resultat!L12+Resultat!L14+Resultat!L18+Resultat!L26+Resultat!L23)/365*60</f>
        <v>-5519933.9187232228</v>
      </c>
      <c r="P23" s="463">
        <f>(Resultat!M7+Resultat!M11+Resultat!M12+Resultat!M14+Resultat!M18+Resultat!M26+Resultat!M23)/365*60</f>
        <v>-5590235.6296144566</v>
      </c>
      <c r="Q23" s="463">
        <f>(Resultat!N7+Resultat!N11+Resultat!N12+Resultat!N14+Resultat!N18+Resultat!N26+Resultat!N23)/365*60</f>
        <v>-5633645.3226457406</v>
      </c>
      <c r="R23" s="463">
        <f>(Resultat!O7+Resultat!O11+Resultat!O12+Resultat!O14+Resultat!O18+Resultat!O26+Resultat!O23)/365*60</f>
        <v>-5678269.2197232656</v>
      </c>
      <c r="S23" s="463">
        <f>(Resultat!P7+Resultat!P11+Resultat!P12+Resultat!P14+Resultat!P18+Resultat!P26+Resultat!P23)/365*60</f>
        <v>-5724142.2671981975</v>
      </c>
      <c r="T23" s="463">
        <f>(Resultat!Q7+Resultat!Q11+Resultat!Q12+Resultat!Q14+Resultat!Q18+Resultat!Q26+Resultat!Q23)/365*60</f>
        <v>-5771300.4330364782</v>
      </c>
      <c r="U23" s="463">
        <f>(Resultat!R7+Resultat!R11+Resultat!R12+Resultat!R14+Resultat!R18+Resultat!R26+Resultat!R23)/365*60</f>
        <v>-5819780.736959951</v>
      </c>
      <c r="V23" s="463">
        <f>(Resultat!S7+Resultat!S11+Resultat!S12+Resultat!S14+Resultat!S18+Resultat!S26+Resultat!S23)/365*60</f>
        <v>-5869621.2814818565</v>
      </c>
      <c r="W23" s="463">
        <f>(Resultat!T7+Resultat!T11+Resultat!T12+Resultat!T14+Resultat!T18+Resultat!T26+Resultat!T23)/365*60</f>
        <v>-5920861.2838633247</v>
      </c>
      <c r="X23" s="463">
        <f>(Resultat!U7+Resultat!U11+Resultat!U12+Resultat!U14+Resultat!U18+Resultat!U26+Resultat!U23)/365*60</f>
        <v>-5973541.1090183286</v>
      </c>
      <c r="Y23" s="463">
        <f>(Resultat!V7+Resultat!V11+Resultat!V12+Resultat!V14+Resultat!V18+Resultat!V26+Resultat!V23)/365*60</f>
        <v>-6027702.3033952937</v>
      </c>
      <c r="Z23" s="463">
        <f>(Resultat!W7+Resultat!W11+Resultat!W12+Resultat!W14+Resultat!W18+Resultat!W26+Resultat!W23)/365*60</f>
        <v>-6083387.6298645176</v>
      </c>
      <c r="AA23" s="463">
        <f>(Resultat!X7+Resultat!X11+Resultat!X12+Resultat!X14+Resultat!X18+Resultat!X26+Resultat!X23)/365*60</f>
        <v>-6140641.10364132</v>
      </c>
    </row>
    <row r="24" spans="1:27" outlineLevel="1" x14ac:dyDescent="0.2">
      <c r="A24" s="488" t="s">
        <v>440</v>
      </c>
      <c r="B24" s="489"/>
      <c r="C24" s="489"/>
      <c r="D24" s="489"/>
      <c r="E24" s="463"/>
      <c r="F24" s="463"/>
      <c r="G24" s="463">
        <v>0</v>
      </c>
      <c r="H24" s="463"/>
      <c r="I24" s="463"/>
      <c r="J24" s="463"/>
      <c r="K24" s="463"/>
      <c r="L24" s="463"/>
      <c r="M24" s="463"/>
      <c r="N24" s="463"/>
      <c r="O24" s="463"/>
      <c r="P24" s="463"/>
      <c r="Q24" s="463"/>
      <c r="R24" s="463"/>
      <c r="S24" s="463"/>
      <c r="T24" s="463"/>
      <c r="U24" s="463"/>
      <c r="V24" s="463"/>
      <c r="W24" s="463"/>
      <c r="X24" s="463"/>
      <c r="Y24" s="463"/>
      <c r="Z24" s="463"/>
      <c r="AA24" s="463"/>
    </row>
    <row r="25" spans="1:27" outlineLevel="1" x14ac:dyDescent="0.2">
      <c r="A25" s="494" t="s">
        <v>441</v>
      </c>
      <c r="B25" s="489"/>
      <c r="C25" s="489"/>
      <c r="D25" s="489"/>
      <c r="E25" s="463">
        <f>('Données Investissement'!D145+'Données Investissement'!C145)*1000000*0.08/12*2</f>
        <v>180166.66666666666</v>
      </c>
      <c r="F25" s="463">
        <f>('Données Investissement'!E145+'Données Investissement'!D145)*1000000*0.08/12*2</f>
        <v>526620</v>
      </c>
      <c r="G25" s="463">
        <f>('Données Investissement'!F145+'Données Investissement'!E145)*1000000*0.08/12*2</f>
        <v>521153.33333333331</v>
      </c>
      <c r="H25" s="463">
        <f>('Données Investissement'!G145+'Données Investissement'!F145)*1000000*0.08/12*2</f>
        <v>199380.00000000003</v>
      </c>
      <c r="I25" s="463">
        <f>('Données Investissement'!H145+'Données Investissement'!G145)*1000000*0.08/12*2</f>
        <v>42013.333333333336</v>
      </c>
      <c r="J25" s="463">
        <f>('Données Investissement'!I145+'Données Investissement'!H145)*1000000*0.08/12*2</f>
        <v>27733.333333333332</v>
      </c>
      <c r="K25" s="463">
        <f>('Données Investissement'!J145+'Données Investissement'!I145)*1000000*0.08/12*2</f>
        <v>12466.666666666666</v>
      </c>
      <c r="L25" s="463">
        <f>('Données Investissement'!K145+'Données Investissement'!J145)*1000000*0.08/12*2</f>
        <v>2733.3333333333339</v>
      </c>
      <c r="M25" s="463">
        <f>('Données Investissement'!L145+'Données Investissement'!K145)*1000000*0.08/12*2</f>
        <v>1666.6666666666667</v>
      </c>
      <c r="N25" s="463">
        <f>('Données Investissement'!M145+'Données Investissement'!L145)*1000000*0.08/12*2</f>
        <v>2222.2222222222226</v>
      </c>
      <c r="O25" s="463">
        <f>('Données Investissement'!N145+'Données Investissement'!M145)*1000000*0.08/12*2</f>
        <v>2666.6666666666665</v>
      </c>
      <c r="P25" s="463">
        <f>('Données Investissement'!O145+'Données Investissement'!N145)*1000000*0.08/12*2</f>
        <v>3111.1111111111118</v>
      </c>
      <c r="Q25" s="463">
        <f>('Données Investissement'!P145+'Données Investissement'!O145)*1000000*0.08/12*2</f>
        <v>3555.5555555555566</v>
      </c>
      <c r="R25" s="463">
        <f>('Données Investissement'!Q145+'Données Investissement'!P145)*1000000*0.08/12*2</f>
        <v>4000.0000000000005</v>
      </c>
      <c r="S25" s="463">
        <f>('Données Investissement'!R145+'Données Investissement'!Q145)*1000000*0.08/12*2</f>
        <v>5333.333333333333</v>
      </c>
      <c r="T25" s="463">
        <f>('Données Investissement'!S145+'Données Investissement'!R145)*1000000*0.08/12*2</f>
        <v>6666.666666666667</v>
      </c>
      <c r="U25" s="463">
        <f>('Données Investissement'!T145+'Données Investissement'!S145)*1000000*0.08/12*2</f>
        <v>7111.1111111111131</v>
      </c>
      <c r="V25" s="463">
        <f>('Données Investissement'!U145+'Données Investissement'!T145)*1000000*0.08/12*2</f>
        <v>7555.5555555555547</v>
      </c>
      <c r="W25" s="463">
        <f>('Données Investissement'!V145+'Données Investissement'!U145)*1000000*0.08/12*2</f>
        <v>7666.6666666666679</v>
      </c>
      <c r="X25" s="463">
        <f>('Données Investissement'!W145+'Données Investissement'!V145)*1000000*0.08/12*2</f>
        <v>7444.4444444444453</v>
      </c>
      <c r="Y25" s="463">
        <f>('Données Investissement'!X145+'Données Investissement'!W145)*1000000*0.08/12*2</f>
        <v>8111.1111111111122</v>
      </c>
      <c r="Z25" s="463">
        <f>('Données Investissement'!Y145+'Données Investissement'!X145)*1000000*0.08/12*2</f>
        <v>8888.8888888888887</v>
      </c>
      <c r="AA25" s="463">
        <f>('Données Investissement'!Z145+'Données Investissement'!Y145)*1000000*0.08/12*2</f>
        <v>8888.8888888888887</v>
      </c>
    </row>
    <row r="26" spans="1:27" outlineLevel="1" x14ac:dyDescent="0.2">
      <c r="A26" s="488" t="s">
        <v>442</v>
      </c>
      <c r="B26" s="489"/>
      <c r="C26" s="489"/>
      <c r="D26" s="489"/>
      <c r="E26" s="463"/>
      <c r="F26" s="463"/>
      <c r="G26" s="463">
        <v>0</v>
      </c>
      <c r="H26" s="463"/>
      <c r="I26" s="463"/>
      <c r="J26" s="463"/>
      <c r="K26" s="463"/>
      <c r="L26" s="463"/>
      <c r="M26" s="463"/>
      <c r="N26" s="463"/>
      <c r="O26" s="463"/>
      <c r="P26" s="463"/>
      <c r="Q26" s="463"/>
      <c r="R26" s="463"/>
      <c r="S26" s="463"/>
      <c r="T26" s="463"/>
      <c r="U26" s="463"/>
      <c r="V26" s="463"/>
      <c r="W26" s="463"/>
      <c r="X26" s="463"/>
      <c r="Y26" s="463"/>
      <c r="Z26" s="463"/>
      <c r="AA26" s="463"/>
    </row>
    <row r="27" spans="1:27" outlineLevel="1" x14ac:dyDescent="0.2">
      <c r="A27" s="488"/>
      <c r="B27" s="489"/>
      <c r="C27" s="489"/>
      <c r="D27" s="489"/>
      <c r="E27" s="463"/>
      <c r="F27" s="463"/>
      <c r="G27" s="463"/>
      <c r="H27" s="463"/>
      <c r="I27" s="463"/>
      <c r="J27" s="463"/>
      <c r="K27" s="463"/>
      <c r="L27" s="463"/>
      <c r="M27" s="463"/>
      <c r="N27" s="463"/>
      <c r="O27" s="463"/>
      <c r="P27" s="463"/>
      <c r="Q27" s="463"/>
      <c r="R27" s="463"/>
      <c r="S27" s="463"/>
      <c r="T27" s="463"/>
      <c r="U27" s="463"/>
      <c r="V27" s="463"/>
      <c r="W27" s="463"/>
      <c r="X27" s="463"/>
      <c r="Y27" s="463"/>
      <c r="Z27" s="463"/>
      <c r="AA27" s="463"/>
    </row>
    <row r="28" spans="1:27" outlineLevel="1" x14ac:dyDescent="0.2">
      <c r="A28" s="488"/>
      <c r="B28" s="489"/>
      <c r="C28" s="489"/>
      <c r="D28" s="489"/>
      <c r="E28" s="463"/>
      <c r="F28" s="463"/>
      <c r="G28" s="463"/>
      <c r="H28" s="463"/>
      <c r="I28" s="463"/>
      <c r="J28" s="463"/>
      <c r="K28" s="463"/>
      <c r="L28" s="463"/>
      <c r="M28" s="463"/>
      <c r="N28" s="463"/>
      <c r="O28" s="463"/>
      <c r="P28" s="463"/>
      <c r="Q28" s="463"/>
      <c r="R28" s="463"/>
      <c r="S28" s="463"/>
      <c r="T28" s="463"/>
      <c r="U28" s="463"/>
      <c r="V28" s="463"/>
      <c r="W28" s="463"/>
      <c r="X28" s="463"/>
      <c r="Y28" s="463"/>
      <c r="Z28" s="463"/>
      <c r="AA28" s="463"/>
    </row>
    <row r="29" spans="1:27" outlineLevel="1" x14ac:dyDescent="0.2">
      <c r="A29" s="495" t="s">
        <v>443</v>
      </c>
      <c r="B29" s="489"/>
      <c r="C29" s="489"/>
      <c r="D29" s="489"/>
      <c r="E29" s="463"/>
      <c r="F29" s="463"/>
      <c r="G29" s="463">
        <f t="shared" ref="G29:AA29" si="4">G30+G31</f>
        <v>1E-4</v>
      </c>
      <c r="H29" s="463">
        <f t="shared" si="4"/>
        <v>0</v>
      </c>
      <c r="I29" s="463">
        <f t="shared" si="4"/>
        <v>0</v>
      </c>
      <c r="J29" s="463">
        <f t="shared" si="4"/>
        <v>0</v>
      </c>
      <c r="K29" s="463">
        <f t="shared" si="4"/>
        <v>0</v>
      </c>
      <c r="L29" s="463">
        <f t="shared" si="4"/>
        <v>0</v>
      </c>
      <c r="M29" s="463">
        <f t="shared" si="4"/>
        <v>0</v>
      </c>
      <c r="N29" s="463">
        <f t="shared" si="4"/>
        <v>0</v>
      </c>
      <c r="O29" s="463">
        <f t="shared" si="4"/>
        <v>0</v>
      </c>
      <c r="P29" s="463">
        <f t="shared" si="4"/>
        <v>0</v>
      </c>
      <c r="Q29" s="463">
        <f t="shared" si="4"/>
        <v>0</v>
      </c>
      <c r="R29" s="463">
        <f t="shared" si="4"/>
        <v>0</v>
      </c>
      <c r="S29" s="463">
        <f t="shared" si="4"/>
        <v>0</v>
      </c>
      <c r="T29" s="463">
        <f t="shared" si="4"/>
        <v>0</v>
      </c>
      <c r="U29" s="463">
        <f t="shared" si="4"/>
        <v>0</v>
      </c>
      <c r="V29" s="463">
        <f t="shared" si="4"/>
        <v>0</v>
      </c>
      <c r="W29" s="463">
        <f t="shared" si="4"/>
        <v>0</v>
      </c>
      <c r="X29" s="463">
        <f t="shared" si="4"/>
        <v>0</v>
      </c>
      <c r="Y29" s="463">
        <f t="shared" si="4"/>
        <v>0</v>
      </c>
      <c r="Z29" s="463">
        <f t="shared" si="4"/>
        <v>0</v>
      </c>
      <c r="AA29" s="463">
        <f t="shared" si="4"/>
        <v>0</v>
      </c>
    </row>
    <row r="30" spans="1:27" outlineLevel="1" x14ac:dyDescent="0.2">
      <c r="A30" s="488" t="s">
        <v>444</v>
      </c>
      <c r="B30" s="489"/>
      <c r="C30" s="489"/>
      <c r="D30" s="489"/>
      <c r="E30" s="463"/>
      <c r="F30" s="463"/>
      <c r="G30" s="463">
        <v>1E-4</v>
      </c>
      <c r="H30" s="463"/>
      <c r="I30" s="463"/>
      <c r="J30" s="463"/>
      <c r="K30" s="463"/>
      <c r="L30" s="463"/>
      <c r="M30" s="463"/>
      <c r="N30" s="463"/>
      <c r="O30" s="463"/>
      <c r="P30" s="463"/>
      <c r="Q30" s="463"/>
      <c r="R30" s="463"/>
      <c r="S30" s="463"/>
      <c r="T30" s="463"/>
      <c r="U30" s="463"/>
      <c r="V30" s="463"/>
      <c r="W30" s="463"/>
      <c r="X30" s="463"/>
      <c r="Y30" s="463"/>
      <c r="Z30" s="463"/>
      <c r="AA30" s="463"/>
    </row>
    <row r="31" spans="1:27" outlineLevel="1" x14ac:dyDescent="0.2">
      <c r="A31" s="488" t="s">
        <v>445</v>
      </c>
      <c r="B31" s="489"/>
      <c r="C31" s="489"/>
      <c r="D31" s="489"/>
      <c r="E31" s="463"/>
      <c r="F31" s="463"/>
      <c r="G31" s="463">
        <v>0</v>
      </c>
      <c r="H31" s="463"/>
      <c r="I31" s="463"/>
      <c r="J31" s="463"/>
      <c r="K31" s="463"/>
      <c r="L31" s="463"/>
      <c r="M31" s="463"/>
      <c r="N31" s="463"/>
      <c r="O31" s="463"/>
      <c r="P31" s="463"/>
      <c r="Q31" s="463"/>
      <c r="R31" s="463"/>
      <c r="S31" s="463"/>
      <c r="T31" s="463"/>
      <c r="U31" s="463"/>
      <c r="V31" s="463"/>
      <c r="W31" s="463"/>
      <c r="X31" s="463"/>
      <c r="Y31" s="463"/>
      <c r="Z31" s="463"/>
      <c r="AA31" s="463"/>
    </row>
    <row r="32" spans="1:27" x14ac:dyDescent="0.2">
      <c r="A32" s="488"/>
      <c r="B32" s="489"/>
      <c r="C32" s="489"/>
      <c r="D32" s="489"/>
      <c r="E32" s="463"/>
      <c r="F32" s="463"/>
      <c r="G32" s="463"/>
      <c r="H32" s="463"/>
      <c r="I32" s="463"/>
      <c r="J32" s="463"/>
      <c r="K32" s="463"/>
      <c r="L32" s="463"/>
      <c r="M32" s="463"/>
      <c r="N32" s="463"/>
      <c r="O32" s="463"/>
      <c r="P32" s="463"/>
      <c r="Q32" s="463"/>
      <c r="R32" s="463"/>
      <c r="S32" s="463"/>
      <c r="T32" s="463"/>
      <c r="U32" s="463"/>
      <c r="V32" s="463"/>
      <c r="W32" s="463"/>
      <c r="X32" s="463"/>
      <c r="Y32" s="463"/>
      <c r="Z32" s="463"/>
      <c r="AA32" s="463"/>
    </row>
    <row r="33" spans="1:27" x14ac:dyDescent="0.2">
      <c r="A33" s="780" t="s">
        <v>459</v>
      </c>
      <c r="B33" s="489"/>
      <c r="C33" s="489"/>
      <c r="D33" s="489"/>
      <c r="E33" s="463">
        <v>0</v>
      </c>
      <c r="F33" s="463">
        <v>0</v>
      </c>
      <c r="G33" s="463">
        <v>0</v>
      </c>
      <c r="H33" s="463">
        <v>0</v>
      </c>
      <c r="I33" s="463">
        <v>0</v>
      </c>
      <c r="J33" s="463">
        <v>0</v>
      </c>
      <c r="K33" s="463">
        <v>6150449.0216359422</v>
      </c>
      <c r="L33" s="463">
        <v>14223579.364006959</v>
      </c>
      <c r="M33" s="463">
        <v>23276862.102979623</v>
      </c>
      <c r="N33" s="463">
        <v>32426519.625253759</v>
      </c>
      <c r="O33" s="463">
        <v>41343005.74077408</v>
      </c>
      <c r="P33" s="463">
        <v>52342527.838191882</v>
      </c>
      <c r="Q33" s="463">
        <v>65124486.589589007</v>
      </c>
      <c r="R33" s="463">
        <v>78122664.234065786</v>
      </c>
      <c r="S33" s="463">
        <v>91114989.034388095</v>
      </c>
      <c r="T33" s="463">
        <v>120563440.29591113</v>
      </c>
      <c r="U33" s="463">
        <v>149477541.56152776</v>
      </c>
      <c r="V33" s="463">
        <v>177722171.1738387</v>
      </c>
      <c r="W33" s="463">
        <v>205532512.73809177</v>
      </c>
      <c r="X33" s="463">
        <v>232672264.68688396</v>
      </c>
      <c r="Y33" s="463">
        <v>259021290.1544565</v>
      </c>
      <c r="Z33" s="463">
        <v>284765174.30840528</v>
      </c>
      <c r="AA33" s="463">
        <v>309782516.41205883</v>
      </c>
    </row>
    <row r="34" spans="1:27" x14ac:dyDescent="0.2">
      <c r="A34" s="488"/>
      <c r="B34" s="489"/>
      <c r="C34" s="489"/>
      <c r="D34" s="489"/>
      <c r="E34" s="463"/>
      <c r="F34" s="463"/>
      <c r="G34" s="463"/>
      <c r="H34" s="463"/>
      <c r="I34" s="463"/>
      <c r="J34" s="463"/>
      <c r="K34" s="463"/>
      <c r="L34" s="463"/>
      <c r="M34" s="463"/>
      <c r="N34" s="463"/>
      <c r="O34" s="463"/>
      <c r="P34" s="463"/>
      <c r="Q34" s="463"/>
      <c r="R34" s="463"/>
      <c r="S34" s="463"/>
      <c r="T34" s="463"/>
      <c r="U34" s="463"/>
      <c r="V34" s="463"/>
      <c r="W34" s="463"/>
      <c r="X34" s="463"/>
      <c r="Y34" s="463"/>
      <c r="Z34" s="463"/>
      <c r="AA34" s="463"/>
    </row>
    <row r="35" spans="1:27" ht="15.75" x14ac:dyDescent="0.25">
      <c r="A35" s="496" t="s">
        <v>446</v>
      </c>
      <c r="B35" s="497"/>
      <c r="C35" s="498"/>
      <c r="D35" s="498"/>
      <c r="E35" s="499">
        <f>E7+E13+E17+E33</f>
        <v>13639242.009134063</v>
      </c>
      <c r="F35" s="499">
        <f t="shared" ref="F35:AA35" si="5">F7+F13+F17+F33</f>
        <v>39973804.931508496</v>
      </c>
      <c r="G35" s="499">
        <f t="shared" si="5"/>
        <v>53366151.873258136</v>
      </c>
      <c r="H35" s="499">
        <f t="shared" si="5"/>
        <v>53030531.014340363</v>
      </c>
      <c r="I35" s="499">
        <f t="shared" si="5"/>
        <v>51543400.784113996</v>
      </c>
      <c r="J35" s="499">
        <f t="shared" si="5"/>
        <v>50050260.243532732</v>
      </c>
      <c r="K35" s="499">
        <f t="shared" si="5"/>
        <v>53654303.688618474</v>
      </c>
      <c r="L35" s="499">
        <f t="shared" si="5"/>
        <v>59194489.934167638</v>
      </c>
      <c r="M35" s="499">
        <f t="shared" si="5"/>
        <v>65075064.270144448</v>
      </c>
      <c r="N35" s="499">
        <f t="shared" si="5"/>
        <v>71032724.571512401</v>
      </c>
      <c r="O35" s="499">
        <f t="shared" si="5"/>
        <v>76722426.325407103</v>
      </c>
      <c r="P35" s="499">
        <f t="shared" si="5"/>
        <v>84529393.977386877</v>
      </c>
      <c r="Q35" s="499">
        <f t="shared" si="5"/>
        <v>94099048.081411853</v>
      </c>
      <c r="R35" s="499">
        <f t="shared" si="5"/>
        <v>104746692.55202398</v>
      </c>
      <c r="S35" s="499">
        <f t="shared" si="5"/>
        <v>115456014.89991689</v>
      </c>
      <c r="T35" s="499">
        <f t="shared" si="5"/>
        <v>142620320.86986706</v>
      </c>
      <c r="U35" s="499">
        <f t="shared" si="5"/>
        <v>169246031.51790082</v>
      </c>
      <c r="V35" s="499">
        <f t="shared" si="5"/>
        <v>195205749.83804101</v>
      </c>
      <c r="W35" s="499">
        <f t="shared" si="5"/>
        <v>220870550.13620245</v>
      </c>
      <c r="X35" s="499">
        <f t="shared" si="5"/>
        <v>245878502.39833587</v>
      </c>
      <c r="Y35" s="499">
        <f t="shared" si="5"/>
        <v>270101206.53888142</v>
      </c>
      <c r="Z35" s="499">
        <f t="shared" si="5"/>
        <v>293711248.89213693</v>
      </c>
      <c r="AA35" s="499">
        <f t="shared" si="5"/>
        <v>316597813.39314783</v>
      </c>
    </row>
    <row r="36" spans="1:27" x14ac:dyDescent="0.2">
      <c r="A36" s="488"/>
      <c r="B36" s="489"/>
      <c r="C36" s="489"/>
      <c r="D36" s="489"/>
      <c r="E36" s="500"/>
      <c r="F36" s="500"/>
      <c r="G36" s="500"/>
      <c r="H36" s="500"/>
      <c r="I36" s="500"/>
      <c r="J36" s="500"/>
      <c r="K36" s="500"/>
      <c r="L36" s="500"/>
      <c r="M36" s="500"/>
      <c r="N36" s="500"/>
      <c r="O36" s="500"/>
      <c r="P36" s="490"/>
      <c r="Q36" s="490"/>
      <c r="R36" s="490"/>
      <c r="S36" s="490"/>
      <c r="T36" s="490"/>
      <c r="U36" s="490"/>
      <c r="V36" s="490"/>
      <c r="W36" s="490"/>
      <c r="X36" s="490"/>
      <c r="Y36" s="490"/>
      <c r="Z36" s="490"/>
      <c r="AA36" s="490"/>
    </row>
    <row r="37" spans="1:27" x14ac:dyDescent="0.2">
      <c r="A37" s="491" t="s">
        <v>447</v>
      </c>
      <c r="B37" s="489"/>
      <c r="C37" s="489"/>
      <c r="D37" s="489"/>
      <c r="E37" s="501">
        <f>E39+E40+E41+E42+E43+E44</f>
        <v>13639242.009134063</v>
      </c>
      <c r="F37" s="501">
        <f t="shared" ref="F37:AA37" si="6">F39+F40+F41+F42+F43+F44</f>
        <v>23000000.0015085</v>
      </c>
      <c r="G37" s="501">
        <f t="shared" si="6"/>
        <v>23000000.003258139</v>
      </c>
      <c r="H37" s="501">
        <f t="shared" si="6"/>
        <v>21049011.944340359</v>
      </c>
      <c r="I37" s="501">
        <f t="shared" si="6"/>
        <v>20649030.814113997</v>
      </c>
      <c r="J37" s="501">
        <f t="shared" si="6"/>
        <v>20700321.383532729</v>
      </c>
      <c r="K37" s="501">
        <f t="shared" si="6"/>
        <v>28516139.388618477</v>
      </c>
      <c r="L37" s="501">
        <f t="shared" si="6"/>
        <v>38684176.10416764</v>
      </c>
      <c r="M37" s="501">
        <f t="shared" si="6"/>
        <v>49401991.780144446</v>
      </c>
      <c r="N37" s="501">
        <f t="shared" si="6"/>
        <v>60393970.081512392</v>
      </c>
      <c r="O37" s="501">
        <f t="shared" si="6"/>
        <v>71323095.685407102</v>
      </c>
      <c r="P37" s="501">
        <f t="shared" si="6"/>
        <v>82268754.167386875</v>
      </c>
      <c r="Q37" s="501">
        <f t="shared" si="6"/>
        <v>93064459.941411853</v>
      </c>
      <c r="R37" s="501">
        <f t="shared" si="6"/>
        <v>104369305.83202398</v>
      </c>
      <c r="S37" s="501">
        <f t="shared" si="6"/>
        <v>115428447.47991689</v>
      </c>
      <c r="T37" s="501">
        <f t="shared" si="6"/>
        <v>142620320.86986706</v>
      </c>
      <c r="U37" s="501">
        <f t="shared" si="6"/>
        <v>169246031.51790082</v>
      </c>
      <c r="V37" s="501">
        <f t="shared" si="6"/>
        <v>195205749.83804101</v>
      </c>
      <c r="W37" s="501">
        <f t="shared" si="6"/>
        <v>220870550.13620245</v>
      </c>
      <c r="X37" s="501">
        <f t="shared" si="6"/>
        <v>245878502.39833587</v>
      </c>
      <c r="Y37" s="501">
        <f t="shared" si="6"/>
        <v>270101206.53888142</v>
      </c>
      <c r="Z37" s="501">
        <f t="shared" si="6"/>
        <v>293711248.89213693</v>
      </c>
      <c r="AA37" s="501">
        <f t="shared" si="6"/>
        <v>316597813.39314783</v>
      </c>
    </row>
    <row r="38" spans="1:27" hidden="1" x14ac:dyDescent="0.2">
      <c r="A38" s="488"/>
      <c r="B38" s="489"/>
      <c r="C38" s="489"/>
      <c r="D38" s="489"/>
      <c r="E38" s="502"/>
      <c r="F38" s="502"/>
      <c r="G38" s="502"/>
      <c r="H38" s="502"/>
      <c r="I38" s="502"/>
      <c r="J38" s="502"/>
      <c r="K38" s="502"/>
      <c r="L38" s="502"/>
      <c r="M38" s="502"/>
      <c r="N38" s="502"/>
      <c r="O38" s="502"/>
      <c r="P38" s="502"/>
      <c r="Q38" s="502"/>
      <c r="R38" s="502"/>
      <c r="S38" s="502"/>
      <c r="T38" s="502"/>
      <c r="U38" s="502"/>
      <c r="V38" s="502"/>
      <c r="W38" s="502"/>
      <c r="X38" s="502"/>
      <c r="Y38" s="502"/>
      <c r="Z38" s="502"/>
      <c r="AA38" s="502"/>
    </row>
    <row r="39" spans="1:27" outlineLevel="1" x14ac:dyDescent="0.2">
      <c r="A39" s="494" t="s">
        <v>448</v>
      </c>
      <c r="B39" s="489"/>
      <c r="C39" s="489"/>
      <c r="D39" s="489"/>
      <c r="E39" s="463">
        <f>Flux!C41</f>
        <v>13639242.009134063</v>
      </c>
      <c r="F39" s="502">
        <f>investisseurs!F5+investisseurs!G5</f>
        <v>23000000</v>
      </c>
      <c r="G39" s="502">
        <f>F39+investisseurs!H5</f>
        <v>23000000</v>
      </c>
      <c r="H39" s="502">
        <f>G39</f>
        <v>23000000</v>
      </c>
      <c r="I39" s="502">
        <f t="shared" ref="I39:P39" si="7">H39</f>
        <v>23000000</v>
      </c>
      <c r="J39" s="502">
        <f t="shared" si="7"/>
        <v>23000000</v>
      </c>
      <c r="K39" s="502">
        <f t="shared" si="7"/>
        <v>23000000</v>
      </c>
      <c r="L39" s="502">
        <f t="shared" si="7"/>
        <v>23000000</v>
      </c>
      <c r="M39" s="502">
        <f t="shared" si="7"/>
        <v>23000000</v>
      </c>
      <c r="N39" s="502">
        <f t="shared" si="7"/>
        <v>23000000</v>
      </c>
      <c r="O39" s="502">
        <f t="shared" si="7"/>
        <v>23000000</v>
      </c>
      <c r="P39" s="502">
        <f t="shared" si="7"/>
        <v>23000000</v>
      </c>
      <c r="Q39" s="502">
        <f t="shared" ref="Q39:AA39" si="8">P39</f>
        <v>23000000</v>
      </c>
      <c r="R39" s="502">
        <f t="shared" si="8"/>
        <v>23000000</v>
      </c>
      <c r="S39" s="502">
        <f t="shared" si="8"/>
        <v>23000000</v>
      </c>
      <c r="T39" s="502">
        <f t="shared" si="8"/>
        <v>23000000</v>
      </c>
      <c r="U39" s="502">
        <f t="shared" si="8"/>
        <v>23000000</v>
      </c>
      <c r="V39" s="502">
        <f t="shared" si="8"/>
        <v>23000000</v>
      </c>
      <c r="W39" s="502">
        <f t="shared" si="8"/>
        <v>23000000</v>
      </c>
      <c r="X39" s="502">
        <f t="shared" si="8"/>
        <v>23000000</v>
      </c>
      <c r="Y39" s="502">
        <f t="shared" si="8"/>
        <v>23000000</v>
      </c>
      <c r="Z39" s="502">
        <f t="shared" si="8"/>
        <v>23000000</v>
      </c>
      <c r="AA39" s="502">
        <f t="shared" si="8"/>
        <v>23000000</v>
      </c>
    </row>
    <row r="40" spans="1:27" outlineLevel="1" x14ac:dyDescent="0.2">
      <c r="A40" s="488" t="s">
        <v>449</v>
      </c>
      <c r="B40" s="489"/>
      <c r="C40" s="489"/>
      <c r="D40" s="489"/>
      <c r="E40" s="502"/>
      <c r="F40" s="502">
        <f>E42</f>
        <v>-2713084.5299800001</v>
      </c>
      <c r="G40" s="502">
        <f>F40+F42</f>
        <v>-5151536.7299600001</v>
      </c>
      <c r="H40" s="502">
        <f>G40+G42</f>
        <v>-8304819.2806469388</v>
      </c>
      <c r="I40" s="502">
        <f t="shared" ref="I40:P40" si="9">H40+H42</f>
        <v>-10279766.422239702</v>
      </c>
      <c r="J40" s="502">
        <f t="shared" si="9"/>
        <v>-9540186.0811784416</v>
      </c>
      <c r="K40" s="502">
        <f t="shared" si="9"/>
        <v>-4202827.4852556996</v>
      </c>
      <c r="L40" s="502">
        <f t="shared" si="9"/>
        <v>3993939.3886184767</v>
      </c>
      <c r="M40" s="502">
        <f t="shared" si="9"/>
        <v>14415676.104167638</v>
      </c>
      <c r="N40" s="502">
        <f t="shared" si="9"/>
        <v>25387191.780144446</v>
      </c>
      <c r="O40" s="502">
        <f t="shared" si="9"/>
        <v>36632870.081512392</v>
      </c>
      <c r="P40" s="502">
        <f t="shared" si="9"/>
        <v>47815695.685407095</v>
      </c>
      <c r="Q40" s="502">
        <f t="shared" ref="Q40:AA40" si="10">P40+P42</f>
        <v>59015054.16738686</v>
      </c>
      <c r="R40" s="502">
        <f t="shared" si="10"/>
        <v>70064459.941411853</v>
      </c>
      <c r="S40" s="502">
        <f t="shared" si="10"/>
        <v>81369305.832023978</v>
      </c>
      <c r="T40" s="502">
        <f t="shared" si="10"/>
        <v>92428447.479916885</v>
      </c>
      <c r="U40" s="502">
        <f t="shared" si="10"/>
        <v>119620320.86986707</v>
      </c>
      <c r="V40" s="502">
        <f t="shared" si="10"/>
        <v>146246031.51790082</v>
      </c>
      <c r="W40" s="502">
        <f t="shared" si="10"/>
        <v>172205749.83804101</v>
      </c>
      <c r="X40" s="502">
        <f t="shared" si="10"/>
        <v>197870550.13620245</v>
      </c>
      <c r="Y40" s="502">
        <f t="shared" si="10"/>
        <v>222878502.39833587</v>
      </c>
      <c r="Z40" s="502">
        <f t="shared" si="10"/>
        <v>247101206.53888142</v>
      </c>
      <c r="AA40" s="502">
        <f t="shared" si="10"/>
        <v>270711248.89213693</v>
      </c>
    </row>
    <row r="41" spans="1:27" outlineLevel="1" x14ac:dyDescent="0.2">
      <c r="A41" s="488" t="s">
        <v>450</v>
      </c>
      <c r="B41" s="489"/>
      <c r="C41" s="489"/>
      <c r="D41" s="489"/>
      <c r="E41" s="502"/>
      <c r="F41" s="502"/>
      <c r="G41" s="502">
        <v>0</v>
      </c>
      <c r="H41" s="502"/>
      <c r="I41" s="502"/>
      <c r="J41" s="502"/>
      <c r="K41" s="502"/>
      <c r="L41" s="502"/>
      <c r="M41" s="502"/>
      <c r="N41" s="502"/>
      <c r="O41" s="502"/>
      <c r="P41" s="502"/>
      <c r="Q41" s="502"/>
      <c r="R41" s="502"/>
      <c r="S41" s="502"/>
      <c r="T41" s="502"/>
      <c r="U41" s="502"/>
      <c r="V41" s="502"/>
      <c r="W41" s="502"/>
      <c r="X41" s="502"/>
      <c r="Y41" s="502"/>
      <c r="Z41" s="502"/>
      <c r="AA41" s="502"/>
    </row>
    <row r="42" spans="1:27" outlineLevel="1" x14ac:dyDescent="0.2">
      <c r="A42" s="488" t="s">
        <v>451</v>
      </c>
      <c r="B42" s="489"/>
      <c r="C42" s="489"/>
      <c r="D42" s="489"/>
      <c r="E42" s="502">
        <f>Resultat!B64</f>
        <v>-2713084.5299800001</v>
      </c>
      <c r="F42" s="502">
        <f>Resultat!C64</f>
        <v>-2438452.1999799996</v>
      </c>
      <c r="G42" s="502">
        <f>Resultat!D64</f>
        <v>-3153282.5506869387</v>
      </c>
      <c r="H42" s="502">
        <f>Resultat!E64</f>
        <v>-1974947.1415927629</v>
      </c>
      <c r="I42" s="502">
        <f>Resultat!F64</f>
        <v>739580.34106126078</v>
      </c>
      <c r="J42" s="502">
        <f>Resultat!G64</f>
        <v>5337358.595922742</v>
      </c>
      <c r="K42" s="502">
        <f>Resultat!H64</f>
        <v>8196766.8738741763</v>
      </c>
      <c r="L42" s="502">
        <f>Resultat!I64</f>
        <v>10421736.715549162</v>
      </c>
      <c r="M42" s="502">
        <f>Resultat!J64</f>
        <v>10971515.675976805</v>
      </c>
      <c r="N42" s="502">
        <f>Resultat!K64</f>
        <v>11245678.30136795</v>
      </c>
      <c r="O42" s="502">
        <f>Resultat!L64</f>
        <v>11182825.603894705</v>
      </c>
      <c r="P42" s="502">
        <f>Resultat!M64</f>
        <v>11199358.481979767</v>
      </c>
      <c r="Q42" s="502">
        <f>Resultat!N64</f>
        <v>11049405.774024999</v>
      </c>
      <c r="R42" s="502">
        <f>Resultat!O64</f>
        <v>11304845.890612125</v>
      </c>
      <c r="S42" s="502">
        <f>Resultat!P64</f>
        <v>11059141.647892904</v>
      </c>
      <c r="T42" s="502">
        <f>Resultat!Q64</f>
        <v>27191873.389950182</v>
      </c>
      <c r="U42" s="502">
        <f>Resultat!R64</f>
        <v>26625710.648033746</v>
      </c>
      <c r="V42" s="502">
        <f>Resultat!S64</f>
        <v>25959718.320140183</v>
      </c>
      <c r="W42" s="502">
        <f>Resultat!T64</f>
        <v>25664800.298161447</v>
      </c>
      <c r="X42" s="502">
        <f>Resultat!U64</f>
        <v>25007952.262133431</v>
      </c>
      <c r="Y42" s="502">
        <f>Resultat!V64</f>
        <v>24222704.140545551</v>
      </c>
      <c r="Z42" s="502">
        <f>Resultat!W64</f>
        <v>23610042.353255495</v>
      </c>
      <c r="AA42" s="502">
        <f>Resultat!X64</f>
        <v>22886564.501010925</v>
      </c>
    </row>
    <row r="43" spans="1:27" outlineLevel="1" x14ac:dyDescent="0.2">
      <c r="A43" s="488" t="s">
        <v>452</v>
      </c>
      <c r="B43" s="489"/>
      <c r="C43" s="489"/>
      <c r="D43" s="489"/>
      <c r="E43" s="502">
        <f>Subventions!D40*1000</f>
        <v>711100</v>
      </c>
      <c r="F43" s="502">
        <f>Subventions!E40*1000+E43</f>
        <v>1821100</v>
      </c>
      <c r="G43" s="502">
        <f>F43+Subventions!F40*1000</f>
        <v>2537000</v>
      </c>
      <c r="H43" s="502">
        <f>G43+Subventions!G40*1000-Subventions!C27*1000/10</f>
        <v>2283300</v>
      </c>
      <c r="I43" s="502">
        <f>H43+Subventions!H40*1000-Subventions!C27*1000/10</f>
        <v>2029600</v>
      </c>
      <c r="J43" s="502">
        <f>I43-Subventions!$C$27*1000/10</f>
        <v>1775900</v>
      </c>
      <c r="K43" s="502">
        <f>J43-Subventions!$C$27*1000/10</f>
        <v>1522200</v>
      </c>
      <c r="L43" s="502">
        <f>K43-Subventions!$C$27*1000/10</f>
        <v>1268500</v>
      </c>
      <c r="M43" s="502">
        <f>L43-Subventions!$C$27*1000/10</f>
        <v>1014800</v>
      </c>
      <c r="N43" s="502">
        <f>M43-Subventions!$C$27*1000/10</f>
        <v>761100</v>
      </c>
      <c r="O43" s="502">
        <f>N43-Subventions!$C$27*1000/10</f>
        <v>507400</v>
      </c>
      <c r="P43" s="502">
        <f>O43-Subventions!$C$27*1000/10</f>
        <v>253700</v>
      </c>
      <c r="Q43" s="502">
        <f>P43-Subventions!$C$27*1000/10</f>
        <v>0</v>
      </c>
      <c r="R43" s="502"/>
      <c r="S43" s="502"/>
      <c r="T43" s="502"/>
      <c r="U43" s="502"/>
      <c r="V43" s="502"/>
      <c r="W43" s="502"/>
      <c r="X43" s="502"/>
      <c r="Y43" s="502"/>
      <c r="Z43" s="502"/>
      <c r="AA43" s="502"/>
    </row>
    <row r="44" spans="1:27" outlineLevel="1" x14ac:dyDescent="0.2">
      <c r="A44" s="488" t="s">
        <v>1520</v>
      </c>
      <c r="B44" s="489"/>
      <c r="C44" s="489"/>
      <c r="D44" s="489"/>
      <c r="E44" s="463">
        <v>2001984.5299800001</v>
      </c>
      <c r="F44" s="463">
        <v>3330436.7314684987</v>
      </c>
      <c r="G44" s="463">
        <v>5767819.2839050815</v>
      </c>
      <c r="H44" s="463">
        <v>6045478.3665800616</v>
      </c>
      <c r="I44" s="463">
        <v>5159616.8952924386</v>
      </c>
      <c r="J44" s="463">
        <v>127248.8687884286</v>
      </c>
      <c r="K44" s="502">
        <v>0</v>
      </c>
      <c r="L44" s="502">
        <v>0</v>
      </c>
      <c r="M44" s="502">
        <v>0</v>
      </c>
      <c r="N44" s="502">
        <v>0</v>
      </c>
      <c r="O44" s="502">
        <v>0</v>
      </c>
      <c r="P44" s="502">
        <v>0</v>
      </c>
      <c r="Q44" s="502">
        <v>0</v>
      </c>
      <c r="R44" s="502">
        <v>0</v>
      </c>
      <c r="S44" s="502">
        <v>0</v>
      </c>
      <c r="T44" s="502">
        <v>0</v>
      </c>
      <c r="U44" s="502">
        <v>0</v>
      </c>
      <c r="V44" s="502">
        <v>0</v>
      </c>
      <c r="W44" s="502">
        <v>0</v>
      </c>
      <c r="X44" s="502">
        <v>0</v>
      </c>
      <c r="Y44" s="502">
        <v>0</v>
      </c>
      <c r="Z44" s="502">
        <v>0</v>
      </c>
      <c r="AA44" s="502">
        <v>0</v>
      </c>
    </row>
    <row r="45" spans="1:27" x14ac:dyDescent="0.2">
      <c r="A45" s="488"/>
      <c r="B45" s="489"/>
      <c r="C45" s="489"/>
      <c r="D45" s="489"/>
      <c r="E45" s="463"/>
      <c r="F45" s="463"/>
      <c r="G45" s="463"/>
      <c r="H45" s="463"/>
      <c r="I45" s="463"/>
      <c r="J45" s="463"/>
      <c r="K45" s="502"/>
      <c r="L45" s="502"/>
      <c r="M45" s="502"/>
      <c r="N45" s="502"/>
      <c r="O45" s="502"/>
      <c r="P45" s="502"/>
      <c r="Q45" s="502"/>
      <c r="R45" s="502"/>
      <c r="S45" s="502"/>
      <c r="T45" s="502"/>
      <c r="U45" s="502"/>
      <c r="V45" s="502"/>
      <c r="W45" s="502"/>
      <c r="X45" s="502"/>
      <c r="Y45" s="502"/>
      <c r="Z45" s="502"/>
      <c r="AA45" s="502"/>
    </row>
    <row r="46" spans="1:27" x14ac:dyDescent="0.2">
      <c r="A46" s="491" t="s">
        <v>453</v>
      </c>
      <c r="B46" s="489"/>
      <c r="C46" s="489"/>
      <c r="D46" s="489"/>
      <c r="E46" s="501"/>
      <c r="F46" s="501"/>
      <c r="G46" s="501"/>
      <c r="H46" s="501"/>
      <c r="I46" s="501"/>
      <c r="J46" s="501"/>
      <c r="K46" s="501"/>
      <c r="L46" s="501"/>
      <c r="M46" s="501"/>
      <c r="N46" s="501"/>
      <c r="O46" s="501"/>
      <c r="P46" s="501">
        <f>P48+P49</f>
        <v>0</v>
      </c>
      <c r="Q46" s="501">
        <f t="shared" ref="Q46:AA46" si="11">Q48+Q49</f>
        <v>0</v>
      </c>
      <c r="R46" s="501">
        <f t="shared" si="11"/>
        <v>0</v>
      </c>
      <c r="S46" s="501">
        <f t="shared" si="11"/>
        <v>0</v>
      </c>
      <c r="T46" s="501">
        <f t="shared" si="11"/>
        <v>0</v>
      </c>
      <c r="U46" s="501">
        <f t="shared" si="11"/>
        <v>0</v>
      </c>
      <c r="V46" s="501">
        <f t="shared" si="11"/>
        <v>0</v>
      </c>
      <c r="W46" s="501">
        <f t="shared" si="11"/>
        <v>0</v>
      </c>
      <c r="X46" s="501">
        <f t="shared" si="11"/>
        <v>0</v>
      </c>
      <c r="Y46" s="501">
        <f t="shared" si="11"/>
        <v>0</v>
      </c>
      <c r="Z46" s="501">
        <f t="shared" si="11"/>
        <v>0</v>
      </c>
      <c r="AA46" s="501">
        <f t="shared" si="11"/>
        <v>0</v>
      </c>
    </row>
    <row r="47" spans="1:27" ht="0.6" customHeight="1" x14ac:dyDescent="0.2">
      <c r="A47" s="503"/>
      <c r="B47" s="489"/>
      <c r="C47" s="489"/>
      <c r="D47" s="489"/>
      <c r="E47" s="502"/>
      <c r="F47" s="502"/>
      <c r="G47" s="502"/>
      <c r="H47" s="502"/>
      <c r="I47" s="502"/>
      <c r="J47" s="502"/>
      <c r="K47" s="502"/>
      <c r="L47" s="502"/>
      <c r="M47" s="502"/>
      <c r="N47" s="502"/>
      <c r="O47" s="502"/>
      <c r="P47" s="502"/>
      <c r="Q47" s="502"/>
      <c r="R47" s="502"/>
      <c r="S47" s="502"/>
      <c r="T47" s="502"/>
      <c r="U47" s="502"/>
      <c r="V47" s="502"/>
      <c r="W47" s="502"/>
      <c r="X47" s="502"/>
      <c r="Y47" s="502"/>
      <c r="Z47" s="502"/>
      <c r="AA47" s="502"/>
    </row>
    <row r="48" spans="1:27" outlineLevel="1" x14ac:dyDescent="0.2">
      <c r="A48" s="488" t="s">
        <v>454</v>
      </c>
      <c r="B48" s="489"/>
      <c r="C48" s="489"/>
      <c r="D48" s="489"/>
      <c r="E48" s="502"/>
      <c r="F48" s="502"/>
      <c r="G48" s="502"/>
      <c r="H48" s="502"/>
      <c r="I48" s="502"/>
      <c r="J48" s="502"/>
      <c r="K48" s="502"/>
      <c r="L48" s="502"/>
      <c r="M48" s="502"/>
      <c r="N48" s="502"/>
      <c r="O48" s="502"/>
      <c r="P48" s="502"/>
      <c r="Q48" s="502"/>
      <c r="R48" s="502"/>
      <c r="S48" s="502"/>
      <c r="T48" s="502"/>
      <c r="U48" s="502"/>
      <c r="V48" s="502"/>
      <c r="W48" s="502"/>
      <c r="X48" s="502"/>
      <c r="Y48" s="502"/>
      <c r="Z48" s="502"/>
      <c r="AA48" s="502"/>
    </row>
    <row r="49" spans="1:27" outlineLevel="1" x14ac:dyDescent="0.2">
      <c r="A49" s="488" t="s">
        <v>455</v>
      </c>
      <c r="B49" s="489"/>
      <c r="C49" s="489"/>
      <c r="D49" s="489"/>
      <c r="E49" s="502"/>
      <c r="F49" s="502"/>
      <c r="G49" s="502">
        <v>0</v>
      </c>
      <c r="H49" s="502"/>
      <c r="I49" s="502"/>
      <c r="J49" s="502"/>
      <c r="K49" s="502"/>
      <c r="L49" s="502"/>
      <c r="M49" s="502"/>
      <c r="N49" s="502"/>
      <c r="O49" s="502"/>
      <c r="P49" s="502"/>
      <c r="Q49" s="502"/>
      <c r="R49" s="502"/>
      <c r="S49" s="502"/>
      <c r="T49" s="502"/>
      <c r="U49" s="502"/>
      <c r="V49" s="502"/>
      <c r="W49" s="502"/>
      <c r="X49" s="502"/>
      <c r="Y49" s="502"/>
      <c r="Z49" s="502"/>
      <c r="AA49" s="502"/>
    </row>
    <row r="50" spans="1:27" x14ac:dyDescent="0.2">
      <c r="A50" s="488" t="s">
        <v>428</v>
      </c>
      <c r="B50" s="489"/>
      <c r="C50" s="489"/>
      <c r="D50" s="489"/>
      <c r="E50" s="502"/>
      <c r="F50" s="502"/>
      <c r="G50" s="502"/>
      <c r="H50" s="502"/>
      <c r="I50" s="502"/>
      <c r="J50" s="502"/>
      <c r="K50" s="502"/>
      <c r="L50" s="502"/>
      <c r="M50" s="502"/>
      <c r="N50" s="502"/>
      <c r="O50" s="502"/>
      <c r="P50" s="502"/>
      <c r="Q50" s="502"/>
      <c r="R50" s="502"/>
      <c r="S50" s="502"/>
      <c r="T50" s="502"/>
      <c r="U50" s="502"/>
      <c r="V50" s="502"/>
      <c r="W50" s="502"/>
      <c r="X50" s="502"/>
      <c r="Y50" s="502"/>
      <c r="Z50" s="502"/>
      <c r="AA50" s="502"/>
    </row>
    <row r="51" spans="1:27" x14ac:dyDescent="0.2">
      <c r="A51" s="491" t="s">
        <v>456</v>
      </c>
      <c r="B51" s="489"/>
      <c r="C51" s="489"/>
      <c r="D51" s="489"/>
      <c r="E51" s="501">
        <f>E53+E54</f>
        <v>0</v>
      </c>
      <c r="F51" s="501">
        <f>F53</f>
        <v>16973804.93</v>
      </c>
      <c r="G51" s="501">
        <f t="shared" ref="G51:O51" si="12">G53</f>
        <v>30366151.869999997</v>
      </c>
      <c r="H51" s="501">
        <f t="shared" si="12"/>
        <v>31981519.07</v>
      </c>
      <c r="I51" s="501">
        <f t="shared" si="12"/>
        <v>30894369.969999999</v>
      </c>
      <c r="J51" s="501">
        <f t="shared" si="12"/>
        <v>29349938.860000003</v>
      </c>
      <c r="K51" s="501">
        <f t="shared" si="12"/>
        <v>25138164.299999997</v>
      </c>
      <c r="L51" s="501">
        <f t="shared" si="12"/>
        <v>20510313.830000002</v>
      </c>
      <c r="M51" s="501">
        <f t="shared" si="12"/>
        <v>15673072.490000002</v>
      </c>
      <c r="N51" s="501">
        <f t="shared" si="12"/>
        <v>10638754.490000002</v>
      </c>
      <c r="O51" s="501">
        <f t="shared" si="12"/>
        <v>5399330.6400000006</v>
      </c>
      <c r="P51" s="501">
        <f>P53+O54</f>
        <v>2260639.8099999977</v>
      </c>
      <c r="Q51" s="501">
        <f t="shared" ref="Q51:AA51" si="13">Q53+P54</f>
        <v>1034588.1399999994</v>
      </c>
      <c r="R51" s="501">
        <f t="shared" si="13"/>
        <v>377386.71999999968</v>
      </c>
      <c r="S51" s="501">
        <f t="shared" si="13"/>
        <v>27567.420000000024</v>
      </c>
      <c r="T51" s="501">
        <f t="shared" si="13"/>
        <v>0</v>
      </c>
      <c r="U51" s="501">
        <f t="shared" si="13"/>
        <v>0</v>
      </c>
      <c r="V51" s="501">
        <f t="shared" si="13"/>
        <v>0</v>
      </c>
      <c r="W51" s="501">
        <f t="shared" si="13"/>
        <v>0</v>
      </c>
      <c r="X51" s="501">
        <f t="shared" si="13"/>
        <v>0</v>
      </c>
      <c r="Y51" s="501">
        <f t="shared" si="13"/>
        <v>0</v>
      </c>
      <c r="Z51" s="501">
        <f t="shared" si="13"/>
        <v>0</v>
      </c>
      <c r="AA51" s="501">
        <f t="shared" si="13"/>
        <v>0</v>
      </c>
    </row>
    <row r="52" spans="1:27" outlineLevel="2" x14ac:dyDescent="0.2">
      <c r="A52" s="503"/>
      <c r="B52" s="489"/>
      <c r="C52" s="489"/>
      <c r="D52" s="489"/>
      <c r="E52" s="502"/>
      <c r="F52" s="502"/>
      <c r="G52" s="502"/>
      <c r="H52" s="502"/>
      <c r="I52" s="502"/>
      <c r="J52" s="502"/>
      <c r="K52" s="502"/>
      <c r="L52" s="502"/>
      <c r="M52" s="502"/>
      <c r="N52" s="502"/>
      <c r="O52" s="502"/>
      <c r="P52" s="502"/>
      <c r="Q52" s="502"/>
      <c r="R52" s="502"/>
      <c r="S52" s="502"/>
      <c r="T52" s="502"/>
      <c r="U52" s="502"/>
      <c r="V52" s="502"/>
      <c r="W52" s="502"/>
      <c r="X52" s="502"/>
      <c r="Y52" s="502"/>
      <c r="Z52" s="502"/>
      <c r="AA52" s="502"/>
    </row>
    <row r="53" spans="1:27" outlineLevel="2" x14ac:dyDescent="0.2">
      <c r="A53" s="488" t="s">
        <v>457</v>
      </c>
      <c r="B53" s="489"/>
      <c r="C53" s="489"/>
      <c r="D53" s="489"/>
      <c r="E53" s="502">
        <f>'Emprunt 2015'!D23</f>
        <v>0</v>
      </c>
      <c r="F53" s="502">
        <f>'Emprunt 2015'!D35+'Emprunt 2016'!D23</f>
        <v>16973804.93</v>
      </c>
      <c r="G53" s="502">
        <f>'Emprunt 2015'!D47+'Emprunt 2016'!D35+'Emprunt 2017'!D23</f>
        <v>30366151.869999997</v>
      </c>
      <c r="H53" s="502">
        <f>'Emprunt 2015'!D59+'Emprunt 2016'!D47+'Emprunt 2017'!D35+'Emprunt 2018'!D23</f>
        <v>31981519.07</v>
      </c>
      <c r="I53" s="502">
        <f>'Emprunt 2015'!D71+'Emprunt 2016'!D59+'Emprunt 2017'!D47+'Emprunt 2018'!D35+'Emprunt 2019'!D23</f>
        <v>30894369.969999999</v>
      </c>
      <c r="J53" s="502">
        <f>'Emprunt 2015'!D83+'Emprunt 2016'!D71+'Emprunt 2017'!D59+'Emprunt 2018'!D47+'Emprunt 2019'!D35+'Emprunt 2020'!D23</f>
        <v>29349938.860000003</v>
      </c>
      <c r="K53" s="502">
        <f>'Emprunt 2015'!D95+'Emprunt 2016'!D83+'Emprunt 2017'!D71+'Emprunt 2018'!D59+'Emprunt 2019'!D47+'Emprunt 2020'!D35</f>
        <v>25138164.299999997</v>
      </c>
      <c r="L53" s="502">
        <f>'Emprunt 2015'!D107+'Emprunt 2016'!D95+'Emprunt 2017'!D83+'Emprunt 2018'!D71+'Emprunt 2019'!D59+'Emprunt 2020'!D47</f>
        <v>20510313.830000002</v>
      </c>
      <c r="M53" s="502">
        <f>'Emprunt 2015'!D119+'Emprunt 2016'!D107+'Emprunt 2017'!D95+'Emprunt 2018'!D83+'Emprunt 2019'!D71+'Emprunt 2020'!D59</f>
        <v>15673072.490000002</v>
      </c>
      <c r="N53" s="502">
        <f>'Emprunt 2015'!D131+'Emprunt 2016'!D119+'Emprunt 2017'!D107+'Emprunt 2018'!D95+'Emprunt 2019'!D83+'Emprunt 2020'!D71</f>
        <v>10638754.490000002</v>
      </c>
      <c r="O53" s="502">
        <f>'Emprunt 2016'!D131+'Emprunt 2017'!D119+'Emprunt 2018'!D107+'Emprunt 2019'!D95+'Emprunt 2020'!D83</f>
        <v>5399330.6400000006</v>
      </c>
      <c r="P53" s="502">
        <f>'Emprunt 2017'!D131+'Emprunt 2018'!D119+'Emprunt 2019'!D107+'Emprunt 2020'!D95</f>
        <v>2260639.8099999977</v>
      </c>
      <c r="Q53" s="502">
        <f>'Emprunt 2018'!D131+'Emprunt 2019'!D119+'Emprunt 2020'!D107</f>
        <v>1034588.1399999994</v>
      </c>
      <c r="R53" s="502">
        <f>'Emprunt 2019'!D131+'Emprunt 2020'!D119</f>
        <v>377386.71999999968</v>
      </c>
      <c r="S53" s="502">
        <f>'Emprunt 2020'!D131</f>
        <v>27567.420000000024</v>
      </c>
      <c r="T53" s="502"/>
      <c r="U53" s="502"/>
      <c r="V53" s="502"/>
      <c r="W53" s="502"/>
      <c r="X53" s="502"/>
      <c r="Y53" s="502"/>
      <c r="Z53" s="502"/>
      <c r="AA53" s="502"/>
    </row>
    <row r="54" spans="1:27" outlineLevel="2" x14ac:dyDescent="0.2">
      <c r="A54" s="488" t="s">
        <v>458</v>
      </c>
      <c r="B54" s="489"/>
      <c r="C54" s="489"/>
      <c r="D54" s="489"/>
      <c r="E54" s="502"/>
      <c r="F54" s="502"/>
      <c r="G54" s="502">
        <v>0</v>
      </c>
      <c r="H54" s="502"/>
      <c r="I54" s="502"/>
      <c r="J54" s="502"/>
      <c r="K54" s="502"/>
      <c r="L54" s="502"/>
      <c r="M54" s="502"/>
      <c r="N54" s="502"/>
      <c r="O54" s="502"/>
      <c r="P54" s="502"/>
      <c r="Q54" s="502"/>
      <c r="R54" s="502"/>
      <c r="S54" s="502"/>
      <c r="T54" s="502"/>
      <c r="U54" s="502"/>
      <c r="V54" s="502"/>
      <c r="W54" s="502"/>
      <c r="X54" s="502"/>
      <c r="Y54" s="502"/>
      <c r="Z54" s="502"/>
      <c r="AA54" s="502"/>
    </row>
    <row r="55" spans="1:27" outlineLevel="2" x14ac:dyDescent="0.2">
      <c r="A55" s="488"/>
      <c r="B55" s="489"/>
      <c r="C55" s="489"/>
      <c r="D55" s="489"/>
      <c r="E55" s="502"/>
      <c r="F55" s="502"/>
      <c r="G55" s="502"/>
      <c r="H55" s="502"/>
      <c r="I55" s="502"/>
      <c r="J55" s="502"/>
      <c r="K55" s="502"/>
      <c r="L55" s="502"/>
      <c r="M55" s="502"/>
      <c r="N55" s="502"/>
      <c r="O55" s="502"/>
      <c r="P55" s="502"/>
      <c r="Q55" s="502"/>
      <c r="R55" s="502"/>
      <c r="S55" s="502"/>
      <c r="T55" s="502"/>
      <c r="U55" s="502"/>
      <c r="V55" s="502"/>
      <c r="W55" s="502"/>
      <c r="X55" s="502"/>
      <c r="Y55" s="502"/>
      <c r="Z55" s="502"/>
      <c r="AA55" s="502"/>
    </row>
    <row r="56" spans="1:27" outlineLevel="2" x14ac:dyDescent="0.2">
      <c r="A56" s="491"/>
      <c r="B56" s="489"/>
      <c r="C56" s="489"/>
      <c r="D56" s="489"/>
      <c r="E56" s="501">
        <f>E58+E59</f>
        <v>0</v>
      </c>
      <c r="F56" s="501">
        <f t="shared" ref="F56:P56" si="14">F58+F59</f>
        <v>0</v>
      </c>
      <c r="G56" s="501">
        <f t="shared" si="14"/>
        <v>0</v>
      </c>
      <c r="H56" s="501">
        <f t="shared" si="14"/>
        <v>0</v>
      </c>
      <c r="I56" s="501">
        <f t="shared" si="14"/>
        <v>0</v>
      </c>
      <c r="J56" s="501">
        <f t="shared" si="14"/>
        <v>0</v>
      </c>
      <c r="K56" s="501">
        <f t="shared" si="14"/>
        <v>0</v>
      </c>
      <c r="L56" s="501">
        <f t="shared" si="14"/>
        <v>0</v>
      </c>
      <c r="M56" s="501">
        <f t="shared" si="14"/>
        <v>0</v>
      </c>
      <c r="N56" s="501">
        <f t="shared" si="14"/>
        <v>0</v>
      </c>
      <c r="O56" s="501">
        <f t="shared" si="14"/>
        <v>0</v>
      </c>
      <c r="P56" s="501">
        <f t="shared" si="14"/>
        <v>0</v>
      </c>
      <c r="Q56" s="501">
        <f t="shared" ref="Q56:AA56" si="15">Q58+Q59</f>
        <v>0</v>
      </c>
      <c r="R56" s="501">
        <f t="shared" si="15"/>
        <v>0</v>
      </c>
      <c r="S56" s="501">
        <f t="shared" si="15"/>
        <v>0</v>
      </c>
      <c r="T56" s="501">
        <f t="shared" si="15"/>
        <v>0</v>
      </c>
      <c r="U56" s="501">
        <f t="shared" si="15"/>
        <v>0</v>
      </c>
      <c r="V56" s="501">
        <f t="shared" si="15"/>
        <v>0</v>
      </c>
      <c r="W56" s="501">
        <f t="shared" si="15"/>
        <v>0</v>
      </c>
      <c r="X56" s="501">
        <f t="shared" si="15"/>
        <v>0</v>
      </c>
      <c r="Y56" s="501">
        <f t="shared" si="15"/>
        <v>0</v>
      </c>
      <c r="Z56" s="501">
        <f t="shared" si="15"/>
        <v>0</v>
      </c>
      <c r="AA56" s="501">
        <f t="shared" si="15"/>
        <v>0</v>
      </c>
    </row>
    <row r="57" spans="1:27" outlineLevel="2" x14ac:dyDescent="0.2">
      <c r="A57" s="503"/>
      <c r="B57" s="489"/>
      <c r="C57" s="489"/>
      <c r="D57" s="489"/>
      <c r="E57" s="502"/>
      <c r="F57" s="502"/>
      <c r="G57" s="502"/>
      <c r="H57" s="502"/>
      <c r="I57" s="502"/>
      <c r="J57" s="502"/>
      <c r="K57" s="502"/>
      <c r="L57" s="502"/>
      <c r="M57" s="502"/>
      <c r="N57" s="502"/>
      <c r="O57" s="502"/>
      <c r="P57" s="502"/>
      <c r="Q57" s="502"/>
      <c r="R57" s="502"/>
      <c r="S57" s="502"/>
      <c r="T57" s="502"/>
      <c r="U57" s="502"/>
      <c r="V57" s="502"/>
      <c r="W57" s="502"/>
      <c r="X57" s="502"/>
      <c r="Y57" s="502"/>
      <c r="Z57" s="502"/>
      <c r="AA57" s="502"/>
    </row>
    <row r="58" spans="1:27" outlineLevel="2" x14ac:dyDescent="0.2">
      <c r="A58" s="488"/>
      <c r="B58" s="489"/>
      <c r="C58" s="489"/>
      <c r="D58" s="489"/>
      <c r="E58" s="502"/>
      <c r="F58" s="502"/>
      <c r="G58" s="502"/>
      <c r="H58" s="502"/>
      <c r="I58" s="502"/>
      <c r="J58" s="502"/>
      <c r="K58" s="502"/>
      <c r="L58" s="502"/>
      <c r="M58" s="502"/>
      <c r="N58" s="502"/>
      <c r="O58" s="502"/>
      <c r="P58" s="502"/>
      <c r="Q58" s="502"/>
      <c r="R58" s="502"/>
      <c r="S58" s="502"/>
      <c r="T58" s="502"/>
      <c r="U58" s="502"/>
      <c r="V58" s="502"/>
      <c r="W58" s="502"/>
      <c r="X58" s="502"/>
      <c r="Y58" s="502"/>
      <c r="Z58" s="502"/>
      <c r="AA58" s="502"/>
    </row>
    <row r="59" spans="1:27" outlineLevel="2" x14ac:dyDescent="0.2">
      <c r="A59" s="488"/>
      <c r="B59" s="489"/>
      <c r="C59" s="489"/>
      <c r="D59" s="489"/>
      <c r="E59" s="502"/>
      <c r="F59" s="502"/>
      <c r="G59" s="502">
        <v>0</v>
      </c>
      <c r="H59" s="502"/>
      <c r="I59" s="502"/>
      <c r="J59" s="502"/>
      <c r="K59" s="502"/>
      <c r="L59" s="502"/>
      <c r="M59" s="502"/>
      <c r="N59" s="502"/>
      <c r="O59" s="502"/>
      <c r="P59" s="502"/>
      <c r="Q59" s="502"/>
      <c r="R59" s="502"/>
      <c r="S59" s="502"/>
      <c r="T59" s="502"/>
      <c r="U59" s="502"/>
      <c r="V59" s="502"/>
      <c r="W59" s="502"/>
      <c r="X59" s="502"/>
      <c r="Y59" s="502"/>
      <c r="Z59" s="502"/>
      <c r="AA59" s="502"/>
    </row>
    <row r="60" spans="1:27" x14ac:dyDescent="0.2">
      <c r="A60" s="488"/>
      <c r="B60" s="489"/>
      <c r="C60" s="489"/>
      <c r="D60" s="489"/>
      <c r="E60" s="502"/>
      <c r="F60" s="502"/>
      <c r="G60" s="502"/>
      <c r="H60" s="502"/>
      <c r="I60" s="502"/>
      <c r="J60" s="502"/>
      <c r="K60" s="502"/>
      <c r="L60" s="502"/>
      <c r="M60" s="502"/>
      <c r="N60" s="502"/>
      <c r="O60" s="502"/>
      <c r="P60" s="502"/>
      <c r="Q60" s="502"/>
      <c r="R60" s="502"/>
      <c r="S60" s="502"/>
      <c r="T60" s="502"/>
      <c r="U60" s="502"/>
      <c r="V60" s="502"/>
      <c r="W60" s="502"/>
      <c r="X60" s="502"/>
      <c r="Y60" s="502"/>
      <c r="Z60" s="502"/>
      <c r="AA60" s="502"/>
    </row>
    <row r="61" spans="1:27" ht="15.75" x14ac:dyDescent="0.25">
      <c r="A61" s="505" t="s">
        <v>460</v>
      </c>
      <c r="B61" s="498"/>
      <c r="C61" s="498"/>
      <c r="D61" s="498"/>
      <c r="E61" s="506">
        <f t="shared" ref="E61:AA61" si="16">E37+E46+E51+E56</f>
        <v>13639242.009134063</v>
      </c>
      <c r="F61" s="506">
        <f t="shared" si="16"/>
        <v>39973804.931508496</v>
      </c>
      <c r="G61" s="506">
        <f t="shared" si="16"/>
        <v>53366151.873258136</v>
      </c>
      <c r="H61" s="506">
        <f t="shared" si="16"/>
        <v>53030531.014340356</v>
      </c>
      <c r="I61" s="506">
        <f t="shared" si="16"/>
        <v>51543400.784113996</v>
      </c>
      <c r="J61" s="506">
        <f t="shared" si="16"/>
        <v>50050260.243532732</v>
      </c>
      <c r="K61" s="506">
        <f t="shared" si="16"/>
        <v>53654303.688618474</v>
      </c>
      <c r="L61" s="506">
        <f t="shared" si="16"/>
        <v>59194489.934167638</v>
      </c>
      <c r="M61" s="506">
        <f t="shared" si="16"/>
        <v>65075064.270144448</v>
      </c>
      <c r="N61" s="506">
        <f t="shared" si="16"/>
        <v>71032724.571512401</v>
      </c>
      <c r="O61" s="506">
        <f t="shared" si="16"/>
        <v>76722426.325407103</v>
      </c>
      <c r="P61" s="506">
        <f t="shared" si="16"/>
        <v>84529393.977386877</v>
      </c>
      <c r="Q61" s="506">
        <f t="shared" si="16"/>
        <v>94099048.081411853</v>
      </c>
      <c r="R61" s="506">
        <f t="shared" si="16"/>
        <v>104746692.55202398</v>
      </c>
      <c r="S61" s="506">
        <f t="shared" si="16"/>
        <v>115456014.89991689</v>
      </c>
      <c r="T61" s="506">
        <f t="shared" si="16"/>
        <v>142620320.86986706</v>
      </c>
      <c r="U61" s="506">
        <f t="shared" si="16"/>
        <v>169246031.51790082</v>
      </c>
      <c r="V61" s="506">
        <f t="shared" si="16"/>
        <v>195205749.83804101</v>
      </c>
      <c r="W61" s="506">
        <f t="shared" si="16"/>
        <v>220870550.13620245</v>
      </c>
      <c r="X61" s="506">
        <f t="shared" si="16"/>
        <v>245878502.39833587</v>
      </c>
      <c r="Y61" s="506">
        <f t="shared" si="16"/>
        <v>270101206.53888142</v>
      </c>
      <c r="Z61" s="506">
        <f t="shared" si="16"/>
        <v>293711248.89213693</v>
      </c>
      <c r="AA61" s="506">
        <f t="shared" si="16"/>
        <v>316597813.39314783</v>
      </c>
    </row>
    <row r="62" spans="1:27" ht="13.5" outlineLevel="1" thickBot="1" x14ac:dyDescent="0.25">
      <c r="A62" s="507" t="s">
        <v>461</v>
      </c>
      <c r="B62" s="508"/>
      <c r="C62" s="508"/>
      <c r="D62" s="508"/>
      <c r="E62" s="509">
        <f t="shared" ref="E62:AA62" si="17">E51-E33</f>
        <v>0</v>
      </c>
      <c r="F62" s="509">
        <f t="shared" si="17"/>
        <v>16973804.93</v>
      </c>
      <c r="G62" s="509">
        <f t="shared" si="17"/>
        <v>30366151.869999997</v>
      </c>
      <c r="H62" s="509">
        <f t="shared" si="17"/>
        <v>31981519.07</v>
      </c>
      <c r="I62" s="509">
        <f t="shared" si="17"/>
        <v>30894369.969999999</v>
      </c>
      <c r="J62" s="509">
        <f t="shared" si="17"/>
        <v>29349938.860000003</v>
      </c>
      <c r="K62" s="509">
        <f t="shared" si="17"/>
        <v>18987715.278364055</v>
      </c>
      <c r="L62" s="509">
        <f t="shared" si="17"/>
        <v>6286734.465993043</v>
      </c>
      <c r="M62" s="509">
        <f t="shared" si="17"/>
        <v>-7603789.6129796207</v>
      </c>
      <c r="N62" s="509">
        <f t="shared" si="17"/>
        <v>-21787765.135253757</v>
      </c>
      <c r="O62" s="509">
        <f t="shared" si="17"/>
        <v>-35943675.10077408</v>
      </c>
      <c r="P62" s="509">
        <f t="shared" si="17"/>
        <v>-50081888.028191887</v>
      </c>
      <c r="Q62" s="509">
        <f t="shared" si="17"/>
        <v>-64089898.449589007</v>
      </c>
      <c r="R62" s="509">
        <f t="shared" si="17"/>
        <v>-77745277.514065787</v>
      </c>
      <c r="S62" s="509">
        <f t="shared" si="17"/>
        <v>-91087421.614388093</v>
      </c>
      <c r="T62" s="509">
        <f t="shared" si="17"/>
        <v>-120563440.29591113</v>
      </c>
      <c r="U62" s="509">
        <f t="shared" si="17"/>
        <v>-149477541.56152776</v>
      </c>
      <c r="V62" s="509">
        <f t="shared" si="17"/>
        <v>-177722171.1738387</v>
      </c>
      <c r="W62" s="509">
        <f t="shared" si="17"/>
        <v>-205532512.73809177</v>
      </c>
      <c r="X62" s="509">
        <f t="shared" si="17"/>
        <v>-232672264.68688396</v>
      </c>
      <c r="Y62" s="509">
        <f t="shared" si="17"/>
        <v>-259021290.1544565</v>
      </c>
      <c r="Z62" s="509">
        <f t="shared" si="17"/>
        <v>-284765174.30840528</v>
      </c>
      <c r="AA62" s="509">
        <f t="shared" si="17"/>
        <v>-309782516.41205883</v>
      </c>
    </row>
    <row r="63" spans="1:27" x14ac:dyDescent="0.2">
      <c r="A63" s="489"/>
      <c r="B63" s="489"/>
      <c r="C63" s="489"/>
      <c r="D63" s="489"/>
      <c r="E63" s="489"/>
      <c r="F63" s="489"/>
      <c r="G63" s="489"/>
      <c r="H63" s="489"/>
      <c r="I63" s="489"/>
      <c r="J63" s="489"/>
      <c r="K63" s="489"/>
      <c r="L63" s="489"/>
      <c r="M63" s="489"/>
      <c r="N63" s="489"/>
      <c r="O63" s="489"/>
      <c r="P63" s="489"/>
      <c r="Q63" s="489"/>
      <c r="R63" s="489"/>
      <c r="S63" s="489"/>
      <c r="T63" s="489"/>
      <c r="U63" s="489"/>
      <c r="V63" s="489"/>
      <c r="W63" s="489"/>
      <c r="X63" s="489"/>
      <c r="Y63" s="489"/>
      <c r="Z63" s="489"/>
      <c r="AA63" s="489"/>
    </row>
    <row r="64" spans="1:27" x14ac:dyDescent="0.2">
      <c r="E64" s="779">
        <f t="shared" ref="E64:AA64" si="18">E61-E35</f>
        <v>0</v>
      </c>
      <c r="F64" s="779">
        <f t="shared" si="18"/>
        <v>0</v>
      </c>
      <c r="G64" s="779">
        <f t="shared" si="18"/>
        <v>0</v>
      </c>
      <c r="H64" s="779">
        <f t="shared" si="18"/>
        <v>0</v>
      </c>
      <c r="I64" s="779">
        <f t="shared" si="18"/>
        <v>0</v>
      </c>
      <c r="J64" s="779">
        <f t="shared" si="18"/>
        <v>0</v>
      </c>
      <c r="K64" s="779">
        <f t="shared" si="18"/>
        <v>0</v>
      </c>
      <c r="L64" s="779">
        <f t="shared" si="18"/>
        <v>0</v>
      </c>
      <c r="M64" s="779">
        <f t="shared" si="18"/>
        <v>0</v>
      </c>
      <c r="N64" s="779">
        <f t="shared" si="18"/>
        <v>0</v>
      </c>
      <c r="O64" s="779">
        <f t="shared" si="18"/>
        <v>0</v>
      </c>
      <c r="P64" s="779">
        <f t="shared" si="18"/>
        <v>0</v>
      </c>
      <c r="Q64" s="779">
        <f t="shared" si="18"/>
        <v>0</v>
      </c>
      <c r="R64" s="779">
        <f t="shared" si="18"/>
        <v>0</v>
      </c>
      <c r="S64" s="779">
        <f t="shared" si="18"/>
        <v>0</v>
      </c>
      <c r="T64" s="779">
        <f t="shared" si="18"/>
        <v>0</v>
      </c>
      <c r="U64" s="779">
        <f t="shared" si="18"/>
        <v>0</v>
      </c>
      <c r="V64" s="779">
        <f t="shared" si="18"/>
        <v>0</v>
      </c>
      <c r="W64" s="779">
        <f t="shared" si="18"/>
        <v>0</v>
      </c>
      <c r="X64" s="779">
        <f t="shared" si="18"/>
        <v>0</v>
      </c>
      <c r="Y64" s="779">
        <f t="shared" si="18"/>
        <v>0</v>
      </c>
      <c r="Z64" s="779">
        <f t="shared" si="18"/>
        <v>0</v>
      </c>
      <c r="AA64" s="779">
        <f t="shared" si="18"/>
        <v>0</v>
      </c>
    </row>
    <row r="66" spans="4:27" x14ac:dyDescent="0.2">
      <c r="D66" s="587" t="s">
        <v>594</v>
      </c>
      <c r="E66" s="586">
        <f>IF(-E64&gt;0,-E64,0)</f>
        <v>0</v>
      </c>
      <c r="F66" s="586">
        <f t="shared" ref="F66:AA66" si="19">IF(-F64&gt;0,-F64,0)</f>
        <v>0</v>
      </c>
      <c r="G66" s="586">
        <f t="shared" si="19"/>
        <v>0</v>
      </c>
      <c r="H66" s="586">
        <f t="shared" si="19"/>
        <v>0</v>
      </c>
      <c r="I66" s="586">
        <f t="shared" si="19"/>
        <v>0</v>
      </c>
      <c r="J66" s="586">
        <f t="shared" si="19"/>
        <v>0</v>
      </c>
      <c r="K66" s="586">
        <f t="shared" si="19"/>
        <v>0</v>
      </c>
      <c r="L66" s="586">
        <f t="shared" si="19"/>
        <v>0</v>
      </c>
      <c r="M66" s="586">
        <f t="shared" si="19"/>
        <v>0</v>
      </c>
      <c r="N66" s="586">
        <f t="shared" si="19"/>
        <v>0</v>
      </c>
      <c r="O66" s="586">
        <f t="shared" si="19"/>
        <v>0</v>
      </c>
      <c r="P66" s="586">
        <f t="shared" si="19"/>
        <v>0</v>
      </c>
      <c r="Q66" s="586">
        <f t="shared" si="19"/>
        <v>0</v>
      </c>
      <c r="R66" s="586">
        <f t="shared" si="19"/>
        <v>0</v>
      </c>
      <c r="S66" s="586">
        <f t="shared" si="19"/>
        <v>0</v>
      </c>
      <c r="T66" s="586">
        <f t="shared" si="19"/>
        <v>0</v>
      </c>
      <c r="U66" s="586">
        <f t="shared" si="19"/>
        <v>0</v>
      </c>
      <c r="V66" s="586">
        <f t="shared" si="19"/>
        <v>0</v>
      </c>
      <c r="W66" s="586">
        <f t="shared" si="19"/>
        <v>0</v>
      </c>
      <c r="X66" s="586">
        <f t="shared" si="19"/>
        <v>0</v>
      </c>
      <c r="Y66" s="586">
        <f t="shared" si="19"/>
        <v>0</v>
      </c>
      <c r="Z66" s="586">
        <f t="shared" si="19"/>
        <v>0</v>
      </c>
      <c r="AA66" s="586">
        <f t="shared" si="19"/>
        <v>0</v>
      </c>
    </row>
    <row r="67" spans="4:27" x14ac:dyDescent="0.2">
      <c r="F67" s="489"/>
      <c r="G67" s="489"/>
      <c r="H67" s="489"/>
      <c r="I67" s="489"/>
      <c r="J67" s="489"/>
      <c r="K67" s="489"/>
    </row>
    <row r="68" spans="4:27" x14ac:dyDescent="0.2">
      <c r="F68" s="489"/>
      <c r="G68" s="489"/>
      <c r="H68" s="489"/>
      <c r="I68" s="489"/>
      <c r="J68" s="489"/>
      <c r="K68" s="489"/>
    </row>
    <row r="69" spans="4:27" x14ac:dyDescent="0.2">
      <c r="F69" s="489"/>
      <c r="G69" s="489"/>
      <c r="H69" s="489"/>
      <c r="I69" s="1206"/>
      <c r="J69" s="489"/>
      <c r="K69" s="489"/>
    </row>
    <row r="70" spans="4:27" x14ac:dyDescent="0.2">
      <c r="F70" s="489"/>
      <c r="G70" s="489"/>
      <c r="H70" s="489"/>
      <c r="I70" s="489"/>
      <c r="J70" s="489"/>
      <c r="K70" s="489"/>
    </row>
    <row r="71" spans="4:27" x14ac:dyDescent="0.2">
      <c r="E71" s="1191">
        <f t="shared" ref="E71:J71" si="20">IF(E33&lt;10000,1,2)</f>
        <v>1</v>
      </c>
      <c r="F71" s="1191">
        <f t="shared" si="20"/>
        <v>1</v>
      </c>
      <c r="G71" s="1191">
        <f t="shared" si="20"/>
        <v>1</v>
      </c>
      <c r="H71" s="1191">
        <f t="shared" si="20"/>
        <v>1</v>
      </c>
      <c r="I71" s="1191">
        <f t="shared" si="20"/>
        <v>1</v>
      </c>
      <c r="J71" s="1191">
        <f t="shared" si="20"/>
        <v>1</v>
      </c>
    </row>
    <row r="72" spans="4:27" x14ac:dyDescent="0.2">
      <c r="E72" s="1191">
        <f t="shared" ref="E72:J72" si="21">IF(E33&gt;-0.1,1,3)</f>
        <v>1</v>
      </c>
      <c r="F72" s="1191">
        <f t="shared" si="21"/>
        <v>1</v>
      </c>
      <c r="G72" s="1191">
        <f t="shared" si="21"/>
        <v>1</v>
      </c>
      <c r="H72" s="1191">
        <f t="shared" si="21"/>
        <v>1</v>
      </c>
      <c r="I72" s="1191">
        <f t="shared" si="21"/>
        <v>1</v>
      </c>
      <c r="J72" s="1191">
        <f t="shared" si="21"/>
        <v>1</v>
      </c>
    </row>
    <row r="73" spans="4:27" x14ac:dyDescent="0.2">
      <c r="E73" s="1191" t="str">
        <f t="shared" ref="E73:J73" si="22">IF(E71+E72=2,"bon","pas ok")</f>
        <v>bon</v>
      </c>
      <c r="F73" s="1191" t="str">
        <f t="shared" si="22"/>
        <v>bon</v>
      </c>
      <c r="G73" s="1191" t="str">
        <f t="shared" si="22"/>
        <v>bon</v>
      </c>
      <c r="H73" s="1191" t="str">
        <f t="shared" si="22"/>
        <v>bon</v>
      </c>
      <c r="I73" s="1191" t="str">
        <f t="shared" si="22"/>
        <v>bon</v>
      </c>
      <c r="J73" s="1191" t="str">
        <f t="shared" si="22"/>
        <v>bon</v>
      </c>
    </row>
    <row r="74" spans="4:27" x14ac:dyDescent="0.2">
      <c r="E74" s="1192"/>
      <c r="F74" s="1192"/>
      <c r="G74" s="1192"/>
      <c r="H74" s="1192"/>
      <c r="I74" s="1192"/>
      <c r="J74" s="1192"/>
    </row>
    <row r="75" spans="4:27" x14ac:dyDescent="0.2">
      <c r="E75" s="1192">
        <f t="shared" ref="E75:J75" si="23">E33</f>
        <v>0</v>
      </c>
      <c r="F75" s="1192">
        <f t="shared" si="23"/>
        <v>0</v>
      </c>
      <c r="G75" s="1192">
        <f t="shared" si="23"/>
        <v>0</v>
      </c>
      <c r="H75" s="1192">
        <f t="shared" si="23"/>
        <v>0</v>
      </c>
      <c r="I75" s="1192">
        <f t="shared" si="23"/>
        <v>0</v>
      </c>
      <c r="J75" s="1192">
        <f t="shared" si="23"/>
        <v>0</v>
      </c>
    </row>
    <row r="76" spans="4:27" x14ac:dyDescent="0.2">
      <c r="E76" s="1192">
        <f>'Emprunt 2015'!D3</f>
        <v>0</v>
      </c>
      <c r="F76" s="1192">
        <f>'Emprunt 2016'!D3</f>
        <v>16973804.931508496</v>
      </c>
      <c r="G76" s="1192">
        <f>'Emprunt 2017'!D3</f>
        <v>13392346.941649646</v>
      </c>
      <c r="H76" s="1192">
        <f>'Emprunt 2018'!D3</f>
        <v>3296712.4745155601</v>
      </c>
      <c r="I76" s="1192">
        <f>'Emprunt 2019'!D3</f>
        <v>2145203.1031069644</v>
      </c>
      <c r="J76" s="1192">
        <f>'Emprunt 2020'!D3</f>
        <v>2269192.7927520806</v>
      </c>
    </row>
    <row r="77" spans="4:27" x14ac:dyDescent="0.2">
      <c r="E77" s="1190">
        <v>0</v>
      </c>
      <c r="F77" s="504">
        <v>17252041</v>
      </c>
      <c r="G77" s="504">
        <v>13696208.055123711</v>
      </c>
      <c r="H77" s="504">
        <v>3245598.9484717543</v>
      </c>
      <c r="I77" s="504">
        <v>1972133.1733674239</v>
      </c>
      <c r="J77" s="504">
        <v>2186050.1135172234</v>
      </c>
    </row>
    <row r="78" spans="4:27" x14ac:dyDescent="0.2">
      <c r="E78" s="489"/>
      <c r="F78" s="489"/>
      <c r="G78" s="489"/>
      <c r="H78" s="489"/>
      <c r="I78" s="489"/>
      <c r="J78" s="489"/>
    </row>
    <row r="79" spans="4:27" x14ac:dyDescent="0.2">
      <c r="E79" s="489"/>
      <c r="F79" s="489"/>
      <c r="G79" s="489"/>
      <c r="H79" s="489"/>
      <c r="I79" s="489"/>
      <c r="J79" s="489"/>
    </row>
    <row r="80" spans="4:27" x14ac:dyDescent="0.2">
      <c r="E80" s="489"/>
      <c r="F80" s="489"/>
      <c r="G80" s="489"/>
      <c r="H80" s="489"/>
      <c r="I80" s="489"/>
      <c r="J80" s="489"/>
    </row>
    <row r="83" spans="5:10" x14ac:dyDescent="0.2">
      <c r="E83" s="751"/>
      <c r="F83" s="751"/>
      <c r="G83" s="751"/>
      <c r="H83" s="751"/>
      <c r="I83" s="751"/>
      <c r="J83" s="751"/>
    </row>
    <row r="84" spans="5:10" x14ac:dyDescent="0.2">
      <c r="E84" s="751"/>
      <c r="F84" s="751"/>
      <c r="G84" s="751"/>
      <c r="H84" s="751"/>
      <c r="I84" s="751"/>
      <c r="J84" s="751"/>
    </row>
    <row r="85" spans="5:10" x14ac:dyDescent="0.2">
      <c r="E85" s="751"/>
      <c r="F85" s="751"/>
      <c r="G85" s="751"/>
      <c r="H85" s="751"/>
      <c r="I85" s="751"/>
      <c r="J85" s="751"/>
    </row>
    <row r="86" spans="5:10" x14ac:dyDescent="0.2">
      <c r="E86" s="751"/>
      <c r="F86" s="751"/>
      <c r="G86" s="751"/>
      <c r="H86" s="751"/>
      <c r="I86" s="751"/>
      <c r="J86" s="751"/>
    </row>
    <row r="108" spans="8:8" x14ac:dyDescent="0.2">
      <c r="H108" s="504">
        <f>H9-G9+H17-G17-Resultat!E45</f>
        <v>3296712.4744155575</v>
      </c>
    </row>
  </sheetData>
  <phoneticPr fontId="32" type="noConversion"/>
  <printOptions horizontalCentered="1" verticalCentered="1"/>
  <pageMargins left="0" right="0" top="0" bottom="0.39370078740157483" header="0.19685039370078741" footer="0.23622047244094491"/>
  <pageSetup paperSize="9" scale="72" orientation="landscape" r:id="rId1"/>
  <headerFooter alignWithMargins="0">
    <oddHeader>&amp;R&amp;"Times New Roman,Normal"&amp;D</oddHeader>
    <oddFooter>&amp;L&amp;F - &amp;D&amp;RPage &amp;P/&amp;N</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theme="6" tint="-0.249977111117893"/>
  </sheetPr>
  <dimension ref="A2:I25"/>
  <sheetViews>
    <sheetView zoomScale="85" zoomScaleNormal="85" workbookViewId="0">
      <selection activeCell="L17" sqref="L17"/>
    </sheetView>
  </sheetViews>
  <sheetFormatPr baseColWidth="10" defaultRowHeight="12.75" x14ac:dyDescent="0.2"/>
  <cols>
    <col min="6" max="6" width="14.5703125" customWidth="1"/>
    <col min="7" max="7" width="14.85546875" customWidth="1"/>
  </cols>
  <sheetData>
    <row r="2" spans="1:8" ht="13.5" thickBot="1" x14ac:dyDescent="0.25">
      <c r="A2" s="1284" t="s">
        <v>1074</v>
      </c>
      <c r="B2" s="1284"/>
      <c r="C2" s="1284"/>
    </row>
    <row r="3" spans="1:8" ht="51.75" thickBot="1" x14ac:dyDescent="0.25">
      <c r="A3" s="41"/>
      <c r="B3" s="41"/>
      <c r="C3" s="41"/>
      <c r="D3" s="131" t="s">
        <v>1073</v>
      </c>
      <c r="E3" s="672" t="s">
        <v>66</v>
      </c>
      <c r="F3" t="s">
        <v>67</v>
      </c>
      <c r="G3" t="s">
        <v>68</v>
      </c>
      <c r="H3" t="s">
        <v>69</v>
      </c>
    </row>
    <row r="4" spans="1:8" ht="13.5" thickBot="1" x14ac:dyDescent="0.25">
      <c r="A4" s="1270" t="s">
        <v>1155</v>
      </c>
      <c r="B4" s="1270"/>
      <c r="C4" s="1270"/>
      <c r="D4" s="135">
        <f>'Données Investissement'!F5</f>
        <v>56.66</v>
      </c>
      <c r="E4" s="673"/>
    </row>
    <row r="5" spans="1:8" x14ac:dyDescent="0.2">
      <c r="A5" s="1266" t="str">
        <f>'Données Investissement'!A6:C6</f>
        <v>Four PAMCHR :</v>
      </c>
      <c r="B5" s="1266"/>
      <c r="C5" s="1266"/>
      <c r="D5" s="1174">
        <f>'Données Investissement'!F6</f>
        <v>18.3</v>
      </c>
      <c r="E5" s="675">
        <f t="shared" ref="E5:E23" si="0">$D$24*D5/($D$4-$D$24)</f>
        <v>0</v>
      </c>
      <c r="F5" s="36">
        <f t="shared" ref="F5:F14" si="1">D5+E5</f>
        <v>18.3</v>
      </c>
      <c r="G5" s="36">
        <f t="shared" ref="G5:G14" si="2">D5+E5</f>
        <v>18.3</v>
      </c>
      <c r="H5" s="36">
        <f t="shared" ref="H5:H14" si="3">D5+E5</f>
        <v>18.3</v>
      </c>
    </row>
    <row r="6" spans="1:8" x14ac:dyDescent="0.2">
      <c r="A6" s="1266" t="str">
        <f>'Données Investissement'!A7:C7</f>
        <v>Annexe four : outillage</v>
      </c>
      <c r="B6" s="1266"/>
      <c r="C6" s="1266"/>
      <c r="D6" s="1174">
        <f>'Données Investissement'!F7</f>
        <v>0.4</v>
      </c>
      <c r="E6" s="675">
        <f t="shared" si="0"/>
        <v>0</v>
      </c>
      <c r="F6" s="36">
        <f t="shared" si="1"/>
        <v>0.4</v>
      </c>
      <c r="G6" s="36">
        <f t="shared" si="2"/>
        <v>0.4</v>
      </c>
      <c r="H6" s="36">
        <f t="shared" si="3"/>
        <v>0.4</v>
      </c>
    </row>
    <row r="7" spans="1:8" x14ac:dyDescent="0.2">
      <c r="A7" s="1266" t="str">
        <f>'Données Investissement'!A8:C8</f>
        <v>1er Four VAR :</v>
      </c>
      <c r="B7" s="1266"/>
      <c r="C7" s="1266"/>
      <c r="D7" s="1174">
        <f>'Données Investissement'!F8</f>
        <v>2.6</v>
      </c>
      <c r="E7" s="675">
        <f t="shared" si="0"/>
        <v>0</v>
      </c>
      <c r="F7" s="36">
        <f t="shared" si="1"/>
        <v>2.6</v>
      </c>
      <c r="G7" s="36">
        <f t="shared" si="2"/>
        <v>2.6</v>
      </c>
      <c r="H7" s="36">
        <f t="shared" si="3"/>
        <v>2.6</v>
      </c>
    </row>
    <row r="8" spans="1:8" x14ac:dyDescent="0.2">
      <c r="A8" s="1266" t="str">
        <f>'Données Investissement'!A9:C9</f>
        <v>2ème four VAR :</v>
      </c>
      <c r="B8" s="1266"/>
      <c r="C8" s="1266"/>
      <c r="D8" s="1174"/>
      <c r="E8" s="675">
        <f t="shared" si="0"/>
        <v>0</v>
      </c>
      <c r="F8" s="36">
        <f>D8+E8</f>
        <v>0</v>
      </c>
      <c r="G8" s="36">
        <f>D8+E8</f>
        <v>0</v>
      </c>
      <c r="H8" s="36">
        <f>D8+E8</f>
        <v>0</v>
      </c>
    </row>
    <row r="9" spans="1:8" x14ac:dyDescent="0.2">
      <c r="A9" s="1266" t="str">
        <f>'Données Investissement'!A10:C10</f>
        <v>Annexe VAR : nettoyage haute pression</v>
      </c>
      <c r="B9" s="1266"/>
      <c r="C9" s="1266"/>
      <c r="D9" s="1174">
        <f>'Données Investissement'!F10</f>
        <v>0.28999999999999998</v>
      </c>
      <c r="E9" s="675">
        <f t="shared" si="0"/>
        <v>0</v>
      </c>
      <c r="F9" s="36">
        <f t="shared" si="1"/>
        <v>0.28999999999999998</v>
      </c>
      <c r="G9" s="36">
        <f t="shared" si="2"/>
        <v>0.28999999999999998</v>
      </c>
      <c r="H9" s="36">
        <f t="shared" si="3"/>
        <v>0.28999999999999998</v>
      </c>
    </row>
    <row r="10" spans="1:8" x14ac:dyDescent="0.2">
      <c r="A10" s="1266" t="str">
        <f>'Données Investissement'!A11:C11</f>
        <v>Annexe VAR : outillage (scie)</v>
      </c>
      <c r="B10" s="1266"/>
      <c r="C10" s="1266"/>
      <c r="D10" s="1174">
        <f>'Données Investissement'!F11</f>
        <v>0.3</v>
      </c>
      <c r="E10" s="675">
        <f t="shared" si="0"/>
        <v>0</v>
      </c>
      <c r="F10" s="36">
        <f t="shared" si="1"/>
        <v>0.3</v>
      </c>
      <c r="G10" s="36">
        <f t="shared" si="2"/>
        <v>0.3</v>
      </c>
      <c r="H10" s="36">
        <f t="shared" si="3"/>
        <v>0.3</v>
      </c>
    </row>
    <row r="11" spans="1:8" x14ac:dyDescent="0.2">
      <c r="A11" s="1266" t="str">
        <f>'Données Investissement'!A12:C12</f>
        <v>Retourneur à lingot</v>
      </c>
      <c r="B11" s="1266"/>
      <c r="C11" s="1266"/>
      <c r="D11" s="1174">
        <f>'Données Investissement'!F12</f>
        <v>0.14000000000000001</v>
      </c>
      <c r="E11" s="675">
        <f t="shared" si="0"/>
        <v>0</v>
      </c>
      <c r="F11" s="36">
        <f t="shared" si="1"/>
        <v>0.14000000000000001</v>
      </c>
      <c r="G11" s="36">
        <f t="shared" si="2"/>
        <v>0.14000000000000001</v>
      </c>
      <c r="H11" s="36">
        <f t="shared" si="3"/>
        <v>0.14000000000000001</v>
      </c>
    </row>
    <row r="12" spans="1:8" x14ac:dyDescent="0.2">
      <c r="A12" s="1266" t="str">
        <f>'Données Investissement'!A13:C13</f>
        <v>Four Pilote :</v>
      </c>
      <c r="B12" s="1266"/>
      <c r="C12" s="1266"/>
      <c r="D12" s="1174">
        <f>'Données Investissement'!F13</f>
        <v>0</v>
      </c>
      <c r="E12" s="675">
        <f t="shared" si="0"/>
        <v>0</v>
      </c>
      <c r="F12" s="36">
        <f t="shared" si="1"/>
        <v>0</v>
      </c>
      <c r="G12" s="36">
        <f t="shared" si="2"/>
        <v>0</v>
      </c>
      <c r="H12" s="36">
        <f t="shared" si="3"/>
        <v>0</v>
      </c>
    </row>
    <row r="13" spans="1:8" x14ac:dyDescent="0.2">
      <c r="A13" s="1266" t="str">
        <f>'Données Investissement'!A14:C14</f>
        <v>Unité de pesage et mélangeage :</v>
      </c>
      <c r="B13" s="1266"/>
      <c r="C13" s="1266"/>
      <c r="D13" s="1174">
        <f>'Données Investissement'!F14</f>
        <v>2.95</v>
      </c>
      <c r="E13" s="675">
        <f t="shared" si="0"/>
        <v>0</v>
      </c>
      <c r="F13" s="36">
        <f t="shared" si="1"/>
        <v>2.95</v>
      </c>
      <c r="G13" s="36">
        <f t="shared" si="2"/>
        <v>2.95</v>
      </c>
      <c r="H13" s="36">
        <f t="shared" si="3"/>
        <v>2.95</v>
      </c>
    </row>
    <row r="14" spans="1:8" x14ac:dyDescent="0.2">
      <c r="A14" s="1266" t="str">
        <f>'Données Investissement'!A15:C15</f>
        <v>Equipement prépa chutes et parachèvement :</v>
      </c>
      <c r="B14" s="1266"/>
      <c r="C14" s="1266"/>
      <c r="D14" s="1174">
        <f>'Données Investissement'!F15</f>
        <v>1.7</v>
      </c>
      <c r="E14" s="675">
        <f t="shared" si="0"/>
        <v>0</v>
      </c>
      <c r="F14" s="36">
        <f t="shared" si="1"/>
        <v>1.7</v>
      </c>
      <c r="G14" s="36">
        <f t="shared" si="2"/>
        <v>1.7</v>
      </c>
      <c r="H14" s="36">
        <f t="shared" si="3"/>
        <v>1.7</v>
      </c>
    </row>
    <row r="15" spans="1:8" x14ac:dyDescent="0.2">
      <c r="A15" s="1266" t="str">
        <f>'Données Investissement'!A16:C16</f>
        <v>…</v>
      </c>
      <c r="B15" s="1266"/>
      <c r="C15" s="1266"/>
      <c r="D15" s="674">
        <f>'Données Investissement'!F16</f>
        <v>0</v>
      </c>
      <c r="E15" s="675">
        <f t="shared" si="0"/>
        <v>0</v>
      </c>
      <c r="F15" s="36"/>
      <c r="H15" s="36"/>
    </row>
    <row r="16" spans="1:8" x14ac:dyDescent="0.2">
      <c r="A16" s="1266" t="str">
        <f>'Données Investissement'!A17:C17</f>
        <v>Terrain</v>
      </c>
      <c r="B16" s="1266"/>
      <c r="C16" s="1266"/>
      <c r="D16" s="674">
        <f>'Données Investissement'!F17</f>
        <v>0.43</v>
      </c>
      <c r="E16" s="675">
        <f t="shared" si="0"/>
        <v>0</v>
      </c>
      <c r="F16" s="36"/>
      <c r="H16" s="36"/>
    </row>
    <row r="17" spans="1:9" x14ac:dyDescent="0.2">
      <c r="A17" s="1266" t="str">
        <f>'Données Investissement'!A18:C18</f>
        <v>SI + MES</v>
      </c>
      <c r="B17" s="1266"/>
      <c r="C17" s="1266"/>
      <c r="D17" s="1174">
        <f>'Données Investissement'!F18</f>
        <v>1.4</v>
      </c>
      <c r="E17" s="675">
        <f t="shared" si="0"/>
        <v>0</v>
      </c>
      <c r="F17" s="36">
        <f>D17+E17</f>
        <v>1.4</v>
      </c>
      <c r="H17" s="36">
        <f>D17+E17</f>
        <v>1.4</v>
      </c>
    </row>
    <row r="18" spans="1:9" x14ac:dyDescent="0.2">
      <c r="A18" s="1266" t="str">
        <f>'Données Investissement'!A19:C19</f>
        <v>Batiment (charpente, GCs, bureaux)</v>
      </c>
      <c r="B18" s="1266"/>
      <c r="C18" s="1266"/>
      <c r="D18" s="674">
        <f>'Données Investissement'!F19</f>
        <v>9</v>
      </c>
      <c r="E18" s="675">
        <f t="shared" si="0"/>
        <v>0</v>
      </c>
      <c r="F18" s="36"/>
      <c r="H18" s="36"/>
    </row>
    <row r="19" spans="1:9" x14ac:dyDescent="0.2">
      <c r="A19" s="1266" t="str">
        <f>'Données Investissement'!A20:C20</f>
        <v>Ponts (1 pour EB, 1 pour VAR, 2 prépa)</v>
      </c>
      <c r="B19" s="1266"/>
      <c r="C19" s="1266"/>
      <c r="D19" s="1174">
        <f>'Données Investissement'!F20</f>
        <v>0.45</v>
      </c>
      <c r="E19" s="675">
        <f t="shared" si="0"/>
        <v>0</v>
      </c>
      <c r="F19" s="36">
        <f>D19+E19</f>
        <v>0.45</v>
      </c>
      <c r="G19" s="36">
        <f>D19+E19</f>
        <v>0.45</v>
      </c>
      <c r="H19" s="36">
        <f>D19+E19</f>
        <v>0.45</v>
      </c>
    </row>
    <row r="20" spans="1:9" x14ac:dyDescent="0.2">
      <c r="A20" s="1266" t="str">
        <f>'Données Investissement'!A21:C21</f>
        <v>Electricité et utilités</v>
      </c>
      <c r="B20" s="1266"/>
      <c r="C20" s="1266"/>
      <c r="D20" s="1174">
        <f>'Données Investissement'!F21</f>
        <v>5.3</v>
      </c>
      <c r="E20" s="675">
        <f t="shared" si="0"/>
        <v>0</v>
      </c>
      <c r="F20" s="36">
        <f>D20+E20</f>
        <v>5.3</v>
      </c>
      <c r="G20" s="36">
        <f>F20</f>
        <v>5.3</v>
      </c>
      <c r="H20" s="36">
        <f>D20+E20</f>
        <v>5.3</v>
      </c>
    </row>
    <row r="21" spans="1:9" x14ac:dyDescent="0.2">
      <c r="A21" s="1266" t="str">
        <f>'Données Investissement'!A22:C22</f>
        <v>VRD</v>
      </c>
      <c r="B21" s="1266"/>
      <c r="C21" s="1266"/>
      <c r="D21" s="674">
        <f>'Données Investissement'!F22</f>
        <v>1.9</v>
      </c>
      <c r="E21" s="675">
        <f t="shared" si="0"/>
        <v>0</v>
      </c>
      <c r="F21" s="36"/>
    </row>
    <row r="22" spans="1:9" x14ac:dyDescent="0.2">
      <c r="A22" s="1266"/>
      <c r="B22" s="1266"/>
      <c r="C22" s="1266"/>
      <c r="D22" s="197"/>
      <c r="E22" s="675">
        <f t="shared" si="0"/>
        <v>0</v>
      </c>
      <c r="F22" s="36"/>
    </row>
    <row r="23" spans="1:9" x14ac:dyDescent="0.2">
      <c r="A23" s="1266" t="str">
        <f>'Données Investissement'!A23:C23</f>
        <v>Projet (11,5%)</v>
      </c>
      <c r="B23" s="1266"/>
      <c r="C23" s="1266"/>
      <c r="D23" s="1175">
        <f>'Données Investissement'!F23</f>
        <v>4.9000000000000004</v>
      </c>
      <c r="E23" s="675">
        <f t="shared" si="0"/>
        <v>0</v>
      </c>
      <c r="F23" s="36">
        <f>2.4+E23/2</f>
        <v>2.4</v>
      </c>
      <c r="H23" s="36">
        <f>F23</f>
        <v>2.4</v>
      </c>
      <c r="I23" t="s">
        <v>70</v>
      </c>
    </row>
    <row r="24" spans="1:9" x14ac:dyDescent="0.2">
      <c r="A24" s="1266" t="str">
        <f>'Données Investissement'!A24:C24</f>
        <v>DNR (9,5%)</v>
      </c>
      <c r="B24" s="1266"/>
      <c r="C24" s="1266"/>
      <c r="D24" s="197"/>
      <c r="E24" s="676"/>
    </row>
    <row r="25" spans="1:9" x14ac:dyDescent="0.2">
      <c r="F25" s="36">
        <f>SUM(F5:F24)</f>
        <v>36.229999999999997</v>
      </c>
      <c r="G25" s="36">
        <f>SUM(G5:G24)</f>
        <v>32.43</v>
      </c>
      <c r="H25" s="36">
        <f>SUM(H5:H24)</f>
        <v>36.229999999999997</v>
      </c>
    </row>
  </sheetData>
  <mergeCells count="22">
    <mergeCell ref="A24:C24"/>
    <mergeCell ref="A2:C2"/>
    <mergeCell ref="A5:C5"/>
    <mergeCell ref="A7:C7"/>
    <mergeCell ref="A12:C12"/>
    <mergeCell ref="A9:C9"/>
    <mergeCell ref="A4:C4"/>
    <mergeCell ref="A11:C11"/>
    <mergeCell ref="A6:C6"/>
    <mergeCell ref="A10:C10"/>
    <mergeCell ref="A8:C8"/>
    <mergeCell ref="A13:C13"/>
    <mergeCell ref="A23:C23"/>
    <mergeCell ref="A15:C15"/>
    <mergeCell ref="A16:C16"/>
    <mergeCell ref="A17:C17"/>
    <mergeCell ref="A18:C18"/>
    <mergeCell ref="A20:C20"/>
    <mergeCell ref="A14:C14"/>
    <mergeCell ref="A19:C19"/>
    <mergeCell ref="A22:C22"/>
    <mergeCell ref="A21:C21"/>
  </mergeCells>
  <phoneticPr fontId="6" type="noConversion"/>
  <pageMargins left="0.78740157499999996" right="0.78740157499999996" top="0.984251969" bottom="0.984251969" header="0.4921259845" footer="0.4921259845"/>
  <pageSetup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Z62"/>
  <sheetViews>
    <sheetView workbookViewId="0">
      <selection activeCell="F8" sqref="F8"/>
    </sheetView>
  </sheetViews>
  <sheetFormatPr baseColWidth="10" defaultRowHeight="12.75" x14ac:dyDescent="0.2"/>
  <cols>
    <col min="1" max="1" width="36.5703125" customWidth="1"/>
    <col min="6" max="6" width="15" bestFit="1" customWidth="1"/>
    <col min="7" max="8" width="12.7109375" bestFit="1" customWidth="1"/>
    <col min="11" max="11" width="14.42578125" bestFit="1" customWidth="1"/>
    <col min="12" max="12" width="2.5703125" customWidth="1"/>
    <col min="13" max="13" width="1.5703125" customWidth="1"/>
    <col min="14" max="14" width="2" customWidth="1"/>
    <col min="15" max="15" width="34.42578125" customWidth="1"/>
  </cols>
  <sheetData>
    <row r="1" spans="1:26" x14ac:dyDescent="0.2">
      <c r="E1" s="1173">
        <f>F6/B6</f>
        <v>0.5930105221362636</v>
      </c>
    </row>
    <row r="2" spans="1:26" ht="13.5" thickBot="1" x14ac:dyDescent="0.25">
      <c r="A2" s="755" t="s">
        <v>382</v>
      </c>
      <c r="O2" s="1203">
        <v>4708000</v>
      </c>
    </row>
    <row r="3" spans="1:26" ht="13.5" thickBot="1" x14ac:dyDescent="0.25">
      <c r="A3" s="755"/>
      <c r="B3" s="16" t="s">
        <v>387</v>
      </c>
      <c r="C3" s="16" t="s">
        <v>388</v>
      </c>
      <c r="E3" s="772" t="s">
        <v>258</v>
      </c>
      <c r="F3" s="773"/>
      <c r="G3" s="773"/>
      <c r="H3" s="774"/>
      <c r="O3" s="893"/>
      <c r="Q3" s="43" t="s">
        <v>1211</v>
      </c>
    </row>
    <row r="4" spans="1:26" x14ac:dyDescent="0.2">
      <c r="A4" s="761" t="s">
        <v>386</v>
      </c>
      <c r="B4" s="761">
        <v>3500000</v>
      </c>
      <c r="C4" s="18">
        <f>B4/$B$7</f>
        <v>0.15217391304347827</v>
      </c>
      <c r="E4" s="772"/>
      <c r="F4" s="777">
        <v>2015</v>
      </c>
      <c r="G4" s="777">
        <v>2016</v>
      </c>
      <c r="H4" s="777">
        <v>2017</v>
      </c>
      <c r="I4" s="778" t="s">
        <v>259</v>
      </c>
      <c r="K4" s="43" t="s">
        <v>1211</v>
      </c>
      <c r="Q4" s="178">
        <v>3800000</v>
      </c>
      <c r="R4" s="195"/>
      <c r="S4" s="195"/>
      <c r="T4" s="195"/>
      <c r="U4" s="195"/>
      <c r="V4" s="195"/>
      <c r="W4" s="195"/>
      <c r="X4" s="195"/>
      <c r="Y4" s="195"/>
      <c r="Z4" s="195"/>
    </row>
    <row r="5" spans="1:26" ht="13.5" thickBot="1" x14ac:dyDescent="0.25">
      <c r="A5" s="761" t="s">
        <v>385</v>
      </c>
      <c r="B5" s="761">
        <v>9500000</v>
      </c>
      <c r="C5" s="18">
        <f>B5/$B$7</f>
        <v>0.41304347826086957</v>
      </c>
      <c r="E5" s="775"/>
      <c r="F5" s="776">
        <f>Flux!C41</f>
        <v>13639242.009134063</v>
      </c>
      <c r="G5" s="776">
        <f>I5-F5</f>
        <v>9360757.9908659365</v>
      </c>
      <c r="H5" s="776">
        <f>SUM(H6:H8)</f>
        <v>0</v>
      </c>
      <c r="I5" s="1209">
        <v>23000000</v>
      </c>
      <c r="K5" s="1204">
        <v>5888000</v>
      </c>
      <c r="Q5" s="178">
        <v>5000000</v>
      </c>
      <c r="R5" s="195"/>
      <c r="S5" s="195"/>
      <c r="T5" s="195"/>
      <c r="U5" s="195"/>
      <c r="V5" s="195"/>
      <c r="W5" s="195"/>
      <c r="X5" s="195"/>
      <c r="Y5" s="195"/>
      <c r="Z5" s="195"/>
    </row>
    <row r="6" spans="1:26" x14ac:dyDescent="0.2">
      <c r="A6" s="761" t="s">
        <v>384</v>
      </c>
      <c r="B6" s="761">
        <v>10000000</v>
      </c>
      <c r="C6" s="18">
        <f>B6/$B$7</f>
        <v>0.43478260869565216</v>
      </c>
      <c r="D6" s="758"/>
      <c r="E6" s="758" t="s">
        <v>1211</v>
      </c>
      <c r="F6" s="882">
        <f>F5*C6</f>
        <v>5930105.2213626364</v>
      </c>
      <c r="G6" s="882">
        <f>IF(F6*2&lt;B6,F6,B6-F6)</f>
        <v>4069894.7786373636</v>
      </c>
      <c r="H6" s="882">
        <f>B6-F6-G6</f>
        <v>0</v>
      </c>
      <c r="I6" s="758"/>
      <c r="J6" s="758"/>
      <c r="K6" s="758"/>
      <c r="Q6" s="178">
        <v>5600000</v>
      </c>
      <c r="R6" s="195"/>
      <c r="S6" s="195"/>
      <c r="T6" s="195"/>
      <c r="U6" s="195"/>
      <c r="V6" s="195"/>
      <c r="W6" s="195"/>
      <c r="X6" s="195"/>
      <c r="Y6" s="195"/>
      <c r="Z6" s="195"/>
    </row>
    <row r="7" spans="1:26" x14ac:dyDescent="0.2">
      <c r="A7" s="762" t="s">
        <v>383</v>
      </c>
      <c r="B7" s="762">
        <f>SUM(B4:B6)</f>
        <v>23000000</v>
      </c>
      <c r="C7" s="18">
        <f>B7/$B$7</f>
        <v>1</v>
      </c>
      <c r="D7" s="758"/>
      <c r="E7" s="758" t="s">
        <v>1212</v>
      </c>
      <c r="F7" s="882">
        <f>F5*C5</f>
        <v>5633599.9602945046</v>
      </c>
      <c r="G7" s="882">
        <f>IF(F7*2&lt;B5,F7,B5-F7)</f>
        <v>3866400.0397054954</v>
      </c>
      <c r="H7" s="882">
        <f>B5-F7-G7</f>
        <v>0</v>
      </c>
      <c r="I7" s="758"/>
      <c r="J7" s="758"/>
      <c r="K7" s="758"/>
      <c r="Q7" s="178">
        <v>2500000</v>
      </c>
    </row>
    <row r="8" spans="1:26" x14ac:dyDescent="0.2">
      <c r="A8" s="767"/>
      <c r="B8" s="767"/>
      <c r="C8" s="140"/>
      <c r="D8" s="758"/>
      <c r="E8" s="758" t="s">
        <v>1213</v>
      </c>
      <c r="F8" s="883">
        <f>F5*C4</f>
        <v>2075536.8274769229</v>
      </c>
      <c r="G8" s="882">
        <f>IF(F8*2&lt;B4,F8,B4-F8)</f>
        <v>1424463.1725230771</v>
      </c>
      <c r="H8" s="883">
        <f>B4-F8-G8</f>
        <v>0</v>
      </c>
      <c r="I8" s="758"/>
      <c r="J8" s="758"/>
      <c r="K8" s="758"/>
      <c r="Q8" s="178">
        <v>0</v>
      </c>
    </row>
    <row r="9" spans="1:26" s="771" customFormat="1" x14ac:dyDescent="0.2">
      <c r="A9" s="768" t="s">
        <v>400</v>
      </c>
      <c r="B9" s="768"/>
      <c r="C9" s="769"/>
      <c r="D9" s="770"/>
      <c r="E9" s="770"/>
      <c r="F9" s="770"/>
      <c r="G9" s="770"/>
      <c r="H9" s="770"/>
      <c r="I9" s="770"/>
      <c r="J9" s="770"/>
      <c r="K9" s="770"/>
      <c r="O9" s="768" t="s">
        <v>401</v>
      </c>
    </row>
    <row r="10" spans="1:26" x14ac:dyDescent="0.2">
      <c r="A10" s="755"/>
      <c r="B10" s="758"/>
      <c r="C10" s="758"/>
      <c r="D10" s="758"/>
      <c r="E10" s="758"/>
      <c r="F10" s="758"/>
      <c r="G10" s="758"/>
      <c r="H10" s="758"/>
      <c r="I10" s="758"/>
      <c r="J10" s="758"/>
      <c r="K10" s="758"/>
    </row>
    <row r="11" spans="1:26" s="666" customFormat="1" x14ac:dyDescent="0.2">
      <c r="A11" s="665" t="s">
        <v>393</v>
      </c>
      <c r="B11" s="765"/>
      <c r="C11" s="765"/>
      <c r="D11" s="765"/>
      <c r="E11" s="765"/>
      <c r="F11" s="765"/>
      <c r="G11" s="765"/>
      <c r="H11" s="765"/>
      <c r="I11" s="765"/>
      <c r="J11" s="765"/>
      <c r="K11" s="765"/>
    </row>
    <row r="12" spans="1:26" x14ac:dyDescent="0.2">
      <c r="A12" s="755"/>
      <c r="B12" s="758">
        <v>1</v>
      </c>
      <c r="C12" s="758">
        <v>2</v>
      </c>
      <c r="D12" s="758">
        <v>3</v>
      </c>
      <c r="E12" s="758">
        <v>4</v>
      </c>
      <c r="F12" s="758">
        <v>5</v>
      </c>
      <c r="G12" s="758">
        <v>6</v>
      </c>
      <c r="H12" s="758">
        <v>7</v>
      </c>
      <c r="I12" s="758">
        <v>8</v>
      </c>
      <c r="J12" s="758">
        <v>9</v>
      </c>
      <c r="K12" s="758">
        <v>10</v>
      </c>
      <c r="O12" s="755"/>
      <c r="P12" s="758">
        <v>1</v>
      </c>
      <c r="Q12" s="758">
        <v>2</v>
      </c>
      <c r="R12" s="758">
        <v>3</v>
      </c>
      <c r="S12" s="758">
        <v>4</v>
      </c>
      <c r="T12" s="758">
        <v>5</v>
      </c>
      <c r="U12" s="758">
        <v>6</v>
      </c>
      <c r="V12" s="758">
        <v>7</v>
      </c>
      <c r="W12" s="758">
        <v>8</v>
      </c>
      <c r="X12" s="758">
        <v>9</v>
      </c>
      <c r="Y12" s="758">
        <v>10</v>
      </c>
    </row>
    <row r="13" spans="1:26" x14ac:dyDescent="0.2">
      <c r="A13" s="15" t="s">
        <v>58</v>
      </c>
      <c r="B13" s="756">
        <v>2014</v>
      </c>
      <c r="C13" s="756">
        <v>2015</v>
      </c>
      <c r="D13" s="756">
        <v>2016</v>
      </c>
      <c r="E13" s="756">
        <v>2017</v>
      </c>
      <c r="F13" s="756">
        <v>2018</v>
      </c>
      <c r="G13" s="756">
        <v>2019</v>
      </c>
      <c r="H13" s="756">
        <v>2020</v>
      </c>
      <c r="I13" s="756">
        <v>2021</v>
      </c>
      <c r="J13" s="756">
        <v>2022</v>
      </c>
      <c r="K13" s="756">
        <v>2023</v>
      </c>
      <c r="O13" s="15" t="s">
        <v>58</v>
      </c>
      <c r="P13" s="756">
        <v>2014</v>
      </c>
      <c r="Q13" s="756">
        <v>2015</v>
      </c>
      <c r="R13" s="756">
        <v>2016</v>
      </c>
      <c r="S13" s="756">
        <v>2017</v>
      </c>
      <c r="T13" s="756">
        <v>2018</v>
      </c>
      <c r="U13" s="756">
        <v>2019</v>
      </c>
      <c r="V13" s="756">
        <v>2020</v>
      </c>
      <c r="W13" s="756">
        <v>2021</v>
      </c>
      <c r="X13" s="756">
        <v>2022</v>
      </c>
      <c r="Y13" s="756">
        <v>2023</v>
      </c>
    </row>
    <row r="14" spans="1:26" x14ac:dyDescent="0.2">
      <c r="A14" s="759" t="s">
        <v>531</v>
      </c>
      <c r="B14" s="757">
        <f>B4</f>
        <v>3500000</v>
      </c>
      <c r="C14" s="757">
        <f>B14+B15</f>
        <v>3920000</v>
      </c>
      <c r="D14" s="757">
        <f t="shared" ref="D14:K14" si="0">C14+C15</f>
        <v>4390400</v>
      </c>
      <c r="E14" s="757">
        <f t="shared" si="0"/>
        <v>4917248</v>
      </c>
      <c r="F14" s="757">
        <f t="shared" si="0"/>
        <v>5507317.7599999998</v>
      </c>
      <c r="G14" s="757">
        <f t="shared" si="0"/>
        <v>6168195.8911999995</v>
      </c>
      <c r="H14" s="757">
        <f t="shared" si="0"/>
        <v>6908379.3981439993</v>
      </c>
      <c r="I14" s="757">
        <f t="shared" si="0"/>
        <v>7737384.925921279</v>
      </c>
      <c r="J14" s="757">
        <f t="shared" si="0"/>
        <v>8665871.1170318332</v>
      </c>
      <c r="K14" s="757">
        <f t="shared" si="0"/>
        <v>9705775.6510756537</v>
      </c>
      <c r="O14" s="15" t="s">
        <v>396</v>
      </c>
      <c r="P14" s="757">
        <f>Bilan!E37</f>
        <v>13639242.009134063</v>
      </c>
      <c r="Q14" s="757">
        <f>Bilan!F37</f>
        <v>23000000.0015085</v>
      </c>
      <c r="R14" s="757">
        <f>Bilan!G37</f>
        <v>23000000.003258139</v>
      </c>
      <c r="S14" s="757">
        <f>Bilan!H37</f>
        <v>21049011.944340359</v>
      </c>
      <c r="T14" s="757">
        <f>Bilan!I37</f>
        <v>20649030.814113997</v>
      </c>
      <c r="U14" s="757">
        <f>Bilan!J37</f>
        <v>20700321.383532729</v>
      </c>
      <c r="V14" s="757">
        <f>Bilan!K37</f>
        <v>28516139.388618477</v>
      </c>
      <c r="W14" s="757">
        <f>Bilan!L37</f>
        <v>38684176.10416764</v>
      </c>
      <c r="X14" s="757">
        <f>Bilan!M37</f>
        <v>49401991.780144446</v>
      </c>
      <c r="Y14" s="757">
        <f>Bilan!N37</f>
        <v>60393970.081512392</v>
      </c>
    </row>
    <row r="15" spans="1:26" x14ac:dyDescent="0.2">
      <c r="A15" s="15" t="s">
        <v>389</v>
      </c>
      <c r="B15" s="757">
        <f>B14*$B$19</f>
        <v>420000</v>
      </c>
      <c r="C15" s="757">
        <f>C14*$B$19</f>
        <v>470400</v>
      </c>
      <c r="D15" s="757">
        <f t="shared" ref="D15:K15" si="1">D14*$B$19</f>
        <v>526848</v>
      </c>
      <c r="E15" s="757">
        <f t="shared" si="1"/>
        <v>590069.76000000001</v>
      </c>
      <c r="F15" s="757">
        <f t="shared" si="1"/>
        <v>660878.13119999995</v>
      </c>
      <c r="G15" s="757">
        <f t="shared" si="1"/>
        <v>740183.50694399991</v>
      </c>
      <c r="H15" s="757">
        <f t="shared" si="1"/>
        <v>829005.52777727984</v>
      </c>
      <c r="I15" s="757">
        <f t="shared" si="1"/>
        <v>928486.19111055345</v>
      </c>
      <c r="J15" s="757">
        <f t="shared" si="1"/>
        <v>1039904.53404382</v>
      </c>
      <c r="K15" s="757">
        <f t="shared" si="1"/>
        <v>1164693.0781290785</v>
      </c>
      <c r="O15" s="15" t="s">
        <v>399</v>
      </c>
      <c r="P15" s="757">
        <f>P14*$C$4</f>
        <v>2075536.8274769229</v>
      </c>
      <c r="Q15" s="757">
        <f t="shared" ref="Q15:Y15" si="2">Q14*$C$4</f>
        <v>3500000.0002295547</v>
      </c>
      <c r="R15" s="757">
        <f t="shared" si="2"/>
        <v>3500000.000495804</v>
      </c>
      <c r="S15" s="757">
        <f t="shared" si="2"/>
        <v>3203110.5132691856</v>
      </c>
      <c r="T15" s="757">
        <f t="shared" si="2"/>
        <v>3142243.8195390869</v>
      </c>
      <c r="U15" s="757">
        <f t="shared" si="2"/>
        <v>3150048.9061897635</v>
      </c>
      <c r="V15" s="757">
        <f t="shared" si="2"/>
        <v>4339412.5156593341</v>
      </c>
      <c r="W15" s="757">
        <f t="shared" si="2"/>
        <v>5886722.4506342066</v>
      </c>
      <c r="X15" s="757">
        <f t="shared" si="2"/>
        <v>7517694.4013263294</v>
      </c>
      <c r="Y15" s="757">
        <f t="shared" si="2"/>
        <v>9190386.7515344955</v>
      </c>
    </row>
    <row r="16" spans="1:26" x14ac:dyDescent="0.2">
      <c r="A16" s="15" t="s">
        <v>381</v>
      </c>
      <c r="B16" s="757">
        <f>B15</f>
        <v>420000</v>
      </c>
      <c r="C16" s="757">
        <f>C15+B16</f>
        <v>890400</v>
      </c>
      <c r="D16" s="757">
        <f t="shared" ref="D16:K16" si="3">D15+C16</f>
        <v>1417248</v>
      </c>
      <c r="E16" s="757">
        <f t="shared" si="3"/>
        <v>2007317.76</v>
      </c>
      <c r="F16" s="757">
        <f t="shared" si="3"/>
        <v>2668195.8912</v>
      </c>
      <c r="G16" s="757">
        <f t="shared" si="3"/>
        <v>3408379.3981439997</v>
      </c>
      <c r="H16" s="757">
        <f t="shared" si="3"/>
        <v>4237384.9259212799</v>
      </c>
      <c r="I16" s="757">
        <f t="shared" si="3"/>
        <v>5165871.1170318332</v>
      </c>
      <c r="J16" s="757">
        <f t="shared" si="3"/>
        <v>6205775.6510756528</v>
      </c>
      <c r="K16" s="757">
        <f t="shared" si="3"/>
        <v>7370468.7292047311</v>
      </c>
      <c r="M16" s="195"/>
    </row>
    <row r="17" spans="1:25" x14ac:dyDescent="0.2">
      <c r="A17" s="759" t="s">
        <v>390</v>
      </c>
      <c r="B17" s="757">
        <f>B14+B15</f>
        <v>3920000</v>
      </c>
      <c r="C17" s="757">
        <f t="shared" ref="C17:K17" si="4">C14+C15</f>
        <v>4390400</v>
      </c>
      <c r="D17" s="757">
        <f t="shared" si="4"/>
        <v>4917248</v>
      </c>
      <c r="E17" s="757">
        <f t="shared" si="4"/>
        <v>5507317.7599999998</v>
      </c>
      <c r="F17" s="757">
        <f t="shared" si="4"/>
        <v>6168195.8911999995</v>
      </c>
      <c r="G17" s="757">
        <f t="shared" si="4"/>
        <v>6908379.3981439993</v>
      </c>
      <c r="H17" s="757">
        <f t="shared" si="4"/>
        <v>7737384.925921279</v>
      </c>
      <c r="I17" s="757">
        <f t="shared" si="4"/>
        <v>8665871.1170318332</v>
      </c>
      <c r="J17" s="757">
        <f t="shared" si="4"/>
        <v>9705775.6510756537</v>
      </c>
      <c r="K17" s="757">
        <f t="shared" si="4"/>
        <v>10870468.729204733</v>
      </c>
      <c r="M17" s="195"/>
    </row>
    <row r="18" spans="1:25" x14ac:dyDescent="0.2">
      <c r="M18" s="195"/>
    </row>
    <row r="19" spans="1:25" x14ac:dyDescent="0.2">
      <c r="A19" s="15" t="s">
        <v>532</v>
      </c>
      <c r="B19" s="764">
        <v>0.12</v>
      </c>
      <c r="M19" s="195"/>
    </row>
    <row r="20" spans="1:25" x14ac:dyDescent="0.2">
      <c r="M20" s="195"/>
    </row>
    <row r="21" spans="1:25" x14ac:dyDescent="0.2">
      <c r="B21" s="756">
        <v>2014</v>
      </c>
      <c r="C21" s="756">
        <v>2015</v>
      </c>
      <c r="D21" s="756">
        <v>2016</v>
      </c>
      <c r="E21" s="756">
        <v>2017</v>
      </c>
      <c r="F21" s="756">
        <v>2018</v>
      </c>
      <c r="G21" s="756">
        <v>2019</v>
      </c>
      <c r="H21" s="756">
        <v>2020</v>
      </c>
      <c r="I21" s="756">
        <v>2021</v>
      </c>
      <c r="J21" s="756">
        <v>2022</v>
      </c>
      <c r="K21" s="756">
        <v>2023</v>
      </c>
      <c r="M21" s="195"/>
    </row>
    <row r="22" spans="1:25" x14ac:dyDescent="0.2">
      <c r="A22" s="15" t="s">
        <v>533</v>
      </c>
      <c r="B22" s="757">
        <f>Flux!C6</f>
        <v>-2713084.5299800001</v>
      </c>
      <c r="C22" s="757">
        <f>Flux!D6</f>
        <v>-1759499.9999799998</v>
      </c>
      <c r="D22" s="757">
        <f>Flux!E6</f>
        <v>-1938636.4306869388</v>
      </c>
      <c r="E22" s="757">
        <f>Flux!F6</f>
        <v>2716760.3717405708</v>
      </c>
      <c r="F22" s="757">
        <f>Flux!G6</f>
        <v>5415858.3143945942</v>
      </c>
      <c r="G22" s="757">
        <f>Flux!H6</f>
        <v>10090947.409256076</v>
      </c>
      <c r="H22" s="757">
        <f>Flux!I6</f>
        <v>14871532.974677635</v>
      </c>
      <c r="I22" s="757">
        <f>Flux!J6</f>
        <v>19905381.558407821</v>
      </c>
      <c r="J22" s="757">
        <f>Flux!K6</f>
        <v>20375386.963298187</v>
      </c>
      <c r="K22" s="757">
        <f>Flux!L6</f>
        <v>20609717.987224165</v>
      </c>
      <c r="M22" s="195"/>
    </row>
    <row r="23" spans="1:25" x14ac:dyDescent="0.2">
      <c r="H23" s="760"/>
      <c r="I23" s="760"/>
      <c r="J23" s="760"/>
      <c r="K23" s="760"/>
    </row>
    <row r="24" spans="1:25" x14ac:dyDescent="0.2">
      <c r="A24" s="1289" t="s">
        <v>392</v>
      </c>
      <c r="B24" s="1289"/>
      <c r="C24" s="1289"/>
      <c r="D24" s="1289"/>
      <c r="E24" s="1289"/>
      <c r="F24" s="1289"/>
      <c r="G24" s="1289"/>
      <c r="H24" s="757">
        <f>H17*($C$7/$C$4)</f>
        <v>50845672.370339833</v>
      </c>
      <c r="I24" s="757">
        <f>I17*($C$7/$C$4)</f>
        <v>56947153.054780617</v>
      </c>
      <c r="J24" s="757">
        <f>J17*($C$7/$C$4)</f>
        <v>63780811.421354294</v>
      </c>
      <c r="K24" s="757">
        <f>K17*($C$7/$C$4)</f>
        <v>71434508.791916817</v>
      </c>
      <c r="M24" s="766"/>
    </row>
    <row r="26" spans="1:25" x14ac:dyDescent="0.2">
      <c r="A26" s="1289" t="s">
        <v>391</v>
      </c>
      <c r="B26" s="1289"/>
      <c r="C26" s="1289"/>
      <c r="D26" s="1289"/>
      <c r="E26" s="1289"/>
      <c r="F26" s="1289"/>
      <c r="G26" s="1289"/>
      <c r="H26" s="763">
        <f>H24/H22</f>
        <v>3.4189933517221682</v>
      </c>
      <c r="I26" s="763">
        <f>I24/I22</f>
        <v>2.8608923113421429</v>
      </c>
      <c r="J26" s="763">
        <f>J24/J22</f>
        <v>3.1302871222147344</v>
      </c>
      <c r="K26" s="763">
        <f>K24/K22</f>
        <v>3.4660594985432902</v>
      </c>
    </row>
    <row r="28" spans="1:25" x14ac:dyDescent="0.2">
      <c r="H28" s="195"/>
      <c r="I28" s="195"/>
      <c r="J28" s="195"/>
      <c r="K28" s="195"/>
    </row>
    <row r="29" spans="1:25" s="666" customFormat="1" x14ac:dyDescent="0.2">
      <c r="A29" s="665" t="s">
        <v>394</v>
      </c>
      <c r="B29" s="765"/>
      <c r="C29" s="765"/>
      <c r="D29" s="765"/>
      <c r="E29" s="765"/>
      <c r="F29" s="765"/>
      <c r="G29" s="765"/>
      <c r="H29" s="765"/>
      <c r="I29" s="765"/>
      <c r="J29" s="765"/>
      <c r="K29" s="765"/>
    </row>
    <row r="30" spans="1:25" x14ac:dyDescent="0.2">
      <c r="A30" s="755"/>
      <c r="B30" s="758">
        <v>1</v>
      </c>
      <c r="C30" s="758">
        <v>2</v>
      </c>
      <c r="D30" s="758">
        <v>3</v>
      </c>
      <c r="E30" s="758">
        <v>4</v>
      </c>
      <c r="F30" s="758">
        <v>5</v>
      </c>
      <c r="G30" s="758">
        <v>6</v>
      </c>
      <c r="H30" s="758">
        <v>7</v>
      </c>
      <c r="I30" s="758">
        <v>8</v>
      </c>
      <c r="J30" s="758">
        <v>9</v>
      </c>
      <c r="K30" s="758">
        <v>10</v>
      </c>
      <c r="O30" s="755"/>
      <c r="P30" s="758">
        <v>1</v>
      </c>
      <c r="Q30" s="758">
        <v>2</v>
      </c>
      <c r="R30" s="758">
        <v>3</v>
      </c>
      <c r="S30" s="758">
        <v>4</v>
      </c>
      <c r="T30" s="758">
        <v>5</v>
      </c>
      <c r="U30" s="758">
        <v>6</v>
      </c>
      <c r="V30" s="758">
        <v>7</v>
      </c>
      <c r="W30" s="758">
        <v>8</v>
      </c>
      <c r="X30" s="758">
        <v>9</v>
      </c>
      <c r="Y30" s="758">
        <v>10</v>
      </c>
    </row>
    <row r="31" spans="1:25" x14ac:dyDescent="0.2">
      <c r="A31" s="15" t="s">
        <v>58</v>
      </c>
      <c r="B31" s="756">
        <v>2014</v>
      </c>
      <c r="C31" s="756">
        <v>2015</v>
      </c>
      <c r="D31" s="756">
        <v>2016</v>
      </c>
      <c r="E31" s="756">
        <v>2017</v>
      </c>
      <c r="F31" s="756">
        <v>2018</v>
      </c>
      <c r="G31" s="756">
        <v>2019</v>
      </c>
      <c r="H31" s="756">
        <v>2020</v>
      </c>
      <c r="I31" s="756">
        <v>2021</v>
      </c>
      <c r="J31" s="756">
        <v>2022</v>
      </c>
      <c r="K31" s="756">
        <v>2023</v>
      </c>
      <c r="O31" s="15" t="s">
        <v>58</v>
      </c>
      <c r="P31" s="756">
        <v>2014</v>
      </c>
      <c r="Q31" s="756">
        <v>2015</v>
      </c>
      <c r="R31" s="756">
        <v>2016</v>
      </c>
      <c r="S31" s="756">
        <v>2017</v>
      </c>
      <c r="T31" s="756">
        <v>2018</v>
      </c>
      <c r="U31" s="756">
        <v>2019</v>
      </c>
      <c r="V31" s="756">
        <v>2020</v>
      </c>
      <c r="W31" s="756">
        <v>2021</v>
      </c>
      <c r="X31" s="756">
        <v>2022</v>
      </c>
      <c r="Y31" s="756">
        <v>2023</v>
      </c>
    </row>
    <row r="32" spans="1:25" x14ac:dyDescent="0.2">
      <c r="A32" s="759" t="s">
        <v>385</v>
      </c>
      <c r="B32" s="757">
        <f>B5</f>
        <v>9500000</v>
      </c>
      <c r="C32" s="757">
        <f>B32+B33</f>
        <v>10640000</v>
      </c>
      <c r="D32" s="757">
        <f t="shared" ref="D32:K32" si="5">C32+C33</f>
        <v>11916800</v>
      </c>
      <c r="E32" s="757">
        <f t="shared" si="5"/>
        <v>13346816</v>
      </c>
      <c r="F32" s="757">
        <f t="shared" si="5"/>
        <v>14948433.92</v>
      </c>
      <c r="G32" s="757">
        <f t="shared" si="5"/>
        <v>16742245.9904</v>
      </c>
      <c r="H32" s="757">
        <f t="shared" si="5"/>
        <v>18751315.509248</v>
      </c>
      <c r="I32" s="757">
        <f t="shared" si="5"/>
        <v>21001473.370357759</v>
      </c>
      <c r="J32" s="757">
        <f t="shared" si="5"/>
        <v>23521650.17480069</v>
      </c>
      <c r="K32" s="757">
        <f t="shared" si="5"/>
        <v>26344248.195776772</v>
      </c>
      <c r="O32" s="15" t="s">
        <v>398</v>
      </c>
      <c r="P32" s="757">
        <f>P14</f>
        <v>13639242.009134063</v>
      </c>
      <c r="Q32" s="757">
        <f t="shared" ref="Q32:Y32" si="6">Q14</f>
        <v>23000000.0015085</v>
      </c>
      <c r="R32" s="757">
        <f t="shared" si="6"/>
        <v>23000000.003258139</v>
      </c>
      <c r="S32" s="757">
        <f t="shared" si="6"/>
        <v>21049011.944340359</v>
      </c>
      <c r="T32" s="757">
        <f t="shared" si="6"/>
        <v>20649030.814113997</v>
      </c>
      <c r="U32" s="757">
        <f t="shared" si="6"/>
        <v>20700321.383532729</v>
      </c>
      <c r="V32" s="757">
        <f t="shared" si="6"/>
        <v>28516139.388618477</v>
      </c>
      <c r="W32" s="757">
        <f t="shared" si="6"/>
        <v>38684176.10416764</v>
      </c>
      <c r="X32" s="757">
        <f t="shared" si="6"/>
        <v>49401991.780144446</v>
      </c>
      <c r="Y32" s="757">
        <f t="shared" si="6"/>
        <v>60393970.081512392</v>
      </c>
    </row>
    <row r="33" spans="1:25" x14ac:dyDescent="0.2">
      <c r="A33" s="15" t="s">
        <v>389</v>
      </c>
      <c r="B33" s="757">
        <f>B32*$B$37</f>
        <v>1140000</v>
      </c>
      <c r="C33" s="757">
        <f t="shared" ref="C33:K33" si="7">C32*$B$37</f>
        <v>1276800</v>
      </c>
      <c r="D33" s="757">
        <f t="shared" si="7"/>
        <v>1430016</v>
      </c>
      <c r="E33" s="757">
        <f t="shared" si="7"/>
        <v>1601617.9199999999</v>
      </c>
      <c r="F33" s="757">
        <f t="shared" si="7"/>
        <v>1793812.0703999999</v>
      </c>
      <c r="G33" s="757">
        <f t="shared" si="7"/>
        <v>2009069.5188479999</v>
      </c>
      <c r="H33" s="757">
        <f t="shared" si="7"/>
        <v>2250157.8611097597</v>
      </c>
      <c r="I33" s="757">
        <f t="shared" si="7"/>
        <v>2520176.804442931</v>
      </c>
      <c r="J33" s="757">
        <f t="shared" si="7"/>
        <v>2822598.0209760829</v>
      </c>
      <c r="K33" s="757">
        <f t="shared" si="7"/>
        <v>3161309.7834932124</v>
      </c>
      <c r="O33" s="15" t="s">
        <v>397</v>
      </c>
      <c r="P33" s="757">
        <f>P32*$C$5</f>
        <v>5633599.9602945046</v>
      </c>
      <c r="Q33" s="757">
        <f t="shared" ref="Q33:Y33" si="8">Q32*$C$5</f>
        <v>9500000.0006230772</v>
      </c>
      <c r="R33" s="757">
        <f t="shared" si="8"/>
        <v>9500000.0013457537</v>
      </c>
      <c r="S33" s="757">
        <f t="shared" si="8"/>
        <v>8694157.1074449308</v>
      </c>
      <c r="T33" s="757">
        <f t="shared" si="8"/>
        <v>8528947.510177521</v>
      </c>
      <c r="U33" s="757">
        <f t="shared" si="8"/>
        <v>8550132.7453722134</v>
      </c>
      <c r="V33" s="757">
        <f t="shared" si="8"/>
        <v>11778405.399646763</v>
      </c>
      <c r="W33" s="757">
        <f t="shared" si="8"/>
        <v>15978246.651721416</v>
      </c>
      <c r="X33" s="757">
        <f t="shared" si="8"/>
        <v>20405170.517885748</v>
      </c>
      <c r="Y33" s="757">
        <f t="shared" si="8"/>
        <v>24945335.46845077</v>
      </c>
    </row>
    <row r="34" spans="1:25" x14ac:dyDescent="0.2">
      <c r="A34" s="15" t="s">
        <v>381</v>
      </c>
      <c r="B34" s="757">
        <f>B33</f>
        <v>1140000</v>
      </c>
      <c r="C34" s="757">
        <f t="shared" ref="C34:K34" si="9">C33+B34</f>
        <v>2416800</v>
      </c>
      <c r="D34" s="757">
        <f t="shared" si="9"/>
        <v>3846816</v>
      </c>
      <c r="E34" s="757">
        <f t="shared" si="9"/>
        <v>5448433.9199999999</v>
      </c>
      <c r="F34" s="757">
        <f t="shared" si="9"/>
        <v>7242245.9903999995</v>
      </c>
      <c r="G34" s="757">
        <f t="shared" si="9"/>
        <v>9251315.5092479996</v>
      </c>
      <c r="H34" s="757">
        <f t="shared" si="9"/>
        <v>11501473.370357759</v>
      </c>
      <c r="I34" s="757">
        <f t="shared" si="9"/>
        <v>14021650.17480069</v>
      </c>
      <c r="J34" s="757">
        <f t="shared" si="9"/>
        <v>16844248.195776772</v>
      </c>
      <c r="K34" s="757">
        <f t="shared" si="9"/>
        <v>20005557.979269985</v>
      </c>
    </row>
    <row r="35" spans="1:25" x14ac:dyDescent="0.2">
      <c r="A35" s="759" t="s">
        <v>390</v>
      </c>
      <c r="B35" s="757">
        <f>B32+B33</f>
        <v>10640000</v>
      </c>
      <c r="C35" s="757">
        <f t="shared" ref="C35:K35" si="10">C32+C33</f>
        <v>11916800</v>
      </c>
      <c r="D35" s="757">
        <f t="shared" si="10"/>
        <v>13346816</v>
      </c>
      <c r="E35" s="757">
        <f t="shared" si="10"/>
        <v>14948433.92</v>
      </c>
      <c r="F35" s="757">
        <f t="shared" si="10"/>
        <v>16742245.9904</v>
      </c>
      <c r="G35" s="757">
        <f t="shared" si="10"/>
        <v>18751315.509248</v>
      </c>
      <c r="H35" s="757">
        <f t="shared" si="10"/>
        <v>21001473.370357759</v>
      </c>
      <c r="I35" s="757">
        <f t="shared" si="10"/>
        <v>23521650.17480069</v>
      </c>
      <c r="J35" s="757">
        <f t="shared" si="10"/>
        <v>26344248.195776772</v>
      </c>
      <c r="K35" s="757">
        <f t="shared" si="10"/>
        <v>29505557.979269985</v>
      </c>
    </row>
    <row r="37" spans="1:25" x14ac:dyDescent="0.2">
      <c r="A37" s="15" t="s">
        <v>532</v>
      </c>
      <c r="B37" s="764">
        <v>0.12</v>
      </c>
    </row>
    <row r="39" spans="1:25" x14ac:dyDescent="0.2">
      <c r="B39" s="756">
        <v>2014</v>
      </c>
      <c r="C39" s="756">
        <v>2015</v>
      </c>
      <c r="D39" s="756">
        <v>2016</v>
      </c>
      <c r="E39" s="756">
        <v>2017</v>
      </c>
      <c r="F39" s="756">
        <v>2018</v>
      </c>
      <c r="G39" s="756">
        <v>2019</v>
      </c>
      <c r="H39" s="756">
        <v>2020</v>
      </c>
      <c r="I39" s="756">
        <v>2021</v>
      </c>
      <c r="J39" s="756">
        <v>2022</v>
      </c>
      <c r="K39" s="756">
        <v>2023</v>
      </c>
    </row>
    <row r="40" spans="1:25" x14ac:dyDescent="0.2">
      <c r="A40" s="15" t="s">
        <v>533</v>
      </c>
      <c r="B40" s="757">
        <f>B22</f>
        <v>-2713084.5299800001</v>
      </c>
      <c r="C40" s="757">
        <f t="shared" ref="C40:K40" si="11">C22</f>
        <v>-1759499.9999799998</v>
      </c>
      <c r="D40" s="757">
        <f t="shared" si="11"/>
        <v>-1938636.4306869388</v>
      </c>
      <c r="E40" s="757">
        <f t="shared" si="11"/>
        <v>2716760.3717405708</v>
      </c>
      <c r="F40" s="757">
        <f t="shared" si="11"/>
        <v>5415858.3143945942</v>
      </c>
      <c r="G40" s="757">
        <f t="shared" si="11"/>
        <v>10090947.409256076</v>
      </c>
      <c r="H40" s="757">
        <f t="shared" si="11"/>
        <v>14871532.974677635</v>
      </c>
      <c r="I40" s="757">
        <f t="shared" si="11"/>
        <v>19905381.558407821</v>
      </c>
      <c r="J40" s="757">
        <f t="shared" si="11"/>
        <v>20375386.963298187</v>
      </c>
      <c r="K40" s="757">
        <f t="shared" si="11"/>
        <v>20609717.987224165</v>
      </c>
    </row>
    <row r="41" spans="1:25" x14ac:dyDescent="0.2">
      <c r="H41" s="760"/>
      <c r="I41" s="760"/>
      <c r="J41" s="760"/>
      <c r="K41" s="760"/>
    </row>
    <row r="42" spans="1:25" x14ac:dyDescent="0.2">
      <c r="A42" s="1289" t="s">
        <v>392</v>
      </c>
      <c r="B42" s="1289"/>
      <c r="C42" s="1289"/>
      <c r="D42" s="1289"/>
      <c r="E42" s="1289"/>
      <c r="F42" s="1289"/>
      <c r="G42" s="1289"/>
      <c r="H42" s="757">
        <f>H35*($C$7/$C$5)</f>
        <v>50845672.370339841</v>
      </c>
      <c r="I42" s="757">
        <f>I35*($C$7/$C$5)</f>
        <v>56947153.054780617</v>
      </c>
      <c r="J42" s="757">
        <f>J35*($C$7/$C$5)</f>
        <v>63780811.421354286</v>
      </c>
      <c r="K42" s="757">
        <f>K35*($C$7/$C$5)</f>
        <v>71434508.791916803</v>
      </c>
    </row>
    <row r="44" spans="1:25" x14ac:dyDescent="0.2">
      <c r="A44" s="1289" t="s">
        <v>391</v>
      </c>
      <c r="B44" s="1289"/>
      <c r="C44" s="1289"/>
      <c r="D44" s="1289"/>
      <c r="E44" s="1289"/>
      <c r="F44" s="1289"/>
      <c r="G44" s="1289"/>
      <c r="H44" s="763">
        <f>H42/H40</f>
        <v>3.4189933517221687</v>
      </c>
      <c r="I44" s="763">
        <f>I42/I40</f>
        <v>2.8608923113421429</v>
      </c>
      <c r="J44" s="763">
        <f>J42/J40</f>
        <v>3.1302871222147339</v>
      </c>
      <c r="K44" s="763">
        <f>K42/K40</f>
        <v>3.4660594985432893</v>
      </c>
    </row>
    <row r="47" spans="1:25" s="666" customFormat="1" x14ac:dyDescent="0.2">
      <c r="A47" s="665" t="s">
        <v>395</v>
      </c>
      <c r="B47" s="765"/>
      <c r="C47" s="765"/>
      <c r="D47" s="765"/>
      <c r="E47" s="765"/>
      <c r="F47" s="765"/>
      <c r="G47" s="765"/>
      <c r="H47" s="765"/>
      <c r="I47" s="765"/>
      <c r="J47" s="765"/>
      <c r="K47" s="765"/>
    </row>
    <row r="48" spans="1:25" x14ac:dyDescent="0.2">
      <c r="A48" s="755"/>
      <c r="B48" s="758">
        <v>1</v>
      </c>
      <c r="C48" s="758">
        <v>2</v>
      </c>
      <c r="D48" s="758">
        <v>3</v>
      </c>
      <c r="E48" s="758">
        <v>4</v>
      </c>
      <c r="F48" s="758">
        <v>5</v>
      </c>
      <c r="G48" s="758">
        <v>6</v>
      </c>
      <c r="H48" s="758">
        <v>7</v>
      </c>
      <c r="I48" s="758">
        <v>8</v>
      </c>
      <c r="J48" s="758">
        <v>9</v>
      </c>
      <c r="K48" s="758">
        <v>10</v>
      </c>
      <c r="O48" s="755"/>
      <c r="P48" s="758">
        <v>1</v>
      </c>
      <c r="Q48" s="758">
        <v>2</v>
      </c>
      <c r="R48" s="758">
        <v>3</v>
      </c>
      <c r="S48" s="758">
        <v>4</v>
      </c>
      <c r="T48" s="758">
        <v>5</v>
      </c>
      <c r="U48" s="758">
        <v>6</v>
      </c>
      <c r="V48" s="758">
        <v>7</v>
      </c>
      <c r="W48" s="758">
        <v>8</v>
      </c>
      <c r="X48" s="758">
        <v>9</v>
      </c>
      <c r="Y48" s="758">
        <v>10</v>
      </c>
    </row>
    <row r="49" spans="1:25" x14ac:dyDescent="0.2">
      <c r="A49" s="15" t="s">
        <v>58</v>
      </c>
      <c r="B49" s="756">
        <v>2014</v>
      </c>
      <c r="C49" s="756">
        <v>2015</v>
      </c>
      <c r="D49" s="756">
        <v>2016</v>
      </c>
      <c r="E49" s="756">
        <v>2017</v>
      </c>
      <c r="F49" s="756">
        <v>2018</v>
      </c>
      <c r="G49" s="756">
        <v>2019</v>
      </c>
      <c r="H49" s="756">
        <v>2020</v>
      </c>
      <c r="I49" s="756">
        <v>2021</v>
      </c>
      <c r="J49" s="756">
        <v>2022</v>
      </c>
      <c r="K49" s="756">
        <v>2023</v>
      </c>
      <c r="O49" s="15" t="s">
        <v>58</v>
      </c>
      <c r="P49" s="756">
        <v>2014</v>
      </c>
      <c r="Q49" s="756">
        <v>2015</v>
      </c>
      <c r="R49" s="756">
        <v>2016</v>
      </c>
      <c r="S49" s="756">
        <v>2017</v>
      </c>
      <c r="T49" s="756">
        <v>2018</v>
      </c>
      <c r="U49" s="756">
        <v>2019</v>
      </c>
      <c r="V49" s="756">
        <v>2020</v>
      </c>
      <c r="W49" s="756">
        <v>2021</v>
      </c>
      <c r="X49" s="756">
        <v>2022</v>
      </c>
      <c r="Y49" s="756">
        <v>2023</v>
      </c>
    </row>
    <row r="50" spans="1:25" x14ac:dyDescent="0.2">
      <c r="A50" s="759" t="s">
        <v>384</v>
      </c>
      <c r="B50" s="757">
        <f>B6</f>
        <v>10000000</v>
      </c>
      <c r="C50" s="757">
        <f>B50+B51</f>
        <v>11200000</v>
      </c>
      <c r="D50" s="757">
        <f t="shared" ref="D50:K50" si="12">C50+C51</f>
        <v>12544000</v>
      </c>
      <c r="E50" s="757">
        <f t="shared" si="12"/>
        <v>14049280</v>
      </c>
      <c r="F50" s="757">
        <f t="shared" si="12"/>
        <v>15735193.6</v>
      </c>
      <c r="G50" s="757">
        <f t="shared" si="12"/>
        <v>17623416.831999999</v>
      </c>
      <c r="H50" s="757">
        <f t="shared" si="12"/>
        <v>19738226.851839997</v>
      </c>
      <c r="I50" s="757">
        <f t="shared" si="12"/>
        <v>22106814.074060798</v>
      </c>
      <c r="J50" s="757">
        <f t="shared" si="12"/>
        <v>24759631.762948092</v>
      </c>
      <c r="K50" s="757">
        <f t="shared" si="12"/>
        <v>27730787.574501865</v>
      </c>
      <c r="O50" s="15" t="s">
        <v>398</v>
      </c>
      <c r="P50" s="757">
        <f>P32</f>
        <v>13639242.009134063</v>
      </c>
      <c r="Q50" s="757">
        <f t="shared" ref="Q50:Y50" si="13">Q32</f>
        <v>23000000.0015085</v>
      </c>
      <c r="R50" s="757">
        <f t="shared" si="13"/>
        <v>23000000.003258139</v>
      </c>
      <c r="S50" s="757">
        <f t="shared" si="13"/>
        <v>21049011.944340359</v>
      </c>
      <c r="T50" s="757">
        <f t="shared" si="13"/>
        <v>20649030.814113997</v>
      </c>
      <c r="U50" s="757">
        <f t="shared" si="13"/>
        <v>20700321.383532729</v>
      </c>
      <c r="V50" s="757">
        <f t="shared" si="13"/>
        <v>28516139.388618477</v>
      </c>
      <c r="W50" s="757">
        <f t="shared" si="13"/>
        <v>38684176.10416764</v>
      </c>
      <c r="X50" s="757">
        <f t="shared" si="13"/>
        <v>49401991.780144446</v>
      </c>
      <c r="Y50" s="757">
        <f t="shared" si="13"/>
        <v>60393970.081512392</v>
      </c>
    </row>
    <row r="51" spans="1:25" x14ac:dyDescent="0.2">
      <c r="A51" s="15" t="s">
        <v>389</v>
      </c>
      <c r="B51" s="757">
        <f>B50*$B$55</f>
        <v>1200000</v>
      </c>
      <c r="C51" s="757">
        <f t="shared" ref="C51:K51" si="14">C50*$B$55</f>
        <v>1344000</v>
      </c>
      <c r="D51" s="757">
        <f t="shared" si="14"/>
        <v>1505280</v>
      </c>
      <c r="E51" s="757">
        <f t="shared" si="14"/>
        <v>1685913.5999999999</v>
      </c>
      <c r="F51" s="757">
        <f t="shared" si="14"/>
        <v>1888223.2319999998</v>
      </c>
      <c r="G51" s="757">
        <f t="shared" si="14"/>
        <v>2114810.0198399997</v>
      </c>
      <c r="H51" s="757">
        <f t="shared" si="14"/>
        <v>2368587.2222207994</v>
      </c>
      <c r="I51" s="757">
        <f t="shared" si="14"/>
        <v>2652817.6888872958</v>
      </c>
      <c r="J51" s="757">
        <f t="shared" si="14"/>
        <v>2971155.8115537711</v>
      </c>
      <c r="K51" s="757">
        <f t="shared" si="14"/>
        <v>3327694.5089402236</v>
      </c>
      <c r="O51" s="15" t="s">
        <v>402</v>
      </c>
      <c r="P51" s="757">
        <f>P50*$C$6</f>
        <v>5930105.2213626364</v>
      </c>
      <c r="Q51" s="757">
        <f t="shared" ref="Q51:Y51" si="15">Q50*$C$6</f>
        <v>10000000.000655869</v>
      </c>
      <c r="R51" s="757">
        <f t="shared" si="15"/>
        <v>10000000.001416583</v>
      </c>
      <c r="S51" s="757">
        <f t="shared" si="15"/>
        <v>9151744.3236262426</v>
      </c>
      <c r="T51" s="757">
        <f t="shared" si="15"/>
        <v>8977839.484397389</v>
      </c>
      <c r="U51" s="757">
        <f t="shared" si="15"/>
        <v>9000139.7319707517</v>
      </c>
      <c r="V51" s="757">
        <f t="shared" si="15"/>
        <v>12398321.473312382</v>
      </c>
      <c r="W51" s="757">
        <f t="shared" si="15"/>
        <v>16819207.001812018</v>
      </c>
      <c r="X51" s="757">
        <f t="shared" si="15"/>
        <v>21479126.860932369</v>
      </c>
      <c r="Y51" s="757">
        <f t="shared" si="15"/>
        <v>26258247.861527126</v>
      </c>
    </row>
    <row r="52" spans="1:25" x14ac:dyDescent="0.2">
      <c r="A52" s="15" t="s">
        <v>381</v>
      </c>
      <c r="B52" s="757">
        <f>B51</f>
        <v>1200000</v>
      </c>
      <c r="C52" s="757">
        <f t="shared" ref="C52:K52" si="16">C51+B52</f>
        <v>2544000</v>
      </c>
      <c r="D52" s="757">
        <f t="shared" si="16"/>
        <v>4049280</v>
      </c>
      <c r="E52" s="757">
        <f t="shared" si="16"/>
        <v>5735193.5999999996</v>
      </c>
      <c r="F52" s="757">
        <f t="shared" si="16"/>
        <v>7623416.8319999995</v>
      </c>
      <c r="G52" s="757">
        <f t="shared" si="16"/>
        <v>9738226.8518399987</v>
      </c>
      <c r="H52" s="757">
        <f t="shared" si="16"/>
        <v>12106814.074060798</v>
      </c>
      <c r="I52" s="757">
        <f t="shared" si="16"/>
        <v>14759631.762948094</v>
      </c>
      <c r="J52" s="757">
        <f t="shared" si="16"/>
        <v>17730787.574501865</v>
      </c>
      <c r="K52" s="757">
        <f t="shared" si="16"/>
        <v>21058482.083442088</v>
      </c>
    </row>
    <row r="53" spans="1:25" x14ac:dyDescent="0.2">
      <c r="A53" s="759" t="s">
        <v>390</v>
      </c>
      <c r="B53" s="757">
        <f>B50+B51</f>
        <v>11200000</v>
      </c>
      <c r="C53" s="757">
        <f t="shared" ref="C53:K53" si="17">C50+C51</f>
        <v>12544000</v>
      </c>
      <c r="D53" s="757">
        <f t="shared" si="17"/>
        <v>14049280</v>
      </c>
      <c r="E53" s="757">
        <f t="shared" si="17"/>
        <v>15735193.6</v>
      </c>
      <c r="F53" s="757">
        <f t="shared" si="17"/>
        <v>17623416.831999999</v>
      </c>
      <c r="G53" s="757">
        <f t="shared" si="17"/>
        <v>19738226.851839997</v>
      </c>
      <c r="H53" s="757">
        <f t="shared" si="17"/>
        <v>22106814.074060798</v>
      </c>
      <c r="I53" s="757">
        <f t="shared" si="17"/>
        <v>24759631.762948092</v>
      </c>
      <c r="J53" s="757">
        <f t="shared" si="17"/>
        <v>27730787.574501865</v>
      </c>
      <c r="K53" s="757">
        <f t="shared" si="17"/>
        <v>31058482.083442088</v>
      </c>
      <c r="M53" s="766"/>
    </row>
    <row r="55" spans="1:25" x14ac:dyDescent="0.2">
      <c r="A55" s="15" t="s">
        <v>532</v>
      </c>
      <c r="B55" s="764">
        <v>0.12</v>
      </c>
    </row>
    <row r="57" spans="1:25" x14ac:dyDescent="0.2">
      <c r="B57" s="756">
        <v>2014</v>
      </c>
      <c r="C57" s="756">
        <v>2015</v>
      </c>
      <c r="D57" s="756">
        <v>2016</v>
      </c>
      <c r="E57" s="756">
        <v>2017</v>
      </c>
      <c r="F57" s="756">
        <v>2018</v>
      </c>
      <c r="G57" s="756">
        <v>2019</v>
      </c>
      <c r="H57" s="756">
        <v>2020</v>
      </c>
      <c r="I57" s="756">
        <v>2021</v>
      </c>
      <c r="J57" s="756">
        <v>2022</v>
      </c>
      <c r="K57" s="756">
        <v>2023</v>
      </c>
    </row>
    <row r="58" spans="1:25" x14ac:dyDescent="0.2">
      <c r="A58" s="15" t="s">
        <v>533</v>
      </c>
      <c r="B58" s="757">
        <f>B40</f>
        <v>-2713084.5299800001</v>
      </c>
      <c r="C58" s="757">
        <f t="shared" ref="C58:K58" si="18">C40</f>
        <v>-1759499.9999799998</v>
      </c>
      <c r="D58" s="757">
        <f t="shared" si="18"/>
        <v>-1938636.4306869388</v>
      </c>
      <c r="E58" s="757">
        <f t="shared" si="18"/>
        <v>2716760.3717405708</v>
      </c>
      <c r="F58" s="757">
        <f t="shared" si="18"/>
        <v>5415858.3143945942</v>
      </c>
      <c r="G58" s="757">
        <f t="shared" si="18"/>
        <v>10090947.409256076</v>
      </c>
      <c r="H58" s="757">
        <f t="shared" si="18"/>
        <v>14871532.974677635</v>
      </c>
      <c r="I58" s="757">
        <f t="shared" si="18"/>
        <v>19905381.558407821</v>
      </c>
      <c r="J58" s="757">
        <f t="shared" si="18"/>
        <v>20375386.963298187</v>
      </c>
      <c r="K58" s="757">
        <f t="shared" si="18"/>
        <v>20609717.987224165</v>
      </c>
    </row>
    <row r="59" spans="1:25" x14ac:dyDescent="0.2">
      <c r="H59" s="760"/>
      <c r="I59" s="760"/>
      <c r="J59" s="760"/>
      <c r="K59" s="760"/>
    </row>
    <row r="60" spans="1:25" x14ac:dyDescent="0.2">
      <c r="A60" s="1289" t="s">
        <v>392</v>
      </c>
      <c r="B60" s="1289"/>
      <c r="C60" s="1289"/>
      <c r="D60" s="1289"/>
      <c r="E60" s="1289"/>
      <c r="F60" s="1289"/>
      <c r="G60" s="1289"/>
      <c r="H60" s="757">
        <f>H53*($C$7/$C$6)</f>
        <v>50845672.370339841</v>
      </c>
      <c r="I60" s="757">
        <f>I53*($C$7/$C$6)</f>
        <v>56947153.054780617</v>
      </c>
      <c r="J60" s="757">
        <f>J53*($C$7/$C$6)</f>
        <v>63780811.421354294</v>
      </c>
      <c r="K60" s="757">
        <f>K53*($C$7/$C$6)</f>
        <v>71434508.791916817</v>
      </c>
    </row>
    <row r="62" spans="1:25" x14ac:dyDescent="0.2">
      <c r="A62" s="1289" t="s">
        <v>391</v>
      </c>
      <c r="B62" s="1289"/>
      <c r="C62" s="1289"/>
      <c r="D62" s="1289"/>
      <c r="E62" s="1289"/>
      <c r="F62" s="1289"/>
      <c r="G62" s="1289"/>
      <c r="H62" s="763">
        <f>H60/H58</f>
        <v>3.4189933517221687</v>
      </c>
      <c r="I62" s="763">
        <f>I60/I58</f>
        <v>2.8608923113421429</v>
      </c>
      <c r="J62" s="763">
        <f>J60/J58</f>
        <v>3.1302871222147344</v>
      </c>
      <c r="K62" s="763">
        <f>K60/K58</f>
        <v>3.4660594985432902</v>
      </c>
    </row>
  </sheetData>
  <mergeCells count="6">
    <mergeCell ref="A60:G60"/>
    <mergeCell ref="A62:G62"/>
    <mergeCell ref="A24:G24"/>
    <mergeCell ref="A26:G26"/>
    <mergeCell ref="A42:G42"/>
    <mergeCell ref="A44:G44"/>
  </mergeCells>
  <phoneticPr fontId="6" type="noConversion"/>
  <pageMargins left="0.19685039370078741" right="0.19685039370078741" top="0.19685039370078741" bottom="0.19685039370078741" header="0.51181102362204722" footer="0.51181102362204722"/>
  <pageSetup scale="4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I110"/>
  <sheetViews>
    <sheetView topLeftCell="A85" zoomScale="125" workbookViewId="0">
      <selection activeCell="C97" sqref="C97"/>
    </sheetView>
  </sheetViews>
  <sheetFormatPr baseColWidth="10" defaultRowHeight="12.75" x14ac:dyDescent="0.2"/>
  <cols>
    <col min="1" max="1" width="20.28515625" customWidth="1"/>
    <col min="2" max="2" width="14.7109375" customWidth="1"/>
    <col min="3" max="3" width="12.140625" customWidth="1"/>
    <col min="4" max="4" width="12.42578125" bestFit="1" customWidth="1"/>
    <col min="5" max="6" width="12.140625" customWidth="1"/>
    <col min="7" max="7" width="12.42578125" bestFit="1" customWidth="1"/>
    <col min="8" max="8" width="13.42578125" bestFit="1" customWidth="1"/>
    <col min="9" max="9" width="12.42578125" bestFit="1" customWidth="1"/>
    <col min="10" max="10" width="15.5703125" bestFit="1" customWidth="1"/>
    <col min="11" max="11" width="12.42578125" bestFit="1" customWidth="1"/>
    <col min="12" max="12" width="13.42578125" bestFit="1" customWidth="1"/>
    <col min="13" max="23" width="12.42578125" bestFit="1" customWidth="1"/>
    <col min="24" max="24" width="13.42578125" bestFit="1" customWidth="1"/>
    <col min="26" max="26" width="14.7109375" customWidth="1"/>
  </cols>
  <sheetData>
    <row r="1" spans="1:28" ht="26.25" x14ac:dyDescent="0.4">
      <c r="A1" s="9" t="s">
        <v>1063</v>
      </c>
    </row>
    <row r="3" spans="1:28" x14ac:dyDescent="0.2">
      <c r="A3" t="s">
        <v>1064</v>
      </c>
      <c r="B3" s="43">
        <v>2018</v>
      </c>
    </row>
    <row r="4" spans="1:28" x14ac:dyDescent="0.2">
      <c r="B4" s="43"/>
    </row>
    <row r="5" spans="1:28" x14ac:dyDescent="0.2">
      <c r="A5" t="s">
        <v>223</v>
      </c>
      <c r="B5" s="43"/>
      <c r="D5" s="137" t="s">
        <v>1182</v>
      </c>
    </row>
    <row r="7" spans="1:28" x14ac:dyDescent="0.2">
      <c r="A7" s="12" t="s">
        <v>1150</v>
      </c>
    </row>
    <row r="8" spans="1:28" x14ac:dyDescent="0.2">
      <c r="C8" s="65" t="s">
        <v>835</v>
      </c>
      <c r="D8" s="65" t="s">
        <v>945</v>
      </c>
      <c r="E8" s="65" t="s">
        <v>946</v>
      </c>
      <c r="F8" s="65" t="s">
        <v>947</v>
      </c>
      <c r="G8" s="65" t="s">
        <v>948</v>
      </c>
      <c r="H8" s="65" t="s">
        <v>949</v>
      </c>
      <c r="I8" s="65" t="s">
        <v>846</v>
      </c>
      <c r="J8" s="65" t="s">
        <v>847</v>
      </c>
      <c r="K8" s="65" t="s">
        <v>848</v>
      </c>
      <c r="L8" s="65" t="s">
        <v>849</v>
      </c>
      <c r="M8" s="65" t="s">
        <v>509</v>
      </c>
      <c r="N8" s="65" t="s">
        <v>510</v>
      </c>
      <c r="O8" s="65" t="s">
        <v>368</v>
      </c>
      <c r="P8" s="65" t="s">
        <v>369</v>
      </c>
      <c r="Q8" s="65" t="s">
        <v>370</v>
      </c>
      <c r="R8" s="65" t="s">
        <v>371</v>
      </c>
      <c r="S8" s="65" t="s">
        <v>372</v>
      </c>
      <c r="T8" s="65" t="s">
        <v>373</v>
      </c>
      <c r="U8" s="65" t="s">
        <v>374</v>
      </c>
      <c r="V8" s="65" t="s">
        <v>375</v>
      </c>
      <c r="W8" s="65" t="s">
        <v>376</v>
      </c>
    </row>
    <row r="9" spans="1:28" x14ac:dyDescent="0.2">
      <c r="A9" s="1266" t="s">
        <v>1087</v>
      </c>
      <c r="B9" s="1266"/>
      <c r="C9" s="16">
        <v>1.4</v>
      </c>
      <c r="D9" s="16">
        <f>C9</f>
        <v>1.4</v>
      </c>
      <c r="E9" s="16">
        <f t="shared" ref="E9:W9" si="0">D9</f>
        <v>1.4</v>
      </c>
      <c r="F9" s="16">
        <f t="shared" si="0"/>
        <v>1.4</v>
      </c>
      <c r="G9" s="16">
        <f t="shared" si="0"/>
        <v>1.4</v>
      </c>
      <c r="H9" s="16">
        <f t="shared" si="0"/>
        <v>1.4</v>
      </c>
      <c r="I9" s="16">
        <f t="shared" si="0"/>
        <v>1.4</v>
      </c>
      <c r="J9" s="16">
        <f t="shared" si="0"/>
        <v>1.4</v>
      </c>
      <c r="K9" s="16">
        <f t="shared" si="0"/>
        <v>1.4</v>
      </c>
      <c r="L9" s="16">
        <f t="shared" si="0"/>
        <v>1.4</v>
      </c>
      <c r="M9" s="16">
        <f t="shared" si="0"/>
        <v>1.4</v>
      </c>
      <c r="N9" s="16">
        <f t="shared" si="0"/>
        <v>1.4</v>
      </c>
      <c r="O9" s="16">
        <f t="shared" si="0"/>
        <v>1.4</v>
      </c>
      <c r="P9" s="16">
        <f t="shared" si="0"/>
        <v>1.4</v>
      </c>
      <c r="Q9" s="16">
        <f t="shared" si="0"/>
        <v>1.4</v>
      </c>
      <c r="R9" s="16">
        <f t="shared" si="0"/>
        <v>1.4</v>
      </c>
      <c r="S9" s="16">
        <f t="shared" si="0"/>
        <v>1.4</v>
      </c>
      <c r="T9" s="16">
        <f t="shared" si="0"/>
        <v>1.4</v>
      </c>
      <c r="U9" s="16">
        <f t="shared" si="0"/>
        <v>1.4</v>
      </c>
      <c r="V9" s="16">
        <f t="shared" si="0"/>
        <v>1.4</v>
      </c>
      <c r="W9" s="16">
        <f t="shared" si="0"/>
        <v>1.4</v>
      </c>
    </row>
    <row r="10" spans="1:28" x14ac:dyDescent="0.2">
      <c r="A10" t="s">
        <v>746</v>
      </c>
    </row>
    <row r="12" spans="1:28" x14ac:dyDescent="0.2">
      <c r="A12" s="828" t="s">
        <v>1081</v>
      </c>
    </row>
    <row r="13" spans="1:28" x14ac:dyDescent="0.2">
      <c r="C13" s="40" t="s">
        <v>835</v>
      </c>
      <c r="D13" s="40" t="s">
        <v>945</v>
      </c>
      <c r="E13" s="40" t="s">
        <v>946</v>
      </c>
      <c r="F13" s="40" t="s">
        <v>947</v>
      </c>
      <c r="G13" s="40" t="s">
        <v>948</v>
      </c>
      <c r="H13" s="40" t="s">
        <v>949</v>
      </c>
      <c r="I13" s="40" t="s">
        <v>846</v>
      </c>
      <c r="J13" s="40" t="s">
        <v>847</v>
      </c>
      <c r="K13" s="40" t="s">
        <v>848</v>
      </c>
      <c r="L13" s="40" t="s">
        <v>849</v>
      </c>
      <c r="M13" s="40" t="s">
        <v>509</v>
      </c>
      <c r="N13" s="40" t="s">
        <v>510</v>
      </c>
      <c r="O13" s="40" t="s">
        <v>368</v>
      </c>
      <c r="P13" s="40" t="s">
        <v>369</v>
      </c>
      <c r="Q13" s="40" t="s">
        <v>370</v>
      </c>
      <c r="R13" s="40" t="s">
        <v>371</v>
      </c>
      <c r="S13" s="40" t="s">
        <v>372</v>
      </c>
      <c r="T13" s="40" t="s">
        <v>373</v>
      </c>
      <c r="U13" s="40" t="s">
        <v>374</v>
      </c>
      <c r="V13" s="40" t="s">
        <v>375</v>
      </c>
      <c r="W13" s="40" t="s">
        <v>376</v>
      </c>
    </row>
    <row r="14" spans="1:28" x14ac:dyDescent="0.2">
      <c r="A14" s="1266" t="s">
        <v>91</v>
      </c>
      <c r="B14" s="1266"/>
      <c r="C14" s="58">
        <v>0</v>
      </c>
      <c r="D14" s="107">
        <f>(1+Y14)^1-1</f>
        <v>2.0000000000000018E-2</v>
      </c>
      <c r="E14" s="107">
        <f>(1+Y14)^2-1</f>
        <v>4.0399999999999991E-2</v>
      </c>
      <c r="F14" s="107">
        <f>(1+Y14)^3-1</f>
        <v>6.1207999999999929E-2</v>
      </c>
      <c r="G14" s="107">
        <f>(1+Y14)^4-1</f>
        <v>8.2432159999999977E-2</v>
      </c>
      <c r="H14" s="107">
        <f>(1+$Y$14)^5-1</f>
        <v>0.10408080320000002</v>
      </c>
      <c r="I14" s="107">
        <f>(1+$Y$14)^6-1</f>
        <v>0.12616241926400007</v>
      </c>
      <c r="J14" s="107">
        <f>(1+$Y$14)^7-1</f>
        <v>0.14868566764927982</v>
      </c>
      <c r="K14" s="107">
        <f>(1+$Y$14)^8-1</f>
        <v>0.17165938100226552</v>
      </c>
      <c r="L14" s="107">
        <f>(1+$Y$14)^9-1</f>
        <v>0.19509256862231084</v>
      </c>
      <c r="M14" s="107">
        <f>(1+$Y$14)^10-1</f>
        <v>0.21899441999475711</v>
      </c>
      <c r="N14" s="107">
        <f>(1+$Y$14)^11-1</f>
        <v>0.24337430839465202</v>
      </c>
      <c r="O14" s="107">
        <f>(1+$Y$14)^12-1</f>
        <v>0.26824179456254527</v>
      </c>
      <c r="P14" s="107">
        <f>(1+$Y$14)^13-1</f>
        <v>0.29360663045379609</v>
      </c>
      <c r="Q14" s="107">
        <f>(1+$Y$14)^14-1</f>
        <v>0.31947876306287215</v>
      </c>
      <c r="R14" s="107">
        <f>(1+$Y$14)^15-1</f>
        <v>0.34586833832412922</v>
      </c>
      <c r="S14" s="107">
        <f>(1+$Y$14)^16-1</f>
        <v>0.37278570509061204</v>
      </c>
      <c r="T14" s="107">
        <f>(1+$Y$14)^17-1</f>
        <v>0.4002414191924244</v>
      </c>
      <c r="U14" s="107">
        <f>(1+$Y$14)^18-1</f>
        <v>0.42824624757627272</v>
      </c>
      <c r="V14" s="107">
        <f>(1+$Y$14)^19-1</f>
        <v>0.45681117252779813</v>
      </c>
      <c r="W14" s="107">
        <f>(1+$Y$14)^20-1</f>
        <v>0.48594739597835424</v>
      </c>
      <c r="X14" s="99" t="s">
        <v>80</v>
      </c>
      <c r="Y14" s="100">
        <v>0.02</v>
      </c>
      <c r="Z14" t="s">
        <v>81</v>
      </c>
      <c r="AA14" t="s">
        <v>204</v>
      </c>
      <c r="AB14" t="s">
        <v>917</v>
      </c>
    </row>
    <row r="15" spans="1:28" x14ac:dyDescent="0.2">
      <c r="A15" s="1266" t="s">
        <v>101</v>
      </c>
      <c r="B15" s="1266"/>
      <c r="C15" s="30">
        <v>38859.314544000001</v>
      </c>
      <c r="D15" s="21">
        <f t="shared" ref="D15:J15" si="1">$C$15*(1+D14)</f>
        <v>39636.500834880004</v>
      </c>
      <c r="E15" s="21">
        <f>$C$15*(1+E14)</f>
        <v>40429.230851577602</v>
      </c>
      <c r="F15" s="21">
        <f t="shared" si="1"/>
        <v>41237.815468609151</v>
      </c>
      <c r="G15" s="21">
        <f t="shared" si="1"/>
        <v>42062.571777981335</v>
      </c>
      <c r="H15" s="21">
        <f t="shared" si="1"/>
        <v>42903.823213540963</v>
      </c>
      <c r="I15" s="21">
        <f t="shared" si="1"/>
        <v>43761.899677811787</v>
      </c>
      <c r="J15" s="21">
        <f t="shared" si="1"/>
        <v>44637.137671368007</v>
      </c>
      <c r="K15" s="21">
        <f>$C$15*(1+K14)</f>
        <v>45529.880424795374</v>
      </c>
      <c r="L15" s="21">
        <f>$C$15*(1+L14)</f>
        <v>46440.478033291285</v>
      </c>
      <c r="M15" s="21">
        <f>$C$15*(1+M14)</f>
        <v>47369.287593957109</v>
      </c>
      <c r="N15" s="21">
        <f t="shared" ref="N15:W15" si="2">$C$15*(1+N14)</f>
        <v>48316.673345836243</v>
      </c>
      <c r="O15" s="21">
        <f t="shared" si="2"/>
        <v>49283.006812752974</v>
      </c>
      <c r="P15" s="21">
        <f t="shared" si="2"/>
        <v>50268.666949008031</v>
      </c>
      <c r="Q15" s="21">
        <f t="shared" si="2"/>
        <v>51274.040287988202</v>
      </c>
      <c r="R15" s="21">
        <f t="shared" si="2"/>
        <v>52299.52109374795</v>
      </c>
      <c r="S15" s="21">
        <f t="shared" si="2"/>
        <v>53345.511515622915</v>
      </c>
      <c r="T15" s="21">
        <f t="shared" si="2"/>
        <v>54412.421745935382</v>
      </c>
      <c r="U15" s="21">
        <f t="shared" si="2"/>
        <v>55500.670180854082</v>
      </c>
      <c r="V15" s="21">
        <f t="shared" si="2"/>
        <v>56610.68358447116</v>
      </c>
      <c r="W15" s="21">
        <f t="shared" si="2"/>
        <v>57742.897256160591</v>
      </c>
    </row>
    <row r="16" spans="1:28" x14ac:dyDescent="0.2">
      <c r="A16" s="1266" t="s">
        <v>92</v>
      </c>
      <c r="B16" s="1266"/>
      <c r="C16" s="18">
        <v>0</v>
      </c>
      <c r="D16" s="107">
        <f>(1+Y16)^1-1</f>
        <v>2.0000000000000018E-2</v>
      </c>
      <c r="E16" s="107">
        <f>(1+Y16)^2-1</f>
        <v>4.0399999999999991E-2</v>
      </c>
      <c r="F16" s="107">
        <f>(1+Y16)^3-1</f>
        <v>6.1207999999999929E-2</v>
      </c>
      <c r="G16" s="107">
        <f>(1+Y16)^4-1</f>
        <v>8.2432159999999977E-2</v>
      </c>
      <c r="H16" s="107">
        <f>(1+$Y$16)^5-1</f>
        <v>0.10408080320000002</v>
      </c>
      <c r="I16" s="107">
        <f>(1+$Y$16)^6-1</f>
        <v>0.12616241926400007</v>
      </c>
      <c r="J16" s="107">
        <f>(1+$Y$16)^7-1</f>
        <v>0.14868566764927982</v>
      </c>
      <c r="K16" s="107">
        <f>(1+$Y$16)^8-1</f>
        <v>0.17165938100226552</v>
      </c>
      <c r="L16" s="107">
        <f>(1+$Y$16)^9-1</f>
        <v>0.19509256862231084</v>
      </c>
      <c r="M16" s="107">
        <f>(1+$Y$16)^10-1</f>
        <v>0.21899441999475711</v>
      </c>
      <c r="N16" s="107">
        <f>(1+$Y$16)^11-1</f>
        <v>0.24337430839465202</v>
      </c>
      <c r="O16" s="107">
        <f>(1+$Y$16)^12-1</f>
        <v>0.26824179456254527</v>
      </c>
      <c r="P16" s="107">
        <f>(1+$Y$16)^13-1</f>
        <v>0.29360663045379609</v>
      </c>
      <c r="Q16" s="107">
        <f>(1+$Y$16)^14-1</f>
        <v>0.31947876306287215</v>
      </c>
      <c r="R16" s="107">
        <f>(1+$Y$16)^15-1</f>
        <v>0.34586833832412922</v>
      </c>
      <c r="S16" s="107">
        <f>(1+$Y$16)^16-1</f>
        <v>0.37278570509061204</v>
      </c>
      <c r="T16" s="107">
        <f>(1+$Y$16)^17-1</f>
        <v>0.4002414191924244</v>
      </c>
      <c r="U16" s="107">
        <f>(1+$Y$16)^18-1</f>
        <v>0.42824624757627272</v>
      </c>
      <c r="V16" s="107">
        <f>(1+$Y$16)^19-1</f>
        <v>0.45681117252779813</v>
      </c>
      <c r="W16" s="107">
        <f>(1+$Y$16)^20-1</f>
        <v>0.48594739597835424</v>
      </c>
      <c r="X16" s="99" t="s">
        <v>80</v>
      </c>
      <c r="Y16" s="100">
        <v>0.02</v>
      </c>
      <c r="Z16" t="s">
        <v>81</v>
      </c>
      <c r="AA16" t="s">
        <v>204</v>
      </c>
      <c r="AB16" t="s">
        <v>916</v>
      </c>
    </row>
    <row r="17" spans="1:35" x14ac:dyDescent="0.2">
      <c r="A17" s="1266" t="s">
        <v>102</v>
      </c>
      <c r="B17" s="1266"/>
      <c r="C17" s="30">
        <v>49034.176847999996</v>
      </c>
      <c r="D17" s="21">
        <f t="shared" ref="D17:J17" si="3">$C$17*(1+D16)</f>
        <v>50014.860384959997</v>
      </c>
      <c r="E17" s="21">
        <f t="shared" si="3"/>
        <v>51015.157592659198</v>
      </c>
      <c r="F17" s="21">
        <f t="shared" si="3"/>
        <v>52035.460744512377</v>
      </c>
      <c r="G17" s="21">
        <f t="shared" si="3"/>
        <v>53076.169959402629</v>
      </c>
      <c r="H17" s="21">
        <f t="shared" si="3"/>
        <v>54137.693358590681</v>
      </c>
      <c r="I17" s="21">
        <f t="shared" si="3"/>
        <v>55220.447225762495</v>
      </c>
      <c r="J17" s="21">
        <f t="shared" si="3"/>
        <v>56324.856170277737</v>
      </c>
      <c r="K17" s="21">
        <f>$C$17*(1+K16)</f>
        <v>57451.353293683293</v>
      </c>
      <c r="L17" s="21">
        <f>$C$17*(1+L16)</f>
        <v>58600.380359556963</v>
      </c>
      <c r="M17" s="21">
        <f t="shared" ref="M17:W17" si="4">$C$17*(1+M16)</f>
        <v>59772.387966748101</v>
      </c>
      <c r="N17" s="21">
        <f t="shared" si="4"/>
        <v>60967.835726083053</v>
      </c>
      <c r="O17" s="21">
        <f t="shared" si="4"/>
        <v>62187.192440604726</v>
      </c>
      <c r="P17" s="21">
        <f t="shared" si="4"/>
        <v>63430.936289416815</v>
      </c>
      <c r="Q17" s="21">
        <f t="shared" si="4"/>
        <v>64699.555015205158</v>
      </c>
      <c r="R17" s="21">
        <f t="shared" si="4"/>
        <v>65993.546115509249</v>
      </c>
      <c r="S17" s="21">
        <f t="shared" si="4"/>
        <v>67313.417037819439</v>
      </c>
      <c r="T17" s="21">
        <f t="shared" si="4"/>
        <v>68659.685378575829</v>
      </c>
      <c r="U17" s="21">
        <f t="shared" si="4"/>
        <v>70032.879086147339</v>
      </c>
      <c r="V17" s="21">
        <f t="shared" si="4"/>
        <v>71433.536667870285</v>
      </c>
      <c r="W17" s="21">
        <f t="shared" si="4"/>
        <v>72862.207401227701</v>
      </c>
    </row>
    <row r="18" spans="1:35" x14ac:dyDescent="0.2">
      <c r="A18" s="1266" t="s">
        <v>93</v>
      </c>
      <c r="B18" s="1266"/>
      <c r="C18" s="18">
        <v>0</v>
      </c>
      <c r="D18" s="107">
        <f>(1+Y18)^1-1</f>
        <v>2.0000000000000018E-2</v>
      </c>
      <c r="E18" s="107">
        <f>(1+Y18)^2-1</f>
        <v>4.0399999999999991E-2</v>
      </c>
      <c r="F18" s="107">
        <f>(1+Y18)^3-1</f>
        <v>6.1207999999999929E-2</v>
      </c>
      <c r="G18" s="107">
        <f>(1+Y18)^4-1</f>
        <v>8.2432159999999977E-2</v>
      </c>
      <c r="H18" s="107">
        <f>(1+$Y$18)^5-1</f>
        <v>0.10408080320000002</v>
      </c>
      <c r="I18" s="107">
        <f>(1+$Y$18)^6-1</f>
        <v>0.12616241926400007</v>
      </c>
      <c r="J18" s="107">
        <f>(1+$Y$18)^7-1</f>
        <v>0.14868566764927982</v>
      </c>
      <c r="K18" s="107">
        <f>(1+$Y$18)^8-1</f>
        <v>0.17165938100226552</v>
      </c>
      <c r="L18" s="107">
        <f>(1+$Y$18)^9-1</f>
        <v>0.19509256862231084</v>
      </c>
      <c r="M18" s="107">
        <f>(1+$Y$18)^10-1</f>
        <v>0.21899441999475711</v>
      </c>
      <c r="N18" s="107">
        <f>(1+$Y$18)^11-1</f>
        <v>0.24337430839465202</v>
      </c>
      <c r="O18" s="107">
        <f>(1+$Y$18)^12-1</f>
        <v>0.26824179456254527</v>
      </c>
      <c r="P18" s="107">
        <f>(1+$Y$18)^13-1</f>
        <v>0.29360663045379609</v>
      </c>
      <c r="Q18" s="107">
        <f>(1+$Y$18)^14-1</f>
        <v>0.31947876306287215</v>
      </c>
      <c r="R18" s="107">
        <f>(1+$Y$18)^15-1</f>
        <v>0.34586833832412922</v>
      </c>
      <c r="S18" s="107">
        <f>(1+$Y$18)^16-1</f>
        <v>0.37278570509061204</v>
      </c>
      <c r="T18" s="107">
        <f>(1+$Y$18)^17-1</f>
        <v>0.4002414191924244</v>
      </c>
      <c r="U18" s="107">
        <f>(1+$Y$18)^18-1</f>
        <v>0.42824624757627272</v>
      </c>
      <c r="V18" s="107">
        <f>(1+$Y$18)^19-1</f>
        <v>0.45681117252779813</v>
      </c>
      <c r="W18" s="107">
        <f>(1+$Y$18)^20-1</f>
        <v>0.48594739597835424</v>
      </c>
      <c r="X18" s="99" t="s">
        <v>80</v>
      </c>
      <c r="Y18" s="100">
        <v>0.02</v>
      </c>
      <c r="Z18" t="s">
        <v>81</v>
      </c>
      <c r="AA18" t="s">
        <v>204</v>
      </c>
      <c r="AB18" t="s">
        <v>918</v>
      </c>
    </row>
    <row r="19" spans="1:35" x14ac:dyDescent="0.2">
      <c r="A19" s="1266" t="s">
        <v>103</v>
      </c>
      <c r="B19" s="1266"/>
      <c r="C19" s="30">
        <v>110884.35047039999</v>
      </c>
      <c r="D19" s="21">
        <f t="shared" ref="D19:J19" si="5">$C$19*(1+D18)</f>
        <v>113102.037479808</v>
      </c>
      <c r="E19" s="21">
        <f t="shared" si="5"/>
        <v>115364.07822940416</v>
      </c>
      <c r="F19" s="21">
        <f t="shared" si="5"/>
        <v>117671.35979399223</v>
      </c>
      <c r="G19" s="21">
        <f t="shared" si="5"/>
        <v>120024.78698987208</v>
      </c>
      <c r="H19" s="21">
        <f t="shared" si="5"/>
        <v>122425.28272966952</v>
      </c>
      <c r="I19" s="21">
        <f t="shared" si="5"/>
        <v>124873.78838426292</v>
      </c>
      <c r="J19" s="21">
        <f t="shared" si="5"/>
        <v>127371.26415194815</v>
      </c>
      <c r="K19" s="21">
        <f>$C$19*(1+K18)</f>
        <v>129918.68943498713</v>
      </c>
      <c r="L19" s="21">
        <f>$C$19*(1+L18)</f>
        <v>132517.06322368686</v>
      </c>
      <c r="M19" s="21">
        <f t="shared" ref="M19:W19" si="6">$C$19*(1+M18)</f>
        <v>135167.40448816062</v>
      </c>
      <c r="N19" s="21">
        <f t="shared" si="6"/>
        <v>137870.75257792379</v>
      </c>
      <c r="O19" s="21">
        <f t="shared" si="6"/>
        <v>140628.16762948231</v>
      </c>
      <c r="P19" s="21">
        <f t="shared" si="6"/>
        <v>143440.73098207192</v>
      </c>
      <c r="Q19" s="21">
        <f t="shared" si="6"/>
        <v>146309.54560171338</v>
      </c>
      <c r="R19" s="21">
        <f t="shared" si="6"/>
        <v>149235.7365137476</v>
      </c>
      <c r="S19" s="21">
        <f t="shared" si="6"/>
        <v>152220.45124402258</v>
      </c>
      <c r="T19" s="21">
        <f t="shared" si="6"/>
        <v>155264.86026890305</v>
      </c>
      <c r="U19" s="21">
        <f t="shared" si="6"/>
        <v>158370.15747428109</v>
      </c>
      <c r="V19" s="21">
        <f t="shared" si="6"/>
        <v>161537.56062376671</v>
      </c>
      <c r="W19" s="21">
        <f t="shared" si="6"/>
        <v>164768.31183624206</v>
      </c>
    </row>
    <row r="20" spans="1:35" x14ac:dyDescent="0.2">
      <c r="A20" s="1266" t="s">
        <v>507</v>
      </c>
      <c r="B20" s="1266"/>
      <c r="C20" s="30">
        <v>162365</v>
      </c>
      <c r="D20" s="21">
        <f t="shared" ref="D20:W20" si="7">$C$20*(1+D18)</f>
        <v>165612.29999999999</v>
      </c>
      <c r="E20" s="21">
        <f t="shared" si="7"/>
        <v>168924.546</v>
      </c>
      <c r="F20" s="21">
        <f t="shared" si="7"/>
        <v>172303.03691999998</v>
      </c>
      <c r="G20" s="21">
        <f t="shared" si="7"/>
        <v>175749.09765839999</v>
      </c>
      <c r="H20" s="21">
        <f t="shared" si="7"/>
        <v>179264.07961156801</v>
      </c>
      <c r="I20" s="21">
        <f t="shared" si="7"/>
        <v>182849.36120379937</v>
      </c>
      <c r="J20" s="21">
        <f t="shared" si="7"/>
        <v>186506.34842787532</v>
      </c>
      <c r="K20" s="21">
        <f t="shared" si="7"/>
        <v>190236.47539643286</v>
      </c>
      <c r="L20" s="21">
        <f t="shared" si="7"/>
        <v>194041.20490436151</v>
      </c>
      <c r="M20" s="21">
        <f t="shared" si="7"/>
        <v>197922.02900244875</v>
      </c>
      <c r="N20" s="21">
        <f t="shared" si="7"/>
        <v>201880.46958249767</v>
      </c>
      <c r="O20" s="21">
        <f t="shared" si="7"/>
        <v>205918.07897414768</v>
      </c>
      <c r="P20" s="21">
        <f t="shared" si="7"/>
        <v>210036.44055363061</v>
      </c>
      <c r="Q20" s="21">
        <f t="shared" si="7"/>
        <v>214237.16936470324</v>
      </c>
      <c r="R20" s="21">
        <f t="shared" si="7"/>
        <v>218521.91275199724</v>
      </c>
      <c r="S20" s="21">
        <f t="shared" si="7"/>
        <v>222892.35100703721</v>
      </c>
      <c r="T20" s="21">
        <f t="shared" si="7"/>
        <v>227350.19802717798</v>
      </c>
      <c r="U20" s="21">
        <f t="shared" si="7"/>
        <v>231897.20198772152</v>
      </c>
      <c r="V20" s="21">
        <f t="shared" si="7"/>
        <v>236535.14602747594</v>
      </c>
      <c r="W20" s="21">
        <f t="shared" si="7"/>
        <v>241265.84894802549</v>
      </c>
      <c r="X20" s="99" t="s">
        <v>80</v>
      </c>
      <c r="Y20" s="100">
        <v>0.02</v>
      </c>
      <c r="Z20" t="s">
        <v>81</v>
      </c>
      <c r="AA20" t="s">
        <v>204</v>
      </c>
      <c r="AB20" t="s">
        <v>347</v>
      </c>
    </row>
    <row r="22" spans="1:35" x14ac:dyDescent="0.2">
      <c r="A22" s="12" t="s">
        <v>1082</v>
      </c>
    </row>
    <row r="23" spans="1:35" x14ac:dyDescent="0.2">
      <c r="C23" s="40" t="s">
        <v>835</v>
      </c>
      <c r="D23" s="40" t="s">
        <v>945</v>
      </c>
      <c r="E23" s="40" t="s">
        <v>946</v>
      </c>
      <c r="F23" s="40" t="s">
        <v>947</v>
      </c>
      <c r="G23" s="40" t="s">
        <v>948</v>
      </c>
      <c r="H23" s="40" t="s">
        <v>949</v>
      </c>
      <c r="I23" s="40" t="s">
        <v>846</v>
      </c>
      <c r="J23" s="40" t="s">
        <v>847</v>
      </c>
      <c r="K23" s="40" t="s">
        <v>848</v>
      </c>
      <c r="L23" s="40" t="s">
        <v>849</v>
      </c>
      <c r="M23" s="40" t="s">
        <v>509</v>
      </c>
      <c r="N23" s="40" t="s">
        <v>510</v>
      </c>
      <c r="O23" s="40" t="s">
        <v>368</v>
      </c>
      <c r="P23" s="40" t="s">
        <v>369</v>
      </c>
      <c r="Q23" s="40" t="s">
        <v>370</v>
      </c>
      <c r="R23" s="40" t="s">
        <v>371</v>
      </c>
      <c r="S23" s="40" t="s">
        <v>372</v>
      </c>
      <c r="T23" s="40" t="s">
        <v>373</v>
      </c>
      <c r="U23" s="40" t="s">
        <v>374</v>
      </c>
      <c r="V23" s="40" t="s">
        <v>375</v>
      </c>
      <c r="W23" s="40" t="s">
        <v>376</v>
      </c>
    </row>
    <row r="24" spans="1:35" x14ac:dyDescent="0.2">
      <c r="A24" s="1266" t="s">
        <v>1</v>
      </c>
      <c r="B24" s="1266"/>
      <c r="C24" s="45">
        <v>0</v>
      </c>
      <c r="D24" s="101">
        <f>(1+Y24)^1-1</f>
        <v>6.0000000000000053E-2</v>
      </c>
      <c r="E24" s="101">
        <f>(1+Y24)^2-1</f>
        <v>0.12360000000000015</v>
      </c>
      <c r="F24" s="102">
        <f>(1+Y24)^3-1</f>
        <v>0.1910160000000003</v>
      </c>
      <c r="G24" s="102">
        <f>(1+Y24)^4-1</f>
        <v>0.26247696000000031</v>
      </c>
      <c r="H24" s="102">
        <f>(1+Y24)^5-1</f>
        <v>0.33822557760000049</v>
      </c>
      <c r="I24" s="107">
        <f>(1+Y24)^6-1</f>
        <v>0.41851911225600058</v>
      </c>
      <c r="J24" s="107">
        <f>(1+Y24)^7-1</f>
        <v>0.50363025899136082</v>
      </c>
      <c r="K24" s="107">
        <f>(1+Y24)^8-1</f>
        <v>0.59384807453084232</v>
      </c>
      <c r="L24" s="107">
        <f>(1+Y24)^9-1</f>
        <v>0.68947895900269285</v>
      </c>
      <c r="M24" s="107">
        <f>(1+L24)*(1+Y26)^1-1</f>
        <v>0.68947895900269285</v>
      </c>
      <c r="N24" s="107">
        <f>(1+M24)*(1+$Y$26)^1-1</f>
        <v>0.68947895900269285</v>
      </c>
      <c r="O24" s="107">
        <f>(1+N24)*(1+$Y$26)^1-1</f>
        <v>0.68947895900269285</v>
      </c>
      <c r="P24" s="107">
        <f t="shared" ref="P24:W24" si="8">(1+O24)*(1+$Y$26)^1-1</f>
        <v>0.68947895900269285</v>
      </c>
      <c r="Q24" s="107">
        <f t="shared" si="8"/>
        <v>0.68947895900269285</v>
      </c>
      <c r="R24" s="107">
        <f t="shared" si="8"/>
        <v>0.68947895900269285</v>
      </c>
      <c r="S24" s="107">
        <f t="shared" si="8"/>
        <v>0.68947895900269285</v>
      </c>
      <c r="T24" s="107">
        <f t="shared" si="8"/>
        <v>0.68947895900269285</v>
      </c>
      <c r="U24" s="107">
        <f t="shared" si="8"/>
        <v>0.68947895900269285</v>
      </c>
      <c r="V24" s="107">
        <f t="shared" si="8"/>
        <v>0.68947895900269285</v>
      </c>
      <c r="W24" s="107">
        <f t="shared" si="8"/>
        <v>0.68947895900269285</v>
      </c>
      <c r="X24" s="99" t="s">
        <v>80</v>
      </c>
      <c r="Y24" s="100">
        <v>0.06</v>
      </c>
      <c r="Z24" s="31" t="s">
        <v>379</v>
      </c>
      <c r="AA24" t="s">
        <v>222</v>
      </c>
      <c r="AF24" s="165">
        <v>2012</v>
      </c>
      <c r="AG24" s="165">
        <v>2013</v>
      </c>
      <c r="AH24" s="165">
        <v>2014</v>
      </c>
      <c r="AI24" s="165">
        <v>2015</v>
      </c>
    </row>
    <row r="25" spans="1:35" x14ac:dyDescent="0.2">
      <c r="A25" s="1266" t="s">
        <v>1066</v>
      </c>
      <c r="B25" s="1266"/>
      <c r="C25" s="51">
        <f>AI25</f>
        <v>72.644490959999999</v>
      </c>
      <c r="D25" s="66">
        <f t="shared" ref="D25:J25" si="9">$C$25*(1+D24)</f>
        <v>77.0031604176</v>
      </c>
      <c r="E25" s="66">
        <f t="shared" si="9"/>
        <v>81.623350042656014</v>
      </c>
      <c r="F25" s="66">
        <f t="shared" si="9"/>
        <v>86.520751045215377</v>
      </c>
      <c r="G25" s="66">
        <f t="shared" si="9"/>
        <v>91.7119961079283</v>
      </c>
      <c r="H25" s="66">
        <f t="shared" si="9"/>
        <v>97.214715874404007</v>
      </c>
      <c r="I25" s="66">
        <f t="shared" si="9"/>
        <v>103.04759882686825</v>
      </c>
      <c r="J25" s="66">
        <f t="shared" si="9"/>
        <v>109.23045475648037</v>
      </c>
      <c r="K25" s="66">
        <f>$C$25*(1+K24)</f>
        <v>115.78428204186918</v>
      </c>
      <c r="L25" s="66">
        <f>$C$25*(1+L24)</f>
        <v>122.73133896438132</v>
      </c>
      <c r="M25" s="66">
        <f>$C$25*(1+M24)</f>
        <v>122.73133896438132</v>
      </c>
      <c r="N25" s="66">
        <f>$C$25*(1+N24)</f>
        <v>122.73133896438132</v>
      </c>
      <c r="O25" s="66">
        <f t="shared" ref="O25:W25" si="10">$C$25*(1+O24)</f>
        <v>122.73133896438132</v>
      </c>
      <c r="P25" s="66">
        <f t="shared" si="10"/>
        <v>122.73133896438132</v>
      </c>
      <c r="Q25" s="66">
        <f t="shared" si="10"/>
        <v>122.73133896438132</v>
      </c>
      <c r="R25" s="66">
        <f t="shared" si="10"/>
        <v>122.73133896438132</v>
      </c>
      <c r="S25" s="66">
        <f t="shared" si="10"/>
        <v>122.73133896438132</v>
      </c>
      <c r="T25" s="66">
        <f t="shared" si="10"/>
        <v>122.73133896438132</v>
      </c>
      <c r="U25" s="66">
        <f t="shared" si="10"/>
        <v>122.73133896438132</v>
      </c>
      <c r="V25" s="66">
        <f t="shared" si="10"/>
        <v>122.73133896438132</v>
      </c>
      <c r="W25" s="66">
        <f t="shared" si="10"/>
        <v>122.73133896438132</v>
      </c>
      <c r="Y25" s="141" t="s">
        <v>1000</v>
      </c>
      <c r="AF25" s="23">
        <v>66.48</v>
      </c>
      <c r="AG25" s="23">
        <f>AF25*(1+AG26)</f>
        <v>68.474400000000003</v>
      </c>
      <c r="AH25" s="23">
        <f>AG25*(1+AH26)</f>
        <v>70.528632000000002</v>
      </c>
      <c r="AI25" s="23">
        <f>AH25*(1+AI26)</f>
        <v>72.644490959999999</v>
      </c>
    </row>
    <row r="26" spans="1:35" x14ac:dyDescent="0.2">
      <c r="C26" s="575"/>
      <c r="X26" s="99" t="s">
        <v>377</v>
      </c>
      <c r="Y26" s="117">
        <v>0</v>
      </c>
      <c r="Z26" s="31" t="s">
        <v>378</v>
      </c>
      <c r="AE26" s="585" t="s">
        <v>623</v>
      </c>
      <c r="AF26" s="16" t="s">
        <v>624</v>
      </c>
      <c r="AG26" s="44">
        <v>0.03</v>
      </c>
      <c r="AH26" s="44">
        <v>0.03</v>
      </c>
      <c r="AI26" s="44">
        <v>0.03</v>
      </c>
    </row>
    <row r="28" spans="1:35" x14ac:dyDescent="0.2">
      <c r="A28" s="828" t="s">
        <v>1083</v>
      </c>
    </row>
    <row r="29" spans="1:35" x14ac:dyDescent="0.2">
      <c r="C29" s="40" t="s">
        <v>835</v>
      </c>
      <c r="D29" s="40" t="s">
        <v>945</v>
      </c>
      <c r="E29" s="40" t="s">
        <v>946</v>
      </c>
      <c r="F29" s="40" t="s">
        <v>947</v>
      </c>
      <c r="G29" s="40" t="s">
        <v>948</v>
      </c>
      <c r="H29" s="40" t="s">
        <v>949</v>
      </c>
      <c r="I29" s="40" t="s">
        <v>846</v>
      </c>
      <c r="J29" s="40" t="s">
        <v>847</v>
      </c>
      <c r="K29" s="40" t="s">
        <v>848</v>
      </c>
      <c r="L29" s="40" t="s">
        <v>849</v>
      </c>
      <c r="M29" s="40" t="s">
        <v>509</v>
      </c>
      <c r="N29" s="40" t="s">
        <v>510</v>
      </c>
      <c r="O29" s="40" t="s">
        <v>368</v>
      </c>
      <c r="P29" s="40" t="s">
        <v>369</v>
      </c>
      <c r="Q29" s="40" t="s">
        <v>370</v>
      </c>
      <c r="R29" s="40" t="s">
        <v>371</v>
      </c>
      <c r="S29" s="40" t="s">
        <v>372</v>
      </c>
      <c r="T29" s="40" t="s">
        <v>373</v>
      </c>
      <c r="U29" s="40" t="s">
        <v>374</v>
      </c>
      <c r="V29" s="40" t="s">
        <v>375</v>
      </c>
      <c r="W29" s="40" t="s">
        <v>376</v>
      </c>
    </row>
    <row r="30" spans="1:35" x14ac:dyDescent="0.2">
      <c r="A30" s="1266" t="s">
        <v>2</v>
      </c>
      <c r="B30" s="1266"/>
      <c r="C30" s="18">
        <v>0</v>
      </c>
      <c r="D30" s="102">
        <f>(1+Y30)^1-1</f>
        <v>2.0000000000000018E-2</v>
      </c>
      <c r="E30" s="107">
        <f>(1+Y30)^2-1</f>
        <v>4.0399999999999991E-2</v>
      </c>
      <c r="F30" s="102">
        <f>(1+Y30)^3-1</f>
        <v>6.1207999999999929E-2</v>
      </c>
      <c r="G30" s="102">
        <f>(1+Y30)^4-1</f>
        <v>8.2432159999999977E-2</v>
      </c>
      <c r="H30" s="102">
        <f>(1+$Y$30)^5-1</f>
        <v>0.10408080320000002</v>
      </c>
      <c r="I30" s="102">
        <f>(1+$Y$30)^6-1</f>
        <v>0.12616241926400007</v>
      </c>
      <c r="J30" s="102">
        <f>(1+$Y$30)^7-1</f>
        <v>0.14868566764927982</v>
      </c>
      <c r="K30" s="102">
        <f>(1+$Y$30)^8-1</f>
        <v>0.17165938100226552</v>
      </c>
      <c r="L30" s="102">
        <f>(1+$Y$30)^9-1</f>
        <v>0.19509256862231084</v>
      </c>
      <c r="M30" s="102">
        <f>(1+$Y$30)^10-1</f>
        <v>0.21899441999475711</v>
      </c>
      <c r="N30" s="102">
        <f>(1+$Y$30)^11-1</f>
        <v>0.24337430839465202</v>
      </c>
      <c r="O30" s="102">
        <f>(1+$Y$30)^12-1</f>
        <v>0.26824179456254527</v>
      </c>
      <c r="P30" s="102">
        <f>(1+$Y$30)^13-1</f>
        <v>0.29360663045379609</v>
      </c>
      <c r="Q30" s="102">
        <f>(1+$Y$30)^14-1</f>
        <v>0.31947876306287215</v>
      </c>
      <c r="R30" s="102">
        <f>(1+$Y$30)^15-1</f>
        <v>0.34586833832412922</v>
      </c>
      <c r="S30" s="102">
        <f>(1+$Y$30)^16-1</f>
        <v>0.37278570509061204</v>
      </c>
      <c r="T30" s="102">
        <f>(1+$Y$30)^17-1</f>
        <v>0.4002414191924244</v>
      </c>
      <c r="U30" s="102">
        <f>(1+$Y$30)^18-1</f>
        <v>0.42824624757627272</v>
      </c>
      <c r="V30" s="102">
        <f>(1+$Y$30)^19-1</f>
        <v>0.45681117252779813</v>
      </c>
      <c r="W30" s="102">
        <f>(1+$Y$30)^20-1</f>
        <v>0.48594739597835424</v>
      </c>
      <c r="X30" s="99" t="s">
        <v>80</v>
      </c>
      <c r="Y30" s="100">
        <v>0.02</v>
      </c>
      <c r="Z30" t="s">
        <v>81</v>
      </c>
      <c r="AA30" t="s">
        <v>204</v>
      </c>
    </row>
    <row r="33" spans="1:28" x14ac:dyDescent="0.2">
      <c r="A33" s="828" t="s">
        <v>597</v>
      </c>
    </row>
    <row r="34" spans="1:28" x14ac:dyDescent="0.2">
      <c r="C34" s="40" t="s">
        <v>835</v>
      </c>
      <c r="D34" s="40" t="s">
        <v>945</v>
      </c>
      <c r="E34" s="40" t="s">
        <v>946</v>
      </c>
      <c r="F34" s="40" t="s">
        <v>947</v>
      </c>
      <c r="G34" s="40" t="s">
        <v>948</v>
      </c>
      <c r="H34" s="40" t="s">
        <v>949</v>
      </c>
      <c r="I34" s="40" t="s">
        <v>846</v>
      </c>
      <c r="J34" s="40" t="s">
        <v>847</v>
      </c>
      <c r="K34" s="40" t="s">
        <v>848</v>
      </c>
      <c r="L34" s="40" t="s">
        <v>849</v>
      </c>
      <c r="M34" s="40" t="s">
        <v>509</v>
      </c>
      <c r="N34" s="40" t="s">
        <v>510</v>
      </c>
      <c r="O34" s="40" t="s">
        <v>368</v>
      </c>
      <c r="P34" s="40" t="s">
        <v>369</v>
      </c>
      <c r="Q34" s="40" t="s">
        <v>370</v>
      </c>
      <c r="R34" s="40" t="s">
        <v>371</v>
      </c>
      <c r="S34" s="40" t="s">
        <v>372</v>
      </c>
      <c r="T34" s="40" t="s">
        <v>373</v>
      </c>
      <c r="U34" s="40" t="s">
        <v>374</v>
      </c>
      <c r="V34" s="40" t="s">
        <v>375</v>
      </c>
      <c r="W34" s="40" t="s">
        <v>376</v>
      </c>
    </row>
    <row r="35" spans="1:28" x14ac:dyDescent="0.2">
      <c r="A35" s="1266" t="s">
        <v>525</v>
      </c>
      <c r="B35" s="1266"/>
      <c r="C35" s="18">
        <v>0</v>
      </c>
      <c r="D35" s="102">
        <f>(1+Y35)^1-1</f>
        <v>3.0000000000000027E-2</v>
      </c>
      <c r="E35" s="107">
        <f>(1+Y35)^2-1</f>
        <v>6.0899999999999954E-2</v>
      </c>
      <c r="F35" s="102">
        <f>(1+Y35)^3-1</f>
        <v>9.2727000000000004E-2</v>
      </c>
      <c r="G35" s="102">
        <f>(1+Y35)^4-1</f>
        <v>0.12550880999999992</v>
      </c>
      <c r="H35" s="102">
        <f>(1+$Y$35)^5-1</f>
        <v>0.15927407429999985</v>
      </c>
      <c r="I35" s="102">
        <f>(1+$Y$35)^6-1</f>
        <v>0.19405229652899991</v>
      </c>
      <c r="J35" s="102">
        <f>(1+$Y$35)^7-1</f>
        <v>0.22987386542486998</v>
      </c>
      <c r="K35" s="102">
        <f>(1+$Y$35)^8-1</f>
        <v>0.26677008138761593</v>
      </c>
      <c r="L35" s="102">
        <f>(1+$Y$35)^9-1</f>
        <v>0.30477318382924445</v>
      </c>
      <c r="M35" s="102">
        <f>(1+$Y$35)^10-1</f>
        <v>0.34391637934412178</v>
      </c>
      <c r="N35" s="102">
        <f>(1+$Y$35)^11-1</f>
        <v>0.38423387072444548</v>
      </c>
      <c r="O35" s="102">
        <f>(1+$Y$35)^12-1</f>
        <v>0.42576088684617863</v>
      </c>
      <c r="P35" s="102">
        <f>(1+$Y$35)^13-1</f>
        <v>0.46853371345156392</v>
      </c>
      <c r="Q35" s="102">
        <f>(1+$Y$35)^14-1</f>
        <v>0.51258972485511101</v>
      </c>
      <c r="R35" s="102">
        <f>(1+$Y$35)^15-1</f>
        <v>0.55796741660076443</v>
      </c>
      <c r="S35" s="102">
        <f>(1+$Y$35)^16-1</f>
        <v>0.60470643909878707</v>
      </c>
      <c r="T35" s="102">
        <f>(1+$Y$35)^17-1</f>
        <v>0.65284763227175069</v>
      </c>
      <c r="U35" s="102">
        <f>(1+$Y$35)^18-1</f>
        <v>0.70243306123990323</v>
      </c>
      <c r="V35" s="102">
        <f>(1+$Y$35)^19-1</f>
        <v>0.75350605307710028</v>
      </c>
      <c r="W35" s="102">
        <f>(1+$Y$35)^20-1</f>
        <v>0.80611123466941326</v>
      </c>
      <c r="X35" s="99" t="s">
        <v>80</v>
      </c>
      <c r="Y35" s="100">
        <v>0.03</v>
      </c>
      <c r="Z35" t="s">
        <v>81</v>
      </c>
      <c r="AA35" t="s">
        <v>204</v>
      </c>
    </row>
    <row r="36" spans="1:28" x14ac:dyDescent="0.2">
      <c r="A36" s="1266" t="s">
        <v>526</v>
      </c>
      <c r="B36" s="1266"/>
      <c r="C36" s="18">
        <v>0</v>
      </c>
      <c r="D36" s="102">
        <f>(1+Y36)^1-1</f>
        <v>1.0000000000000009E-2</v>
      </c>
      <c r="E36" s="107">
        <f>(1+Y36)^2-1</f>
        <v>2.0100000000000007E-2</v>
      </c>
      <c r="F36" s="102">
        <f>(1+Y36)^3-1</f>
        <v>3.0300999999999911E-2</v>
      </c>
      <c r="G36" s="102">
        <f>(1+Y36)^4-1</f>
        <v>4.0604010000000024E-2</v>
      </c>
      <c r="H36" s="102">
        <f>(1+$Y$36)^5-1</f>
        <v>5.1010050099999926E-2</v>
      </c>
      <c r="I36" s="102">
        <f>(1+$Y$36)^6-1</f>
        <v>6.1520150601000134E-2</v>
      </c>
      <c r="J36" s="102">
        <f>(1+$Y$36)^7-1</f>
        <v>7.2135352107009831E-2</v>
      </c>
      <c r="K36" s="102">
        <f>(1+$Y$36)^8-1</f>
        <v>8.2856705628080229E-2</v>
      </c>
      <c r="L36" s="102">
        <f>(1+$Y$36)^9-1</f>
        <v>9.3685272684361109E-2</v>
      </c>
      <c r="M36" s="102">
        <f>(1+$Y$36)^10-1</f>
        <v>0.10462212541120475</v>
      </c>
      <c r="N36" s="102">
        <f>(1+$Y$36)^11-1</f>
        <v>0.11566834666531656</v>
      </c>
      <c r="O36" s="102">
        <f>(1+$Y$36)^12-1</f>
        <v>0.12682503013196977</v>
      </c>
      <c r="P36" s="102">
        <f>(1+$Y$36)^13-1</f>
        <v>0.1380932804332895</v>
      </c>
      <c r="Q36" s="102">
        <f>(1+$Y$36)^14-1</f>
        <v>0.14947421323762256</v>
      </c>
      <c r="R36" s="102">
        <f>(1+$Y$36)^15-1</f>
        <v>0.16096895536999845</v>
      </c>
      <c r="S36" s="102">
        <f>(1+$Y$36)^16-1</f>
        <v>0.17257864492369879</v>
      </c>
      <c r="T36" s="102">
        <f>(1+$Y$36)^17-1</f>
        <v>0.18430443137293584</v>
      </c>
      <c r="U36" s="102">
        <f>(1+$Y$36)^18-1</f>
        <v>0.19614747568666524</v>
      </c>
      <c r="V36" s="102">
        <f>(1+$Y$36)^19-1</f>
        <v>0.20810895044353162</v>
      </c>
      <c r="W36" s="102">
        <f>(1+$Y$36)^20-1</f>
        <v>0.22019003994796704</v>
      </c>
      <c r="X36" s="99" t="s">
        <v>80</v>
      </c>
      <c r="Y36" s="100">
        <f>Y35-B101</f>
        <v>9.9999999999999985E-3</v>
      </c>
      <c r="Z36" t="s">
        <v>81</v>
      </c>
      <c r="AA36" t="s">
        <v>204</v>
      </c>
    </row>
    <row r="38" spans="1:28" x14ac:dyDescent="0.2">
      <c r="A38" s="828" t="s">
        <v>179</v>
      </c>
    </row>
    <row r="39" spans="1:28" x14ac:dyDescent="0.2">
      <c r="C39" s="40" t="s">
        <v>835</v>
      </c>
      <c r="D39" s="40" t="s">
        <v>945</v>
      </c>
      <c r="E39" s="40" t="s">
        <v>946</v>
      </c>
      <c r="F39" s="40" t="s">
        <v>947</v>
      </c>
      <c r="G39" s="40" t="s">
        <v>948</v>
      </c>
      <c r="H39" s="40" t="s">
        <v>949</v>
      </c>
      <c r="I39" s="40" t="s">
        <v>846</v>
      </c>
      <c r="J39" s="40" t="s">
        <v>847</v>
      </c>
      <c r="K39" s="40" t="s">
        <v>848</v>
      </c>
      <c r="L39" s="40" t="s">
        <v>849</v>
      </c>
      <c r="M39" s="40" t="s">
        <v>509</v>
      </c>
      <c r="N39" s="40" t="s">
        <v>510</v>
      </c>
      <c r="O39" s="40" t="s">
        <v>368</v>
      </c>
      <c r="P39" s="40" t="s">
        <v>369</v>
      </c>
      <c r="Q39" s="40" t="s">
        <v>370</v>
      </c>
      <c r="R39" s="40" t="s">
        <v>371</v>
      </c>
      <c r="S39" s="40" t="s">
        <v>372</v>
      </c>
      <c r="T39" s="40" t="s">
        <v>373</v>
      </c>
      <c r="U39" s="40" t="s">
        <v>374</v>
      </c>
      <c r="V39" s="40" t="s">
        <v>375</v>
      </c>
      <c r="W39" s="40" t="s">
        <v>376</v>
      </c>
    </row>
    <row r="40" spans="1:28" x14ac:dyDescent="0.2">
      <c r="A40" s="1266" t="s">
        <v>2</v>
      </c>
      <c r="B40" s="1266"/>
      <c r="C40" s="18">
        <v>0</v>
      </c>
      <c r="D40" s="102">
        <f>(1+Y40)^1-1</f>
        <v>2.0000000000000018E-2</v>
      </c>
      <c r="E40" s="107">
        <f>(1+Y40)^2-1</f>
        <v>4.0399999999999991E-2</v>
      </c>
      <c r="F40" s="102">
        <f>(1+Y40)^3-1</f>
        <v>6.1207999999999929E-2</v>
      </c>
      <c r="G40" s="102">
        <f>(1+Y40)^4-1</f>
        <v>8.2432159999999977E-2</v>
      </c>
      <c r="H40" s="102">
        <f>(1+$Y$40)^5-1</f>
        <v>0.10408080320000002</v>
      </c>
      <c r="I40" s="102">
        <f>(1+$Y$40)^6-1</f>
        <v>0.12616241926400007</v>
      </c>
      <c r="J40" s="102">
        <f>(1+$Y$40)^7-1</f>
        <v>0.14868566764927982</v>
      </c>
      <c r="K40" s="102">
        <f>(1+$Y$40)^8-1</f>
        <v>0.17165938100226552</v>
      </c>
      <c r="L40" s="102">
        <f>(1+$Y$40)^9-1</f>
        <v>0.19509256862231084</v>
      </c>
      <c r="M40" s="102">
        <f>(1+$Y$40)^10-1</f>
        <v>0.21899441999475711</v>
      </c>
      <c r="N40" s="102">
        <f>(1+$Y$40)^11-1</f>
        <v>0.24337430839465202</v>
      </c>
      <c r="O40" s="102">
        <f>(1+$Y$40)^12-1</f>
        <v>0.26824179456254527</v>
      </c>
      <c r="P40" s="102">
        <f>(1+$Y$40)^13-1</f>
        <v>0.29360663045379609</v>
      </c>
      <c r="Q40" s="102">
        <f>(1+$Y$40)^14-1</f>
        <v>0.31947876306287215</v>
      </c>
      <c r="R40" s="102">
        <f>(1+$Y$40)^15-1</f>
        <v>0.34586833832412922</v>
      </c>
      <c r="S40" s="102">
        <f>(1+$Y$40)^16-1</f>
        <v>0.37278570509061204</v>
      </c>
      <c r="T40" s="102">
        <f>(1+$Y$40)^17-1</f>
        <v>0.4002414191924244</v>
      </c>
      <c r="U40" s="102">
        <f>(1+$Y$40)^18-1</f>
        <v>0.42824624757627272</v>
      </c>
      <c r="V40" s="102">
        <f>(1+$Y$40)^19-1</f>
        <v>0.45681117252779813</v>
      </c>
      <c r="W40" s="102">
        <f>(1+$Y$40)^20-1</f>
        <v>0.48594739597835424</v>
      </c>
      <c r="X40" s="99" t="s">
        <v>80</v>
      </c>
      <c r="Y40" s="100">
        <v>0.02</v>
      </c>
      <c r="Z40" t="s">
        <v>81</v>
      </c>
    </row>
    <row r="43" spans="1:28" x14ac:dyDescent="0.2">
      <c r="A43" s="12" t="s">
        <v>206</v>
      </c>
      <c r="C43" s="117">
        <v>5.0000000000000001E-3</v>
      </c>
      <c r="D43" t="s">
        <v>859</v>
      </c>
    </row>
    <row r="44" spans="1:28" x14ac:dyDescent="0.2">
      <c r="D44" t="s">
        <v>497</v>
      </c>
    </row>
    <row r="46" spans="1:28" x14ac:dyDescent="0.2">
      <c r="A46" s="828" t="s">
        <v>207</v>
      </c>
      <c r="D46" s="203"/>
    </row>
    <row r="47" spans="1:28" x14ac:dyDescent="0.2">
      <c r="D47" s="40" t="s">
        <v>835</v>
      </c>
      <c r="E47" s="40" t="s">
        <v>945</v>
      </c>
      <c r="F47" s="40" t="s">
        <v>946</v>
      </c>
      <c r="G47" s="40" t="s">
        <v>947</v>
      </c>
      <c r="H47" s="40" t="s">
        <v>948</v>
      </c>
      <c r="I47" s="40" t="s">
        <v>949</v>
      </c>
      <c r="J47" s="40" t="s">
        <v>846</v>
      </c>
      <c r="K47" s="40" t="s">
        <v>847</v>
      </c>
      <c r="L47" s="40" t="s">
        <v>848</v>
      </c>
      <c r="M47" s="40" t="s">
        <v>849</v>
      </c>
      <c r="N47" s="40" t="s">
        <v>509</v>
      </c>
      <c r="O47" s="40" t="s">
        <v>510</v>
      </c>
      <c r="P47" s="40" t="s">
        <v>368</v>
      </c>
      <c r="Q47" s="40" t="s">
        <v>369</v>
      </c>
      <c r="R47" s="40" t="s">
        <v>370</v>
      </c>
      <c r="S47" s="40" t="s">
        <v>371</v>
      </c>
      <c r="T47" s="40" t="s">
        <v>372</v>
      </c>
      <c r="U47" s="40" t="s">
        <v>373</v>
      </c>
      <c r="V47" s="40" t="s">
        <v>374</v>
      </c>
      <c r="W47" s="40" t="s">
        <v>375</v>
      </c>
      <c r="X47" s="40" t="s">
        <v>376</v>
      </c>
    </row>
    <row r="48" spans="1:28" x14ac:dyDescent="0.2">
      <c r="A48" s="1293" t="s">
        <v>227</v>
      </c>
      <c r="B48" s="1293"/>
      <c r="C48" s="1293"/>
      <c r="D48" s="80">
        <f>E48*'Données PAMCHR'!C7/'Données PAMCHR'!D7</f>
        <v>60869.565217391304</v>
      </c>
      <c r="E48" s="110">
        <v>350000</v>
      </c>
      <c r="F48" s="80">
        <f>E48*(1+$Z$48)</f>
        <v>357000</v>
      </c>
      <c r="G48" s="80">
        <f>F48*(1+$Z$48)</f>
        <v>364140</v>
      </c>
      <c r="H48" s="80">
        <f>G48*(1+$Z$48)</f>
        <v>371422.8</v>
      </c>
      <c r="I48" s="80">
        <f>H48*(1+$Z$48)</f>
        <v>378851.25599999999</v>
      </c>
      <c r="J48" s="80">
        <f t="shared" ref="J48:X48" si="11">I48*(1+$Z$48)</f>
        <v>386428.28112</v>
      </c>
      <c r="K48" s="80">
        <f t="shared" si="11"/>
        <v>394156.84674240003</v>
      </c>
      <c r="L48" s="80">
        <f t="shared" si="11"/>
        <v>402039.98367724806</v>
      </c>
      <c r="M48" s="80">
        <f t="shared" si="11"/>
        <v>410080.783350793</v>
      </c>
      <c r="N48" s="80">
        <f t="shared" si="11"/>
        <v>418282.3990178089</v>
      </c>
      <c r="O48" s="80">
        <f t="shared" si="11"/>
        <v>426648.04699816508</v>
      </c>
      <c r="P48" s="80">
        <f t="shared" si="11"/>
        <v>435181.00793812837</v>
      </c>
      <c r="Q48" s="80">
        <f t="shared" si="11"/>
        <v>443884.62809689093</v>
      </c>
      <c r="R48" s="80">
        <f t="shared" si="11"/>
        <v>452762.32065882877</v>
      </c>
      <c r="S48" s="80">
        <f t="shared" si="11"/>
        <v>461817.56707200536</v>
      </c>
      <c r="T48" s="80">
        <f t="shared" si="11"/>
        <v>471053.91841344547</v>
      </c>
      <c r="U48" s="80">
        <f t="shared" si="11"/>
        <v>480474.99678171438</v>
      </c>
      <c r="V48" s="80">
        <f t="shared" si="11"/>
        <v>490084.49671734869</v>
      </c>
      <c r="W48" s="80">
        <f t="shared" si="11"/>
        <v>499886.18665169569</v>
      </c>
      <c r="X48" s="80">
        <f t="shared" si="11"/>
        <v>509883.91038472962</v>
      </c>
      <c r="Y48" s="99" t="s">
        <v>80</v>
      </c>
      <c r="Z48" s="100">
        <v>0.02</v>
      </c>
      <c r="AA48" t="s">
        <v>81</v>
      </c>
      <c r="AB48" t="s">
        <v>514</v>
      </c>
    </row>
    <row r="49" spans="1:28" x14ac:dyDescent="0.2">
      <c r="A49" s="1293" t="s">
        <v>634</v>
      </c>
      <c r="B49" s="1293"/>
      <c r="C49" s="1293"/>
      <c r="D49" s="80">
        <f>E49*'Données PAMCHR'!C7/'Données PAMCHR'!D7</f>
        <v>4347.826086956522</v>
      </c>
      <c r="E49" s="110">
        <v>25000</v>
      </c>
      <c r="F49" s="110">
        <v>25000</v>
      </c>
      <c r="G49" s="110">
        <v>25000</v>
      </c>
      <c r="H49" s="110">
        <v>25000</v>
      </c>
      <c r="I49" s="110">
        <v>25000</v>
      </c>
      <c r="J49" s="110">
        <v>25000</v>
      </c>
      <c r="K49" s="110">
        <v>25000</v>
      </c>
      <c r="L49" s="110">
        <v>25000</v>
      </c>
      <c r="M49" s="110">
        <v>25000</v>
      </c>
      <c r="N49" s="110">
        <v>25000</v>
      </c>
      <c r="O49" s="110">
        <v>25000</v>
      </c>
      <c r="P49" s="110">
        <v>25000</v>
      </c>
      <c r="Q49" s="110">
        <v>25000</v>
      </c>
      <c r="R49" s="110">
        <v>25000</v>
      </c>
      <c r="S49" s="110">
        <v>25000</v>
      </c>
      <c r="T49" s="110">
        <v>25000</v>
      </c>
      <c r="U49" s="110">
        <v>25000</v>
      </c>
      <c r="V49" s="110">
        <v>25000</v>
      </c>
      <c r="W49" s="110">
        <v>25000</v>
      </c>
      <c r="X49" s="110">
        <v>25000</v>
      </c>
      <c r="Y49" t="s">
        <v>500</v>
      </c>
    </row>
    <row r="50" spans="1:28" x14ac:dyDescent="0.2">
      <c r="D50" s="80">
        <f t="shared" ref="D50:K50" si="12">D48+D49</f>
        <v>65217.391304347824</v>
      </c>
      <c r="E50" s="80">
        <f t="shared" si="12"/>
        <v>375000</v>
      </c>
      <c r="F50" s="80">
        <f t="shared" si="12"/>
        <v>382000</v>
      </c>
      <c r="G50" s="80">
        <f t="shared" si="12"/>
        <v>389140</v>
      </c>
      <c r="H50" s="80">
        <f t="shared" si="12"/>
        <v>396422.8</v>
      </c>
      <c r="I50" s="80">
        <f t="shared" si="12"/>
        <v>403851.25599999999</v>
      </c>
      <c r="J50" s="80">
        <f t="shared" si="12"/>
        <v>411428.28112</v>
      </c>
      <c r="K50" s="80">
        <f t="shared" si="12"/>
        <v>419156.84674240003</v>
      </c>
      <c r="L50" s="80">
        <f>L48+L49</f>
        <v>427039.98367724806</v>
      </c>
      <c r="M50" s="80">
        <f>M48+M49</f>
        <v>435080.783350793</v>
      </c>
      <c r="N50" s="80">
        <f t="shared" ref="N50:X50" si="13">N48+N49</f>
        <v>443282.3990178089</v>
      </c>
      <c r="O50" s="80">
        <f t="shared" si="13"/>
        <v>451648.04699816508</v>
      </c>
      <c r="P50" s="80">
        <f t="shared" si="13"/>
        <v>460181.00793812837</v>
      </c>
      <c r="Q50" s="80">
        <f t="shared" si="13"/>
        <v>468884.62809689093</v>
      </c>
      <c r="R50" s="80">
        <f t="shared" si="13"/>
        <v>477762.32065882877</v>
      </c>
      <c r="S50" s="80">
        <f t="shared" si="13"/>
        <v>486817.56707200536</v>
      </c>
      <c r="T50" s="80">
        <f t="shared" si="13"/>
        <v>496053.91841344547</v>
      </c>
      <c r="U50" s="80">
        <f t="shared" si="13"/>
        <v>505474.99678171438</v>
      </c>
      <c r="V50" s="80">
        <f t="shared" si="13"/>
        <v>515084.49671734869</v>
      </c>
      <c r="W50" s="80">
        <f t="shared" si="13"/>
        <v>524886.18665169575</v>
      </c>
      <c r="X50" s="80">
        <f t="shared" si="13"/>
        <v>534883.91038472962</v>
      </c>
    </row>
    <row r="51" spans="1:28" x14ac:dyDescent="0.2">
      <c r="D51" s="196"/>
      <c r="E51" s="196"/>
      <c r="F51" s="196"/>
      <c r="G51" s="196"/>
      <c r="H51" s="196"/>
    </row>
    <row r="53" spans="1:28" x14ac:dyDescent="0.2">
      <c r="A53" s="12" t="s">
        <v>208</v>
      </c>
      <c r="C53" s="140"/>
    </row>
    <row r="54" spans="1:28" x14ac:dyDescent="0.2">
      <c r="A54" s="126" t="s">
        <v>212</v>
      </c>
      <c r="B54" s="126"/>
      <c r="C54" s="127"/>
      <c r="D54" s="40" t="s">
        <v>835</v>
      </c>
      <c r="E54" s="40" t="s">
        <v>945</v>
      </c>
      <c r="F54" s="40" t="s">
        <v>946</v>
      </c>
      <c r="G54" s="40" t="s">
        <v>947</v>
      </c>
      <c r="H54" s="40" t="s">
        <v>948</v>
      </c>
      <c r="I54" s="40" t="s">
        <v>949</v>
      </c>
      <c r="J54" s="40" t="s">
        <v>846</v>
      </c>
      <c r="K54" s="40" t="s">
        <v>847</v>
      </c>
      <c r="L54" s="40" t="s">
        <v>848</v>
      </c>
      <c r="M54" s="40" t="s">
        <v>849</v>
      </c>
      <c r="N54" s="40" t="s">
        <v>509</v>
      </c>
      <c r="O54" s="40" t="s">
        <v>510</v>
      </c>
      <c r="P54" s="40" t="s">
        <v>368</v>
      </c>
      <c r="Q54" s="40" t="s">
        <v>369</v>
      </c>
      <c r="R54" s="40" t="s">
        <v>370</v>
      </c>
      <c r="S54" s="40" t="s">
        <v>371</v>
      </c>
      <c r="T54" s="40" t="s">
        <v>372</v>
      </c>
      <c r="U54" s="40" t="s">
        <v>373</v>
      </c>
      <c r="V54" s="40" t="s">
        <v>374</v>
      </c>
      <c r="W54" s="40" t="s">
        <v>375</v>
      </c>
      <c r="X54" s="40" t="s">
        <v>376</v>
      </c>
    </row>
    <row r="55" spans="1:28" x14ac:dyDescent="0.2">
      <c r="A55" s="1293" t="s">
        <v>226</v>
      </c>
      <c r="B55" s="1293"/>
      <c r="C55" s="1293"/>
      <c r="D55" s="80">
        <f>E55</f>
        <v>30000</v>
      </c>
      <c r="E55" s="110">
        <v>30000</v>
      </c>
      <c r="F55" s="80">
        <f t="shared" ref="F55:X55" si="14">E55*(1+$Z$55)</f>
        <v>30600</v>
      </c>
      <c r="G55" s="80">
        <f t="shared" si="14"/>
        <v>31212</v>
      </c>
      <c r="H55" s="80">
        <f t="shared" si="14"/>
        <v>31836.240000000002</v>
      </c>
      <c r="I55" s="80">
        <f t="shared" si="14"/>
        <v>32472.964800000002</v>
      </c>
      <c r="J55" s="80">
        <f t="shared" si="14"/>
        <v>33122.424096000002</v>
      </c>
      <c r="K55" s="80">
        <f t="shared" si="14"/>
        <v>33784.872577920003</v>
      </c>
      <c r="L55" s="80">
        <f t="shared" si="14"/>
        <v>34460.570029478404</v>
      </c>
      <c r="M55" s="80">
        <f t="shared" si="14"/>
        <v>35149.781430067975</v>
      </c>
      <c r="N55" s="80">
        <f t="shared" si="14"/>
        <v>35852.777058669337</v>
      </c>
      <c r="O55" s="80">
        <f t="shared" si="14"/>
        <v>36569.832599842724</v>
      </c>
      <c r="P55" s="80">
        <f t="shared" si="14"/>
        <v>37301.229251839577</v>
      </c>
      <c r="Q55" s="80">
        <f t="shared" si="14"/>
        <v>38047.253836876371</v>
      </c>
      <c r="R55" s="80">
        <f t="shared" si="14"/>
        <v>38808.198913613902</v>
      </c>
      <c r="S55" s="80">
        <f t="shared" si="14"/>
        <v>39584.36289188618</v>
      </c>
      <c r="T55" s="80">
        <f t="shared" si="14"/>
        <v>40376.050149723902</v>
      </c>
      <c r="U55" s="80">
        <f t="shared" si="14"/>
        <v>41183.571152718381</v>
      </c>
      <c r="V55" s="80">
        <f t="shared" si="14"/>
        <v>42007.242575772747</v>
      </c>
      <c r="W55" s="80">
        <f t="shared" si="14"/>
        <v>42847.387427288202</v>
      </c>
      <c r="X55" s="80">
        <f t="shared" si="14"/>
        <v>43704.33517583397</v>
      </c>
      <c r="Y55" s="99" t="s">
        <v>80</v>
      </c>
      <c r="Z55" s="100">
        <v>0.02</v>
      </c>
      <c r="AA55" t="s">
        <v>81</v>
      </c>
    </row>
    <row r="56" spans="1:28" x14ac:dyDescent="0.2">
      <c r="A56" s="1293" t="s">
        <v>279</v>
      </c>
      <c r="B56" s="1293"/>
      <c r="C56" s="1293"/>
      <c r="D56" s="80">
        <f>0.16%*Exploitation!B7</f>
        <v>2641.7638001178839</v>
      </c>
      <c r="E56" s="80">
        <f>0.16%*Exploitation!C7</f>
        <v>25859.816278453767</v>
      </c>
      <c r="F56" s="80">
        <f>0.16%*Exploitation!D7</f>
        <v>40392.408743794433</v>
      </c>
      <c r="G56" s="80">
        <f>0.16%*Exploitation!E7</f>
        <v>62017.82010777176</v>
      </c>
      <c r="H56" s="80">
        <f>0.16%*Exploitation!F7</f>
        <v>77889.140116027964</v>
      </c>
      <c r="I56" s="80">
        <f>0.16%*Exploitation!G7</f>
        <v>91139.802226102489</v>
      </c>
      <c r="J56" s="80">
        <f>0.16%*Exploitation!H7</f>
        <v>91945.275904653201</v>
      </c>
      <c r="K56" s="80">
        <f>0.16%*Exploitation!I7</f>
        <v>92511.208035222895</v>
      </c>
      <c r="L56" s="80">
        <f>0.16%*Exploitation!J7</f>
        <v>92618.353289071383</v>
      </c>
      <c r="M56" s="80">
        <f>0.16%*Exploitation!K7</f>
        <v>93149.725099044794</v>
      </c>
      <c r="N56" s="80">
        <f>0.16%*Exploitation!L7</f>
        <v>93149.725099044794</v>
      </c>
      <c r="O56" s="80">
        <f>0.16%*Exploitation!M7</f>
        <v>93149.725099044794</v>
      </c>
      <c r="P56" s="80">
        <f>0.16%*Exploitation!N7</f>
        <v>93149.725099044794</v>
      </c>
      <c r="Q56" s="80">
        <f>0.16%*Exploitation!O7</f>
        <v>93149.725099044794</v>
      </c>
      <c r="R56" s="80">
        <f>0.16%*Exploitation!P7</f>
        <v>93149.725099044794</v>
      </c>
      <c r="S56" s="80">
        <f>0.16%*Exploitation!Q7</f>
        <v>93149.725099044794</v>
      </c>
      <c r="T56" s="80">
        <f>0.16%*Exploitation!R7</f>
        <v>93149.725099044794</v>
      </c>
      <c r="U56" s="80">
        <f>0.16%*Exploitation!S7</f>
        <v>93149.725099044794</v>
      </c>
      <c r="V56" s="80">
        <f>0.16%*Exploitation!T7</f>
        <v>93149.725099044794</v>
      </c>
      <c r="W56" s="80">
        <f>0.16%*Exploitation!U7</f>
        <v>93149.725099044794</v>
      </c>
      <c r="X56" s="80">
        <f>0.16%*Exploitation!V7</f>
        <v>93149.725099044794</v>
      </c>
    </row>
    <row r="57" spans="1:28" x14ac:dyDescent="0.2">
      <c r="A57" s="1293" t="s">
        <v>225</v>
      </c>
      <c r="B57" s="1293"/>
      <c r="C57" s="1293"/>
      <c r="D57" s="80"/>
      <c r="E57" s="110"/>
      <c r="F57" s="80">
        <v>150000</v>
      </c>
      <c r="G57" s="80">
        <f>285600*(1+$Z$57)</f>
        <v>291312</v>
      </c>
      <c r="H57" s="80">
        <f t="shared" ref="H57:X57" si="15">G57*(1+$Z$57)</f>
        <v>297138.24</v>
      </c>
      <c r="I57" s="80">
        <f t="shared" si="15"/>
        <v>303081.0048</v>
      </c>
      <c r="J57" s="80">
        <f t="shared" si="15"/>
        <v>309142.62489600002</v>
      </c>
      <c r="K57" s="80">
        <f t="shared" si="15"/>
        <v>315325.47739392001</v>
      </c>
      <c r="L57" s="80">
        <f t="shared" si="15"/>
        <v>321631.98694179842</v>
      </c>
      <c r="M57" s="80">
        <f t="shared" si="15"/>
        <v>328064.62668063439</v>
      </c>
      <c r="N57" s="80">
        <f t="shared" si="15"/>
        <v>334625.91921424709</v>
      </c>
      <c r="O57" s="80">
        <f t="shared" si="15"/>
        <v>341318.43759853201</v>
      </c>
      <c r="P57" s="80">
        <f t="shared" si="15"/>
        <v>348144.80635050265</v>
      </c>
      <c r="Q57" s="80">
        <f t="shared" si="15"/>
        <v>355107.70247751271</v>
      </c>
      <c r="R57" s="80">
        <f t="shared" si="15"/>
        <v>362209.85652706295</v>
      </c>
      <c r="S57" s="80">
        <f t="shared" si="15"/>
        <v>369454.05365760421</v>
      </c>
      <c r="T57" s="80">
        <f t="shared" si="15"/>
        <v>376843.13473075628</v>
      </c>
      <c r="U57" s="80">
        <f t="shared" si="15"/>
        <v>384379.99742537143</v>
      </c>
      <c r="V57" s="80">
        <f t="shared" si="15"/>
        <v>392067.59737387887</v>
      </c>
      <c r="W57" s="80">
        <f t="shared" si="15"/>
        <v>399908.94932135649</v>
      </c>
      <c r="X57" s="80">
        <f t="shared" si="15"/>
        <v>407907.12830778363</v>
      </c>
      <c r="Y57" s="99" t="s">
        <v>80</v>
      </c>
      <c r="Z57" s="100">
        <v>0.02</v>
      </c>
      <c r="AA57" t="s">
        <v>81</v>
      </c>
      <c r="AB57" t="s">
        <v>346</v>
      </c>
    </row>
    <row r="58" spans="1:28" x14ac:dyDescent="0.2">
      <c r="A58" s="1293" t="s">
        <v>228</v>
      </c>
      <c r="B58" s="1293"/>
      <c r="C58" s="1293"/>
      <c r="D58" s="110">
        <v>250000</v>
      </c>
      <c r="E58" s="110">
        <v>550000</v>
      </c>
      <c r="F58" s="110">
        <v>500000</v>
      </c>
      <c r="G58" s="110">
        <v>400000</v>
      </c>
      <c r="H58" s="845">
        <v>100000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t="s">
        <v>501</v>
      </c>
    </row>
    <row r="59" spans="1:28" x14ac:dyDescent="0.2">
      <c r="A59" s="1320" t="s">
        <v>1495</v>
      </c>
      <c r="B59" s="1293"/>
      <c r="C59" s="1293"/>
      <c r="D59" s="1194">
        <f>('Données PAMCHR'!B215*'Données gestion'!C19+'Données PAMCHR'!B216*'Données gestion'!C17)*(1+2/3*3.5%)</f>
        <v>50178.307641120002</v>
      </c>
      <c r="E59" s="1194">
        <f>('Données PAMCHR'!C215*'Données gestion'!D19+'Données PAMCHR'!C216*'Données gestion'!D17)*(1+2/3*3.5%)</f>
        <v>51181.873793942403</v>
      </c>
      <c r="F59" s="1194">
        <f>('Données PAMCHR'!D215*'Données gestion'!E19+'Données PAMCHR'!D216*'Données gestion'!E17)*(1+2/3*3.5%)</f>
        <v>52205.511269821247</v>
      </c>
      <c r="G59" s="1194">
        <f>('Données PAMCHR'!E215*'Données gestion'!F19+'Données PAMCHR'!E216*'Données gestion'!F17)*(1+2/3*3.5%)</f>
        <v>53249.621495217667</v>
      </c>
      <c r="H59" s="1194">
        <f>('Données PAMCHR'!F215*'Données gestion'!G19+'Données PAMCHR'!F216*'Données gestion'!G17)*(1+2/3*3.5%)</f>
        <v>54314.61392512203</v>
      </c>
      <c r="I59" s="1194">
        <f>('Données PAMCHR'!G215*'Données gestion'!H19+'Données PAMCHR'!G216*'Données gestion'!H17)*(1+2/3*3.5%)</f>
        <v>55400.906203624465</v>
      </c>
      <c r="J59" s="1194">
        <f>('Données PAMCHR'!H215*'Données gestion'!I19+'Données PAMCHR'!H216*'Données gestion'!I17)*(1+2/3*3.5%)</f>
        <v>56508.924327696957</v>
      </c>
      <c r="K59" s="1194">
        <f>('Données PAMCHR'!I215*'Données gestion'!J19+'Données PAMCHR'!I216*'Données gestion'!J17)*(1+2/3*3.5%)</f>
        <v>57639.102814250888</v>
      </c>
      <c r="L59" s="1194">
        <f>('Données PAMCHR'!J215*'Données gestion'!K19+'Données PAMCHR'!J216*'Données gestion'!K17)*(1+2/3*3.5%)</f>
        <v>58791.884870535905</v>
      </c>
      <c r="M59" s="1194">
        <f>('Données PAMCHR'!K215*'Données gestion'!L19+'Données PAMCHR'!K216*'Données gestion'!L17)*(1+2/3*3.5%)</f>
        <v>59967.722567946628</v>
      </c>
      <c r="N59" s="1194">
        <f>('Données PAMCHR'!L215*'Données gestion'!M19+'Données PAMCHR'!L216*'Données gestion'!M17)*(1+2/3*3.5%)</f>
        <v>61167.077019305565</v>
      </c>
      <c r="O59" s="1194">
        <f>('Données PAMCHR'!M215*'Données gestion'!N19+'Données PAMCHR'!M216*'Données gestion'!N17)*(1+2/3*3.5%)</f>
        <v>62390.418559691665</v>
      </c>
      <c r="P59" s="1194">
        <f>('Données PAMCHR'!N215*'Données gestion'!O19+'Données PAMCHR'!N216*'Données gestion'!O17)*(1+2/3*3.5%)</f>
        <v>63638.22693088551</v>
      </c>
      <c r="Q59" s="1194">
        <f>('Données PAMCHR'!O215*'Données gestion'!P19+'Données PAMCHR'!O216*'Données gestion'!P17)*(1+2/3*3.5%)</f>
        <v>64910.991469503213</v>
      </c>
      <c r="R59" s="1194">
        <f>('Données PAMCHR'!P215*'Données gestion'!Q19+'Données PAMCHR'!P216*'Données gestion'!Q17)*(1+2/3*3.5%)</f>
        <v>66209.211298893279</v>
      </c>
      <c r="S59" s="1194">
        <f>('Données PAMCHR'!Q215*'Données gestion'!R19+'Données PAMCHR'!Q216*'Données gestion'!R17)*(1+2/3*3.5%)</f>
        <v>67533.395524871143</v>
      </c>
      <c r="T59" s="1194">
        <f>('Données PAMCHR'!R215*'Données gestion'!S19+'Données PAMCHR'!R216*'Données gestion'!S17)*(1+2/3*3.5%)</f>
        <v>68884.06343536856</v>
      </c>
      <c r="U59" s="1194">
        <f>('Données PAMCHR'!S215*'Données gestion'!T19+'Données PAMCHR'!S216*'Données gestion'!T17)*(1+2/3*3.5%)</f>
        <v>70261.744704075943</v>
      </c>
      <c r="V59" s="1194">
        <f>('Données PAMCHR'!T215*'Données gestion'!U19+'Données PAMCHR'!T216*'Données gestion'!U17)*(1+2/3*3.5%)</f>
        <v>71666.979598157457</v>
      </c>
      <c r="W59" s="1194">
        <f>('Données PAMCHR'!U215*'Données gestion'!V19+'Données PAMCHR'!U216*'Données gestion'!V17)*(1+2/3*3.5%)</f>
        <v>73100.319190120601</v>
      </c>
      <c r="X59" s="1194">
        <f>('Données PAMCHR'!V215*'Données gestion'!W19+'Données PAMCHR'!V216*'Données gestion'!W17)*(1+2/3*3.5%)</f>
        <v>74562.325573923023</v>
      </c>
    </row>
    <row r="60" spans="1:28" x14ac:dyDescent="0.2">
      <c r="A60" s="1320" t="s">
        <v>1496</v>
      </c>
      <c r="B60" s="1293"/>
      <c r="C60" s="1293"/>
      <c r="D60" s="110">
        <v>50000</v>
      </c>
      <c r="E60" s="1194">
        <f>D60</f>
        <v>50000</v>
      </c>
      <c r="F60" s="1194">
        <f t="shared" ref="F60:X60" si="16">E60</f>
        <v>50000</v>
      </c>
      <c r="G60" s="1194">
        <f t="shared" si="16"/>
        <v>50000</v>
      </c>
      <c r="H60" s="1194">
        <f t="shared" si="16"/>
        <v>50000</v>
      </c>
      <c r="I60" s="1194">
        <f t="shared" si="16"/>
        <v>50000</v>
      </c>
      <c r="J60" s="1194">
        <f t="shared" si="16"/>
        <v>50000</v>
      </c>
      <c r="K60" s="1194">
        <f t="shared" si="16"/>
        <v>50000</v>
      </c>
      <c r="L60" s="1194">
        <f t="shared" si="16"/>
        <v>50000</v>
      </c>
      <c r="M60" s="1194">
        <f t="shared" si="16"/>
        <v>50000</v>
      </c>
      <c r="N60" s="1194">
        <f t="shared" si="16"/>
        <v>50000</v>
      </c>
      <c r="O60" s="1194">
        <f t="shared" si="16"/>
        <v>50000</v>
      </c>
      <c r="P60" s="1194">
        <f t="shared" si="16"/>
        <v>50000</v>
      </c>
      <c r="Q60" s="1194">
        <f t="shared" si="16"/>
        <v>50000</v>
      </c>
      <c r="R60" s="1194">
        <f t="shared" si="16"/>
        <v>50000</v>
      </c>
      <c r="S60" s="1194">
        <f t="shared" si="16"/>
        <v>50000</v>
      </c>
      <c r="T60" s="1194">
        <f t="shared" si="16"/>
        <v>50000</v>
      </c>
      <c r="U60" s="1194">
        <f t="shared" si="16"/>
        <v>50000</v>
      </c>
      <c r="V60" s="1194">
        <f t="shared" si="16"/>
        <v>50000</v>
      </c>
      <c r="W60" s="1194">
        <f t="shared" si="16"/>
        <v>50000</v>
      </c>
      <c r="X60" s="1194">
        <f t="shared" si="16"/>
        <v>50000</v>
      </c>
    </row>
    <row r="61" spans="1:28" x14ac:dyDescent="0.2">
      <c r="A61" s="1293" t="s">
        <v>229</v>
      </c>
      <c r="B61" s="1293"/>
      <c r="C61" s="1293"/>
      <c r="D61" s="80">
        <f>SUM(D55:D60)</f>
        <v>382820.07144123787</v>
      </c>
      <c r="E61" s="80">
        <f>SUM(E55:E60)</f>
        <v>707041.69007239619</v>
      </c>
      <c r="F61" s="80">
        <f t="shared" ref="F61:X61" si="17">SUM(F55:F60)</f>
        <v>823197.92001361563</v>
      </c>
      <c r="G61" s="80">
        <f t="shared" si="17"/>
        <v>887791.44160298945</v>
      </c>
      <c r="H61" s="80">
        <f t="shared" si="17"/>
        <v>611178.23404114996</v>
      </c>
      <c r="I61" s="80">
        <f t="shared" si="17"/>
        <v>532094.67802972696</v>
      </c>
      <c r="J61" s="80">
        <f t="shared" si="17"/>
        <v>540719.24922435021</v>
      </c>
      <c r="K61" s="80">
        <f t="shared" si="17"/>
        <v>549260.66082131374</v>
      </c>
      <c r="L61" s="80">
        <f t="shared" si="17"/>
        <v>557502.79513088416</v>
      </c>
      <c r="M61" s="80">
        <f t="shared" si="17"/>
        <v>566331.8557776938</v>
      </c>
      <c r="N61" s="80">
        <f t="shared" si="17"/>
        <v>574795.4983912668</v>
      </c>
      <c r="O61" s="80">
        <f t="shared" si="17"/>
        <v>583428.41385711113</v>
      </c>
      <c r="P61" s="80">
        <f t="shared" si="17"/>
        <v>592233.98763227253</v>
      </c>
      <c r="Q61" s="80">
        <f t="shared" si="17"/>
        <v>601215.67288293713</v>
      </c>
      <c r="R61" s="80">
        <f t="shared" si="17"/>
        <v>610376.99183861492</v>
      </c>
      <c r="S61" s="80">
        <f t="shared" si="17"/>
        <v>619721.53717340634</v>
      </c>
      <c r="T61" s="80">
        <f t="shared" si="17"/>
        <v>629252.97341489349</v>
      </c>
      <c r="U61" s="80">
        <f t="shared" si="17"/>
        <v>638975.03838121053</v>
      </c>
      <c r="V61" s="80">
        <f t="shared" si="17"/>
        <v>648891.54464685393</v>
      </c>
      <c r="W61" s="80">
        <f t="shared" si="17"/>
        <v>659006.38103781</v>
      </c>
      <c r="X61" s="80">
        <f t="shared" si="17"/>
        <v>669323.51415658544</v>
      </c>
    </row>
    <row r="64" spans="1:28" x14ac:dyDescent="0.2">
      <c r="A64" s="12" t="s">
        <v>211</v>
      </c>
    </row>
    <row r="65" spans="1:20" x14ac:dyDescent="0.2">
      <c r="A65" t="s">
        <v>212</v>
      </c>
    </row>
    <row r="66" spans="1:20" x14ac:dyDescent="0.2">
      <c r="B66" t="s">
        <v>213</v>
      </c>
    </row>
    <row r="67" spans="1:20" x14ac:dyDescent="0.2">
      <c r="B67" t="s">
        <v>214</v>
      </c>
      <c r="E67" s="110">
        <v>0</v>
      </c>
      <c r="F67" t="s">
        <v>217</v>
      </c>
    </row>
    <row r="68" spans="1:20" x14ac:dyDescent="0.2">
      <c r="B68" t="s">
        <v>215</v>
      </c>
      <c r="E68" s="110">
        <v>150000</v>
      </c>
      <c r="F68" t="s">
        <v>502</v>
      </c>
    </row>
    <row r="69" spans="1:20" x14ac:dyDescent="0.2">
      <c r="B69" t="s">
        <v>216</v>
      </c>
      <c r="E69" s="110">
        <v>50000</v>
      </c>
      <c r="F69" t="s">
        <v>527</v>
      </c>
    </row>
    <row r="70" spans="1:20" x14ac:dyDescent="0.2">
      <c r="E70" s="80">
        <f>SUM(E67:E69)</f>
        <v>200000</v>
      </c>
    </row>
    <row r="72" spans="1:20" x14ac:dyDescent="0.2">
      <c r="A72" s="12" t="s">
        <v>485</v>
      </c>
    </row>
    <row r="73" spans="1:20" x14ac:dyDescent="0.2">
      <c r="B73" s="43">
        <v>2014</v>
      </c>
      <c r="C73" s="43">
        <v>2015</v>
      </c>
      <c r="D73" s="43">
        <v>2016</v>
      </c>
    </row>
    <row r="74" spans="1:20" x14ac:dyDescent="0.2">
      <c r="B74" s="40" t="s">
        <v>349</v>
      </c>
      <c r="C74" s="40" t="s">
        <v>834</v>
      </c>
      <c r="D74" s="40" t="s">
        <v>835</v>
      </c>
      <c r="E74" s="40" t="s">
        <v>487</v>
      </c>
    </row>
    <row r="75" spans="1:20" x14ac:dyDescent="0.2">
      <c r="A75" s="15" t="s">
        <v>486</v>
      </c>
      <c r="B75" s="881"/>
      <c r="C75" s="881"/>
      <c r="D75" s="881"/>
      <c r="E75" s="80">
        <f>SUM(B75:D75)</f>
        <v>0</v>
      </c>
      <c r="F75" s="137" t="s">
        <v>1210</v>
      </c>
    </row>
    <row r="76" spans="1:20" x14ac:dyDescent="0.2">
      <c r="B76" s="110">
        <v>300000</v>
      </c>
      <c r="C76" s="110">
        <v>600000</v>
      </c>
      <c r="D76" s="110">
        <v>750000</v>
      </c>
      <c r="F76" t="s">
        <v>503</v>
      </c>
    </row>
    <row r="77" spans="1:20" x14ac:dyDescent="0.2">
      <c r="A77" s="12" t="s">
        <v>512</v>
      </c>
    </row>
    <row r="79" spans="1:20" x14ac:dyDescent="0.2">
      <c r="B79" s="40" t="s">
        <v>946</v>
      </c>
      <c r="C79" s="40" t="s">
        <v>947</v>
      </c>
      <c r="D79" s="40" t="s">
        <v>948</v>
      </c>
      <c r="E79" s="40" t="s">
        <v>949</v>
      </c>
      <c r="F79" s="40" t="s">
        <v>846</v>
      </c>
      <c r="G79" s="40" t="s">
        <v>847</v>
      </c>
      <c r="H79" s="40" t="s">
        <v>848</v>
      </c>
      <c r="I79" s="40" t="s">
        <v>849</v>
      </c>
      <c r="J79" s="40" t="s">
        <v>509</v>
      </c>
      <c r="K79" s="40" t="s">
        <v>510</v>
      </c>
      <c r="L79" s="40" t="s">
        <v>368</v>
      </c>
      <c r="M79" s="40" t="s">
        <v>369</v>
      </c>
      <c r="N79" s="40" t="s">
        <v>370</v>
      </c>
      <c r="O79" s="40" t="s">
        <v>371</v>
      </c>
      <c r="P79" s="40" t="s">
        <v>372</v>
      </c>
      <c r="Q79" s="40" t="s">
        <v>373</v>
      </c>
      <c r="R79" s="40" t="s">
        <v>374</v>
      </c>
      <c r="S79" s="40" t="s">
        <v>375</v>
      </c>
      <c r="T79" s="40" t="s">
        <v>376</v>
      </c>
    </row>
    <row r="80" spans="1:20" x14ac:dyDescent="0.2">
      <c r="A80" s="15" t="s">
        <v>486</v>
      </c>
      <c r="B80" s="110">
        <f>Subventions!C27*1000/10</f>
        <v>253700</v>
      </c>
      <c r="C80" s="110">
        <f t="shared" ref="C80:K80" si="18">B80</f>
        <v>253700</v>
      </c>
      <c r="D80" s="110">
        <f t="shared" si="18"/>
        <v>253700</v>
      </c>
      <c r="E80" s="110">
        <f t="shared" si="18"/>
        <v>253700</v>
      </c>
      <c r="F80" s="110">
        <f t="shared" si="18"/>
        <v>253700</v>
      </c>
      <c r="G80" s="110">
        <f t="shared" si="18"/>
        <v>253700</v>
      </c>
      <c r="H80" s="110">
        <f t="shared" si="18"/>
        <v>253700</v>
      </c>
      <c r="I80" s="110">
        <f t="shared" si="18"/>
        <v>253700</v>
      </c>
      <c r="J80" s="110">
        <f t="shared" si="18"/>
        <v>253700</v>
      </c>
      <c r="K80" s="110">
        <f t="shared" si="18"/>
        <v>253700</v>
      </c>
      <c r="L80" s="16">
        <v>0</v>
      </c>
      <c r="M80" s="16">
        <v>0</v>
      </c>
      <c r="N80" s="16">
        <v>0</v>
      </c>
      <c r="O80" s="16">
        <v>0</v>
      </c>
      <c r="P80" s="16">
        <v>0</v>
      </c>
      <c r="Q80" s="16">
        <v>0</v>
      </c>
      <c r="R80" s="16">
        <v>0</v>
      </c>
      <c r="S80" s="16">
        <v>0</v>
      </c>
      <c r="T80" s="16">
        <v>0</v>
      </c>
    </row>
    <row r="81" spans="1:25" x14ac:dyDescent="0.2">
      <c r="J81" s="40" t="s">
        <v>511</v>
      </c>
      <c r="K81" s="80">
        <f>SUM(B80:K80)</f>
        <v>2537000</v>
      </c>
    </row>
    <row r="83" spans="1:25" x14ac:dyDescent="0.2">
      <c r="A83" s="12" t="s">
        <v>544</v>
      </c>
    </row>
    <row r="84" spans="1:25" x14ac:dyDescent="0.2">
      <c r="A84" s="12"/>
    </row>
    <row r="85" spans="1:25" x14ac:dyDescent="0.2">
      <c r="B85" s="65" t="s">
        <v>349</v>
      </c>
      <c r="C85" s="65" t="s">
        <v>834</v>
      </c>
      <c r="D85" s="65" t="s">
        <v>835</v>
      </c>
      <c r="E85" s="65" t="s">
        <v>945</v>
      </c>
      <c r="F85" s="65" t="s">
        <v>946</v>
      </c>
      <c r="G85" s="65" t="s">
        <v>947</v>
      </c>
      <c r="H85" s="65" t="s">
        <v>948</v>
      </c>
      <c r="I85" s="40" t="s">
        <v>949</v>
      </c>
      <c r="J85" s="40" t="s">
        <v>846</v>
      </c>
      <c r="K85" s="40" t="s">
        <v>847</v>
      </c>
      <c r="L85" s="40" t="s">
        <v>848</v>
      </c>
      <c r="M85" s="40" t="s">
        <v>849</v>
      </c>
      <c r="N85" s="40" t="s">
        <v>509</v>
      </c>
      <c r="O85" s="40" t="s">
        <v>510</v>
      </c>
      <c r="P85" s="40" t="s">
        <v>368</v>
      </c>
      <c r="Q85" s="40" t="s">
        <v>369</v>
      </c>
      <c r="R85" s="40" t="s">
        <v>370</v>
      </c>
      <c r="S85" s="40" t="s">
        <v>371</v>
      </c>
      <c r="T85" s="40" t="s">
        <v>372</v>
      </c>
      <c r="U85" s="40" t="s">
        <v>373</v>
      </c>
      <c r="V85" s="40" t="s">
        <v>374</v>
      </c>
      <c r="W85" s="40" t="s">
        <v>375</v>
      </c>
      <c r="X85" s="40" t="s">
        <v>376</v>
      </c>
      <c r="Y85" s="65" t="s">
        <v>511</v>
      </c>
    </row>
    <row r="86" spans="1:25" x14ac:dyDescent="0.2">
      <c r="A86" s="15" t="s">
        <v>486</v>
      </c>
      <c r="B86" s="620">
        <f>125000+B87</f>
        <v>175000</v>
      </c>
      <c r="C86" s="620">
        <f>125000+C87</f>
        <v>200000</v>
      </c>
      <c r="D86" s="620">
        <f>125000+D87</f>
        <v>200000</v>
      </c>
      <c r="E86" s="620">
        <v>200000</v>
      </c>
      <c r="F86" s="620">
        <f>E86</f>
        <v>200000</v>
      </c>
      <c r="G86" s="620">
        <f t="shared" ref="G86:X86" si="19">F86</f>
        <v>200000</v>
      </c>
      <c r="H86" s="620">
        <f t="shared" si="19"/>
        <v>200000</v>
      </c>
      <c r="I86" s="620">
        <f t="shared" si="19"/>
        <v>200000</v>
      </c>
      <c r="J86" s="620">
        <f t="shared" si="19"/>
        <v>200000</v>
      </c>
      <c r="K86" s="620">
        <f t="shared" si="19"/>
        <v>200000</v>
      </c>
      <c r="L86" s="620">
        <f t="shared" si="19"/>
        <v>200000</v>
      </c>
      <c r="M86" s="620">
        <f t="shared" si="19"/>
        <v>200000</v>
      </c>
      <c r="N86" s="620">
        <f t="shared" si="19"/>
        <v>200000</v>
      </c>
      <c r="O86" s="620">
        <f t="shared" si="19"/>
        <v>200000</v>
      </c>
      <c r="P86" s="620">
        <f t="shared" si="19"/>
        <v>200000</v>
      </c>
      <c r="Q86" s="620">
        <f t="shared" si="19"/>
        <v>200000</v>
      </c>
      <c r="R86" s="620">
        <f t="shared" si="19"/>
        <v>200000</v>
      </c>
      <c r="S86" s="620">
        <f t="shared" si="19"/>
        <v>200000</v>
      </c>
      <c r="T86" s="620">
        <f t="shared" si="19"/>
        <v>200000</v>
      </c>
      <c r="U86" s="620">
        <f t="shared" si="19"/>
        <v>200000</v>
      </c>
      <c r="V86" s="620">
        <f t="shared" si="19"/>
        <v>200000</v>
      </c>
      <c r="W86" s="620">
        <f t="shared" si="19"/>
        <v>200000</v>
      </c>
      <c r="X86" s="620">
        <f t="shared" si="19"/>
        <v>200000</v>
      </c>
      <c r="Y86" s="620">
        <f>SUM(B86:X86)</f>
        <v>4575000</v>
      </c>
    </row>
    <row r="87" spans="1:25" x14ac:dyDescent="0.2">
      <c r="A87" t="s">
        <v>744</v>
      </c>
      <c r="B87" s="178">
        <v>50000</v>
      </c>
      <c r="C87" s="178">
        <v>75000</v>
      </c>
      <c r="D87" s="178">
        <v>75000</v>
      </c>
      <c r="I87" s="80">
        <f>SUM(B87:H87)</f>
        <v>200000</v>
      </c>
      <c r="J87" t="s">
        <v>745</v>
      </c>
      <c r="K87" s="80">
        <f>SUM(B86:E86)</f>
        <v>775000</v>
      </c>
      <c r="L87" t="s">
        <v>742</v>
      </c>
    </row>
    <row r="90" spans="1:25" x14ac:dyDescent="0.2">
      <c r="A90" s="12" t="s">
        <v>517</v>
      </c>
      <c r="C90" t="s">
        <v>516</v>
      </c>
    </row>
    <row r="91" spans="1:25" x14ac:dyDescent="0.2">
      <c r="B91">
        <v>2016</v>
      </c>
      <c r="C91">
        <v>2017</v>
      </c>
      <c r="D91">
        <v>2018</v>
      </c>
      <c r="E91">
        <v>2019</v>
      </c>
      <c r="F91">
        <v>2020</v>
      </c>
      <c r="G91">
        <v>2021</v>
      </c>
      <c r="H91">
        <v>2022</v>
      </c>
      <c r="I91">
        <v>2023</v>
      </c>
      <c r="J91">
        <v>2024</v>
      </c>
      <c r="K91">
        <v>2025</v>
      </c>
      <c r="L91">
        <v>2026</v>
      </c>
      <c r="M91">
        <v>2027</v>
      </c>
      <c r="N91">
        <v>2028</v>
      </c>
      <c r="O91">
        <v>2029</v>
      </c>
      <c r="P91">
        <v>2030</v>
      </c>
      <c r="Q91">
        <v>2031</v>
      </c>
      <c r="R91">
        <v>2032</v>
      </c>
      <c r="S91">
        <v>2033</v>
      </c>
      <c r="T91">
        <v>2034</v>
      </c>
      <c r="U91">
        <v>2035</v>
      </c>
      <c r="V91">
        <v>2036</v>
      </c>
    </row>
    <row r="92" spans="1:25" x14ac:dyDescent="0.2">
      <c r="B92" s="40" t="s">
        <v>835</v>
      </c>
      <c r="C92" s="40" t="s">
        <v>945</v>
      </c>
      <c r="D92" s="40" t="s">
        <v>946</v>
      </c>
      <c r="E92" s="40" t="s">
        <v>947</v>
      </c>
      <c r="F92" s="40" t="s">
        <v>948</v>
      </c>
      <c r="G92" s="40" t="s">
        <v>949</v>
      </c>
      <c r="H92" s="40" t="s">
        <v>846</v>
      </c>
      <c r="I92" s="40" t="s">
        <v>847</v>
      </c>
      <c r="J92" s="40" t="s">
        <v>848</v>
      </c>
      <c r="K92" s="40" t="s">
        <v>849</v>
      </c>
      <c r="L92" s="40" t="s">
        <v>509</v>
      </c>
      <c r="M92" s="40" t="s">
        <v>510</v>
      </c>
      <c r="N92" s="40" t="s">
        <v>368</v>
      </c>
      <c r="O92" s="40" t="s">
        <v>369</v>
      </c>
      <c r="P92" s="40" t="s">
        <v>370</v>
      </c>
      <c r="Q92" s="40" t="s">
        <v>371</v>
      </c>
      <c r="R92" s="40" t="s">
        <v>372</v>
      </c>
      <c r="S92" s="40" t="s">
        <v>373</v>
      </c>
      <c r="T92" s="40" t="s">
        <v>374</v>
      </c>
      <c r="U92" s="40" t="s">
        <v>375</v>
      </c>
      <c r="V92" s="40" t="s">
        <v>376</v>
      </c>
    </row>
    <row r="93" spans="1:25" x14ac:dyDescent="0.2">
      <c r="A93" s="15" t="s">
        <v>518</v>
      </c>
      <c r="B93" s="20">
        <f>'Données PAMCHR'!B209+'Données VAR'!B95</f>
        <v>26</v>
      </c>
      <c r="C93" s="20">
        <f>'Données PAMCHR'!C209+'Données VAR'!C95</f>
        <v>22</v>
      </c>
      <c r="D93" s="20">
        <f>'Données PAMCHR'!D209+'Données VAR'!D95</f>
        <v>26</v>
      </c>
      <c r="E93" s="20">
        <f>'Données PAMCHR'!E209+'Données VAR'!E95</f>
        <v>35</v>
      </c>
      <c r="F93" s="20">
        <f>'Données PAMCHR'!F209+'Données VAR'!F95</f>
        <v>44</v>
      </c>
      <c r="G93" s="20">
        <f>'Données PAMCHR'!G209+'Données VAR'!G95</f>
        <v>44</v>
      </c>
      <c r="H93" s="20">
        <f>'Données PAMCHR'!H209+'Données VAR'!H95</f>
        <v>44</v>
      </c>
      <c r="I93" s="20">
        <f>'Données PAMCHR'!I209+'Données VAR'!I95</f>
        <v>44</v>
      </c>
      <c r="J93" s="20">
        <f>'Données PAMCHR'!J209+'Données VAR'!J95</f>
        <v>44</v>
      </c>
      <c r="K93" s="20">
        <f>'Données PAMCHR'!K209+'Données VAR'!K95</f>
        <v>44</v>
      </c>
      <c r="L93" s="20">
        <f>'Données PAMCHR'!L209+'Données VAR'!L95</f>
        <v>44</v>
      </c>
      <c r="M93" s="20">
        <f>'Données PAMCHR'!M209+'Données VAR'!M95</f>
        <v>44</v>
      </c>
      <c r="N93" s="20">
        <f>'Données PAMCHR'!N209+'Données VAR'!N95</f>
        <v>44</v>
      </c>
      <c r="O93" s="20">
        <f>'Données PAMCHR'!O209+'Données VAR'!O95</f>
        <v>44</v>
      </c>
      <c r="P93" s="20">
        <f>'Données PAMCHR'!P209+'Données VAR'!P95</f>
        <v>44</v>
      </c>
      <c r="Q93" s="20">
        <f>'Données PAMCHR'!Q209+'Données VAR'!Q95</f>
        <v>44</v>
      </c>
      <c r="R93" s="20">
        <f>'Données PAMCHR'!R209+'Données VAR'!R95</f>
        <v>44</v>
      </c>
      <c r="S93" s="20">
        <f>'Données PAMCHR'!S209+'Données VAR'!S95</f>
        <v>44</v>
      </c>
      <c r="T93" s="20">
        <f>'Données PAMCHR'!T209+'Données VAR'!T95</f>
        <v>44</v>
      </c>
      <c r="U93" s="20">
        <f>'Données PAMCHR'!U209+'Données VAR'!U95</f>
        <v>44</v>
      </c>
      <c r="V93" s="20">
        <f>'Données PAMCHR'!V209+'Données VAR'!V95</f>
        <v>44</v>
      </c>
    </row>
    <row r="94" spans="1:25" x14ac:dyDescent="0.2">
      <c r="A94" s="15" t="s">
        <v>519</v>
      </c>
      <c r="B94" s="16">
        <v>0</v>
      </c>
      <c r="C94" s="16">
        <v>0</v>
      </c>
      <c r="D94" s="16">
        <v>0</v>
      </c>
      <c r="E94" s="16">
        <v>0</v>
      </c>
      <c r="F94" s="16">
        <v>0</v>
      </c>
      <c r="G94" s="16">
        <v>0</v>
      </c>
      <c r="H94" s="58">
        <v>0.05</v>
      </c>
      <c r="I94" s="58">
        <v>0.05</v>
      </c>
      <c r="J94" s="58">
        <v>0.05</v>
      </c>
      <c r="K94" s="58">
        <v>0.03</v>
      </c>
      <c r="L94" s="58">
        <v>0.03</v>
      </c>
      <c r="M94" s="58">
        <v>0.03</v>
      </c>
      <c r="N94" s="58">
        <v>0.02</v>
      </c>
      <c r="O94" s="58">
        <v>0.02</v>
      </c>
      <c r="P94" s="58">
        <v>0.02</v>
      </c>
      <c r="Q94" s="58">
        <v>0.01</v>
      </c>
      <c r="R94" s="58">
        <v>0.01</v>
      </c>
      <c r="S94" s="58">
        <v>0.01</v>
      </c>
      <c r="T94" s="58">
        <v>0.01</v>
      </c>
      <c r="U94" s="58">
        <v>0.01</v>
      </c>
      <c r="V94" s="58">
        <v>0.01</v>
      </c>
    </row>
    <row r="95" spans="1:25" x14ac:dyDescent="0.2">
      <c r="A95" s="15" t="s">
        <v>521</v>
      </c>
      <c r="B95" s="20">
        <f>B93*(1-B94)</f>
        <v>26</v>
      </c>
      <c r="C95" s="20">
        <f>C93*(1-C94)</f>
        <v>22</v>
      </c>
      <c r="D95" s="20">
        <f>D93*(1-D94)</f>
        <v>26</v>
      </c>
      <c r="E95" s="20">
        <f>E93*(1-E94)</f>
        <v>35</v>
      </c>
      <c r="F95" s="20">
        <f>F93*(1-F94)</f>
        <v>44</v>
      </c>
      <c r="G95" s="20">
        <f t="shared" ref="G95:V95" si="20">F95*(1-G94)</f>
        <v>44</v>
      </c>
      <c r="H95" s="28">
        <f t="shared" si="20"/>
        <v>41.8</v>
      </c>
      <c r="I95" s="28">
        <f t="shared" si="20"/>
        <v>39.709999999999994</v>
      </c>
      <c r="J95" s="28">
        <f t="shared" si="20"/>
        <v>37.724499999999992</v>
      </c>
      <c r="K95" s="28">
        <f t="shared" si="20"/>
        <v>36.592764999999993</v>
      </c>
      <c r="L95" s="28">
        <f t="shared" si="20"/>
        <v>35.49498204999999</v>
      </c>
      <c r="M95" s="28">
        <f t="shared" si="20"/>
        <v>34.430132588499987</v>
      </c>
      <c r="N95" s="28">
        <f t="shared" si="20"/>
        <v>33.741529936729989</v>
      </c>
      <c r="O95" s="28">
        <f t="shared" si="20"/>
        <v>33.066699337995388</v>
      </c>
      <c r="P95" s="28">
        <f t="shared" si="20"/>
        <v>32.405365351235481</v>
      </c>
      <c r="Q95" s="28">
        <f t="shared" si="20"/>
        <v>32.081311697723123</v>
      </c>
      <c r="R95" s="28">
        <f t="shared" si="20"/>
        <v>31.760498580745892</v>
      </c>
      <c r="S95" s="28">
        <f t="shared" si="20"/>
        <v>31.442893594938432</v>
      </c>
      <c r="T95" s="28">
        <f t="shared" si="20"/>
        <v>31.128464658989049</v>
      </c>
      <c r="U95" s="28">
        <f t="shared" si="20"/>
        <v>30.817180012399159</v>
      </c>
      <c r="V95" s="28">
        <f t="shared" si="20"/>
        <v>30.509008212275166</v>
      </c>
    </row>
    <row r="96" spans="1:25" x14ac:dyDescent="0.2">
      <c r="A96" s="15" t="s">
        <v>520</v>
      </c>
      <c r="B96" s="16">
        <v>26</v>
      </c>
      <c r="C96" s="16">
        <v>22</v>
      </c>
      <c r="D96" s="37">
        <v>26</v>
      </c>
      <c r="E96" s="37">
        <v>35</v>
      </c>
      <c r="F96" s="37">
        <v>44</v>
      </c>
      <c r="G96" s="37">
        <v>44</v>
      </c>
      <c r="H96" s="37">
        <v>42</v>
      </c>
      <c r="I96" s="37">
        <v>40</v>
      </c>
      <c r="J96" s="37">
        <v>38</v>
      </c>
      <c r="K96" s="37">
        <v>37</v>
      </c>
      <c r="L96" s="37">
        <v>36</v>
      </c>
      <c r="M96" s="37">
        <v>35</v>
      </c>
      <c r="N96" s="37">
        <v>34</v>
      </c>
      <c r="O96" s="37">
        <v>34</v>
      </c>
      <c r="P96" s="37">
        <v>33</v>
      </c>
      <c r="Q96" s="37">
        <v>33</v>
      </c>
      <c r="R96" s="37">
        <v>32</v>
      </c>
      <c r="S96" s="37">
        <v>32</v>
      </c>
      <c r="T96" s="37">
        <v>32</v>
      </c>
      <c r="U96" s="37">
        <v>31</v>
      </c>
      <c r="V96" s="37">
        <v>31</v>
      </c>
    </row>
    <row r="97" spans="1:26" x14ac:dyDescent="0.2">
      <c r="A97" s="15" t="s">
        <v>486</v>
      </c>
      <c r="B97" s="80">
        <f>(B93-B96)*C15</f>
        <v>0</v>
      </c>
      <c r="C97" s="80">
        <f t="shared" ref="C97:V97" si="21">(C93-C96)*D15</f>
        <v>0</v>
      </c>
      <c r="D97" s="80">
        <f t="shared" si="21"/>
        <v>0</v>
      </c>
      <c r="E97" s="80">
        <f t="shared" si="21"/>
        <v>0</v>
      </c>
      <c r="F97" s="80">
        <f t="shared" si="21"/>
        <v>0</v>
      </c>
      <c r="G97" s="80">
        <f t="shared" si="21"/>
        <v>0</v>
      </c>
      <c r="H97" s="80">
        <f t="shared" si="21"/>
        <v>87523.799355623574</v>
      </c>
      <c r="I97" s="80">
        <f t="shared" si="21"/>
        <v>178548.55068547203</v>
      </c>
      <c r="J97" s="80">
        <f t="shared" si="21"/>
        <v>273179.28254877223</v>
      </c>
      <c r="K97" s="80">
        <f t="shared" si="21"/>
        <v>325083.34623303899</v>
      </c>
      <c r="L97" s="80">
        <f t="shared" si="21"/>
        <v>378954.30075165688</v>
      </c>
      <c r="M97" s="80">
        <f t="shared" si="21"/>
        <v>434850.06011252617</v>
      </c>
      <c r="N97" s="80">
        <f t="shared" si="21"/>
        <v>492830.06812752975</v>
      </c>
      <c r="O97" s="80">
        <f t="shared" si="21"/>
        <v>502686.66949008033</v>
      </c>
      <c r="P97" s="80">
        <f t="shared" si="21"/>
        <v>564014.44316787017</v>
      </c>
      <c r="Q97" s="80">
        <f t="shared" si="21"/>
        <v>575294.73203122744</v>
      </c>
      <c r="R97" s="80">
        <f t="shared" si="21"/>
        <v>640146.13818747504</v>
      </c>
      <c r="S97" s="80">
        <f t="shared" si="21"/>
        <v>652949.06095122453</v>
      </c>
      <c r="T97" s="80">
        <f t="shared" si="21"/>
        <v>666008.04217024893</v>
      </c>
      <c r="U97" s="80">
        <f t="shared" si="21"/>
        <v>735938.8865981251</v>
      </c>
      <c r="V97" s="80">
        <f t="shared" si="21"/>
        <v>750657.66433008772</v>
      </c>
    </row>
    <row r="100" spans="1:26" x14ac:dyDescent="0.2">
      <c r="A100" s="12" t="s">
        <v>523</v>
      </c>
    </row>
    <row r="101" spans="1:26" x14ac:dyDescent="0.2">
      <c r="A101" s="15" t="s">
        <v>524</v>
      </c>
      <c r="B101" s="18">
        <v>0.02</v>
      </c>
    </row>
    <row r="105" spans="1:26" x14ac:dyDescent="0.2">
      <c r="A105" s="12" t="s">
        <v>1217</v>
      </c>
    </row>
    <row r="106" spans="1:26" x14ac:dyDescent="0.2">
      <c r="C106" s="40" t="s">
        <v>835</v>
      </c>
      <c r="D106" s="40" t="s">
        <v>945</v>
      </c>
      <c r="E106" s="40" t="s">
        <v>946</v>
      </c>
      <c r="F106" s="40" t="s">
        <v>947</v>
      </c>
      <c r="G106" s="40" t="s">
        <v>948</v>
      </c>
      <c r="H106" s="40" t="s">
        <v>949</v>
      </c>
      <c r="I106" s="40" t="s">
        <v>846</v>
      </c>
      <c r="J106" s="40" t="s">
        <v>847</v>
      </c>
      <c r="K106" s="40" t="s">
        <v>848</v>
      </c>
      <c r="L106" s="40" t="s">
        <v>849</v>
      </c>
      <c r="M106" s="40" t="s">
        <v>509</v>
      </c>
      <c r="N106" s="40" t="s">
        <v>510</v>
      </c>
      <c r="O106" s="40" t="s">
        <v>368</v>
      </c>
      <c r="P106" s="40" t="s">
        <v>369</v>
      </c>
      <c r="Q106" s="40" t="s">
        <v>370</v>
      </c>
      <c r="R106" s="40" t="s">
        <v>371</v>
      </c>
      <c r="S106" s="40" t="s">
        <v>372</v>
      </c>
      <c r="T106" s="40" t="s">
        <v>373</v>
      </c>
      <c r="U106" s="40" t="s">
        <v>374</v>
      </c>
      <c r="V106" s="40" t="s">
        <v>375</v>
      </c>
      <c r="W106" s="40" t="s">
        <v>376</v>
      </c>
    </row>
    <row r="107" spans="1:26" x14ac:dyDescent="0.2">
      <c r="A107" s="874" t="s">
        <v>1218</v>
      </c>
      <c r="B107" s="894">
        <v>7525</v>
      </c>
      <c r="C107" s="58">
        <v>0</v>
      </c>
      <c r="D107" s="107">
        <f>(1+Y107)^1-1</f>
        <v>2.0000000000000018E-2</v>
      </c>
      <c r="E107" s="107">
        <f>(1+Y107)^2-1</f>
        <v>4.0399999999999991E-2</v>
      </c>
      <c r="F107" s="107">
        <f>(1+Y107)^3-1</f>
        <v>6.1207999999999929E-2</v>
      </c>
      <c r="G107" s="107">
        <f>(1+Y107)^4-1</f>
        <v>8.2432159999999977E-2</v>
      </c>
      <c r="H107" s="107">
        <f>(1+$Y$107)^5-1</f>
        <v>0.10408080320000002</v>
      </c>
      <c r="I107" s="107">
        <f>(1+$Y$107)^6-1</f>
        <v>0.12616241926400007</v>
      </c>
      <c r="J107" s="107">
        <f>(1+$Y$107)^7-1</f>
        <v>0.14868566764927982</v>
      </c>
      <c r="K107" s="107">
        <f>(1+$Y$107)^8-1</f>
        <v>0.17165938100226552</v>
      </c>
      <c r="L107" s="107">
        <f>(1+$Y$107)^9-1</f>
        <v>0.19509256862231084</v>
      </c>
      <c r="M107" s="107">
        <f>(1+$Y$107)^10-1</f>
        <v>0.21899441999475711</v>
      </c>
      <c r="N107" s="107">
        <f>(1+$Y$107)^11-1</f>
        <v>0.24337430839465202</v>
      </c>
      <c r="O107" s="107">
        <f>(1+$Y$107)^12-1</f>
        <v>0.26824179456254527</v>
      </c>
      <c r="P107" s="107">
        <f>(1+$Y$107)^13-1</f>
        <v>0.29360663045379609</v>
      </c>
      <c r="Q107" s="107">
        <f>(1+$Y$107)^14-1</f>
        <v>0.31947876306287215</v>
      </c>
      <c r="R107" s="107">
        <f>(1+$Y$107)^15-1</f>
        <v>0.34586833832412922</v>
      </c>
      <c r="S107" s="107">
        <f>(1+$Y$107)^16-1</f>
        <v>0.37278570509061204</v>
      </c>
      <c r="T107" s="107">
        <f>(1+$Y$107)^17-1</f>
        <v>0.4002414191924244</v>
      </c>
      <c r="U107" s="107">
        <f>(1+$Y$107)^18-1</f>
        <v>0.42824624757627272</v>
      </c>
      <c r="V107" s="107">
        <f>(1+$Y$107)^19-1</f>
        <v>0.45681117252779813</v>
      </c>
      <c r="W107" s="107">
        <f>(1+$Y$107)^20-1</f>
        <v>0.48594739597835424</v>
      </c>
      <c r="X107" s="99" t="s">
        <v>80</v>
      </c>
      <c r="Y107" s="100">
        <v>0.02</v>
      </c>
      <c r="Z107" t="s">
        <v>81</v>
      </c>
    </row>
    <row r="108" spans="1:26" x14ac:dyDescent="0.2">
      <c r="A108" s="874" t="s">
        <v>1221</v>
      </c>
      <c r="B108" s="894">
        <f>Exploitation!F62</f>
        <v>0</v>
      </c>
      <c r="C108" s="891">
        <f>$B$108*(1+C107)</f>
        <v>0</v>
      </c>
      <c r="D108" s="891">
        <f>$B$108*(1+D107)</f>
        <v>0</v>
      </c>
      <c r="E108" s="891">
        <f t="shared" ref="E108:W108" si="22">$B$108*(1+E107)</f>
        <v>0</v>
      </c>
      <c r="F108" s="891">
        <f t="shared" si="22"/>
        <v>0</v>
      </c>
      <c r="G108" s="891">
        <f t="shared" si="22"/>
        <v>0</v>
      </c>
      <c r="H108" s="891">
        <f t="shared" si="22"/>
        <v>0</v>
      </c>
      <c r="I108" s="891">
        <f t="shared" si="22"/>
        <v>0</v>
      </c>
      <c r="J108" s="891">
        <f t="shared" si="22"/>
        <v>0</v>
      </c>
      <c r="K108" s="891">
        <f t="shared" si="22"/>
        <v>0</v>
      </c>
      <c r="L108" s="891">
        <f t="shared" si="22"/>
        <v>0</v>
      </c>
      <c r="M108" s="891">
        <f t="shared" si="22"/>
        <v>0</v>
      </c>
      <c r="N108" s="891">
        <f t="shared" si="22"/>
        <v>0</v>
      </c>
      <c r="O108" s="891">
        <f t="shared" si="22"/>
        <v>0</v>
      </c>
      <c r="P108" s="891">
        <f t="shared" si="22"/>
        <v>0</v>
      </c>
      <c r="Q108" s="891">
        <f t="shared" si="22"/>
        <v>0</v>
      </c>
      <c r="R108" s="891">
        <f t="shared" si="22"/>
        <v>0</v>
      </c>
      <c r="S108" s="891">
        <f t="shared" si="22"/>
        <v>0</v>
      </c>
      <c r="T108" s="891">
        <f t="shared" si="22"/>
        <v>0</v>
      </c>
      <c r="U108" s="891">
        <f t="shared" si="22"/>
        <v>0</v>
      </c>
      <c r="V108" s="891">
        <f t="shared" si="22"/>
        <v>0</v>
      </c>
      <c r="W108" s="891">
        <f t="shared" si="22"/>
        <v>0</v>
      </c>
    </row>
    <row r="109" spans="1:26" ht="13.5" thickBot="1" x14ac:dyDescent="0.25">
      <c r="A109" s="895" t="s">
        <v>1220</v>
      </c>
      <c r="C109" s="892">
        <f>$B$107*C108*12/2</f>
        <v>0</v>
      </c>
      <c r="D109" s="892">
        <f t="shared" ref="D109:W109" si="23">$B$107*D108*12</f>
        <v>0</v>
      </c>
      <c r="E109" s="892">
        <f t="shared" si="23"/>
        <v>0</v>
      </c>
      <c r="F109" s="892">
        <f t="shared" si="23"/>
        <v>0</v>
      </c>
      <c r="G109" s="892">
        <f t="shared" si="23"/>
        <v>0</v>
      </c>
      <c r="H109" s="892">
        <f t="shared" si="23"/>
        <v>0</v>
      </c>
      <c r="I109" s="892">
        <f t="shared" si="23"/>
        <v>0</v>
      </c>
      <c r="J109" s="892">
        <f t="shared" si="23"/>
        <v>0</v>
      </c>
      <c r="K109" s="892">
        <f t="shared" si="23"/>
        <v>0</v>
      </c>
      <c r="L109" s="896">
        <f t="shared" si="23"/>
        <v>0</v>
      </c>
      <c r="M109" s="892">
        <f t="shared" si="23"/>
        <v>0</v>
      </c>
      <c r="N109" s="892">
        <f t="shared" si="23"/>
        <v>0</v>
      </c>
      <c r="O109" s="892">
        <f t="shared" si="23"/>
        <v>0</v>
      </c>
      <c r="P109" s="892">
        <f t="shared" si="23"/>
        <v>0</v>
      </c>
      <c r="Q109" s="892">
        <f t="shared" si="23"/>
        <v>0</v>
      </c>
      <c r="R109" s="892">
        <f t="shared" si="23"/>
        <v>0</v>
      </c>
      <c r="S109" s="892">
        <f t="shared" si="23"/>
        <v>0</v>
      </c>
      <c r="T109" s="892">
        <f t="shared" si="23"/>
        <v>0</v>
      </c>
      <c r="U109" s="892">
        <f t="shared" si="23"/>
        <v>0</v>
      </c>
      <c r="V109" s="892">
        <f t="shared" si="23"/>
        <v>0</v>
      </c>
      <c r="W109" s="892">
        <f t="shared" si="23"/>
        <v>0</v>
      </c>
      <c r="X109" s="893">
        <f>SUM(C109:W109)</f>
        <v>0</v>
      </c>
    </row>
    <row r="110" spans="1:26" ht="13.5" thickBot="1" x14ac:dyDescent="0.25">
      <c r="L110" s="897">
        <f>SUM(C109:L109)</f>
        <v>0</v>
      </c>
    </row>
  </sheetData>
  <mergeCells count="23">
    <mergeCell ref="A35:B35"/>
    <mergeCell ref="A48:C48"/>
    <mergeCell ref="A14:B14"/>
    <mergeCell ref="A19:B19"/>
    <mergeCell ref="A18:B18"/>
    <mergeCell ref="A16:B16"/>
    <mergeCell ref="A40:B40"/>
    <mergeCell ref="A20:B20"/>
    <mergeCell ref="A25:B25"/>
    <mergeCell ref="A9:B9"/>
    <mergeCell ref="A30:B30"/>
    <mergeCell ref="A24:B24"/>
    <mergeCell ref="A15:B15"/>
    <mergeCell ref="A17:B17"/>
    <mergeCell ref="A61:C61"/>
    <mergeCell ref="A56:C56"/>
    <mergeCell ref="A57:C57"/>
    <mergeCell ref="A58:C58"/>
    <mergeCell ref="A36:B36"/>
    <mergeCell ref="A60:C60"/>
    <mergeCell ref="A59:C59"/>
    <mergeCell ref="A55:C55"/>
    <mergeCell ref="A49:C49"/>
  </mergeCells>
  <phoneticPr fontId="6" type="noConversion"/>
  <pageMargins left="0.19685039370078741" right="0.19685039370078741" top="0.19685039370078741" bottom="0.19685039370078741" header="0.51181102362204722" footer="0.51181102362204722"/>
  <pageSetup paperSize="9" scale="3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V269"/>
  <sheetViews>
    <sheetView topLeftCell="A191" zoomScale="125" workbookViewId="0">
      <selection activeCell="J213" sqref="J213"/>
    </sheetView>
  </sheetViews>
  <sheetFormatPr baseColWidth="10" defaultRowHeight="12.75" x14ac:dyDescent="0.2"/>
  <cols>
    <col min="1" max="1" width="15.28515625" customWidth="1"/>
    <col min="2" max="2" width="17.140625" customWidth="1"/>
    <col min="5" max="5" width="12.28515625" customWidth="1"/>
    <col min="6" max="6" width="14.28515625" customWidth="1"/>
    <col min="7" max="8" width="12" bestFit="1" customWidth="1"/>
    <col min="9" max="9" width="12.85546875" customWidth="1"/>
    <col min="10" max="10" width="12.7109375" customWidth="1"/>
    <col min="12" max="12" width="12.140625" customWidth="1"/>
    <col min="13" max="13" width="12.28515625" customWidth="1"/>
    <col min="14" max="14" width="15" customWidth="1"/>
  </cols>
  <sheetData>
    <row r="1" spans="1:30" ht="26.25" x14ac:dyDescent="0.4">
      <c r="A1" s="9" t="s">
        <v>602</v>
      </c>
    </row>
    <row r="5" spans="1:30" x14ac:dyDescent="0.2">
      <c r="A5" s="12" t="s">
        <v>957</v>
      </c>
    </row>
    <row r="6" spans="1:30" x14ac:dyDescent="0.2">
      <c r="A6" s="12"/>
      <c r="C6" s="40" t="s">
        <v>835</v>
      </c>
      <c r="D6" s="40" t="s">
        <v>945</v>
      </c>
      <c r="E6" s="40" t="s">
        <v>946</v>
      </c>
      <c r="F6" s="40" t="s">
        <v>947</v>
      </c>
      <c r="G6" s="40" t="s">
        <v>948</v>
      </c>
      <c r="H6" s="40" t="s">
        <v>949</v>
      </c>
      <c r="I6" s="40" t="s">
        <v>846</v>
      </c>
      <c r="J6" s="40" t="s">
        <v>847</v>
      </c>
      <c r="K6" s="40" t="s">
        <v>848</v>
      </c>
      <c r="L6" s="40" t="s">
        <v>849</v>
      </c>
      <c r="M6" s="40" t="s">
        <v>509</v>
      </c>
      <c r="N6" s="40" t="s">
        <v>510</v>
      </c>
      <c r="O6" s="40" t="s">
        <v>368</v>
      </c>
      <c r="P6" s="40" t="s">
        <v>369</v>
      </c>
      <c r="Q6" s="40" t="s">
        <v>370</v>
      </c>
      <c r="R6" s="40" t="s">
        <v>371</v>
      </c>
      <c r="S6" s="40" t="s">
        <v>372</v>
      </c>
      <c r="T6" s="40" t="s">
        <v>373</v>
      </c>
      <c r="U6" s="40" t="s">
        <v>374</v>
      </c>
      <c r="V6" s="40" t="s">
        <v>375</v>
      </c>
      <c r="W6" s="40" t="s">
        <v>376</v>
      </c>
      <c r="Z6" s="10" t="s">
        <v>954</v>
      </c>
    </row>
    <row r="7" spans="1:30" x14ac:dyDescent="0.2">
      <c r="A7" s="1289" t="s">
        <v>961</v>
      </c>
      <c r="B7" s="1333"/>
      <c r="C7" s="16">
        <v>8</v>
      </c>
      <c r="D7" s="16">
        <v>46</v>
      </c>
      <c r="E7" s="16">
        <v>46</v>
      </c>
      <c r="F7" s="16">
        <v>46</v>
      </c>
      <c r="G7" s="16">
        <v>46</v>
      </c>
      <c r="H7" s="16">
        <v>46</v>
      </c>
      <c r="I7" s="16">
        <v>46</v>
      </c>
      <c r="J7" s="16">
        <v>46</v>
      </c>
      <c r="K7" s="16">
        <v>46</v>
      </c>
      <c r="L7" s="16">
        <v>46</v>
      </c>
      <c r="M7" s="16">
        <v>46</v>
      </c>
      <c r="N7" s="16">
        <v>46</v>
      </c>
      <c r="O7" s="16">
        <v>46</v>
      </c>
      <c r="P7" s="16">
        <v>46</v>
      </c>
      <c r="Q7" s="16">
        <v>46</v>
      </c>
      <c r="R7" s="16">
        <v>46</v>
      </c>
      <c r="S7" s="16">
        <v>46</v>
      </c>
      <c r="T7" s="16">
        <v>46</v>
      </c>
      <c r="U7" s="16">
        <v>46</v>
      </c>
      <c r="V7" s="16">
        <v>46</v>
      </c>
      <c r="W7" s="16">
        <v>46</v>
      </c>
      <c r="Z7" s="39" t="s">
        <v>955</v>
      </c>
    </row>
    <row r="8" spans="1:30" x14ac:dyDescent="0.2">
      <c r="A8" s="1289" t="s">
        <v>965</v>
      </c>
      <c r="B8" s="1333"/>
      <c r="C8" s="16">
        <v>5</v>
      </c>
      <c r="D8" s="16">
        <v>5</v>
      </c>
      <c r="E8" s="16">
        <v>5</v>
      </c>
      <c r="F8" s="16">
        <v>6</v>
      </c>
      <c r="G8" s="16">
        <v>7</v>
      </c>
      <c r="H8" s="16">
        <v>7</v>
      </c>
      <c r="I8" s="16">
        <v>7</v>
      </c>
      <c r="J8" s="16">
        <v>7</v>
      </c>
      <c r="K8" s="16">
        <v>7</v>
      </c>
      <c r="L8" s="16">
        <v>7</v>
      </c>
      <c r="M8" s="16">
        <v>7</v>
      </c>
      <c r="N8" s="16">
        <v>7</v>
      </c>
      <c r="O8" s="16">
        <v>7</v>
      </c>
      <c r="P8" s="16">
        <v>7</v>
      </c>
      <c r="Q8" s="16">
        <v>7</v>
      </c>
      <c r="R8" s="16">
        <v>7</v>
      </c>
      <c r="S8" s="16">
        <v>7</v>
      </c>
      <c r="T8" s="16">
        <v>7</v>
      </c>
      <c r="U8" s="16">
        <v>7</v>
      </c>
      <c r="V8" s="16">
        <v>7</v>
      </c>
      <c r="W8" s="16">
        <v>7</v>
      </c>
    </row>
    <row r="9" spans="1:30" x14ac:dyDescent="0.2">
      <c r="A9" s="1289" t="s">
        <v>968</v>
      </c>
      <c r="B9" s="1333"/>
      <c r="C9" s="16">
        <v>24</v>
      </c>
      <c r="D9" s="16">
        <v>24</v>
      </c>
      <c r="E9" s="16">
        <v>24</v>
      </c>
      <c r="F9" s="16">
        <v>24</v>
      </c>
      <c r="G9" s="16">
        <v>24</v>
      </c>
      <c r="H9" s="16">
        <v>24</v>
      </c>
      <c r="I9" s="16">
        <v>24</v>
      </c>
      <c r="J9" s="16">
        <v>24</v>
      </c>
      <c r="K9" s="16">
        <v>24</v>
      </c>
      <c r="L9" s="16">
        <v>24</v>
      </c>
      <c r="M9" s="16">
        <v>24</v>
      </c>
      <c r="N9" s="16">
        <v>24</v>
      </c>
      <c r="O9" s="16">
        <v>24</v>
      </c>
      <c r="P9" s="16">
        <v>24</v>
      </c>
      <c r="Q9" s="16">
        <v>24</v>
      </c>
      <c r="R9" s="16">
        <v>24</v>
      </c>
      <c r="S9" s="16">
        <v>24</v>
      </c>
      <c r="T9" s="16">
        <v>24</v>
      </c>
      <c r="U9" s="16">
        <v>24</v>
      </c>
      <c r="V9" s="16">
        <v>24</v>
      </c>
      <c r="W9" s="16">
        <v>24</v>
      </c>
    </row>
    <row r="10" spans="1:30" x14ac:dyDescent="0.2">
      <c r="A10" s="1289" t="s">
        <v>971</v>
      </c>
      <c r="B10" s="1333"/>
      <c r="C10" s="20">
        <f t="shared" ref="C10:H10" si="0">C7*C8*C9</f>
        <v>960</v>
      </c>
      <c r="D10" s="20">
        <f t="shared" si="0"/>
        <v>5520</v>
      </c>
      <c r="E10" s="20">
        <f t="shared" si="0"/>
        <v>5520</v>
      </c>
      <c r="F10" s="20">
        <f t="shared" si="0"/>
        <v>6624</v>
      </c>
      <c r="G10" s="20">
        <f t="shared" si="0"/>
        <v>7728</v>
      </c>
      <c r="H10" s="20">
        <f t="shared" si="0"/>
        <v>7728</v>
      </c>
      <c r="I10" s="20">
        <f>I7*I8*I9</f>
        <v>7728</v>
      </c>
      <c r="J10" s="20">
        <f>J7*J8*J9</f>
        <v>7728</v>
      </c>
      <c r="K10" s="20">
        <f>K7*K8*K9</f>
        <v>7728</v>
      </c>
      <c r="L10" s="20">
        <f>L7*L8*L9</f>
        <v>7728</v>
      </c>
      <c r="M10" s="20">
        <f t="shared" ref="M10:W10" si="1">M7*M8*M9</f>
        <v>7728</v>
      </c>
      <c r="N10" s="20">
        <f t="shared" si="1"/>
        <v>7728</v>
      </c>
      <c r="O10" s="20">
        <f t="shared" si="1"/>
        <v>7728</v>
      </c>
      <c r="P10" s="20">
        <f t="shared" si="1"/>
        <v>7728</v>
      </c>
      <c r="Q10" s="20">
        <f t="shared" si="1"/>
        <v>7728</v>
      </c>
      <c r="R10" s="20">
        <f t="shared" si="1"/>
        <v>7728</v>
      </c>
      <c r="S10" s="20">
        <f t="shared" si="1"/>
        <v>7728</v>
      </c>
      <c r="T10" s="20">
        <f t="shared" si="1"/>
        <v>7728</v>
      </c>
      <c r="U10" s="20">
        <f t="shared" si="1"/>
        <v>7728</v>
      </c>
      <c r="V10" s="20">
        <f t="shared" si="1"/>
        <v>7728</v>
      </c>
      <c r="W10" s="20">
        <f t="shared" si="1"/>
        <v>7728</v>
      </c>
    </row>
    <row r="11" spans="1:30" x14ac:dyDescent="0.2">
      <c r="Z11" s="12" t="s">
        <v>1021</v>
      </c>
    </row>
    <row r="12" spans="1:30" x14ac:dyDescent="0.2">
      <c r="Z12" s="1334" t="s">
        <v>996</v>
      </c>
      <c r="AA12" s="1334" t="s">
        <v>992</v>
      </c>
      <c r="AB12" s="1334" t="s">
        <v>993</v>
      </c>
      <c r="AC12" s="1334"/>
      <c r="AD12" s="1335"/>
    </row>
    <row r="13" spans="1:30" x14ac:dyDescent="0.2">
      <c r="A13" s="12" t="s">
        <v>985</v>
      </c>
      <c r="Z13" s="1334"/>
      <c r="AA13" s="1334"/>
      <c r="AB13" s="1334"/>
      <c r="AC13" s="1334"/>
      <c r="AD13" s="1335"/>
    </row>
    <row r="14" spans="1:30" x14ac:dyDescent="0.2">
      <c r="A14" s="12"/>
      <c r="C14" s="40" t="s">
        <v>835</v>
      </c>
      <c r="D14" s="40" t="s">
        <v>945</v>
      </c>
      <c r="E14" s="40" t="s">
        <v>946</v>
      </c>
      <c r="F14" s="40" t="s">
        <v>947</v>
      </c>
      <c r="G14" s="40" t="s">
        <v>948</v>
      </c>
      <c r="H14" s="40" t="s">
        <v>949</v>
      </c>
      <c r="I14" s="40" t="s">
        <v>846</v>
      </c>
      <c r="J14" s="40" t="s">
        <v>847</v>
      </c>
      <c r="K14" s="40" t="s">
        <v>848</v>
      </c>
      <c r="L14" s="40" t="s">
        <v>849</v>
      </c>
      <c r="M14" s="40" t="s">
        <v>509</v>
      </c>
      <c r="N14" s="40" t="s">
        <v>510</v>
      </c>
      <c r="O14" s="40" t="s">
        <v>368</v>
      </c>
      <c r="P14" s="40" t="s">
        <v>369</v>
      </c>
      <c r="Q14" s="40" t="s">
        <v>370</v>
      </c>
      <c r="R14" s="40" t="s">
        <v>371</v>
      </c>
      <c r="S14" s="40" t="s">
        <v>372</v>
      </c>
      <c r="T14" s="40" t="s">
        <v>373</v>
      </c>
      <c r="U14" s="40" t="s">
        <v>374</v>
      </c>
      <c r="V14" s="40" t="s">
        <v>375</v>
      </c>
      <c r="W14" s="40" t="s">
        <v>376</v>
      </c>
      <c r="Z14" s="37" t="s">
        <v>987</v>
      </c>
      <c r="AA14" s="16">
        <v>20</v>
      </c>
      <c r="AB14" s="1331">
        <v>4</v>
      </c>
      <c r="AC14" s="1331"/>
      <c r="AD14" s="1331"/>
    </row>
    <row r="15" spans="1:30" x14ac:dyDescent="0.2">
      <c r="A15" s="1289" t="s">
        <v>986</v>
      </c>
      <c r="B15" s="1289"/>
      <c r="C15" s="18">
        <v>0.3</v>
      </c>
      <c r="D15" s="18">
        <v>0.25</v>
      </c>
      <c r="E15" s="45">
        <v>0.2</v>
      </c>
      <c r="F15" s="45">
        <v>0.15</v>
      </c>
      <c r="G15" s="45">
        <v>0.1</v>
      </c>
      <c r="H15" s="45">
        <v>0.05</v>
      </c>
      <c r="I15" s="45">
        <v>0.05</v>
      </c>
      <c r="J15" s="45">
        <v>0.05</v>
      </c>
      <c r="K15" s="45">
        <v>0.05</v>
      </c>
      <c r="L15" s="45">
        <v>0.05</v>
      </c>
      <c r="M15" s="45">
        <v>0.05</v>
      </c>
      <c r="N15" s="45">
        <v>0.05</v>
      </c>
      <c r="O15" s="45">
        <v>0.05</v>
      </c>
      <c r="P15" s="45">
        <v>0.05</v>
      </c>
      <c r="Q15" s="45">
        <v>0.05</v>
      </c>
      <c r="R15" s="45">
        <v>0.05</v>
      </c>
      <c r="S15" s="45">
        <v>0.05</v>
      </c>
      <c r="T15" s="45">
        <v>0.05</v>
      </c>
      <c r="U15" s="45">
        <v>0.05</v>
      </c>
      <c r="V15" s="45">
        <v>0.05</v>
      </c>
      <c r="W15" s="45">
        <v>0.05</v>
      </c>
      <c r="Z15" s="16" t="s">
        <v>989</v>
      </c>
      <c r="AA15" s="16">
        <v>40</v>
      </c>
      <c r="AB15" s="1331">
        <v>4</v>
      </c>
      <c r="AC15" s="1331"/>
      <c r="AD15" s="1331"/>
    </row>
    <row r="16" spans="1:30" x14ac:dyDescent="0.2">
      <c r="A16" s="1289" t="s">
        <v>1026</v>
      </c>
      <c r="B16" s="1289"/>
      <c r="C16" s="104">
        <f>D16</f>
        <v>0.91153829053311897</v>
      </c>
      <c r="D16" s="44">
        <f>AE20</f>
        <v>0.91153829053311897</v>
      </c>
      <c r="E16" s="104">
        <f t="shared" ref="E16:W16" si="2">$D$16</f>
        <v>0.91153829053311897</v>
      </c>
      <c r="F16" s="104">
        <f t="shared" si="2"/>
        <v>0.91153829053311897</v>
      </c>
      <c r="G16" s="104">
        <f t="shared" si="2"/>
        <v>0.91153829053311897</v>
      </c>
      <c r="H16" s="104">
        <f t="shared" si="2"/>
        <v>0.91153829053311897</v>
      </c>
      <c r="I16" s="104">
        <f t="shared" si="2"/>
        <v>0.91153829053311897</v>
      </c>
      <c r="J16" s="104">
        <f t="shared" si="2"/>
        <v>0.91153829053311897</v>
      </c>
      <c r="K16" s="104">
        <f t="shared" si="2"/>
        <v>0.91153829053311897</v>
      </c>
      <c r="L16" s="104">
        <f t="shared" si="2"/>
        <v>0.91153829053311897</v>
      </c>
      <c r="M16" s="104">
        <f t="shared" si="2"/>
        <v>0.91153829053311897</v>
      </c>
      <c r="N16" s="104">
        <f t="shared" si="2"/>
        <v>0.91153829053311897</v>
      </c>
      <c r="O16" s="104">
        <f t="shared" si="2"/>
        <v>0.91153829053311897</v>
      </c>
      <c r="P16" s="104">
        <f t="shared" si="2"/>
        <v>0.91153829053311897</v>
      </c>
      <c r="Q16" s="104">
        <f t="shared" si="2"/>
        <v>0.91153829053311897</v>
      </c>
      <c r="R16" s="104">
        <f t="shared" si="2"/>
        <v>0.91153829053311897</v>
      </c>
      <c r="S16" s="104">
        <f t="shared" si="2"/>
        <v>0.91153829053311897</v>
      </c>
      <c r="T16" s="104">
        <f t="shared" si="2"/>
        <v>0.91153829053311897</v>
      </c>
      <c r="U16" s="104">
        <f t="shared" si="2"/>
        <v>0.91153829053311897</v>
      </c>
      <c r="V16" s="104">
        <f t="shared" si="2"/>
        <v>0.91153829053311897</v>
      </c>
      <c r="W16" s="104">
        <f t="shared" si="2"/>
        <v>0.91153829053311897</v>
      </c>
      <c r="Z16" s="16" t="s">
        <v>990</v>
      </c>
      <c r="AA16" s="16">
        <v>60</v>
      </c>
      <c r="AB16" s="1331">
        <v>4</v>
      </c>
      <c r="AC16" s="1331"/>
      <c r="AD16" s="1331"/>
    </row>
    <row r="17" spans="1:31" x14ac:dyDescent="0.2">
      <c r="A17" s="1289" t="s">
        <v>994</v>
      </c>
      <c r="B17" s="1289"/>
      <c r="C17" s="21">
        <f t="shared" ref="C17:H17" si="3">C10*(1-C15)*C16</f>
        <v>612.55373123825598</v>
      </c>
      <c r="D17" s="21">
        <f t="shared" si="3"/>
        <v>3773.7685228071127</v>
      </c>
      <c r="E17" s="21">
        <f t="shared" si="3"/>
        <v>4025.3530909942533</v>
      </c>
      <c r="F17" s="21">
        <f t="shared" si="3"/>
        <v>5132.3251910176723</v>
      </c>
      <c r="G17" s="21">
        <f t="shared" si="3"/>
        <v>6339.9311183159489</v>
      </c>
      <c r="H17" s="21">
        <f t="shared" si="3"/>
        <v>6692.1495137779457</v>
      </c>
      <c r="I17" s="21">
        <f>I10*(1-I15)*I16</f>
        <v>6692.1495137779457</v>
      </c>
      <c r="J17" s="21">
        <f>J10*(1-J15)*J16</f>
        <v>6692.1495137779457</v>
      </c>
      <c r="K17" s="21">
        <f>K10*(1-K15)*K16</f>
        <v>6692.1495137779457</v>
      </c>
      <c r="L17" s="21">
        <f>L10*(1-L15)*L16</f>
        <v>6692.1495137779457</v>
      </c>
      <c r="M17" s="21">
        <f t="shared" ref="M17:W17" si="4">M10*(1-M15)*M16</f>
        <v>6692.1495137779457</v>
      </c>
      <c r="N17" s="21">
        <f t="shared" si="4"/>
        <v>6692.1495137779457</v>
      </c>
      <c r="O17" s="21">
        <f t="shared" si="4"/>
        <v>6692.1495137779457</v>
      </c>
      <c r="P17" s="21">
        <f t="shared" si="4"/>
        <v>6692.1495137779457</v>
      </c>
      <c r="Q17" s="21">
        <f t="shared" si="4"/>
        <v>6692.1495137779457</v>
      </c>
      <c r="R17" s="21">
        <f t="shared" si="4"/>
        <v>6692.1495137779457</v>
      </c>
      <c r="S17" s="21">
        <f t="shared" si="4"/>
        <v>6692.1495137779457</v>
      </c>
      <c r="T17" s="21">
        <f t="shared" si="4"/>
        <v>6692.1495137779457</v>
      </c>
      <c r="U17" s="21">
        <f t="shared" si="4"/>
        <v>6692.1495137779457</v>
      </c>
      <c r="V17" s="21">
        <f t="shared" si="4"/>
        <v>6692.1495137779457</v>
      </c>
      <c r="W17" s="21">
        <f t="shared" si="4"/>
        <v>6692.1495137779457</v>
      </c>
      <c r="Z17" s="16" t="s">
        <v>991</v>
      </c>
      <c r="AA17" s="16">
        <v>80</v>
      </c>
      <c r="AB17" s="1331">
        <v>70</v>
      </c>
      <c r="AC17" s="1331"/>
      <c r="AD17" s="1331"/>
    </row>
    <row r="18" spans="1:31" x14ac:dyDescent="0.2">
      <c r="AB18" s="1332">
        <f>SUM(AB14:AD17)</f>
        <v>82</v>
      </c>
      <c r="AC18" s="1332"/>
      <c r="AD18" s="1332"/>
    </row>
    <row r="19" spans="1:31" x14ac:dyDescent="0.2">
      <c r="Z19" t="s">
        <v>997</v>
      </c>
    </row>
    <row r="20" spans="1:31" x14ac:dyDescent="0.2">
      <c r="A20" s="12" t="s">
        <v>958</v>
      </c>
      <c r="Z20" s="46" t="s">
        <v>998</v>
      </c>
      <c r="AB20" s="48">
        <f>C49</f>
        <v>10.561934122991907</v>
      </c>
      <c r="AC20" t="s">
        <v>999</v>
      </c>
      <c r="AE20" s="49">
        <f>(AA17*AB20)/(AA17*AB20+AB18)</f>
        <v>0.91153829053311897</v>
      </c>
    </row>
    <row r="21" spans="1:31" x14ac:dyDescent="0.2">
      <c r="A21" s="12"/>
      <c r="C21" s="40" t="s">
        <v>835</v>
      </c>
      <c r="D21" s="40" t="s">
        <v>945</v>
      </c>
      <c r="E21" s="40" t="s">
        <v>946</v>
      </c>
      <c r="F21" s="40" t="s">
        <v>947</v>
      </c>
      <c r="G21" s="40" t="s">
        <v>948</v>
      </c>
      <c r="H21" s="40" t="s">
        <v>949</v>
      </c>
      <c r="I21" s="40" t="s">
        <v>846</v>
      </c>
      <c r="J21" s="40" t="s">
        <v>847</v>
      </c>
      <c r="K21" s="40" t="s">
        <v>848</v>
      </c>
      <c r="L21" s="40" t="s">
        <v>849</v>
      </c>
      <c r="M21" s="40" t="s">
        <v>509</v>
      </c>
      <c r="N21" s="40" t="s">
        <v>510</v>
      </c>
      <c r="O21" s="40" t="s">
        <v>368</v>
      </c>
      <c r="P21" s="40" t="s">
        <v>369</v>
      </c>
      <c r="Q21" s="40" t="s">
        <v>370</v>
      </c>
      <c r="R21" s="40" t="s">
        <v>371</v>
      </c>
      <c r="S21" s="40" t="s">
        <v>372</v>
      </c>
      <c r="T21" s="40" t="s">
        <v>373</v>
      </c>
      <c r="U21" s="40" t="s">
        <v>374</v>
      </c>
      <c r="V21" s="40" t="s">
        <v>375</v>
      </c>
      <c r="W21" s="40" t="s">
        <v>376</v>
      </c>
    </row>
    <row r="22" spans="1:31" x14ac:dyDescent="0.2">
      <c r="A22" s="1289" t="s">
        <v>962</v>
      </c>
      <c r="B22" s="1289"/>
      <c r="C22" s="18">
        <v>0.5</v>
      </c>
      <c r="D22" s="18">
        <v>0.6</v>
      </c>
      <c r="E22" s="18">
        <v>0.75</v>
      </c>
      <c r="F22" s="18">
        <v>0.85</v>
      </c>
      <c r="G22" s="18">
        <v>0.9</v>
      </c>
      <c r="H22" s="18">
        <v>0.9</v>
      </c>
      <c r="I22" s="18">
        <v>0.9</v>
      </c>
      <c r="J22" s="18">
        <v>0.9</v>
      </c>
      <c r="K22" s="18">
        <v>0.9</v>
      </c>
      <c r="L22" s="18">
        <v>0.9</v>
      </c>
      <c r="M22" s="18">
        <v>0.9</v>
      </c>
      <c r="N22" s="18">
        <v>0.9</v>
      </c>
      <c r="O22" s="18">
        <v>0.9</v>
      </c>
      <c r="P22" s="18">
        <v>0.9</v>
      </c>
      <c r="Q22" s="18">
        <v>0.9</v>
      </c>
      <c r="R22" s="18">
        <v>0.9</v>
      </c>
      <c r="S22" s="18">
        <v>0.9</v>
      </c>
      <c r="T22" s="18">
        <v>0.9</v>
      </c>
      <c r="U22" s="18">
        <v>0.9</v>
      </c>
      <c r="V22" s="18">
        <v>0.9</v>
      </c>
      <c r="W22" s="18">
        <v>0.9</v>
      </c>
    </row>
    <row r="23" spans="1:31" x14ac:dyDescent="0.2">
      <c r="A23" s="1289" t="s">
        <v>995</v>
      </c>
      <c r="B23" s="1289"/>
      <c r="C23" s="21">
        <f t="shared" ref="C23:H23" si="5">C17*C22</f>
        <v>306.27686561912799</v>
      </c>
      <c r="D23" s="21">
        <f t="shared" si="5"/>
        <v>2264.2611136842675</v>
      </c>
      <c r="E23" s="21">
        <f t="shared" si="5"/>
        <v>3019.0148182456901</v>
      </c>
      <c r="F23" s="21">
        <f t="shared" si="5"/>
        <v>4362.4764123650211</v>
      </c>
      <c r="G23" s="21">
        <f t="shared" si="5"/>
        <v>5705.9380064843544</v>
      </c>
      <c r="H23" s="21">
        <f t="shared" si="5"/>
        <v>6022.9345624001517</v>
      </c>
      <c r="I23" s="21">
        <f>I17*I22</f>
        <v>6022.9345624001517</v>
      </c>
      <c r="J23" s="21">
        <f>J17*J22</f>
        <v>6022.9345624001517</v>
      </c>
      <c r="K23" s="21">
        <f>K17*K22</f>
        <v>6022.9345624001517</v>
      </c>
      <c r="L23" s="21">
        <f>L17*L22</f>
        <v>6022.9345624001517</v>
      </c>
      <c r="M23" s="21">
        <f t="shared" ref="M23:W23" si="6">M17*M22</f>
        <v>6022.9345624001517</v>
      </c>
      <c r="N23" s="21">
        <f t="shared" si="6"/>
        <v>6022.9345624001517</v>
      </c>
      <c r="O23" s="21">
        <f t="shared" si="6"/>
        <v>6022.9345624001517</v>
      </c>
      <c r="P23" s="21">
        <f t="shared" si="6"/>
        <v>6022.9345624001517</v>
      </c>
      <c r="Q23" s="21">
        <f t="shared" si="6"/>
        <v>6022.9345624001517</v>
      </c>
      <c r="R23" s="21">
        <f t="shared" si="6"/>
        <v>6022.9345624001517</v>
      </c>
      <c r="S23" s="21">
        <f t="shared" si="6"/>
        <v>6022.9345624001517</v>
      </c>
      <c r="T23" s="21">
        <f t="shared" si="6"/>
        <v>6022.9345624001517</v>
      </c>
      <c r="U23" s="21">
        <f t="shared" si="6"/>
        <v>6022.9345624001517</v>
      </c>
      <c r="V23" s="21">
        <f t="shared" si="6"/>
        <v>6022.9345624001517</v>
      </c>
      <c r="W23" s="21">
        <f t="shared" si="6"/>
        <v>6022.9345624001517</v>
      </c>
    </row>
    <row r="24" spans="1:31" x14ac:dyDescent="0.2">
      <c r="E24" t="s">
        <v>95</v>
      </c>
    </row>
    <row r="26" spans="1:31" x14ac:dyDescent="0.2">
      <c r="A26" s="12" t="s">
        <v>1002</v>
      </c>
    </row>
    <row r="27" spans="1:31" x14ac:dyDescent="0.2">
      <c r="C27" s="40" t="s">
        <v>835</v>
      </c>
      <c r="D27" s="40" t="s">
        <v>945</v>
      </c>
      <c r="E27" s="40" t="s">
        <v>946</v>
      </c>
      <c r="F27" s="40" t="s">
        <v>947</v>
      </c>
      <c r="G27" s="40" t="s">
        <v>948</v>
      </c>
      <c r="H27" s="40" t="s">
        <v>949</v>
      </c>
      <c r="I27" s="40" t="s">
        <v>846</v>
      </c>
      <c r="J27" s="40" t="s">
        <v>847</v>
      </c>
      <c r="K27" s="40" t="s">
        <v>848</v>
      </c>
      <c r="L27" s="40" t="s">
        <v>849</v>
      </c>
      <c r="M27" s="40" t="s">
        <v>509</v>
      </c>
      <c r="N27" s="40" t="s">
        <v>510</v>
      </c>
      <c r="O27" s="40" t="s">
        <v>368</v>
      </c>
      <c r="P27" s="40" t="s">
        <v>369</v>
      </c>
      <c r="Q27" s="40" t="s">
        <v>370</v>
      </c>
      <c r="R27" s="40" t="s">
        <v>371</v>
      </c>
      <c r="S27" s="40" t="s">
        <v>372</v>
      </c>
      <c r="T27" s="40" t="s">
        <v>373</v>
      </c>
      <c r="U27" s="40" t="s">
        <v>374</v>
      </c>
      <c r="V27" s="40" t="s">
        <v>375</v>
      </c>
      <c r="W27" s="40" t="s">
        <v>376</v>
      </c>
    </row>
    <row r="28" spans="1:31" x14ac:dyDescent="0.2">
      <c r="A28" s="1266" t="s">
        <v>1003</v>
      </c>
      <c r="B28" s="1266"/>
      <c r="C28" s="58">
        <v>0.8</v>
      </c>
      <c r="D28" s="58">
        <v>0.92</v>
      </c>
      <c r="E28" s="45">
        <v>0.94</v>
      </c>
      <c r="F28" s="45">
        <v>0.96</v>
      </c>
      <c r="G28" s="45">
        <v>0.98</v>
      </c>
      <c r="H28" s="45">
        <v>0.98</v>
      </c>
      <c r="I28" s="45">
        <v>0.98</v>
      </c>
      <c r="J28" s="45">
        <v>0.98</v>
      </c>
      <c r="K28" s="45">
        <v>0.98</v>
      </c>
      <c r="L28" s="45">
        <v>0.98</v>
      </c>
      <c r="M28" s="45">
        <v>0.98</v>
      </c>
      <c r="N28" s="45">
        <v>0.98</v>
      </c>
      <c r="O28" s="45">
        <v>0.98</v>
      </c>
      <c r="P28" s="45">
        <v>0.98</v>
      </c>
      <c r="Q28" s="45">
        <v>0.98</v>
      </c>
      <c r="R28" s="45">
        <v>0.98</v>
      </c>
      <c r="S28" s="45">
        <v>0.98</v>
      </c>
      <c r="T28" s="45">
        <v>0.98</v>
      </c>
      <c r="U28" s="45">
        <v>0.98</v>
      </c>
      <c r="V28" s="45">
        <v>0.98</v>
      </c>
      <c r="W28" s="45">
        <v>0.98</v>
      </c>
    </row>
    <row r="29" spans="1:31" x14ac:dyDescent="0.2">
      <c r="A29" s="53"/>
      <c r="B29" s="53"/>
      <c r="C29" s="54"/>
      <c r="D29" s="829"/>
      <c r="E29" s="829"/>
      <c r="F29" s="829"/>
      <c r="G29" s="829"/>
    </row>
    <row r="31" spans="1:31" x14ac:dyDescent="0.2">
      <c r="A31" s="13" t="s">
        <v>1010</v>
      </c>
      <c r="B31" s="14"/>
      <c r="D31" s="12" t="s">
        <v>956</v>
      </c>
    </row>
    <row r="32" spans="1:31" x14ac:dyDescent="0.2">
      <c r="A32" s="15" t="s">
        <v>959</v>
      </c>
      <c r="B32" s="16">
        <v>3150</v>
      </c>
      <c r="D32" s="1289" t="s">
        <v>960</v>
      </c>
      <c r="E32" s="1289"/>
      <c r="F32" s="17">
        <v>1106</v>
      </c>
    </row>
    <row r="33" spans="1:6" x14ac:dyDescent="0.2">
      <c r="A33" s="15" t="s">
        <v>963</v>
      </c>
      <c r="B33" s="16">
        <v>831</v>
      </c>
      <c r="D33" s="1289" t="s">
        <v>964</v>
      </c>
      <c r="E33" s="1289"/>
      <c r="F33" s="19">
        <v>5.0000000000000001E-3</v>
      </c>
    </row>
    <row r="34" spans="1:6" x14ac:dyDescent="0.2">
      <c r="A34" s="15" t="s">
        <v>966</v>
      </c>
      <c r="B34" s="21">
        <f>B35*PI()/4*(B33/100)^2*(B32/100)</f>
        <v>7551.3526443289047</v>
      </c>
      <c r="D34" s="1289" t="s">
        <v>967</v>
      </c>
      <c r="E34" s="1289"/>
      <c r="F34" s="19">
        <v>0</v>
      </c>
    </row>
    <row r="35" spans="1:6" x14ac:dyDescent="0.2">
      <c r="A35" s="15" t="s">
        <v>969</v>
      </c>
      <c r="B35" s="16">
        <v>4.42</v>
      </c>
      <c r="D35" s="1289" t="s">
        <v>970</v>
      </c>
      <c r="E35" s="1289"/>
      <c r="F35" s="21">
        <f>F32*(1-F33)*(1-F34)</f>
        <v>1100.47</v>
      </c>
    </row>
    <row r="36" spans="1:6" x14ac:dyDescent="0.2">
      <c r="A36" s="15" t="s">
        <v>972</v>
      </c>
      <c r="B36" s="28">
        <f>B32/B33</f>
        <v>3.7906137184115525</v>
      </c>
    </row>
    <row r="39" spans="1:6" x14ac:dyDescent="0.2">
      <c r="A39" s="12" t="s">
        <v>1001</v>
      </c>
    </row>
    <row r="40" spans="1:6" x14ac:dyDescent="0.2">
      <c r="A40" s="1267" t="s">
        <v>973</v>
      </c>
      <c r="B40" s="1330"/>
      <c r="C40" s="17">
        <v>1.2</v>
      </c>
      <c r="D40" t="s">
        <v>174</v>
      </c>
    </row>
    <row r="41" spans="1:6" x14ac:dyDescent="0.2">
      <c r="A41" s="1267" t="s">
        <v>976</v>
      </c>
      <c r="B41" s="1330"/>
      <c r="C41" s="17">
        <v>0.25</v>
      </c>
    </row>
    <row r="42" spans="1:6" x14ac:dyDescent="0.2">
      <c r="A42" s="1267" t="s">
        <v>1011</v>
      </c>
      <c r="B42" s="1330"/>
      <c r="C42" s="17">
        <v>3</v>
      </c>
      <c r="D42" t="s">
        <v>978</v>
      </c>
    </row>
    <row r="43" spans="1:6" x14ac:dyDescent="0.2">
      <c r="A43" s="1267" t="s">
        <v>979</v>
      </c>
      <c r="B43" s="1330"/>
      <c r="C43" s="17">
        <v>1</v>
      </c>
      <c r="D43" t="s">
        <v>978</v>
      </c>
    </row>
    <row r="44" spans="1:6" x14ac:dyDescent="0.2">
      <c r="A44" s="1267" t="s">
        <v>1056</v>
      </c>
      <c r="B44" s="1330"/>
      <c r="C44" s="17">
        <v>1</v>
      </c>
    </row>
    <row r="45" spans="1:6" x14ac:dyDescent="0.2">
      <c r="A45" s="1267" t="s">
        <v>1057</v>
      </c>
      <c r="B45" s="1330"/>
      <c r="C45" s="17">
        <v>0.25</v>
      </c>
    </row>
    <row r="46" spans="1:6" x14ac:dyDescent="0.2">
      <c r="A46" s="1267" t="s">
        <v>1012</v>
      </c>
      <c r="B46" s="1330"/>
      <c r="C46" s="28">
        <f>B34/F35</f>
        <v>6.861934122991908</v>
      </c>
    </row>
    <row r="47" spans="1:6" x14ac:dyDescent="0.2">
      <c r="A47" s="1267" t="s">
        <v>980</v>
      </c>
      <c r="B47" s="1330"/>
      <c r="C47" s="17">
        <v>0.5</v>
      </c>
      <c r="D47" t="s">
        <v>488</v>
      </c>
    </row>
    <row r="48" spans="1:6" x14ac:dyDescent="0.2">
      <c r="A48" s="1267" t="s">
        <v>1068</v>
      </c>
      <c r="B48" s="1330"/>
      <c r="C48" s="17">
        <v>0.5</v>
      </c>
    </row>
    <row r="49" spans="1:25" x14ac:dyDescent="0.2">
      <c r="A49" s="1267" t="s">
        <v>1013</v>
      </c>
      <c r="B49" s="1330"/>
      <c r="C49" s="28">
        <f>C40+C41+C44+C45+C46+C47+C48</f>
        <v>10.561934122991907</v>
      </c>
    </row>
    <row r="51" spans="1:25" x14ac:dyDescent="0.2">
      <c r="G51" s="43">
        <f>G52-G53</f>
        <v>68</v>
      </c>
      <c r="H51" s="43">
        <v>40</v>
      </c>
    </row>
    <row r="52" spans="1:25" x14ac:dyDescent="0.2">
      <c r="G52" s="43">
        <v>481</v>
      </c>
      <c r="H52" s="43">
        <v>540</v>
      </c>
    </row>
    <row r="53" spans="1:25" x14ac:dyDescent="0.2">
      <c r="A53" s="12" t="s">
        <v>603</v>
      </c>
      <c r="G53" s="43">
        <v>413</v>
      </c>
      <c r="H53" s="43">
        <v>500</v>
      </c>
    </row>
    <row r="54" spans="1:25" x14ac:dyDescent="0.2">
      <c r="A54" s="12"/>
      <c r="D54" s="40" t="s">
        <v>835</v>
      </c>
      <c r="E54" s="40" t="s">
        <v>945</v>
      </c>
      <c r="F54" s="40" t="s">
        <v>946</v>
      </c>
      <c r="G54" s="40" t="s">
        <v>947</v>
      </c>
      <c r="H54" s="40" t="s">
        <v>948</v>
      </c>
      <c r="I54" s="40" t="s">
        <v>949</v>
      </c>
      <c r="J54" s="40" t="s">
        <v>846</v>
      </c>
      <c r="K54" s="40" t="s">
        <v>847</v>
      </c>
      <c r="L54" s="40" t="s">
        <v>848</v>
      </c>
      <c r="M54" s="40" t="s">
        <v>849</v>
      </c>
      <c r="N54" s="40" t="s">
        <v>509</v>
      </c>
      <c r="O54" s="40" t="s">
        <v>510</v>
      </c>
      <c r="P54" s="40" t="s">
        <v>368</v>
      </c>
      <c r="Q54" s="40" t="s">
        <v>369</v>
      </c>
      <c r="R54" s="40" t="s">
        <v>370</v>
      </c>
      <c r="S54" s="40" t="s">
        <v>371</v>
      </c>
      <c r="T54" s="40" t="s">
        <v>372</v>
      </c>
      <c r="U54" s="40" t="s">
        <v>373</v>
      </c>
      <c r="V54" s="40" t="s">
        <v>374</v>
      </c>
      <c r="W54" s="40" t="s">
        <v>375</v>
      </c>
      <c r="X54" s="40" t="s">
        <v>376</v>
      </c>
    </row>
    <row r="55" spans="1:25" x14ac:dyDescent="0.2">
      <c r="A55" s="1267" t="s">
        <v>974</v>
      </c>
      <c r="B55" s="1327"/>
      <c r="C55" s="1330"/>
      <c r="D55" s="20">
        <f t="shared" ref="D55:K55" si="7">IF(C8=5,INT(INT(C23/C7/$C$49)*C7),INT(C23/$C$49))</f>
        <v>24</v>
      </c>
      <c r="E55" s="20">
        <f t="shared" si="7"/>
        <v>184</v>
      </c>
      <c r="F55" s="20">
        <f t="shared" si="7"/>
        <v>276</v>
      </c>
      <c r="G55" s="20">
        <f>IF(F8=5,INT(INT(F23/F7/$C$49)*F7),INT(F23/$C$49))</f>
        <v>413</v>
      </c>
      <c r="H55" s="40">
        <v>500</v>
      </c>
      <c r="I55" s="20">
        <f t="shared" si="7"/>
        <v>570</v>
      </c>
      <c r="J55" s="20">
        <f t="shared" si="7"/>
        <v>570</v>
      </c>
      <c r="K55" s="20">
        <f t="shared" si="7"/>
        <v>570</v>
      </c>
      <c r="L55" s="20">
        <f>IF(K8=5,INT(INT(K23/K7/$C$49)*K7),INT(K23/$C$49))</f>
        <v>570</v>
      </c>
      <c r="M55" s="20">
        <f>IF(L8=5,INT(INT(L23/L7/$C$49)*L7),INT(L23/$C$49))</f>
        <v>570</v>
      </c>
      <c r="N55" s="20">
        <f t="shared" ref="N55:X55" si="8">IF(M8=5,INT(INT(M23/M7/$C$49)*M7),INT(M23/$C$49))</f>
        <v>570</v>
      </c>
      <c r="O55" s="20">
        <f t="shared" si="8"/>
        <v>570</v>
      </c>
      <c r="P55" s="20">
        <f t="shared" si="8"/>
        <v>570</v>
      </c>
      <c r="Q55" s="20">
        <f t="shared" si="8"/>
        <v>570</v>
      </c>
      <c r="R55" s="20">
        <f t="shared" si="8"/>
        <v>570</v>
      </c>
      <c r="S55" s="20">
        <f t="shared" si="8"/>
        <v>570</v>
      </c>
      <c r="T55" s="20">
        <f t="shared" si="8"/>
        <v>570</v>
      </c>
      <c r="U55" s="20">
        <f t="shared" si="8"/>
        <v>570</v>
      </c>
      <c r="V55" s="20">
        <f t="shared" si="8"/>
        <v>570</v>
      </c>
      <c r="W55" s="20">
        <f t="shared" si="8"/>
        <v>570</v>
      </c>
      <c r="X55" s="20">
        <f t="shared" si="8"/>
        <v>570</v>
      </c>
    </row>
    <row r="56" spans="1:25" x14ac:dyDescent="0.2">
      <c r="A56" s="1267" t="s">
        <v>1132</v>
      </c>
      <c r="B56" s="1327"/>
      <c r="C56" s="1330"/>
      <c r="D56" s="81">
        <f t="shared" ref="D56:I56" si="9">D55/C7</f>
        <v>3</v>
      </c>
      <c r="E56" s="81">
        <f t="shared" si="9"/>
        <v>4</v>
      </c>
      <c r="F56" s="81">
        <f t="shared" si="9"/>
        <v>6</v>
      </c>
      <c r="G56" s="81">
        <f t="shared" si="9"/>
        <v>8.9782608695652169</v>
      </c>
      <c r="H56" s="81">
        <f t="shared" si="9"/>
        <v>10.869565217391305</v>
      </c>
      <c r="I56" s="81">
        <f t="shared" si="9"/>
        <v>12.391304347826088</v>
      </c>
      <c r="J56" s="81">
        <f>J55/I7</f>
        <v>12.391304347826088</v>
      </c>
      <c r="K56" s="81">
        <f>K55/J7</f>
        <v>12.391304347826088</v>
      </c>
      <c r="L56" s="81">
        <f>L55/K7</f>
        <v>12.391304347826088</v>
      </c>
      <c r="M56" s="81">
        <f>M55/L7</f>
        <v>12.391304347826088</v>
      </c>
      <c r="N56" s="81">
        <f t="shared" ref="N56:X56" si="10">N55/M7</f>
        <v>12.391304347826088</v>
      </c>
      <c r="O56" s="81">
        <f t="shared" si="10"/>
        <v>12.391304347826088</v>
      </c>
      <c r="P56" s="81">
        <f t="shared" si="10"/>
        <v>12.391304347826088</v>
      </c>
      <c r="Q56" s="81">
        <f t="shared" si="10"/>
        <v>12.391304347826088</v>
      </c>
      <c r="R56" s="81">
        <f t="shared" si="10"/>
        <v>12.391304347826088</v>
      </c>
      <c r="S56" s="81">
        <f t="shared" si="10"/>
        <v>12.391304347826088</v>
      </c>
      <c r="T56" s="81">
        <f t="shared" si="10"/>
        <v>12.391304347826088</v>
      </c>
      <c r="U56" s="81">
        <f t="shared" si="10"/>
        <v>12.391304347826088</v>
      </c>
      <c r="V56" s="81">
        <f t="shared" si="10"/>
        <v>12.391304347826088</v>
      </c>
      <c r="W56" s="81">
        <f t="shared" si="10"/>
        <v>12.391304347826088</v>
      </c>
      <c r="X56" s="81">
        <f t="shared" si="10"/>
        <v>12.391304347826088</v>
      </c>
    </row>
    <row r="57" spans="1:25" ht="13.5" thickBot="1" x14ac:dyDescent="0.25">
      <c r="A57" s="1339" t="s">
        <v>977</v>
      </c>
      <c r="B57" s="1340"/>
      <c r="C57" s="1341"/>
      <c r="D57" s="26">
        <f t="shared" ref="D57:K57" si="11">D55*$B$34/1000</f>
        <v>181.23246346389371</v>
      </c>
      <c r="E57" s="26">
        <f t="shared" si="11"/>
        <v>1389.4488865565186</v>
      </c>
      <c r="F57" s="26">
        <f t="shared" si="11"/>
        <v>2084.1733298347776</v>
      </c>
      <c r="G57" s="26">
        <f t="shared" si="11"/>
        <v>3118.7086421078379</v>
      </c>
      <c r="H57" s="26">
        <f t="shared" si="11"/>
        <v>3775.6763221644524</v>
      </c>
      <c r="I57" s="26">
        <f t="shared" si="11"/>
        <v>4304.2710072674763</v>
      </c>
      <c r="J57" s="26">
        <f t="shared" si="11"/>
        <v>4304.2710072674763</v>
      </c>
      <c r="K57" s="26">
        <f t="shared" si="11"/>
        <v>4304.2710072674763</v>
      </c>
      <c r="L57" s="26">
        <f>L55*$B$34/1000</f>
        <v>4304.2710072674763</v>
      </c>
      <c r="M57" s="26">
        <f>M55*$B$34/1000</f>
        <v>4304.2710072674763</v>
      </c>
      <c r="N57" s="26">
        <f t="shared" ref="N57:X57" si="12">N55*$B$34/1000</f>
        <v>4304.2710072674763</v>
      </c>
      <c r="O57" s="26">
        <f t="shared" si="12"/>
        <v>4304.2710072674763</v>
      </c>
      <c r="P57" s="26">
        <f t="shared" si="12"/>
        <v>4304.2710072674763</v>
      </c>
      <c r="Q57" s="26">
        <f t="shared" si="12"/>
        <v>4304.2710072674763</v>
      </c>
      <c r="R57" s="26">
        <f t="shared" si="12"/>
        <v>4304.2710072674763</v>
      </c>
      <c r="S57" s="26">
        <f t="shared" si="12"/>
        <v>4304.2710072674763</v>
      </c>
      <c r="T57" s="26">
        <f t="shared" si="12"/>
        <v>4304.2710072674763</v>
      </c>
      <c r="U57" s="26">
        <f t="shared" si="12"/>
        <v>4304.2710072674763</v>
      </c>
      <c r="V57" s="26">
        <f t="shared" si="12"/>
        <v>4304.2710072674763</v>
      </c>
      <c r="W57" s="26">
        <f t="shared" si="12"/>
        <v>4304.2710072674763</v>
      </c>
      <c r="X57" s="26">
        <f t="shared" si="12"/>
        <v>4304.2710072674763</v>
      </c>
    </row>
    <row r="58" spans="1:25" x14ac:dyDescent="0.2">
      <c r="A58" s="1342" t="s">
        <v>1079</v>
      </c>
      <c r="B58" s="1343"/>
      <c r="C58" s="1343"/>
      <c r="D58" s="71">
        <f t="shared" ref="D58:I58" si="13">D57*C28</f>
        <v>144.98597077111498</v>
      </c>
      <c r="E58" s="71">
        <f t="shared" si="13"/>
        <v>1278.2929756319973</v>
      </c>
      <c r="F58" s="71">
        <f t="shared" si="13"/>
        <v>1959.122930044691</v>
      </c>
      <c r="G58" s="71">
        <f t="shared" si="13"/>
        <v>2993.9602964235241</v>
      </c>
      <c r="H58" s="71">
        <f t="shared" si="13"/>
        <v>3700.1627957211631</v>
      </c>
      <c r="I58" s="428">
        <f t="shared" si="13"/>
        <v>4218.1855871221269</v>
      </c>
      <c r="J58" s="428">
        <f>J57*I28</f>
        <v>4218.1855871221269</v>
      </c>
      <c r="K58" s="428">
        <f>K57*J28</f>
        <v>4218.1855871221269</v>
      </c>
      <c r="L58" s="428">
        <f>L57*K28</f>
        <v>4218.1855871221269</v>
      </c>
      <c r="M58" s="71">
        <f>M57*L28</f>
        <v>4218.1855871221269</v>
      </c>
      <c r="N58" s="71">
        <f t="shared" ref="N58:X58" si="14">N57*M28</f>
        <v>4218.1855871221269</v>
      </c>
      <c r="O58" s="71">
        <f t="shared" si="14"/>
        <v>4218.1855871221269</v>
      </c>
      <c r="P58" s="71">
        <f t="shared" si="14"/>
        <v>4218.1855871221269</v>
      </c>
      <c r="Q58" s="71">
        <f t="shared" si="14"/>
        <v>4218.1855871221269</v>
      </c>
      <c r="R58" s="71">
        <f t="shared" si="14"/>
        <v>4218.1855871221269</v>
      </c>
      <c r="S58" s="71">
        <f t="shared" si="14"/>
        <v>4218.1855871221269</v>
      </c>
      <c r="T58" s="71">
        <f t="shared" si="14"/>
        <v>4218.1855871221269</v>
      </c>
      <c r="U58" s="71">
        <f t="shared" si="14"/>
        <v>4218.1855871221269</v>
      </c>
      <c r="V58" s="71">
        <f t="shared" si="14"/>
        <v>4218.1855871221269</v>
      </c>
      <c r="W58" s="71">
        <f t="shared" si="14"/>
        <v>4218.1855871221269</v>
      </c>
      <c r="X58" s="446">
        <f t="shared" si="14"/>
        <v>4218.1855871221269</v>
      </c>
    </row>
    <row r="59" spans="1:25" ht="13.5" thickBot="1" x14ac:dyDescent="0.25">
      <c r="A59" s="1344" t="s">
        <v>1004</v>
      </c>
      <c r="B59" s="1345"/>
      <c r="C59" s="1345"/>
      <c r="D59" s="72">
        <f t="shared" ref="D59:I59" si="15">INT(D58/$B$34*1000)</f>
        <v>19</v>
      </c>
      <c r="E59" s="72">
        <f t="shared" si="15"/>
        <v>169</v>
      </c>
      <c r="F59" s="72">
        <f t="shared" si="15"/>
        <v>259</v>
      </c>
      <c r="G59" s="72">
        <f t="shared" si="15"/>
        <v>396</v>
      </c>
      <c r="H59" s="72">
        <f t="shared" si="15"/>
        <v>490</v>
      </c>
      <c r="I59" s="429">
        <f t="shared" si="15"/>
        <v>558</v>
      </c>
      <c r="J59" s="429">
        <f>INT(J58/$B$34*1000)</f>
        <v>558</v>
      </c>
      <c r="K59" s="429">
        <f>INT(K58/$B$34*1000)</f>
        <v>558</v>
      </c>
      <c r="L59" s="429">
        <f>INT(L58/$B$34*1000)</f>
        <v>558</v>
      </c>
      <c r="M59" s="72">
        <f>INT(M58/$B$34*1000)</f>
        <v>558</v>
      </c>
      <c r="N59" s="72">
        <f t="shared" ref="N59:X59" si="16">INT(N58/$B$34*1000)</f>
        <v>558</v>
      </c>
      <c r="O59" s="72">
        <f t="shared" si="16"/>
        <v>558</v>
      </c>
      <c r="P59" s="72">
        <f t="shared" si="16"/>
        <v>558</v>
      </c>
      <c r="Q59" s="72">
        <f t="shared" si="16"/>
        <v>558</v>
      </c>
      <c r="R59" s="72">
        <f t="shared" si="16"/>
        <v>558</v>
      </c>
      <c r="S59" s="72">
        <f t="shared" si="16"/>
        <v>558</v>
      </c>
      <c r="T59" s="72">
        <f t="shared" si="16"/>
        <v>558</v>
      </c>
      <c r="U59" s="72">
        <f t="shared" si="16"/>
        <v>558</v>
      </c>
      <c r="V59" s="72">
        <f t="shared" si="16"/>
        <v>558</v>
      </c>
      <c r="W59" s="72">
        <f t="shared" si="16"/>
        <v>558</v>
      </c>
      <c r="X59" s="447">
        <f t="shared" si="16"/>
        <v>558</v>
      </c>
    </row>
    <row r="60" spans="1:25" x14ac:dyDescent="0.2">
      <c r="A60" s="1336" t="s">
        <v>1005</v>
      </c>
      <c r="B60" s="1337"/>
      <c r="C60" s="1337"/>
      <c r="D60" s="34">
        <f t="shared" ref="D60:I60" si="17">D55-D59</f>
        <v>5</v>
      </c>
      <c r="E60" s="34">
        <f t="shared" si="17"/>
        <v>15</v>
      </c>
      <c r="F60" s="34">
        <f t="shared" si="17"/>
        <v>17</v>
      </c>
      <c r="G60" s="34">
        <f t="shared" si="17"/>
        <v>17</v>
      </c>
      <c r="H60" s="34">
        <f t="shared" si="17"/>
        <v>10</v>
      </c>
      <c r="I60" s="34">
        <f t="shared" si="17"/>
        <v>12</v>
      </c>
      <c r="J60" s="34">
        <f>J55-J59</f>
        <v>12</v>
      </c>
      <c r="K60" s="34">
        <f>K55-K59</f>
        <v>12</v>
      </c>
      <c r="L60" s="34">
        <f>L55-L59</f>
        <v>12</v>
      </c>
      <c r="M60" s="34">
        <f>M55-M59</f>
        <v>12</v>
      </c>
      <c r="N60" s="34">
        <f t="shared" ref="N60:X60" si="18">N55-N59</f>
        <v>12</v>
      </c>
      <c r="O60" s="34">
        <f t="shared" si="18"/>
        <v>12</v>
      </c>
      <c r="P60" s="34">
        <f t="shared" si="18"/>
        <v>12</v>
      </c>
      <c r="Q60" s="34">
        <f t="shared" si="18"/>
        <v>12</v>
      </c>
      <c r="R60" s="34">
        <f t="shared" si="18"/>
        <v>12</v>
      </c>
      <c r="S60" s="34">
        <f t="shared" si="18"/>
        <v>12</v>
      </c>
      <c r="T60" s="34">
        <f t="shared" si="18"/>
        <v>12</v>
      </c>
      <c r="U60" s="34">
        <f t="shared" si="18"/>
        <v>12</v>
      </c>
      <c r="V60" s="34">
        <f t="shared" si="18"/>
        <v>12</v>
      </c>
      <c r="W60" s="34">
        <f t="shared" si="18"/>
        <v>12</v>
      </c>
      <c r="X60" s="34">
        <f t="shared" si="18"/>
        <v>12</v>
      </c>
    </row>
    <row r="61" spans="1:25" x14ac:dyDescent="0.2">
      <c r="A61" s="1338" t="s">
        <v>1006</v>
      </c>
      <c r="B61" s="1266"/>
      <c r="C61" s="1266"/>
      <c r="D61" s="21">
        <f t="shared" ref="D61:I61" si="19">D60*$B$34/1000</f>
        <v>37.756763221644519</v>
      </c>
      <c r="E61" s="21">
        <f t="shared" si="19"/>
        <v>113.27028966493357</v>
      </c>
      <c r="F61" s="21">
        <f t="shared" si="19"/>
        <v>128.37299495359139</v>
      </c>
      <c r="G61" s="21">
        <f t="shared" si="19"/>
        <v>128.37299495359139</v>
      </c>
      <c r="H61" s="21">
        <f t="shared" si="19"/>
        <v>75.513526443289038</v>
      </c>
      <c r="I61" s="21">
        <f t="shared" si="19"/>
        <v>90.616231731946854</v>
      </c>
      <c r="J61" s="21">
        <f>J60*$B$34/1000</f>
        <v>90.616231731946854</v>
      </c>
      <c r="K61" s="21">
        <f>K60*$B$34/1000</f>
        <v>90.616231731946854</v>
      </c>
      <c r="L61" s="21">
        <f>L60*$B$34/1000</f>
        <v>90.616231731946854</v>
      </c>
      <c r="M61" s="21">
        <f>M60*$B$34/1000</f>
        <v>90.616231731946854</v>
      </c>
      <c r="N61" s="21">
        <f t="shared" ref="N61:X61" si="20">N60*$B$34/1000</f>
        <v>90.616231731946854</v>
      </c>
      <c r="O61" s="21">
        <f t="shared" si="20"/>
        <v>90.616231731946854</v>
      </c>
      <c r="P61" s="21">
        <f t="shared" si="20"/>
        <v>90.616231731946854</v>
      </c>
      <c r="Q61" s="21">
        <f t="shared" si="20"/>
        <v>90.616231731946854</v>
      </c>
      <c r="R61" s="21">
        <f t="shared" si="20"/>
        <v>90.616231731946854</v>
      </c>
      <c r="S61" s="21">
        <f t="shared" si="20"/>
        <v>90.616231731946854</v>
      </c>
      <c r="T61" s="21">
        <f t="shared" si="20"/>
        <v>90.616231731946854</v>
      </c>
      <c r="U61" s="21">
        <f t="shared" si="20"/>
        <v>90.616231731946854</v>
      </c>
      <c r="V61" s="21">
        <f t="shared" si="20"/>
        <v>90.616231731946854</v>
      </c>
      <c r="W61" s="21">
        <f t="shared" si="20"/>
        <v>90.616231731946854</v>
      </c>
      <c r="X61" s="21">
        <f t="shared" si="20"/>
        <v>90.616231731946854</v>
      </c>
      <c r="Y61" s="31" t="s">
        <v>856</v>
      </c>
    </row>
    <row r="62" spans="1:25" x14ac:dyDescent="0.2">
      <c r="A62" s="1338" t="s">
        <v>77</v>
      </c>
      <c r="B62" s="1266"/>
      <c r="C62" s="1266"/>
      <c r="D62" s="80">
        <f>D61*1000*'Données Matières'!D22</f>
        <v>93523.502500013492</v>
      </c>
      <c r="E62" s="80">
        <f>E61*1000*'Données Matières'!E22</f>
        <v>280570.50750004052</v>
      </c>
      <c r="F62" s="80">
        <f>F61*1000*'Données Matières'!F22</f>
        <v>317979.90850004589</v>
      </c>
      <c r="G62" s="80">
        <f>G61*1000*'Données Matières'!G22</f>
        <v>317979.90850004589</v>
      </c>
      <c r="H62" s="80">
        <f>H61*1000*'Données Matières'!H22</f>
        <v>187047.00500002698</v>
      </c>
      <c r="I62" s="80">
        <f>I61*1000*'Données Matières'!I22</f>
        <v>224456.40600003238</v>
      </c>
      <c r="J62" s="80">
        <f>J61*1000*'Données Matières'!J22</f>
        <v>224456.40600003238</v>
      </c>
      <c r="K62" s="80">
        <f>K61*1000*'Données Matières'!K22</f>
        <v>224456.40600003238</v>
      </c>
      <c r="L62" s="80">
        <f>L61*1000*'Données Matières'!L22</f>
        <v>224456.40600003238</v>
      </c>
      <c r="M62" s="80">
        <f>M61*1000*'Données Matières'!M22</f>
        <v>224456.40600003238</v>
      </c>
      <c r="N62" s="80">
        <f>N61*1000*'Données Matières'!N22</f>
        <v>224456.40600003238</v>
      </c>
      <c r="O62" s="80">
        <f>O61*1000*'Données Matières'!O22</f>
        <v>224456.40600003238</v>
      </c>
      <c r="P62" s="80">
        <f>P61*1000*'Données Matières'!P22</f>
        <v>224456.40600003238</v>
      </c>
      <c r="Q62" s="80">
        <f>Q61*1000*'Données Matières'!Q22</f>
        <v>224456.40600003238</v>
      </c>
      <c r="R62" s="80">
        <f>R61*1000*'Données Matières'!R22</f>
        <v>224456.40600003238</v>
      </c>
      <c r="S62" s="80">
        <f>S61*1000*'Données Matières'!S22</f>
        <v>224456.40600003238</v>
      </c>
      <c r="T62" s="80">
        <f>T61*1000*'Données Matières'!T22</f>
        <v>224456.40600003238</v>
      </c>
      <c r="U62" s="80">
        <f>U61*1000*'Données Matières'!U22</f>
        <v>224456.40600003238</v>
      </c>
      <c r="V62" s="80">
        <f>V61*1000*'Données Matières'!V22</f>
        <v>224456.40600003238</v>
      </c>
      <c r="W62" s="80">
        <f>W61*1000*'Données Matières'!W22</f>
        <v>224456.40600003238</v>
      </c>
      <c r="X62" s="80">
        <f>X61*1000*'Données Matières'!X22</f>
        <v>224456.40600003238</v>
      </c>
    </row>
    <row r="65" spans="1:25" x14ac:dyDescent="0.2">
      <c r="A65" s="12" t="s">
        <v>1007</v>
      </c>
    </row>
    <row r="66" spans="1:25" x14ac:dyDescent="0.2">
      <c r="A66" s="1266" t="s">
        <v>1015</v>
      </c>
      <c r="B66" s="1266"/>
      <c r="C66" s="1266"/>
      <c r="D66" s="16">
        <v>0</v>
      </c>
      <c r="E66" t="s">
        <v>96</v>
      </c>
    </row>
    <row r="67" spans="1:25" x14ac:dyDescent="0.2">
      <c r="A67" s="1266" t="s">
        <v>1008</v>
      </c>
      <c r="B67" s="1266"/>
      <c r="C67" s="1266"/>
      <c r="D67" s="21">
        <f>B35*PI()/4*(B33/100*B33/100-(B33-2*D66)/100*(B33-2*D66)/100)*B32/100</f>
        <v>0</v>
      </c>
      <c r="G67" s="16">
        <v>18.5</v>
      </c>
      <c r="H67" t="s">
        <v>98</v>
      </c>
      <c r="I67" s="16">
        <v>80</v>
      </c>
      <c r="J67" t="s">
        <v>99</v>
      </c>
      <c r="K67" s="20">
        <f>G67*I67</f>
        <v>1480</v>
      </c>
      <c r="L67" t="s">
        <v>100</v>
      </c>
    </row>
    <row r="68" spans="1:25" x14ac:dyDescent="0.2">
      <c r="A68" s="111" t="s">
        <v>110</v>
      </c>
      <c r="I68" t="s">
        <v>901</v>
      </c>
    </row>
    <row r="70" spans="1:25" x14ac:dyDescent="0.2">
      <c r="A70" s="12"/>
      <c r="D70" s="40" t="s">
        <v>835</v>
      </c>
      <c r="E70" s="40" t="s">
        <v>945</v>
      </c>
      <c r="F70" s="40" t="s">
        <v>946</v>
      </c>
      <c r="G70" s="40" t="s">
        <v>947</v>
      </c>
      <c r="H70" s="40" t="s">
        <v>948</v>
      </c>
      <c r="I70" s="40" t="s">
        <v>949</v>
      </c>
      <c r="J70" s="40" t="s">
        <v>846</v>
      </c>
      <c r="K70" s="40" t="s">
        <v>847</v>
      </c>
      <c r="L70" s="40" t="s">
        <v>848</v>
      </c>
      <c r="M70" s="40" t="s">
        <v>849</v>
      </c>
      <c r="N70" s="40" t="s">
        <v>509</v>
      </c>
      <c r="O70" s="40" t="s">
        <v>510</v>
      </c>
      <c r="P70" s="40" t="s">
        <v>368</v>
      </c>
      <c r="Q70" s="40" t="s">
        <v>369</v>
      </c>
      <c r="R70" s="40" t="s">
        <v>370</v>
      </c>
      <c r="S70" s="40" t="s">
        <v>371</v>
      </c>
      <c r="T70" s="40" t="s">
        <v>372</v>
      </c>
      <c r="U70" s="40" t="s">
        <v>373</v>
      </c>
      <c r="V70" s="40" t="s">
        <v>374</v>
      </c>
      <c r="W70" s="40" t="s">
        <v>375</v>
      </c>
      <c r="X70" s="40" t="s">
        <v>376</v>
      </c>
    </row>
    <row r="71" spans="1:25" x14ac:dyDescent="0.2">
      <c r="A71" s="1266" t="s">
        <v>1009</v>
      </c>
      <c r="B71" s="1266"/>
      <c r="C71" s="1266"/>
      <c r="D71" s="66">
        <f t="shared" ref="D71:I71" si="21">$D$67/1000*D59</f>
        <v>0</v>
      </c>
      <c r="E71" s="66">
        <f t="shared" si="21"/>
        <v>0</v>
      </c>
      <c r="F71" s="66">
        <f t="shared" si="21"/>
        <v>0</v>
      </c>
      <c r="G71" s="66">
        <f t="shared" si="21"/>
        <v>0</v>
      </c>
      <c r="H71" s="66">
        <f t="shared" si="21"/>
        <v>0</v>
      </c>
      <c r="I71" s="66">
        <f t="shared" si="21"/>
        <v>0</v>
      </c>
      <c r="J71" s="66">
        <f>$D$67/1000*J59</f>
        <v>0</v>
      </c>
      <c r="K71" s="66">
        <f>$D$67/1000*K59</f>
        <v>0</v>
      </c>
      <c r="L71" s="66">
        <f>$D$67/1000*L59</f>
        <v>0</v>
      </c>
      <c r="M71" s="66">
        <f>$D$67/1000*M59</f>
        <v>0</v>
      </c>
      <c r="N71" s="66">
        <f t="shared" ref="N71:X71" si="22">$D$67/1000*N59</f>
        <v>0</v>
      </c>
      <c r="O71" s="66">
        <f t="shared" si="22"/>
        <v>0</v>
      </c>
      <c r="P71" s="66">
        <f t="shared" si="22"/>
        <v>0</v>
      </c>
      <c r="Q71" s="66">
        <f t="shared" si="22"/>
        <v>0</v>
      </c>
      <c r="R71" s="66">
        <f t="shared" si="22"/>
        <v>0</v>
      </c>
      <c r="S71" s="66">
        <f t="shared" si="22"/>
        <v>0</v>
      </c>
      <c r="T71" s="66">
        <f t="shared" si="22"/>
        <v>0</v>
      </c>
      <c r="U71" s="66">
        <f t="shared" si="22"/>
        <v>0</v>
      </c>
      <c r="V71" s="66">
        <f t="shared" si="22"/>
        <v>0</v>
      </c>
      <c r="W71" s="66">
        <f t="shared" si="22"/>
        <v>0</v>
      </c>
      <c r="X71" s="66">
        <f t="shared" si="22"/>
        <v>0</v>
      </c>
      <c r="Y71" s="31" t="s">
        <v>1020</v>
      </c>
    </row>
    <row r="72" spans="1:25" x14ac:dyDescent="0.2">
      <c r="A72" s="1266" t="s">
        <v>78</v>
      </c>
      <c r="B72" s="1266"/>
      <c r="C72" s="1266"/>
      <c r="D72" s="80">
        <f>IF($E$97="NON",D71*1000*'Données Matières'!C23,0)</f>
        <v>0</v>
      </c>
      <c r="E72" s="80">
        <f>IF($E$97="NON",E71*1000*'Données Matières'!E23,0)</f>
        <v>0</v>
      </c>
      <c r="F72" s="80">
        <f>IF($E$97="NON",F71*1000*'Données Matières'!F23,0)</f>
        <v>0</v>
      </c>
      <c r="G72" s="80">
        <f>IF($E$97="NON",G71*1000*'Données Matières'!G23,0)</f>
        <v>0</v>
      </c>
      <c r="H72" s="80">
        <f>IF($E$97="NON",H71*1000*'Données Matières'!H23,0)</f>
        <v>0</v>
      </c>
      <c r="I72" s="80">
        <f>IF($E$97="NON",I71*1000*'Données Matières'!I23,0)</f>
        <v>0</v>
      </c>
      <c r="J72" s="80">
        <f>IF($E$97="NON",J71*1000*'Données Matières'!N23,0)</f>
        <v>0</v>
      </c>
      <c r="K72" s="80">
        <f>IF($E$97="NON",K71*1000*'Données Matières'!O23,0)</f>
        <v>0</v>
      </c>
      <c r="L72" s="80">
        <f>IF($E$97="NON",L71*1000*'Données Matières'!P23,0)</f>
        <v>0</v>
      </c>
      <c r="M72" s="80">
        <f>IF($E$97="NON",M71*1000*'Données Matières'!Q23,0)</f>
        <v>0</v>
      </c>
      <c r="N72" s="80">
        <f>IF($E$97="NON",N71*1000*'Données Matières'!R23,0)</f>
        <v>0</v>
      </c>
      <c r="O72" s="80">
        <f>IF($E$97="NON",O71*1000*'Données Matières'!S23,0)</f>
        <v>0</v>
      </c>
      <c r="P72" s="80">
        <f>IF($E$97="NON",P71*1000*'Données Matières'!T23,0)</f>
        <v>0</v>
      </c>
      <c r="Q72" s="80">
        <f>IF($E$97="NON",Q71*1000*'Données Matières'!U23,0)</f>
        <v>0</v>
      </c>
      <c r="R72" s="80">
        <f>IF($E$97="NON",R71*1000*'Données Matières'!V23,0)</f>
        <v>0</v>
      </c>
      <c r="S72" s="80">
        <f>IF($E$97="NON",S71*1000*'Données Matières'!W23,0)</f>
        <v>0</v>
      </c>
      <c r="T72" s="80">
        <f>IF($E$97="NON",T71*1000*'Données Matières'!X23,0)</f>
        <v>0</v>
      </c>
      <c r="U72" s="80">
        <f>IF($E$97="NON",U71*1000*'Données Matières'!Y23,0)</f>
        <v>0</v>
      </c>
      <c r="V72" s="80">
        <f>IF($E$97="NON",V71*1000*'Données Matières'!Z23,0)</f>
        <v>0</v>
      </c>
      <c r="W72" s="80">
        <f>IF($E$97="NON",W71*1000*'Données Matières'!AA23,0)</f>
        <v>0</v>
      </c>
      <c r="X72" s="80">
        <f>IF($E$97="NON",X71*1000*'Données Matières'!AB23,0)</f>
        <v>0</v>
      </c>
    </row>
    <row r="73" spans="1:25" x14ac:dyDescent="0.2">
      <c r="A73" s="1266" t="s">
        <v>97</v>
      </c>
      <c r="B73" s="1266"/>
      <c r="C73" s="1266"/>
      <c r="D73" s="80">
        <f t="shared" ref="D73:I73" si="23">IF($D$66&lt;&gt;0,D59*$K$67,0)</f>
        <v>0</v>
      </c>
      <c r="E73" s="80">
        <f t="shared" si="23"/>
        <v>0</v>
      </c>
      <c r="F73" s="80">
        <f t="shared" si="23"/>
        <v>0</v>
      </c>
      <c r="G73" s="80">
        <f t="shared" si="23"/>
        <v>0</v>
      </c>
      <c r="H73" s="80">
        <f t="shared" si="23"/>
        <v>0</v>
      </c>
      <c r="I73" s="80">
        <f t="shared" si="23"/>
        <v>0</v>
      </c>
      <c r="J73" s="80">
        <f>IF($D$66&lt;&gt;0,J59*$K$67,0)</f>
        <v>0</v>
      </c>
      <c r="K73" s="80">
        <f>IF($D$66&lt;&gt;0,K59*$K$67,0)</f>
        <v>0</v>
      </c>
      <c r="L73" s="80">
        <f>IF($D$66&lt;&gt;0,L59*$K$67,0)</f>
        <v>0</v>
      </c>
      <c r="M73" s="80">
        <f>IF($D$66&lt;&gt;0,M59*$K$67,0)</f>
        <v>0</v>
      </c>
      <c r="N73" s="80">
        <f t="shared" ref="N73:X73" si="24">IF($D$66&lt;&gt;0,N59*$K$67,0)</f>
        <v>0</v>
      </c>
      <c r="O73" s="80">
        <f t="shared" si="24"/>
        <v>0</v>
      </c>
      <c r="P73" s="80">
        <f t="shared" si="24"/>
        <v>0</v>
      </c>
      <c r="Q73" s="80">
        <f t="shared" si="24"/>
        <v>0</v>
      </c>
      <c r="R73" s="80">
        <f t="shared" si="24"/>
        <v>0</v>
      </c>
      <c r="S73" s="80">
        <f t="shared" si="24"/>
        <v>0</v>
      </c>
      <c r="T73" s="80">
        <f t="shared" si="24"/>
        <v>0</v>
      </c>
      <c r="U73" s="80">
        <f t="shared" si="24"/>
        <v>0</v>
      </c>
      <c r="V73" s="80">
        <f t="shared" si="24"/>
        <v>0</v>
      </c>
      <c r="W73" s="80">
        <f t="shared" si="24"/>
        <v>0</v>
      </c>
      <c r="X73" s="80">
        <f t="shared" si="24"/>
        <v>0</v>
      </c>
    </row>
    <row r="76" spans="1:25" x14ac:dyDescent="0.2">
      <c r="A76" s="12" t="s">
        <v>1110</v>
      </c>
    </row>
    <row r="77" spans="1:25" x14ac:dyDescent="0.2">
      <c r="C77" s="40" t="s">
        <v>835</v>
      </c>
      <c r="D77" s="40" t="s">
        <v>945</v>
      </c>
      <c r="E77" s="40" t="s">
        <v>946</v>
      </c>
      <c r="F77" s="40" t="s">
        <v>947</v>
      </c>
      <c r="G77" s="40" t="s">
        <v>948</v>
      </c>
      <c r="H77" s="40" t="s">
        <v>949</v>
      </c>
      <c r="I77" s="40" t="s">
        <v>846</v>
      </c>
      <c r="J77" s="40" t="s">
        <v>847</v>
      </c>
      <c r="K77" s="40" t="s">
        <v>848</v>
      </c>
      <c r="L77" s="40" t="s">
        <v>849</v>
      </c>
      <c r="M77" s="40" t="s">
        <v>509</v>
      </c>
      <c r="N77" s="40" t="s">
        <v>510</v>
      </c>
      <c r="O77" s="40" t="s">
        <v>368</v>
      </c>
      <c r="P77" s="40" t="s">
        <v>369</v>
      </c>
      <c r="Q77" s="40" t="s">
        <v>370</v>
      </c>
      <c r="R77" s="40" t="s">
        <v>371</v>
      </c>
      <c r="S77" s="40" t="s">
        <v>372</v>
      </c>
      <c r="T77" s="40" t="s">
        <v>373</v>
      </c>
      <c r="U77" s="40" t="s">
        <v>374</v>
      </c>
      <c r="V77" s="40" t="s">
        <v>375</v>
      </c>
      <c r="W77" s="40" t="s">
        <v>376</v>
      </c>
    </row>
    <row r="78" spans="1:25" x14ac:dyDescent="0.2">
      <c r="A78" s="1267" t="s">
        <v>975</v>
      </c>
      <c r="B78" s="1330"/>
      <c r="C78" s="21">
        <f t="shared" ref="C78:J78" si="25">D57/(1-$F$33-$F$34)</f>
        <v>182.14317936069719</v>
      </c>
      <c r="D78" s="21">
        <f t="shared" si="25"/>
        <v>1396.4310417653453</v>
      </c>
      <c r="E78" s="21">
        <f t="shared" si="25"/>
        <v>2094.6465626480176</v>
      </c>
      <c r="F78" s="21">
        <f t="shared" si="25"/>
        <v>3134.3805448319981</v>
      </c>
      <c r="G78" s="21">
        <f t="shared" si="25"/>
        <v>3794.6495700145251</v>
      </c>
      <c r="H78" s="21">
        <f t="shared" si="25"/>
        <v>4325.900509816559</v>
      </c>
      <c r="I78" s="21">
        <f t="shared" si="25"/>
        <v>4325.900509816559</v>
      </c>
      <c r="J78" s="21">
        <f t="shared" si="25"/>
        <v>4325.900509816559</v>
      </c>
      <c r="K78" s="21">
        <f>L57/(1-$F$33-$F$34)</f>
        <v>4325.900509816559</v>
      </c>
      <c r="L78" s="21">
        <f>M57/(1-$F$33-$F$34)</f>
        <v>4325.900509816559</v>
      </c>
      <c r="M78" s="21">
        <f t="shared" ref="M78:W78" si="26">N57/(1-$F$33-$F$34)</f>
        <v>4325.900509816559</v>
      </c>
      <c r="N78" s="21">
        <f t="shared" si="26"/>
        <v>4325.900509816559</v>
      </c>
      <c r="O78" s="21">
        <f t="shared" si="26"/>
        <v>4325.900509816559</v>
      </c>
      <c r="P78" s="21">
        <f t="shared" si="26"/>
        <v>4325.900509816559</v>
      </c>
      <c r="Q78" s="21">
        <f t="shared" si="26"/>
        <v>4325.900509816559</v>
      </c>
      <c r="R78" s="21">
        <f t="shared" si="26"/>
        <v>4325.900509816559</v>
      </c>
      <c r="S78" s="21">
        <f t="shared" si="26"/>
        <v>4325.900509816559</v>
      </c>
      <c r="T78" s="21">
        <f t="shared" si="26"/>
        <v>4325.900509816559</v>
      </c>
      <c r="U78" s="21">
        <f t="shared" si="26"/>
        <v>4325.900509816559</v>
      </c>
      <c r="V78" s="21">
        <f t="shared" si="26"/>
        <v>4325.900509816559</v>
      </c>
      <c r="W78" s="21">
        <f t="shared" si="26"/>
        <v>4325.900509816559</v>
      </c>
    </row>
    <row r="79" spans="1:25" x14ac:dyDescent="0.2">
      <c r="A79" s="1267" t="s">
        <v>1119</v>
      </c>
      <c r="B79" s="1330"/>
      <c r="C79" s="89">
        <v>0.2</v>
      </c>
      <c r="D79" s="89">
        <v>0.2</v>
      </c>
      <c r="E79" s="82">
        <v>0.2</v>
      </c>
      <c r="F79" s="82">
        <v>0.2</v>
      </c>
      <c r="G79" s="82">
        <v>0.2</v>
      </c>
      <c r="H79" s="82">
        <v>0.2</v>
      </c>
      <c r="I79" s="82">
        <v>0.2</v>
      </c>
      <c r="J79" s="82">
        <v>0.2</v>
      </c>
      <c r="K79" s="82">
        <v>0.2</v>
      </c>
      <c r="L79" s="82">
        <v>0.2</v>
      </c>
      <c r="M79" s="82">
        <v>0.2</v>
      </c>
      <c r="N79" s="82">
        <v>0.2</v>
      </c>
      <c r="O79" s="82">
        <v>0.2</v>
      </c>
      <c r="P79" s="82">
        <v>0.2</v>
      </c>
      <c r="Q79" s="82">
        <v>0.2</v>
      </c>
      <c r="R79" s="82">
        <v>0.2</v>
      </c>
      <c r="S79" s="82">
        <v>0.2</v>
      </c>
      <c r="T79" s="82">
        <v>0.2</v>
      </c>
      <c r="U79" s="82">
        <v>0.2</v>
      </c>
      <c r="V79" s="82">
        <v>0.2</v>
      </c>
      <c r="W79" s="82">
        <v>0.2</v>
      </c>
      <c r="X79" t="s">
        <v>111</v>
      </c>
    </row>
    <row r="80" spans="1:25" ht="13.5" thickBot="1" x14ac:dyDescent="0.25">
      <c r="A80" s="1339" t="s">
        <v>1120</v>
      </c>
      <c r="B80" s="1341"/>
      <c r="C80" s="26">
        <f t="shared" ref="C80:H80" si="27">C79*C78</f>
        <v>36.428635872139438</v>
      </c>
      <c r="D80" s="26">
        <f t="shared" si="27"/>
        <v>279.28620835306907</v>
      </c>
      <c r="E80" s="26">
        <f t="shared" si="27"/>
        <v>418.92931252960352</v>
      </c>
      <c r="F80" s="26">
        <f t="shared" si="27"/>
        <v>626.87610896639967</v>
      </c>
      <c r="G80" s="26">
        <f t="shared" si="27"/>
        <v>758.92991400290509</v>
      </c>
      <c r="H80" s="26">
        <f t="shared" si="27"/>
        <v>865.18010196331181</v>
      </c>
      <c r="I80" s="26">
        <f>I79*I78</f>
        <v>865.18010196331181</v>
      </c>
      <c r="J80" s="26">
        <f>J79*J78</f>
        <v>865.18010196331181</v>
      </c>
      <c r="K80" s="26">
        <f>K79*K78</f>
        <v>865.18010196331181</v>
      </c>
      <c r="L80" s="26">
        <f>L79*L78</f>
        <v>865.18010196331181</v>
      </c>
      <c r="M80" s="26">
        <f t="shared" ref="M80:W80" si="28">M79*M78</f>
        <v>865.18010196331181</v>
      </c>
      <c r="N80" s="26">
        <f t="shared" si="28"/>
        <v>865.18010196331181</v>
      </c>
      <c r="O80" s="26">
        <f t="shared" si="28"/>
        <v>865.18010196331181</v>
      </c>
      <c r="P80" s="26">
        <f t="shared" si="28"/>
        <v>865.18010196331181</v>
      </c>
      <c r="Q80" s="26">
        <f t="shared" si="28"/>
        <v>865.18010196331181</v>
      </c>
      <c r="R80" s="26">
        <f t="shared" si="28"/>
        <v>865.18010196331181</v>
      </c>
      <c r="S80" s="26">
        <f t="shared" si="28"/>
        <v>865.18010196331181</v>
      </c>
      <c r="T80" s="26">
        <f t="shared" si="28"/>
        <v>865.18010196331181</v>
      </c>
      <c r="U80" s="26">
        <f t="shared" si="28"/>
        <v>865.18010196331181</v>
      </c>
      <c r="V80" s="26">
        <f t="shared" si="28"/>
        <v>865.18010196331181</v>
      </c>
      <c r="W80" s="26">
        <f t="shared" si="28"/>
        <v>865.18010196331181</v>
      </c>
    </row>
    <row r="81" spans="1:25" ht="13.5" thickBot="1" x14ac:dyDescent="0.25">
      <c r="A81" s="1321" t="s">
        <v>912</v>
      </c>
      <c r="B81" s="1322"/>
      <c r="C81" s="377">
        <f t="shared" ref="C81:H81" si="29">C78-C80</f>
        <v>145.71454348855775</v>
      </c>
      <c r="D81" s="377">
        <f t="shared" si="29"/>
        <v>1117.1448334122763</v>
      </c>
      <c r="E81" s="377">
        <f t="shared" si="29"/>
        <v>1675.7172501184141</v>
      </c>
      <c r="F81" s="377">
        <f t="shared" si="29"/>
        <v>2507.5044358655987</v>
      </c>
      <c r="G81" s="377">
        <f t="shared" si="29"/>
        <v>3035.7196560116199</v>
      </c>
      <c r="H81" s="377">
        <f t="shared" si="29"/>
        <v>3460.7204078532473</v>
      </c>
      <c r="I81" s="377">
        <f>I78-I80</f>
        <v>3460.7204078532473</v>
      </c>
      <c r="J81" s="377">
        <f>J78-J80</f>
        <v>3460.7204078532473</v>
      </c>
      <c r="K81" s="377">
        <f>K78-K80</f>
        <v>3460.7204078532473</v>
      </c>
      <c r="L81" s="377">
        <f>L78-L80</f>
        <v>3460.7204078532473</v>
      </c>
      <c r="M81" s="377">
        <f t="shared" ref="M81:W81" si="30">M78-M80</f>
        <v>3460.7204078532473</v>
      </c>
      <c r="N81" s="377">
        <f t="shared" si="30"/>
        <v>3460.7204078532473</v>
      </c>
      <c r="O81" s="377">
        <f t="shared" si="30"/>
        <v>3460.7204078532473</v>
      </c>
      <c r="P81" s="377">
        <f t="shared" si="30"/>
        <v>3460.7204078532473</v>
      </c>
      <c r="Q81" s="377">
        <f t="shared" si="30"/>
        <v>3460.7204078532473</v>
      </c>
      <c r="R81" s="377">
        <f t="shared" si="30"/>
        <v>3460.7204078532473</v>
      </c>
      <c r="S81" s="377">
        <f t="shared" si="30"/>
        <v>3460.7204078532473</v>
      </c>
      <c r="T81" s="377">
        <f t="shared" si="30"/>
        <v>3460.7204078532473</v>
      </c>
      <c r="U81" s="377">
        <f t="shared" si="30"/>
        <v>3460.7204078532473</v>
      </c>
      <c r="V81" s="377">
        <f t="shared" si="30"/>
        <v>3460.7204078532473</v>
      </c>
      <c r="W81" s="450">
        <f t="shared" si="30"/>
        <v>3460.7204078532473</v>
      </c>
      <c r="X81" t="s">
        <v>925</v>
      </c>
    </row>
    <row r="82" spans="1:25" x14ac:dyDescent="0.2">
      <c r="A82" s="1328" t="s">
        <v>1121</v>
      </c>
      <c r="B82" s="1329"/>
      <c r="C82" s="375">
        <v>0.01</v>
      </c>
      <c r="D82" s="375">
        <v>0.01</v>
      </c>
      <c r="E82" s="376">
        <v>0.01</v>
      </c>
      <c r="F82" s="376">
        <v>0.01</v>
      </c>
      <c r="G82" s="376">
        <v>0.01</v>
      </c>
      <c r="H82" s="376">
        <v>0.01</v>
      </c>
      <c r="I82" s="376">
        <v>0.01</v>
      </c>
      <c r="J82" s="376">
        <v>0.01</v>
      </c>
      <c r="K82" s="376">
        <v>0.01</v>
      </c>
      <c r="L82" s="376">
        <v>0.01</v>
      </c>
      <c r="M82" s="376">
        <v>0.01</v>
      </c>
      <c r="N82" s="376">
        <v>0.01</v>
      </c>
      <c r="O82" s="376">
        <v>0.01</v>
      </c>
      <c r="P82" s="376">
        <v>0.01</v>
      </c>
      <c r="Q82" s="376">
        <v>0.01</v>
      </c>
      <c r="R82" s="376">
        <v>0.01</v>
      </c>
      <c r="S82" s="376">
        <v>0.01</v>
      </c>
      <c r="T82" s="376">
        <v>0.01</v>
      </c>
      <c r="U82" s="376">
        <v>0.01</v>
      </c>
      <c r="V82" s="376">
        <v>0.01</v>
      </c>
      <c r="W82" s="376">
        <v>0.01</v>
      </c>
    </row>
    <row r="83" spans="1:25" x14ac:dyDescent="0.2">
      <c r="A83" s="1267" t="s">
        <v>1117</v>
      </c>
      <c r="B83" s="1330"/>
      <c r="C83" s="22">
        <v>0.1</v>
      </c>
      <c r="D83" s="22">
        <v>0.1</v>
      </c>
      <c r="E83" s="58">
        <v>0.1</v>
      </c>
      <c r="F83" s="58">
        <v>0.1</v>
      </c>
      <c r="G83" s="58">
        <v>0.1</v>
      </c>
      <c r="H83" s="58">
        <v>0.1</v>
      </c>
      <c r="I83" s="58">
        <v>0.1</v>
      </c>
      <c r="J83" s="58">
        <v>0.1</v>
      </c>
      <c r="K83" s="58">
        <v>0.1</v>
      </c>
      <c r="L83" s="58">
        <v>0.1</v>
      </c>
      <c r="M83" s="58">
        <v>0.1</v>
      </c>
      <c r="N83" s="58">
        <v>0.1</v>
      </c>
      <c r="O83" s="58">
        <v>0.1</v>
      </c>
      <c r="P83" s="58">
        <v>0.1</v>
      </c>
      <c r="Q83" s="58">
        <v>0.1</v>
      </c>
      <c r="R83" s="58">
        <v>0.1</v>
      </c>
      <c r="S83" s="58">
        <v>0.1</v>
      </c>
      <c r="T83" s="58">
        <v>0.1</v>
      </c>
      <c r="U83" s="58">
        <v>0.1</v>
      </c>
      <c r="V83" s="58">
        <v>0.1</v>
      </c>
      <c r="W83" s="58">
        <v>0.1</v>
      </c>
      <c r="Y83" t="s">
        <v>895</v>
      </c>
    </row>
    <row r="84" spans="1:25" x14ac:dyDescent="0.2">
      <c r="A84" s="1267" t="s">
        <v>1118</v>
      </c>
      <c r="B84" s="1330"/>
      <c r="C84" s="22">
        <v>0.25</v>
      </c>
      <c r="D84" s="22">
        <v>0.25</v>
      </c>
      <c r="E84" s="58">
        <v>0.25</v>
      </c>
      <c r="F84" s="58">
        <v>0.25</v>
      </c>
      <c r="G84" s="58">
        <v>0.25</v>
      </c>
      <c r="H84" s="58">
        <v>0.25</v>
      </c>
      <c r="I84" s="58">
        <v>0.25</v>
      </c>
      <c r="J84" s="58">
        <v>0.25</v>
      </c>
      <c r="K84" s="58">
        <v>0.25</v>
      </c>
      <c r="L84" s="58">
        <v>0.25</v>
      </c>
      <c r="M84" s="58">
        <v>0.25</v>
      </c>
      <c r="N84" s="58">
        <v>0.25</v>
      </c>
      <c r="O84" s="58">
        <v>0.25</v>
      </c>
      <c r="P84" s="58">
        <v>0.25</v>
      </c>
      <c r="Q84" s="58">
        <v>0.25</v>
      </c>
      <c r="R84" s="58">
        <v>0.25</v>
      </c>
      <c r="S84" s="58">
        <v>0.25</v>
      </c>
      <c r="T84" s="58">
        <v>0.25</v>
      </c>
      <c r="U84" s="58">
        <v>0.25</v>
      </c>
      <c r="V84" s="58">
        <v>0.25</v>
      </c>
      <c r="W84" s="58">
        <v>0.25</v>
      </c>
      <c r="Y84" t="s">
        <v>1157</v>
      </c>
    </row>
    <row r="85" spans="1:25" x14ac:dyDescent="0.2">
      <c r="A85" s="346"/>
      <c r="B85" s="346"/>
      <c r="C85" s="347">
        <f>C78/'Données VAR'!D66*1000</f>
        <v>1466.1528872808212</v>
      </c>
      <c r="D85" s="347">
        <f>D78/'Données VAR'!E66*1000</f>
        <v>1194.3037060975023</v>
      </c>
      <c r="E85" s="347">
        <f>E78/'Données VAR'!F66*1000</f>
        <v>1155.7777800943572</v>
      </c>
      <c r="F85" s="347">
        <f>F78/'Données VAR'!G66*1000</f>
        <v>1116.9552323783257</v>
      </c>
      <c r="G85" s="347">
        <f>G78/'Données VAR'!H66*1000</f>
        <v>1081.796835233245</v>
      </c>
      <c r="H85" s="347">
        <f>H78/'Données VAR'!I66*1000</f>
        <v>1072.3899062312169</v>
      </c>
      <c r="I85" s="347">
        <f>I78/'Données VAR'!J66*1000</f>
        <v>1072.3899062312169</v>
      </c>
      <c r="J85" s="347">
        <f>J78/'Données VAR'!K66*1000</f>
        <v>1072.3899062312169</v>
      </c>
      <c r="K85" s="347">
        <f>K78/'Données VAR'!L66*1000</f>
        <v>1072.3899062312169</v>
      </c>
      <c r="L85" s="347">
        <f>L78/'Données VAR'!M66*1000</f>
        <v>1072.3899062312169</v>
      </c>
      <c r="M85" s="347">
        <f>M78/'Données VAR'!N66*1000</f>
        <v>1072.3899062312169</v>
      </c>
      <c r="N85" s="347">
        <f>N78/'Données VAR'!O66*1000</f>
        <v>1072.3899062312169</v>
      </c>
      <c r="O85" s="347">
        <f>O78/'Données VAR'!P66*1000</f>
        <v>1072.3899062312169</v>
      </c>
      <c r="P85" s="347">
        <f>P78/'Données VAR'!Q66*1000</f>
        <v>1072.3899062312169</v>
      </c>
      <c r="Q85" s="347">
        <f>Q78/'Données VAR'!R66*1000</f>
        <v>1072.3899062312169</v>
      </c>
      <c r="R85" s="347">
        <f>R78/'Données VAR'!S66*1000</f>
        <v>1072.3899062312169</v>
      </c>
      <c r="S85" s="347">
        <f>S78/'Données VAR'!T66*1000</f>
        <v>1072.3899062312169</v>
      </c>
      <c r="T85" s="347">
        <f>T78/'Données VAR'!U66*1000</f>
        <v>1072.3899062312169</v>
      </c>
      <c r="U85" s="347">
        <f>U78/'Données VAR'!V66*1000</f>
        <v>1072.3899062312169</v>
      </c>
      <c r="V85" s="347">
        <f>V78/'Données VAR'!W66*1000</f>
        <v>1072.3899062312169</v>
      </c>
      <c r="W85" s="347">
        <f>W78/'Données VAR'!X66*1000</f>
        <v>1072.3899062312169</v>
      </c>
    </row>
    <row r="86" spans="1:25" x14ac:dyDescent="0.2">
      <c r="A86" s="350" t="s">
        <v>881</v>
      </c>
      <c r="B86" s="348"/>
      <c r="C86" s="349"/>
      <c r="D86" s="349"/>
      <c r="E86" s="349"/>
      <c r="F86" s="349"/>
      <c r="G86" s="349"/>
    </row>
    <row r="87" spans="1:25" x14ac:dyDescent="0.2">
      <c r="A87" s="1267"/>
      <c r="B87" s="1330"/>
      <c r="C87" s="177">
        <v>2015</v>
      </c>
      <c r="D87" s="177">
        <v>2016</v>
      </c>
      <c r="E87" s="177">
        <v>2017</v>
      </c>
      <c r="F87" s="177">
        <v>2018</v>
      </c>
      <c r="G87" s="177">
        <v>2019</v>
      </c>
      <c r="H87" s="177">
        <v>2020</v>
      </c>
      <c r="I87" s="177">
        <v>2021</v>
      </c>
      <c r="J87" s="177">
        <v>2022</v>
      </c>
      <c r="K87" s="177">
        <v>2023</v>
      </c>
      <c r="L87" s="177">
        <v>2024</v>
      </c>
      <c r="M87" s="177">
        <v>2025</v>
      </c>
      <c r="N87" s="177">
        <v>2026</v>
      </c>
      <c r="O87" s="177">
        <v>2027</v>
      </c>
      <c r="P87" s="177">
        <v>2028</v>
      </c>
      <c r="Q87" s="177">
        <v>2029</v>
      </c>
      <c r="R87" s="177">
        <v>2030</v>
      </c>
      <c r="S87" s="177">
        <v>2031</v>
      </c>
      <c r="T87" s="177">
        <v>2032</v>
      </c>
      <c r="U87" s="177">
        <v>2033</v>
      </c>
      <c r="V87" s="177">
        <v>2034</v>
      </c>
      <c r="W87" s="177">
        <v>2035</v>
      </c>
      <c r="X87" t="s">
        <v>1089</v>
      </c>
    </row>
    <row r="88" spans="1:25" x14ac:dyDescent="0.2">
      <c r="A88" s="1266" t="s">
        <v>875</v>
      </c>
      <c r="B88" s="1266"/>
      <c r="C88" s="110"/>
      <c r="D88" s="80">
        <f>C88+($H$88-$C$88)/5</f>
        <v>0</v>
      </c>
      <c r="E88" s="80">
        <f>D88+($H$88-$C$88)/5</f>
        <v>0</v>
      </c>
      <c r="F88" s="80">
        <f>E88+($H$88-$C$88)/5</f>
        <v>0</v>
      </c>
      <c r="G88" s="80">
        <f>F88+($H$88-$C$88)/5</f>
        <v>0</v>
      </c>
      <c r="H88" s="110"/>
      <c r="I88" s="110"/>
      <c r="J88" s="110"/>
      <c r="K88" s="110"/>
      <c r="L88" s="110"/>
      <c r="M88" s="110"/>
      <c r="N88" s="110"/>
      <c r="O88" s="110"/>
      <c r="P88" s="110"/>
      <c r="Q88" s="110"/>
      <c r="R88" s="110"/>
      <c r="S88" s="110"/>
      <c r="T88" s="110"/>
      <c r="U88" s="110"/>
      <c r="V88" s="110"/>
      <c r="W88" s="110"/>
      <c r="X88" t="s">
        <v>860</v>
      </c>
    </row>
    <row r="89" spans="1:25" x14ac:dyDescent="0.2">
      <c r="A89" s="1266" t="s">
        <v>876</v>
      </c>
      <c r="B89" s="1266"/>
      <c r="C89" s="110"/>
      <c r="D89" s="80">
        <f>C89+($H$89-$C$89)/5</f>
        <v>0</v>
      </c>
      <c r="E89" s="80">
        <f>D89+($H$89-$C$89)/5</f>
        <v>0</v>
      </c>
      <c r="F89" s="80">
        <f>E89+($H$89-$C$89)/5</f>
        <v>0</v>
      </c>
      <c r="G89" s="80">
        <f>F89+($H$89-$C$89)/5</f>
        <v>0</v>
      </c>
      <c r="H89" s="110"/>
      <c r="I89" s="110"/>
      <c r="J89" s="110"/>
      <c r="K89" s="110"/>
      <c r="L89" s="110"/>
      <c r="M89" s="110"/>
      <c r="N89" s="110"/>
      <c r="O89" s="110"/>
      <c r="P89" s="110"/>
      <c r="Q89" s="110"/>
      <c r="R89" s="110"/>
      <c r="S89" s="110"/>
      <c r="T89" s="110"/>
      <c r="U89" s="110"/>
      <c r="V89" s="110"/>
      <c r="W89" s="110"/>
      <c r="X89" t="s">
        <v>860</v>
      </c>
    </row>
    <row r="90" spans="1:25" x14ac:dyDescent="0.2">
      <c r="A90" s="1266" t="s">
        <v>861</v>
      </c>
      <c r="B90" s="1266"/>
      <c r="C90" s="110"/>
      <c r="D90" s="80">
        <f>C90+($H$90-$C$90)/5</f>
        <v>0</v>
      </c>
      <c r="E90" s="80">
        <f>D90+($H$90-$C$90)/5</f>
        <v>0</v>
      </c>
      <c r="F90" s="80">
        <f>E90+($H$90-$C$90)/5</f>
        <v>0</v>
      </c>
      <c r="G90" s="80">
        <f>F90+($H$90-$C$90)/5</f>
        <v>0</v>
      </c>
      <c r="H90" s="110"/>
      <c r="I90" s="110"/>
      <c r="J90" s="110"/>
      <c r="K90" s="110"/>
      <c r="L90" s="110"/>
      <c r="M90" s="110"/>
      <c r="N90" s="110"/>
      <c r="O90" s="110"/>
      <c r="P90" s="110"/>
      <c r="Q90" s="110"/>
      <c r="R90" s="110"/>
      <c r="S90" s="110"/>
      <c r="T90" s="110"/>
      <c r="U90" s="110"/>
      <c r="V90" s="110"/>
      <c r="W90" s="110"/>
      <c r="X90" t="s">
        <v>860</v>
      </c>
    </row>
    <row r="91" spans="1:25" x14ac:dyDescent="0.2">
      <c r="A91" s="1266" t="s">
        <v>877</v>
      </c>
      <c r="B91" s="1266"/>
      <c r="C91" s="80">
        <f t="shared" ref="C91:H91" si="31">C89-C90</f>
        <v>0</v>
      </c>
      <c r="D91" s="80">
        <f t="shared" si="31"/>
        <v>0</v>
      </c>
      <c r="E91" s="80">
        <f t="shared" si="31"/>
        <v>0</v>
      </c>
      <c r="F91" s="80">
        <f t="shared" si="31"/>
        <v>0</v>
      </c>
      <c r="G91" s="80">
        <f t="shared" si="31"/>
        <v>0</v>
      </c>
      <c r="H91" s="80">
        <f t="shared" si="31"/>
        <v>0</v>
      </c>
      <c r="I91" s="80">
        <f>I89-I90</f>
        <v>0</v>
      </c>
      <c r="J91" s="80">
        <f>J89-J90</f>
        <v>0</v>
      </c>
      <c r="K91" s="80">
        <f>K89-K90</f>
        <v>0</v>
      </c>
      <c r="L91" s="80">
        <f>L89-L90</f>
        <v>0</v>
      </c>
      <c r="M91" s="80">
        <f t="shared" ref="M91:W91" si="32">M89-M90</f>
        <v>0</v>
      </c>
      <c r="N91" s="80">
        <f t="shared" si="32"/>
        <v>0</v>
      </c>
      <c r="O91" s="80">
        <f t="shared" si="32"/>
        <v>0</v>
      </c>
      <c r="P91" s="80">
        <f t="shared" si="32"/>
        <v>0</v>
      </c>
      <c r="Q91" s="80">
        <f t="shared" si="32"/>
        <v>0</v>
      </c>
      <c r="R91" s="80">
        <f t="shared" si="32"/>
        <v>0</v>
      </c>
      <c r="S91" s="80">
        <f t="shared" si="32"/>
        <v>0</v>
      </c>
      <c r="T91" s="80">
        <f t="shared" si="32"/>
        <v>0</v>
      </c>
      <c r="U91" s="80">
        <f t="shared" si="32"/>
        <v>0</v>
      </c>
      <c r="V91" s="80">
        <f t="shared" si="32"/>
        <v>0</v>
      </c>
      <c r="W91" s="80">
        <f t="shared" si="32"/>
        <v>0</v>
      </c>
      <c r="X91" s="111" t="s">
        <v>862</v>
      </c>
    </row>
    <row r="92" spans="1:25" x14ac:dyDescent="0.2">
      <c r="A92" s="1266" t="s">
        <v>879</v>
      </c>
      <c r="B92" s="1266"/>
      <c r="C92" s="21">
        <f t="shared" ref="C92:J92" si="33">C88*(1-C83)</f>
        <v>0</v>
      </c>
      <c r="D92" s="21">
        <f t="shared" si="33"/>
        <v>0</v>
      </c>
      <c r="E92" s="21">
        <f t="shared" si="33"/>
        <v>0</v>
      </c>
      <c r="F92" s="21">
        <f t="shared" si="33"/>
        <v>0</v>
      </c>
      <c r="G92" s="21">
        <f t="shared" si="33"/>
        <v>0</v>
      </c>
      <c r="H92" s="21">
        <f t="shared" si="33"/>
        <v>0</v>
      </c>
      <c r="I92" s="21">
        <f t="shared" si="33"/>
        <v>0</v>
      </c>
      <c r="J92" s="21">
        <f t="shared" si="33"/>
        <v>0</v>
      </c>
      <c r="K92" s="21">
        <f>K88*(1-K83)</f>
        <v>0</v>
      </c>
      <c r="L92" s="21">
        <f>L88*(1-L83)</f>
        <v>0</v>
      </c>
      <c r="M92" s="21">
        <f t="shared" ref="M92:W92" si="34">M88*(1-M83)</f>
        <v>0</v>
      </c>
      <c r="N92" s="21">
        <f t="shared" si="34"/>
        <v>0</v>
      </c>
      <c r="O92" s="21">
        <f t="shared" si="34"/>
        <v>0</v>
      </c>
      <c r="P92" s="21">
        <f t="shared" si="34"/>
        <v>0</v>
      </c>
      <c r="Q92" s="21">
        <f t="shared" si="34"/>
        <v>0</v>
      </c>
      <c r="R92" s="21">
        <f t="shared" si="34"/>
        <v>0</v>
      </c>
      <c r="S92" s="21">
        <f t="shared" si="34"/>
        <v>0</v>
      </c>
      <c r="T92" s="21">
        <f t="shared" si="34"/>
        <v>0</v>
      </c>
      <c r="U92" s="21">
        <f t="shared" si="34"/>
        <v>0</v>
      </c>
      <c r="V92" s="21">
        <f t="shared" si="34"/>
        <v>0</v>
      </c>
      <c r="W92" s="21">
        <f t="shared" si="34"/>
        <v>0</v>
      </c>
    </row>
    <row r="93" spans="1:25" x14ac:dyDescent="0.2">
      <c r="A93" s="1266" t="s">
        <v>878</v>
      </c>
      <c r="B93" s="1266"/>
      <c r="C93" s="21">
        <f t="shared" ref="C93:J93" si="35">C91*(1-C84)</f>
        <v>0</v>
      </c>
      <c r="D93" s="21">
        <f t="shared" si="35"/>
        <v>0</v>
      </c>
      <c r="E93" s="21">
        <f t="shared" si="35"/>
        <v>0</v>
      </c>
      <c r="F93" s="21">
        <f t="shared" si="35"/>
        <v>0</v>
      </c>
      <c r="G93" s="21">
        <f t="shared" si="35"/>
        <v>0</v>
      </c>
      <c r="H93" s="21">
        <f t="shared" si="35"/>
        <v>0</v>
      </c>
      <c r="I93" s="21">
        <f t="shared" si="35"/>
        <v>0</v>
      </c>
      <c r="J93" s="21">
        <f t="shared" si="35"/>
        <v>0</v>
      </c>
      <c r="K93" s="21">
        <f>K91*(1-K84)</f>
        <v>0</v>
      </c>
      <c r="L93" s="21">
        <f>L91*(1-L84)</f>
        <v>0</v>
      </c>
      <c r="M93" s="21">
        <f t="shared" ref="M93:W93" si="36">M91*(1-M84)</f>
        <v>0</v>
      </c>
      <c r="N93" s="21">
        <f t="shared" si="36"/>
        <v>0</v>
      </c>
      <c r="O93" s="21">
        <f t="shared" si="36"/>
        <v>0</v>
      </c>
      <c r="P93" s="21">
        <f t="shared" si="36"/>
        <v>0</v>
      </c>
      <c r="Q93" s="21">
        <f t="shared" si="36"/>
        <v>0</v>
      </c>
      <c r="R93" s="21">
        <f t="shared" si="36"/>
        <v>0</v>
      </c>
      <c r="S93" s="21">
        <f t="shared" si="36"/>
        <v>0</v>
      </c>
      <c r="T93" s="21">
        <f t="shared" si="36"/>
        <v>0</v>
      </c>
      <c r="U93" s="21">
        <f t="shared" si="36"/>
        <v>0</v>
      </c>
      <c r="V93" s="21">
        <f t="shared" si="36"/>
        <v>0</v>
      </c>
      <c r="W93" s="21">
        <f t="shared" si="36"/>
        <v>0</v>
      </c>
    </row>
    <row r="94" spans="1:25" x14ac:dyDescent="0.2">
      <c r="A94" s="1266" t="s">
        <v>903</v>
      </c>
      <c r="B94" s="1266"/>
      <c r="C94" s="21">
        <f t="shared" ref="C94:H94" si="37">C92+C93</f>
        <v>0</v>
      </c>
      <c r="D94" s="21">
        <f t="shared" si="37"/>
        <v>0</v>
      </c>
      <c r="E94" s="21">
        <f t="shared" si="37"/>
        <v>0</v>
      </c>
      <c r="F94" s="21">
        <f t="shared" si="37"/>
        <v>0</v>
      </c>
      <c r="G94" s="21">
        <f t="shared" si="37"/>
        <v>0</v>
      </c>
      <c r="H94" s="21">
        <f t="shared" si="37"/>
        <v>0</v>
      </c>
      <c r="I94" s="21">
        <f>I92+I93</f>
        <v>0</v>
      </c>
      <c r="J94" s="21">
        <f>J92+J93</f>
        <v>0</v>
      </c>
      <c r="K94" s="21">
        <f>K92+K93</f>
        <v>0</v>
      </c>
      <c r="L94" s="21">
        <f>L92+L93</f>
        <v>0</v>
      </c>
      <c r="M94" s="21">
        <f t="shared" ref="M94:W94" si="38">M92+M93</f>
        <v>0</v>
      </c>
      <c r="N94" s="21">
        <f t="shared" si="38"/>
        <v>0</v>
      </c>
      <c r="O94" s="21">
        <f t="shared" si="38"/>
        <v>0</v>
      </c>
      <c r="P94" s="21">
        <f t="shared" si="38"/>
        <v>0</v>
      </c>
      <c r="Q94" s="21">
        <f t="shared" si="38"/>
        <v>0</v>
      </c>
      <c r="R94" s="21">
        <f t="shared" si="38"/>
        <v>0</v>
      </c>
      <c r="S94" s="21">
        <f t="shared" si="38"/>
        <v>0</v>
      </c>
      <c r="T94" s="21">
        <f t="shared" si="38"/>
        <v>0</v>
      </c>
      <c r="U94" s="21">
        <f t="shared" si="38"/>
        <v>0</v>
      </c>
      <c r="V94" s="21">
        <f t="shared" si="38"/>
        <v>0</v>
      </c>
      <c r="W94" s="21">
        <f t="shared" si="38"/>
        <v>0</v>
      </c>
    </row>
    <row r="95" spans="1:25" x14ac:dyDescent="0.2">
      <c r="A95" s="53"/>
      <c r="B95" s="53"/>
      <c r="C95" s="178">
        <f t="shared" ref="C95:K95" si="39">C88+C91</f>
        <v>0</v>
      </c>
      <c r="D95" s="178">
        <f t="shared" si="39"/>
        <v>0</v>
      </c>
      <c r="E95" s="178">
        <f t="shared" si="39"/>
        <v>0</v>
      </c>
      <c r="F95" s="178">
        <f t="shared" si="39"/>
        <v>0</v>
      </c>
      <c r="G95" s="178">
        <f t="shared" si="39"/>
        <v>0</v>
      </c>
      <c r="H95" s="178">
        <f t="shared" si="39"/>
        <v>0</v>
      </c>
      <c r="I95" s="178">
        <f t="shared" si="39"/>
        <v>0</v>
      </c>
      <c r="J95" s="178">
        <f t="shared" si="39"/>
        <v>0</v>
      </c>
      <c r="K95" s="178">
        <f t="shared" si="39"/>
        <v>0</v>
      </c>
      <c r="L95" s="178">
        <f>L88+L91</f>
        <v>0</v>
      </c>
      <c r="M95" s="178">
        <f t="shared" ref="M95:W95" si="40">M88+M91</f>
        <v>0</v>
      </c>
      <c r="N95" s="178">
        <f t="shared" si="40"/>
        <v>0</v>
      </c>
      <c r="O95" s="178">
        <f t="shared" si="40"/>
        <v>0</v>
      </c>
      <c r="P95" s="178">
        <f t="shared" si="40"/>
        <v>0</v>
      </c>
      <c r="Q95" s="178">
        <f t="shared" si="40"/>
        <v>0</v>
      </c>
      <c r="R95" s="178">
        <f t="shared" si="40"/>
        <v>0</v>
      </c>
      <c r="S95" s="178">
        <f t="shared" si="40"/>
        <v>0</v>
      </c>
      <c r="T95" s="178">
        <f t="shared" si="40"/>
        <v>0</v>
      </c>
      <c r="U95" s="178">
        <f t="shared" si="40"/>
        <v>0</v>
      </c>
      <c r="V95" s="178">
        <f t="shared" si="40"/>
        <v>0</v>
      </c>
      <c r="W95" s="178">
        <f t="shared" si="40"/>
        <v>0</v>
      </c>
    </row>
    <row r="96" spans="1:25" ht="13.5" thickBot="1" x14ac:dyDescent="0.25">
      <c r="A96" s="88" t="s">
        <v>643</v>
      </c>
    </row>
    <row r="97" spans="1:25" ht="13.5" thickBot="1" x14ac:dyDescent="0.25">
      <c r="A97" s="1353" t="s">
        <v>854</v>
      </c>
      <c r="B97" s="1348"/>
      <c r="C97" s="1348"/>
      <c r="D97" s="1348"/>
      <c r="E97" s="330" t="s">
        <v>852</v>
      </c>
      <c r="Y97" s="75" t="s">
        <v>853</v>
      </c>
    </row>
    <row r="98" spans="1:25" x14ac:dyDescent="0.2">
      <c r="A98" s="53"/>
      <c r="B98" s="53"/>
      <c r="C98" s="65" t="s">
        <v>835</v>
      </c>
      <c r="D98" s="65" t="s">
        <v>945</v>
      </c>
      <c r="E98" s="65" t="s">
        <v>946</v>
      </c>
      <c r="F98" s="65" t="s">
        <v>947</v>
      </c>
      <c r="G98" s="65" t="s">
        <v>948</v>
      </c>
      <c r="H98" s="65" t="s">
        <v>949</v>
      </c>
      <c r="I98" s="65" t="s">
        <v>846</v>
      </c>
      <c r="J98" s="65" t="s">
        <v>847</v>
      </c>
      <c r="K98" s="65" t="s">
        <v>848</v>
      </c>
      <c r="L98" s="65" t="s">
        <v>849</v>
      </c>
      <c r="M98" s="65" t="s">
        <v>509</v>
      </c>
      <c r="N98" s="65" t="s">
        <v>510</v>
      </c>
      <c r="O98" s="65" t="s">
        <v>368</v>
      </c>
      <c r="P98" s="65" t="s">
        <v>369</v>
      </c>
      <c r="Q98" s="65" t="s">
        <v>370</v>
      </c>
      <c r="R98" s="65" t="s">
        <v>371</v>
      </c>
      <c r="S98" s="65" t="s">
        <v>372</v>
      </c>
      <c r="T98" s="65" t="s">
        <v>373</v>
      </c>
      <c r="U98" s="65" t="s">
        <v>374</v>
      </c>
      <c r="V98" s="65" t="s">
        <v>375</v>
      </c>
      <c r="W98" s="65" t="s">
        <v>376</v>
      </c>
      <c r="Y98" s="20" t="s">
        <v>851</v>
      </c>
    </row>
    <row r="99" spans="1:25" x14ac:dyDescent="0.2">
      <c r="A99" s="1267" t="s">
        <v>857</v>
      </c>
      <c r="B99" s="1327"/>
      <c r="C99" s="112">
        <v>0</v>
      </c>
      <c r="D99" s="112">
        <v>0</v>
      </c>
      <c r="E99" s="112">
        <v>0</v>
      </c>
      <c r="F99" s="112">
        <v>0</v>
      </c>
      <c r="G99" s="112">
        <v>0</v>
      </c>
      <c r="H99" s="112">
        <v>0</v>
      </c>
      <c r="I99" s="112">
        <v>0</v>
      </c>
      <c r="J99" s="112">
        <v>0</v>
      </c>
      <c r="K99" s="112">
        <v>0</v>
      </c>
      <c r="L99" s="112">
        <v>0</v>
      </c>
      <c r="M99" s="112">
        <v>0</v>
      </c>
      <c r="N99" s="112">
        <v>0</v>
      </c>
      <c r="O99" s="112">
        <v>0</v>
      </c>
      <c r="P99" s="112">
        <v>0</v>
      </c>
      <c r="Q99" s="112">
        <v>0</v>
      </c>
      <c r="R99" s="112">
        <v>0</v>
      </c>
      <c r="S99" s="112">
        <v>0</v>
      </c>
      <c r="T99" s="112">
        <v>0</v>
      </c>
      <c r="U99" s="112">
        <v>0</v>
      </c>
      <c r="V99" s="112">
        <v>0</v>
      </c>
      <c r="W99" s="112">
        <v>0</v>
      </c>
      <c r="Y99" s="20" t="s">
        <v>852</v>
      </c>
    </row>
    <row r="100" spans="1:25" x14ac:dyDescent="0.2">
      <c r="A100" s="1267" t="s">
        <v>858</v>
      </c>
      <c r="B100" s="1327"/>
      <c r="C100" s="105">
        <f>IF($E$97="OUI",D71+'Données VAR'!D73,0)</f>
        <v>0</v>
      </c>
      <c r="D100" s="105">
        <f>IF($E$97="OUI",E71+'Données VAR'!E73,0)</f>
        <v>0</v>
      </c>
      <c r="E100" s="105">
        <f>IF($E$97="OUI",F71+'Données VAR'!F73,0)</f>
        <v>0</v>
      </c>
      <c r="F100" s="105">
        <f>IF($E$97="OUI",G71+'Données VAR'!G73,0)</f>
        <v>0</v>
      </c>
      <c r="G100" s="105">
        <f>IF($E$97="OUI",H71+'Données VAR'!H73,0)</f>
        <v>0</v>
      </c>
      <c r="H100" s="105">
        <f>IF($E$97="OUI",I71+'Données VAR'!I73,0)</f>
        <v>0</v>
      </c>
      <c r="I100" s="105">
        <f>IF($E$97="OUI",J71+'Données VAR'!J73,0)</f>
        <v>0</v>
      </c>
      <c r="J100" s="105">
        <f>IF($E$97="OUI",K71+'Données VAR'!K73,0)</f>
        <v>0</v>
      </c>
      <c r="K100" s="105">
        <f>IF($E$97="OUI",L71+'Données VAR'!L73,0)</f>
        <v>0</v>
      </c>
      <c r="L100" s="105">
        <f>IF($E$97="OUI",M71+'Données VAR'!M73,0)</f>
        <v>0</v>
      </c>
      <c r="M100" s="105">
        <f>IF($E$97="OUI",N71+'Données VAR'!N73,0)</f>
        <v>0</v>
      </c>
      <c r="N100" s="105">
        <f>IF($E$97="OUI",O71+'Données VAR'!O73,0)</f>
        <v>0</v>
      </c>
      <c r="O100" s="105">
        <f>IF($E$97="OUI",P71+'Données VAR'!P73,0)</f>
        <v>0</v>
      </c>
      <c r="P100" s="105">
        <f>IF($E$97="OUI",Q71+'Données VAR'!Q73,0)</f>
        <v>0</v>
      </c>
      <c r="Q100" s="105">
        <f>IF($E$97="OUI",R71+'Données VAR'!R73,0)</f>
        <v>0</v>
      </c>
      <c r="R100" s="105">
        <f>IF($E$97="OUI",S71+'Données VAR'!S73,0)</f>
        <v>0</v>
      </c>
      <c r="S100" s="105">
        <f>IF($E$97="OUI",T71+'Données VAR'!T73,0)</f>
        <v>0</v>
      </c>
      <c r="T100" s="105">
        <f>IF($E$97="OUI",U71+'Données VAR'!U73,0)</f>
        <v>0</v>
      </c>
      <c r="U100" s="105">
        <f>IF($E$97="OUI",V71+'Données VAR'!V73,0)</f>
        <v>0</v>
      </c>
      <c r="V100" s="105">
        <f>IF($E$97="OUI",W71+'Données VAR'!W73,0)</f>
        <v>0</v>
      </c>
      <c r="W100" s="105">
        <f>IF($E$97="OUI",X71+'Données VAR'!X73,0)</f>
        <v>0</v>
      </c>
    </row>
    <row r="101" spans="1:25" x14ac:dyDescent="0.2">
      <c r="A101" s="1267" t="s">
        <v>882</v>
      </c>
      <c r="B101" s="1327"/>
      <c r="C101" s="21">
        <f t="shared" ref="C101:J102" si="41">C99*(1-C83)</f>
        <v>0</v>
      </c>
      <c r="D101" s="21">
        <f t="shared" si="41"/>
        <v>0</v>
      </c>
      <c r="E101" s="21">
        <f t="shared" si="41"/>
        <v>0</v>
      </c>
      <c r="F101" s="21">
        <f t="shared" si="41"/>
        <v>0</v>
      </c>
      <c r="G101" s="21">
        <f t="shared" si="41"/>
        <v>0</v>
      </c>
      <c r="H101" s="21">
        <f t="shared" si="41"/>
        <v>0</v>
      </c>
      <c r="I101" s="21">
        <f t="shared" si="41"/>
        <v>0</v>
      </c>
      <c r="J101" s="21">
        <f t="shared" si="41"/>
        <v>0</v>
      </c>
      <c r="K101" s="21">
        <f>K99*(1-K83)</f>
        <v>0</v>
      </c>
      <c r="L101" s="21">
        <f>L99*(1-L83)</f>
        <v>0</v>
      </c>
      <c r="M101" s="21">
        <f t="shared" ref="M101:W101" si="42">M99*(1-M83)</f>
        <v>0</v>
      </c>
      <c r="N101" s="21">
        <f t="shared" si="42"/>
        <v>0</v>
      </c>
      <c r="O101" s="21">
        <f t="shared" si="42"/>
        <v>0</v>
      </c>
      <c r="P101" s="21">
        <f t="shared" si="42"/>
        <v>0</v>
      </c>
      <c r="Q101" s="21">
        <f t="shared" si="42"/>
        <v>0</v>
      </c>
      <c r="R101" s="21">
        <f t="shared" si="42"/>
        <v>0</v>
      </c>
      <c r="S101" s="21">
        <f t="shared" si="42"/>
        <v>0</v>
      </c>
      <c r="T101" s="21">
        <f t="shared" si="42"/>
        <v>0</v>
      </c>
      <c r="U101" s="21">
        <f t="shared" si="42"/>
        <v>0</v>
      </c>
      <c r="V101" s="21">
        <f t="shared" si="42"/>
        <v>0</v>
      </c>
      <c r="W101" s="21">
        <f t="shared" si="42"/>
        <v>0</v>
      </c>
    </row>
    <row r="102" spans="1:25" x14ac:dyDescent="0.2">
      <c r="A102" s="1267" t="s">
        <v>883</v>
      </c>
      <c r="B102" s="1327"/>
      <c r="C102" s="21">
        <f t="shared" si="41"/>
        <v>0</v>
      </c>
      <c r="D102" s="21">
        <f t="shared" si="41"/>
        <v>0</v>
      </c>
      <c r="E102" s="21">
        <f t="shared" si="41"/>
        <v>0</v>
      </c>
      <c r="F102" s="21">
        <f t="shared" si="41"/>
        <v>0</v>
      </c>
      <c r="G102" s="21">
        <f t="shared" si="41"/>
        <v>0</v>
      </c>
      <c r="H102" s="21">
        <f t="shared" si="41"/>
        <v>0</v>
      </c>
      <c r="I102" s="21">
        <f t="shared" si="41"/>
        <v>0</v>
      </c>
      <c r="J102" s="21">
        <f t="shared" si="41"/>
        <v>0</v>
      </c>
      <c r="K102" s="21">
        <f>K100*(1-K84)</f>
        <v>0</v>
      </c>
      <c r="L102" s="21">
        <f>L100*(1-L84)</f>
        <v>0</v>
      </c>
      <c r="M102" s="21">
        <f t="shared" ref="M102:W102" si="43">M100*(1-M84)</f>
        <v>0</v>
      </c>
      <c r="N102" s="21">
        <f t="shared" si="43"/>
        <v>0</v>
      </c>
      <c r="O102" s="21">
        <f t="shared" si="43"/>
        <v>0</v>
      </c>
      <c r="P102" s="21">
        <f t="shared" si="43"/>
        <v>0</v>
      </c>
      <c r="Q102" s="21">
        <f t="shared" si="43"/>
        <v>0</v>
      </c>
      <c r="R102" s="21">
        <f t="shared" si="43"/>
        <v>0</v>
      </c>
      <c r="S102" s="21">
        <f t="shared" si="43"/>
        <v>0</v>
      </c>
      <c r="T102" s="21">
        <f t="shared" si="43"/>
        <v>0</v>
      </c>
      <c r="U102" s="21">
        <f t="shared" si="43"/>
        <v>0</v>
      </c>
      <c r="V102" s="21">
        <f t="shared" si="43"/>
        <v>0</v>
      </c>
      <c r="W102" s="21">
        <f t="shared" si="43"/>
        <v>0</v>
      </c>
    </row>
    <row r="103" spans="1:25" x14ac:dyDescent="0.2">
      <c r="A103" s="1266" t="s">
        <v>904</v>
      </c>
      <c r="B103" s="1266"/>
      <c r="C103" s="21">
        <f t="shared" ref="C103:J103" si="44">C101+C102</f>
        <v>0</v>
      </c>
      <c r="D103" s="21">
        <f t="shared" si="44"/>
        <v>0</v>
      </c>
      <c r="E103" s="21">
        <f t="shared" si="44"/>
        <v>0</v>
      </c>
      <c r="F103" s="21">
        <f t="shared" si="44"/>
        <v>0</v>
      </c>
      <c r="G103" s="21">
        <f t="shared" si="44"/>
        <v>0</v>
      </c>
      <c r="H103" s="21">
        <f t="shared" si="44"/>
        <v>0</v>
      </c>
      <c r="I103" s="21">
        <f t="shared" si="44"/>
        <v>0</v>
      </c>
      <c r="J103" s="21">
        <f t="shared" si="44"/>
        <v>0</v>
      </c>
      <c r="K103" s="21">
        <f>K101+K102</f>
        <v>0</v>
      </c>
      <c r="L103" s="21">
        <f>L101+L102</f>
        <v>0</v>
      </c>
      <c r="M103" s="21">
        <f t="shared" ref="M103:W103" si="45">M101+M102</f>
        <v>0</v>
      </c>
      <c r="N103" s="21">
        <f t="shared" si="45"/>
        <v>0</v>
      </c>
      <c r="O103" s="21">
        <f t="shared" si="45"/>
        <v>0</v>
      </c>
      <c r="P103" s="21">
        <f t="shared" si="45"/>
        <v>0</v>
      </c>
      <c r="Q103" s="21">
        <f t="shared" si="45"/>
        <v>0</v>
      </c>
      <c r="R103" s="21">
        <f t="shared" si="45"/>
        <v>0</v>
      </c>
      <c r="S103" s="21">
        <f t="shared" si="45"/>
        <v>0</v>
      </c>
      <c r="T103" s="21">
        <f t="shared" si="45"/>
        <v>0</v>
      </c>
      <c r="U103" s="21">
        <f t="shared" si="45"/>
        <v>0</v>
      </c>
      <c r="V103" s="21">
        <f t="shared" si="45"/>
        <v>0</v>
      </c>
      <c r="W103" s="21">
        <f t="shared" si="45"/>
        <v>0</v>
      </c>
    </row>
    <row r="104" spans="1:25" x14ac:dyDescent="0.2">
      <c r="A104" s="53"/>
      <c r="B104" s="53"/>
      <c r="C104" s="347"/>
      <c r="D104" s="347"/>
      <c r="E104" s="347"/>
      <c r="F104" s="347"/>
      <c r="G104" s="347"/>
    </row>
    <row r="105" spans="1:25" x14ac:dyDescent="0.2">
      <c r="A105" s="378" t="s">
        <v>926</v>
      </c>
      <c r="B105" s="53"/>
      <c r="C105" s="179"/>
      <c r="D105" s="179"/>
      <c r="E105" s="179"/>
      <c r="F105" s="179"/>
      <c r="G105" s="179"/>
    </row>
    <row r="106" spans="1:25" x14ac:dyDescent="0.2">
      <c r="A106" s="1266" t="s">
        <v>928</v>
      </c>
      <c r="B106" s="1266"/>
      <c r="C106" s="21">
        <f t="shared" ref="C106:J107" si="46">C92+C101</f>
        <v>0</v>
      </c>
      <c r="D106" s="21">
        <f t="shared" si="46"/>
        <v>0</v>
      </c>
      <c r="E106" s="21">
        <f t="shared" si="46"/>
        <v>0</v>
      </c>
      <c r="F106" s="21">
        <f t="shared" si="46"/>
        <v>0</v>
      </c>
      <c r="G106" s="21">
        <f t="shared" si="46"/>
        <v>0</v>
      </c>
      <c r="H106" s="21">
        <f t="shared" si="46"/>
        <v>0</v>
      </c>
      <c r="I106" s="21">
        <f t="shared" si="46"/>
        <v>0</v>
      </c>
      <c r="J106" s="21">
        <f t="shared" si="46"/>
        <v>0</v>
      </c>
      <c r="K106" s="21">
        <f>K92+K101</f>
        <v>0</v>
      </c>
      <c r="L106" s="21">
        <f>L92+L101</f>
        <v>0</v>
      </c>
      <c r="M106" s="21">
        <f t="shared" ref="M106:W106" si="47">M92+M101</f>
        <v>0</v>
      </c>
      <c r="N106" s="21">
        <f t="shared" si="47"/>
        <v>0</v>
      </c>
      <c r="O106" s="21">
        <f t="shared" si="47"/>
        <v>0</v>
      </c>
      <c r="P106" s="21">
        <f t="shared" si="47"/>
        <v>0</v>
      </c>
      <c r="Q106" s="21">
        <f t="shared" si="47"/>
        <v>0</v>
      </c>
      <c r="R106" s="21">
        <f t="shared" si="47"/>
        <v>0</v>
      </c>
      <c r="S106" s="21">
        <f t="shared" si="47"/>
        <v>0</v>
      </c>
      <c r="T106" s="21">
        <f t="shared" si="47"/>
        <v>0</v>
      </c>
      <c r="U106" s="21">
        <f t="shared" si="47"/>
        <v>0</v>
      </c>
      <c r="V106" s="21">
        <f t="shared" si="47"/>
        <v>0</v>
      </c>
      <c r="W106" s="21">
        <f t="shared" si="47"/>
        <v>0</v>
      </c>
    </row>
    <row r="107" spans="1:25" ht="13.5" thickBot="1" x14ac:dyDescent="0.25">
      <c r="A107" s="1357" t="s">
        <v>927</v>
      </c>
      <c r="B107" s="1357"/>
      <c r="C107" s="26">
        <f t="shared" si="46"/>
        <v>0</v>
      </c>
      <c r="D107" s="26">
        <f t="shared" si="46"/>
        <v>0</v>
      </c>
      <c r="E107" s="26">
        <f t="shared" si="46"/>
        <v>0</v>
      </c>
      <c r="F107" s="26">
        <f t="shared" si="46"/>
        <v>0</v>
      </c>
      <c r="G107" s="26">
        <f t="shared" si="46"/>
        <v>0</v>
      </c>
      <c r="H107" s="26">
        <f t="shared" si="46"/>
        <v>0</v>
      </c>
      <c r="I107" s="26">
        <f t="shared" si="46"/>
        <v>0</v>
      </c>
      <c r="J107" s="26">
        <f t="shared" si="46"/>
        <v>0</v>
      </c>
      <c r="K107" s="26">
        <f>K93+K102</f>
        <v>0</v>
      </c>
      <c r="L107" s="26">
        <f>L93+L102</f>
        <v>0</v>
      </c>
      <c r="M107" s="26">
        <f t="shared" ref="M107:W107" si="48">M93+M102</f>
        <v>0</v>
      </c>
      <c r="N107" s="26">
        <f t="shared" si="48"/>
        <v>0</v>
      </c>
      <c r="O107" s="26">
        <f t="shared" si="48"/>
        <v>0</v>
      </c>
      <c r="P107" s="26">
        <f t="shared" si="48"/>
        <v>0</v>
      </c>
      <c r="Q107" s="26">
        <f t="shared" si="48"/>
        <v>0</v>
      </c>
      <c r="R107" s="26">
        <f t="shared" si="48"/>
        <v>0</v>
      </c>
      <c r="S107" s="26">
        <f t="shared" si="48"/>
        <v>0</v>
      </c>
      <c r="T107" s="26">
        <f t="shared" si="48"/>
        <v>0</v>
      </c>
      <c r="U107" s="26">
        <f t="shared" si="48"/>
        <v>0</v>
      </c>
      <c r="V107" s="26">
        <f t="shared" si="48"/>
        <v>0</v>
      </c>
      <c r="W107" s="26">
        <f t="shared" si="48"/>
        <v>0</v>
      </c>
    </row>
    <row r="108" spans="1:25" ht="13.5" thickBot="1" x14ac:dyDescent="0.25">
      <c r="A108" s="1323" t="s">
        <v>929</v>
      </c>
      <c r="B108" s="1324"/>
      <c r="C108" s="379">
        <f t="shared" ref="C108:J108" si="49">C106+C107</f>
        <v>0</v>
      </c>
      <c r="D108" s="379">
        <f t="shared" si="49"/>
        <v>0</v>
      </c>
      <c r="E108" s="379">
        <f t="shared" si="49"/>
        <v>0</v>
      </c>
      <c r="F108" s="379">
        <f t="shared" si="49"/>
        <v>0</v>
      </c>
      <c r="G108" s="379">
        <f t="shared" si="49"/>
        <v>0</v>
      </c>
      <c r="H108" s="430">
        <f t="shared" si="49"/>
        <v>0</v>
      </c>
      <c r="I108" s="430">
        <f t="shared" si="49"/>
        <v>0</v>
      </c>
      <c r="J108" s="379">
        <f t="shared" si="49"/>
        <v>0</v>
      </c>
      <c r="K108" s="379">
        <f>K106+K107</f>
        <v>0</v>
      </c>
      <c r="L108" s="379">
        <f>L106+L107</f>
        <v>0</v>
      </c>
      <c r="M108" s="379">
        <f t="shared" ref="M108:W108" si="50">M106+M107</f>
        <v>0</v>
      </c>
      <c r="N108" s="379">
        <f t="shared" si="50"/>
        <v>0</v>
      </c>
      <c r="O108" s="379">
        <f t="shared" si="50"/>
        <v>0</v>
      </c>
      <c r="P108" s="379">
        <f t="shared" si="50"/>
        <v>0</v>
      </c>
      <c r="Q108" s="379">
        <f t="shared" si="50"/>
        <v>0</v>
      </c>
      <c r="R108" s="379">
        <f t="shared" si="50"/>
        <v>0</v>
      </c>
      <c r="S108" s="379">
        <f t="shared" si="50"/>
        <v>0</v>
      </c>
      <c r="T108" s="379">
        <f t="shared" si="50"/>
        <v>0</v>
      </c>
      <c r="U108" s="379">
        <f t="shared" si="50"/>
        <v>0</v>
      </c>
      <c r="V108" s="379">
        <f t="shared" si="50"/>
        <v>0</v>
      </c>
      <c r="W108" s="380">
        <f t="shared" si="50"/>
        <v>0</v>
      </c>
    </row>
    <row r="109" spans="1:25" ht="13.5" thickBot="1" x14ac:dyDescent="0.25">
      <c r="A109" s="1325" t="s">
        <v>930</v>
      </c>
      <c r="B109" s="1326"/>
      <c r="C109" s="381">
        <v>0</v>
      </c>
      <c r="D109" s="381">
        <f t="shared" ref="D109:J109" si="51">D81-D108</f>
        <v>1117.1448334122763</v>
      </c>
      <c r="E109" s="381">
        <f t="shared" si="51"/>
        <v>1675.7172501184141</v>
      </c>
      <c r="F109" s="381">
        <f t="shared" si="51"/>
        <v>2507.5044358655987</v>
      </c>
      <c r="G109" s="381">
        <f t="shared" si="51"/>
        <v>3035.7196560116199</v>
      </c>
      <c r="H109" s="431">
        <f t="shared" si="51"/>
        <v>3460.7204078532473</v>
      </c>
      <c r="I109" s="431">
        <f t="shared" si="51"/>
        <v>3460.7204078532473</v>
      </c>
      <c r="J109" s="381">
        <f t="shared" si="51"/>
        <v>3460.7204078532473</v>
      </c>
      <c r="K109" s="381">
        <f>K81-K108</f>
        <v>3460.7204078532473</v>
      </c>
      <c r="L109" s="381">
        <f>L81-L108</f>
        <v>3460.7204078532473</v>
      </c>
      <c r="M109" s="381">
        <f t="shared" ref="M109:W109" si="52">M81-M108</f>
        <v>3460.7204078532473</v>
      </c>
      <c r="N109" s="381">
        <f t="shared" si="52"/>
        <v>3460.7204078532473</v>
      </c>
      <c r="O109" s="381">
        <f t="shared" si="52"/>
        <v>3460.7204078532473</v>
      </c>
      <c r="P109" s="381">
        <f t="shared" si="52"/>
        <v>3460.7204078532473</v>
      </c>
      <c r="Q109" s="381">
        <f t="shared" si="52"/>
        <v>3460.7204078532473</v>
      </c>
      <c r="R109" s="381">
        <f t="shared" si="52"/>
        <v>3460.7204078532473</v>
      </c>
      <c r="S109" s="381">
        <f t="shared" si="52"/>
        <v>3460.7204078532473</v>
      </c>
      <c r="T109" s="381">
        <f t="shared" si="52"/>
        <v>3460.7204078532473</v>
      </c>
      <c r="U109" s="381">
        <f t="shared" si="52"/>
        <v>3460.7204078532473</v>
      </c>
      <c r="V109" s="381">
        <f t="shared" si="52"/>
        <v>3460.7204078532473</v>
      </c>
      <c r="W109" s="382">
        <f t="shared" si="52"/>
        <v>3460.7204078532473</v>
      </c>
    </row>
    <row r="110" spans="1:25" x14ac:dyDescent="0.2">
      <c r="A110" s="53"/>
      <c r="B110" s="53"/>
      <c r="C110" s="179"/>
      <c r="D110" s="179"/>
      <c r="E110" s="179"/>
      <c r="F110" s="179"/>
      <c r="G110" s="179"/>
    </row>
    <row r="111" spans="1:25" x14ac:dyDescent="0.2">
      <c r="A111" s="53"/>
      <c r="B111" s="53"/>
      <c r="C111" s="179"/>
      <c r="D111" s="179"/>
      <c r="E111" s="179"/>
      <c r="F111" s="179"/>
      <c r="G111" s="179"/>
      <c r="H111" s="179"/>
      <c r="I111" s="179"/>
      <c r="J111" s="179"/>
      <c r="K111" s="179"/>
      <c r="L111" s="179"/>
    </row>
    <row r="112" spans="1:25" x14ac:dyDescent="0.2">
      <c r="A112" s="351" t="s">
        <v>341</v>
      </c>
      <c r="B112" s="53"/>
      <c r="C112" s="179"/>
      <c r="D112" s="179"/>
      <c r="E112" s="179"/>
      <c r="F112" s="179"/>
      <c r="G112" s="179"/>
      <c r="H112" s="179"/>
      <c r="I112" s="179"/>
      <c r="J112" s="179"/>
      <c r="K112" s="179"/>
      <c r="L112" s="179"/>
    </row>
    <row r="113" spans="1:27" x14ac:dyDescent="0.2">
      <c r="A113" s="1267" t="s">
        <v>931</v>
      </c>
      <c r="B113" s="1327"/>
      <c r="C113" s="21">
        <f>(C143-C132-C103)/(1-$D$79)*'Données VAR'!D66/'Données PAMCHR'!C78</f>
        <v>124.23205038221242</v>
      </c>
      <c r="D113" s="21">
        <f>(D143-D132-D103)/(1-$D$79)*'Données VAR'!E66/'Données PAMCHR'!D78</f>
        <v>31.791536613468608</v>
      </c>
      <c r="E113" s="21">
        <f>(E143-E132-E103)/(1-$D$79)*'Données VAR'!F66/'Données PAMCHR'!E78</f>
        <v>175.20669066978257</v>
      </c>
      <c r="F113" s="21">
        <f>(F143-F132-F103)/(1-$D$79)*'Données VAR'!G66/'Données PAMCHR'!F78</f>
        <v>543.88930047487588</v>
      </c>
      <c r="G113" s="21">
        <f>(G143-G132-G103)/(1-$D$79)*'Données VAR'!H66/'Données PAMCHR'!G78</f>
        <v>748.75427032041273</v>
      </c>
      <c r="H113" s="21">
        <f>(H143-H132-H103)/(1-$D$79)*'Données VAR'!I66/'Données PAMCHR'!H78</f>
        <v>1400.1437268995171</v>
      </c>
      <c r="I113" s="21">
        <f>(I143-I132-I103)/(1-$D$79)*'Données VAR'!J66/'Données PAMCHR'!I78</f>
        <v>1400.1437268995171</v>
      </c>
      <c r="J113" s="21">
        <f>(J143-J132-J103)/(1-$D$79)*'Données VAR'!K66/'Données PAMCHR'!J78</f>
        <v>1400.1437268995171</v>
      </c>
      <c r="K113" s="21">
        <f>(K143-K132-K103)/(1-$D$79)*'Données VAR'!L66/'Données PAMCHR'!K78</f>
        <v>1400.1437268995171</v>
      </c>
      <c r="L113" s="21">
        <f>(L143-L132-L103)/(1-$D$79)*'Données VAR'!M66/'Données PAMCHR'!L78</f>
        <v>1400.1437268995171</v>
      </c>
      <c r="M113" s="21">
        <f>(M143-M132-M103)/(1-$D$79)*'Données VAR'!N66/'Données PAMCHR'!M78</f>
        <v>1400.1437268995171</v>
      </c>
      <c r="N113" s="21">
        <f>(N143-N132-N103)/(1-$D$79)*'Données VAR'!O66/'Données PAMCHR'!N78</f>
        <v>1400.1437268995171</v>
      </c>
      <c r="O113" s="21">
        <f>(O143-O132-O103)/(1-$D$79)*'Données VAR'!P66/'Données PAMCHR'!O78</f>
        <v>1400.1437268995171</v>
      </c>
      <c r="P113" s="21">
        <f>(P143-P132-P103)/(1-$D$79)*'Données VAR'!Q66/'Données PAMCHR'!P78</f>
        <v>1400.1437268995171</v>
      </c>
      <c r="Q113" s="21">
        <f>(Q143-Q132-Q103)/(1-$D$79)*'Données VAR'!R66/'Données PAMCHR'!Q78</f>
        <v>1400.1437268995171</v>
      </c>
      <c r="R113" s="21">
        <f>(R143-R132-R103)/(1-$D$79)*'Données VAR'!S66/'Données PAMCHR'!R78</f>
        <v>1400.1437268995171</v>
      </c>
      <c r="S113" s="21">
        <f>(S143-S132-S103)/(1-$D$79)*'Données VAR'!T66/'Données PAMCHR'!S78</f>
        <v>1400.1437268995171</v>
      </c>
      <c r="T113" s="21">
        <f>(T143-T132-T103)/(1-$D$79)*'Données VAR'!U66/'Données PAMCHR'!T78</f>
        <v>1400.1437268995171</v>
      </c>
      <c r="U113" s="21">
        <f>(U143-U132-U103)/(1-$D$79)*'Données VAR'!V66/'Données PAMCHR'!U78</f>
        <v>1400.1437268995171</v>
      </c>
      <c r="V113" s="21">
        <f>(V143-V132-V103)/(1-$D$79)*'Données VAR'!W66/'Données PAMCHR'!V78</f>
        <v>1400.1437268995171</v>
      </c>
      <c r="W113" s="21">
        <f>(W143-W132-W103)/(1-$D$79)*'Données VAR'!X66/'Données PAMCHR'!W78</f>
        <v>1400.1437268995171</v>
      </c>
      <c r="X113" t="s">
        <v>915</v>
      </c>
    </row>
    <row r="114" spans="1:27" x14ac:dyDescent="0.2">
      <c r="A114" s="53"/>
      <c r="B114" s="53"/>
      <c r="C114" s="179"/>
      <c r="D114" s="179"/>
      <c r="E114" s="179"/>
      <c r="F114" s="179"/>
      <c r="G114" s="179"/>
      <c r="H114" s="179"/>
      <c r="I114" s="179"/>
      <c r="J114" s="179"/>
      <c r="K114" s="179"/>
      <c r="L114" s="179"/>
    </row>
    <row r="115" spans="1:27" x14ac:dyDescent="0.2">
      <c r="A115" s="53"/>
      <c r="B115" s="53"/>
      <c r="C115" s="179"/>
      <c r="D115" s="179"/>
      <c r="E115" s="179"/>
      <c r="F115" s="179"/>
      <c r="G115" s="179"/>
    </row>
    <row r="116" spans="1:27" x14ac:dyDescent="0.2">
      <c r="A116" s="53"/>
      <c r="B116" s="53"/>
      <c r="C116" s="179"/>
      <c r="D116" s="179"/>
      <c r="E116" s="179"/>
      <c r="F116" s="179"/>
      <c r="G116" s="179"/>
    </row>
    <row r="117" spans="1:27" ht="13.5" thickBot="1" x14ac:dyDescent="0.25">
      <c r="A117" s="53"/>
      <c r="B117" s="53"/>
      <c r="C117" s="179"/>
      <c r="D117" s="179"/>
      <c r="E117" s="179"/>
      <c r="F117" s="179"/>
      <c r="G117" s="179"/>
      <c r="H117" s="40" t="s">
        <v>945</v>
      </c>
      <c r="I117" s="40" t="s">
        <v>946</v>
      </c>
      <c r="J117" s="40" t="s">
        <v>947</v>
      </c>
      <c r="K117" s="40" t="s">
        <v>948</v>
      </c>
      <c r="L117" s="40" t="s">
        <v>949</v>
      </c>
      <c r="M117" s="40" t="s">
        <v>846</v>
      </c>
      <c r="N117" s="40" t="s">
        <v>847</v>
      </c>
      <c r="O117" s="40" t="s">
        <v>848</v>
      </c>
      <c r="P117" s="40" t="s">
        <v>849</v>
      </c>
      <c r="Q117" s="40" t="s">
        <v>509</v>
      </c>
      <c r="R117" s="40" t="s">
        <v>510</v>
      </c>
      <c r="S117" s="40" t="s">
        <v>368</v>
      </c>
      <c r="T117" s="40" t="s">
        <v>369</v>
      </c>
      <c r="U117" s="40" t="s">
        <v>370</v>
      </c>
      <c r="V117" s="40" t="s">
        <v>371</v>
      </c>
      <c r="W117" s="40" t="s">
        <v>372</v>
      </c>
      <c r="X117" s="40" t="s">
        <v>373</v>
      </c>
      <c r="Y117" s="40" t="s">
        <v>374</v>
      </c>
      <c r="Z117" s="40" t="s">
        <v>375</v>
      </c>
      <c r="AA117" s="40" t="s">
        <v>376</v>
      </c>
    </row>
    <row r="118" spans="1:27" x14ac:dyDescent="0.2">
      <c r="A118" s="53"/>
      <c r="B118" s="53"/>
      <c r="C118" s="179"/>
      <c r="D118" s="179"/>
      <c r="E118" s="179"/>
      <c r="F118" s="409" t="s">
        <v>350</v>
      </c>
      <c r="G118" s="179"/>
      <c r="H118" s="399">
        <v>26</v>
      </c>
      <c r="I118" s="399">
        <v>80</v>
      </c>
      <c r="J118" s="399">
        <v>160</v>
      </c>
      <c r="K118" s="399">
        <v>200</v>
      </c>
      <c r="L118" s="432">
        <v>200</v>
      </c>
      <c r="M118" s="399">
        <v>200</v>
      </c>
      <c r="N118" s="399">
        <v>200</v>
      </c>
      <c r="O118" s="448">
        <v>200</v>
      </c>
      <c r="P118" s="399">
        <v>200</v>
      </c>
      <c r="Q118" s="399">
        <v>200</v>
      </c>
      <c r="R118" s="399">
        <v>200</v>
      </c>
      <c r="S118" s="399">
        <v>200</v>
      </c>
      <c r="T118" s="399">
        <v>200</v>
      </c>
      <c r="U118" s="399">
        <v>200</v>
      </c>
      <c r="V118" s="399">
        <v>200</v>
      </c>
      <c r="W118" s="399">
        <v>200</v>
      </c>
      <c r="X118" s="399">
        <v>200</v>
      </c>
      <c r="Y118" s="399">
        <v>200</v>
      </c>
      <c r="Z118" s="399">
        <v>200</v>
      </c>
      <c r="AA118" s="400">
        <v>200</v>
      </c>
    </row>
    <row r="119" spans="1:27" ht="13.5" thickBot="1" x14ac:dyDescent="0.25">
      <c r="A119" s="53"/>
      <c r="B119" s="53"/>
      <c r="C119" s="179"/>
      <c r="D119" s="179"/>
      <c r="E119" s="409" t="s">
        <v>489</v>
      </c>
      <c r="F119" s="179"/>
      <c r="G119" s="179"/>
      <c r="H119" s="401">
        <v>40</v>
      </c>
      <c r="I119" s="401">
        <v>120</v>
      </c>
      <c r="J119" s="401">
        <v>240</v>
      </c>
      <c r="K119" s="401">
        <v>300</v>
      </c>
      <c r="L119" s="433">
        <v>300</v>
      </c>
      <c r="M119" s="401">
        <v>300</v>
      </c>
      <c r="N119" s="401">
        <v>300</v>
      </c>
      <c r="O119" s="449">
        <v>300</v>
      </c>
      <c r="P119" s="401">
        <v>300</v>
      </c>
      <c r="Q119" s="401">
        <v>300</v>
      </c>
      <c r="R119" s="401">
        <v>300</v>
      </c>
      <c r="S119" s="401">
        <v>300</v>
      </c>
      <c r="T119" s="401">
        <v>300</v>
      </c>
      <c r="U119" s="401">
        <v>300</v>
      </c>
      <c r="V119" s="401">
        <v>300</v>
      </c>
      <c r="W119" s="401">
        <v>300</v>
      </c>
      <c r="X119" s="401">
        <v>300</v>
      </c>
      <c r="Y119" s="401">
        <v>300</v>
      </c>
      <c r="Z119" s="401">
        <v>300</v>
      </c>
      <c r="AA119" s="402">
        <v>300</v>
      </c>
    </row>
    <row r="120" spans="1:27" ht="13.5" thickBot="1" x14ac:dyDescent="0.25">
      <c r="A120" s="53"/>
      <c r="B120" s="53"/>
      <c r="C120" s="179"/>
      <c r="D120" s="179"/>
      <c r="E120" s="179"/>
      <c r="F120" s="179"/>
      <c r="G120" s="179"/>
      <c r="H120" s="179"/>
      <c r="I120" s="179"/>
      <c r="J120" s="179"/>
      <c r="K120" s="179"/>
      <c r="L120" s="179"/>
      <c r="M120" s="434"/>
      <c r="N120" s="179"/>
      <c r="O120" s="434"/>
      <c r="P120" s="179"/>
    </row>
    <row r="121" spans="1:27" x14ac:dyDescent="0.2">
      <c r="A121" s="53"/>
      <c r="B121" s="53"/>
      <c r="C121" s="179"/>
      <c r="D121" s="179"/>
      <c r="E121" s="179"/>
      <c r="F121" s="409" t="s">
        <v>352</v>
      </c>
      <c r="G121" s="179"/>
      <c r="H121" s="399">
        <v>15</v>
      </c>
      <c r="I121" s="399">
        <v>80</v>
      </c>
      <c r="J121" s="399">
        <v>240</v>
      </c>
      <c r="K121" s="399">
        <v>320</v>
      </c>
      <c r="L121" s="432">
        <v>593</v>
      </c>
      <c r="M121" s="399">
        <v>593</v>
      </c>
      <c r="N121" s="399">
        <v>593</v>
      </c>
      <c r="O121" s="448">
        <v>593</v>
      </c>
      <c r="P121" s="399">
        <v>593</v>
      </c>
      <c r="Q121" s="399">
        <v>593</v>
      </c>
      <c r="R121" s="399">
        <v>593</v>
      </c>
      <c r="S121" s="399">
        <v>593</v>
      </c>
      <c r="T121" s="399">
        <v>593</v>
      </c>
      <c r="U121" s="399">
        <v>593</v>
      </c>
      <c r="V121" s="399">
        <v>593</v>
      </c>
      <c r="W121" s="399">
        <v>593</v>
      </c>
      <c r="X121" s="399">
        <v>593</v>
      </c>
      <c r="Y121" s="399">
        <v>593</v>
      </c>
      <c r="Z121" s="399">
        <v>593</v>
      </c>
      <c r="AA121" s="400">
        <v>593</v>
      </c>
    </row>
    <row r="122" spans="1:27" ht="13.5" thickBot="1" x14ac:dyDescent="0.25">
      <c r="A122" s="53"/>
      <c r="B122" s="53"/>
      <c r="C122" s="179"/>
      <c r="D122" s="179"/>
      <c r="E122" s="179"/>
      <c r="F122" s="179"/>
      <c r="G122" s="179"/>
      <c r="H122" s="401">
        <v>22.5</v>
      </c>
      <c r="I122" s="401">
        <v>120</v>
      </c>
      <c r="J122" s="401">
        <v>360</v>
      </c>
      <c r="K122" s="401">
        <v>480</v>
      </c>
      <c r="L122" s="433">
        <v>890</v>
      </c>
      <c r="M122" s="401">
        <v>890</v>
      </c>
      <c r="N122" s="401">
        <v>890</v>
      </c>
      <c r="O122" s="449">
        <v>890</v>
      </c>
      <c r="P122" s="401">
        <v>890</v>
      </c>
      <c r="Q122" s="401">
        <v>890</v>
      </c>
      <c r="R122" s="401">
        <v>890</v>
      </c>
      <c r="S122" s="401">
        <v>890</v>
      </c>
      <c r="T122" s="401">
        <v>890</v>
      </c>
      <c r="U122" s="401">
        <v>890</v>
      </c>
      <c r="V122" s="401">
        <v>890</v>
      </c>
      <c r="W122" s="401">
        <v>890</v>
      </c>
      <c r="X122" s="401">
        <v>890</v>
      </c>
      <c r="Y122" s="401">
        <v>890</v>
      </c>
      <c r="Z122" s="401">
        <v>890</v>
      </c>
      <c r="AA122" s="402">
        <v>890</v>
      </c>
    </row>
    <row r="123" spans="1:27" x14ac:dyDescent="0.2">
      <c r="A123" s="53"/>
      <c r="B123" s="53"/>
      <c r="C123" s="179"/>
      <c r="D123" s="583"/>
      <c r="E123" s="179"/>
      <c r="F123" s="179"/>
      <c r="G123" s="179"/>
      <c r="H123" s="179"/>
      <c r="I123" s="179"/>
      <c r="J123" s="179"/>
      <c r="K123" s="179"/>
      <c r="L123" s="179"/>
      <c r="M123" s="179"/>
      <c r="N123" s="179"/>
    </row>
    <row r="124" spans="1:27" x14ac:dyDescent="0.2">
      <c r="A124" s="398" t="s">
        <v>341</v>
      </c>
      <c r="B124" s="53"/>
      <c r="C124" s="179"/>
      <c r="D124" s="179"/>
      <c r="E124" s="179"/>
      <c r="F124" s="179"/>
      <c r="G124" s="179"/>
    </row>
    <row r="125" spans="1:27" ht="13.5" thickBot="1" x14ac:dyDescent="0.25">
      <c r="B125" s="53"/>
      <c r="C125" s="40" t="s">
        <v>835</v>
      </c>
      <c r="D125" s="40" t="s">
        <v>945</v>
      </c>
      <c r="E125" s="40" t="s">
        <v>946</v>
      </c>
      <c r="F125" s="40" t="s">
        <v>947</v>
      </c>
      <c r="G125" s="40" t="s">
        <v>948</v>
      </c>
      <c r="H125" s="40" t="s">
        <v>949</v>
      </c>
      <c r="I125" s="40" t="s">
        <v>846</v>
      </c>
      <c r="J125" s="40" t="s">
        <v>847</v>
      </c>
      <c r="K125" s="40" t="s">
        <v>848</v>
      </c>
      <c r="L125" s="40" t="s">
        <v>849</v>
      </c>
      <c r="M125" s="40" t="s">
        <v>509</v>
      </c>
      <c r="N125" s="40" t="s">
        <v>510</v>
      </c>
      <c r="O125" s="40" t="s">
        <v>368</v>
      </c>
      <c r="P125" s="40" t="s">
        <v>369</v>
      </c>
      <c r="Q125" s="40" t="s">
        <v>370</v>
      </c>
      <c r="R125" s="40" t="s">
        <v>371</v>
      </c>
      <c r="S125" s="40" t="s">
        <v>372</v>
      </c>
      <c r="T125" s="40" t="s">
        <v>373</v>
      </c>
      <c r="U125" s="40" t="s">
        <v>374</v>
      </c>
      <c r="V125" s="40" t="s">
        <v>375</v>
      </c>
      <c r="W125" s="40" t="s">
        <v>376</v>
      </c>
    </row>
    <row r="126" spans="1:27" x14ac:dyDescent="0.2">
      <c r="A126" s="1342" t="s">
        <v>331</v>
      </c>
      <c r="B126" s="1343"/>
      <c r="C126" s="414"/>
      <c r="D126" s="399">
        <v>15</v>
      </c>
      <c r="E126" s="399">
        <v>80</v>
      </c>
      <c r="F126" s="399">
        <v>240</v>
      </c>
      <c r="G126" s="399">
        <v>320</v>
      </c>
      <c r="H126" s="432">
        <v>593</v>
      </c>
      <c r="I126" s="399">
        <v>593</v>
      </c>
      <c r="J126" s="399">
        <v>593</v>
      </c>
      <c r="K126" s="448">
        <v>593</v>
      </c>
      <c r="L126" s="399">
        <v>593</v>
      </c>
      <c r="M126" s="399">
        <v>593</v>
      </c>
      <c r="N126" s="399">
        <v>593</v>
      </c>
      <c r="O126" s="399">
        <v>593</v>
      </c>
      <c r="P126" s="399">
        <v>593</v>
      </c>
      <c r="Q126" s="399">
        <v>593</v>
      </c>
      <c r="R126" s="399">
        <v>593</v>
      </c>
      <c r="S126" s="399">
        <v>593</v>
      </c>
      <c r="T126" s="399">
        <v>593</v>
      </c>
      <c r="U126" s="399">
        <v>593</v>
      </c>
      <c r="V126" s="399">
        <v>593</v>
      </c>
      <c r="W126" s="400">
        <v>593</v>
      </c>
    </row>
    <row r="127" spans="1:27" ht="13.5" thickBot="1" x14ac:dyDescent="0.25">
      <c r="A127" s="1356" t="s">
        <v>332</v>
      </c>
      <c r="B127" s="1345"/>
      <c r="C127" s="415"/>
      <c r="D127" s="401">
        <v>22.5</v>
      </c>
      <c r="E127" s="401">
        <v>120</v>
      </c>
      <c r="F127" s="401">
        <v>360</v>
      </c>
      <c r="G127" s="401">
        <v>480</v>
      </c>
      <c r="H127" s="433">
        <v>890</v>
      </c>
      <c r="I127" s="401">
        <v>890</v>
      </c>
      <c r="J127" s="401">
        <v>890</v>
      </c>
      <c r="K127" s="449">
        <v>890</v>
      </c>
      <c r="L127" s="401">
        <v>890</v>
      </c>
      <c r="M127" s="401">
        <v>890</v>
      </c>
      <c r="N127" s="401">
        <v>890</v>
      </c>
      <c r="O127" s="401">
        <v>890</v>
      </c>
      <c r="P127" s="401">
        <v>890</v>
      </c>
      <c r="Q127" s="401">
        <v>890</v>
      </c>
      <c r="R127" s="401">
        <v>890</v>
      </c>
      <c r="S127" s="401">
        <v>890</v>
      </c>
      <c r="T127" s="401">
        <v>890</v>
      </c>
      <c r="U127" s="401">
        <v>890</v>
      </c>
      <c r="V127" s="401">
        <v>890</v>
      </c>
      <c r="W127" s="402">
        <v>890</v>
      </c>
    </row>
    <row r="128" spans="1:27" x14ac:dyDescent="0.2">
      <c r="A128" s="386" t="s">
        <v>884</v>
      </c>
      <c r="B128" s="387"/>
      <c r="C128" s="34">
        <f t="shared" ref="C128:L128" si="53">C126*(1-C83)</f>
        <v>0</v>
      </c>
      <c r="D128" s="34">
        <f t="shared" si="53"/>
        <v>13.5</v>
      </c>
      <c r="E128" s="34">
        <f t="shared" si="53"/>
        <v>72</v>
      </c>
      <c r="F128" s="34">
        <f t="shared" si="53"/>
        <v>216</v>
      </c>
      <c r="G128" s="34">
        <f t="shared" si="53"/>
        <v>288</v>
      </c>
      <c r="H128" s="34">
        <f t="shared" si="53"/>
        <v>533.70000000000005</v>
      </c>
      <c r="I128" s="34">
        <f t="shared" si="53"/>
        <v>533.70000000000005</v>
      </c>
      <c r="J128" s="34">
        <f t="shared" si="53"/>
        <v>533.70000000000005</v>
      </c>
      <c r="K128" s="34">
        <f t="shared" si="53"/>
        <v>533.70000000000005</v>
      </c>
      <c r="L128" s="34">
        <f t="shared" si="53"/>
        <v>533.70000000000005</v>
      </c>
      <c r="M128" s="34">
        <f t="shared" ref="M128:W128" si="54">M126*(1-M83)</f>
        <v>533.70000000000005</v>
      </c>
      <c r="N128" s="34">
        <f t="shared" si="54"/>
        <v>533.70000000000005</v>
      </c>
      <c r="O128" s="34">
        <f t="shared" si="54"/>
        <v>533.70000000000005</v>
      </c>
      <c r="P128" s="34">
        <f t="shared" si="54"/>
        <v>533.70000000000005</v>
      </c>
      <c r="Q128" s="34">
        <f t="shared" si="54"/>
        <v>533.70000000000005</v>
      </c>
      <c r="R128" s="34">
        <f t="shared" si="54"/>
        <v>533.70000000000005</v>
      </c>
      <c r="S128" s="34">
        <f t="shared" si="54"/>
        <v>533.70000000000005</v>
      </c>
      <c r="T128" s="34">
        <f t="shared" si="54"/>
        <v>533.70000000000005</v>
      </c>
      <c r="U128" s="34">
        <f t="shared" si="54"/>
        <v>533.70000000000005</v>
      </c>
      <c r="V128" s="34">
        <f t="shared" si="54"/>
        <v>533.70000000000005</v>
      </c>
      <c r="W128" s="34">
        <f t="shared" si="54"/>
        <v>533.70000000000005</v>
      </c>
    </row>
    <row r="129" spans="1:24" x14ac:dyDescent="0.2">
      <c r="A129" s="339" t="s">
        <v>885</v>
      </c>
      <c r="B129" s="331"/>
      <c r="C129" s="21">
        <f t="shared" ref="C129:L129" si="55">C127*(1-C84)</f>
        <v>0</v>
      </c>
      <c r="D129" s="21">
        <f t="shared" si="55"/>
        <v>16.875</v>
      </c>
      <c r="E129" s="21">
        <f t="shared" si="55"/>
        <v>90</v>
      </c>
      <c r="F129" s="21">
        <f t="shared" si="55"/>
        <v>270</v>
      </c>
      <c r="G129" s="21">
        <f t="shared" si="55"/>
        <v>360</v>
      </c>
      <c r="H129" s="21">
        <f t="shared" si="55"/>
        <v>667.5</v>
      </c>
      <c r="I129" s="21">
        <f t="shared" si="55"/>
        <v>667.5</v>
      </c>
      <c r="J129" s="21">
        <f t="shared" si="55"/>
        <v>667.5</v>
      </c>
      <c r="K129" s="21">
        <f t="shared" si="55"/>
        <v>667.5</v>
      </c>
      <c r="L129" s="21">
        <f t="shared" si="55"/>
        <v>667.5</v>
      </c>
      <c r="M129" s="21">
        <f t="shared" ref="M129:W129" si="56">M127*(1-M84)</f>
        <v>667.5</v>
      </c>
      <c r="N129" s="21">
        <f t="shared" si="56"/>
        <v>667.5</v>
      </c>
      <c r="O129" s="21">
        <f t="shared" si="56"/>
        <v>667.5</v>
      </c>
      <c r="P129" s="21">
        <f t="shared" si="56"/>
        <v>667.5</v>
      </c>
      <c r="Q129" s="21">
        <f t="shared" si="56"/>
        <v>667.5</v>
      </c>
      <c r="R129" s="21">
        <f t="shared" si="56"/>
        <v>667.5</v>
      </c>
      <c r="S129" s="21">
        <f t="shared" si="56"/>
        <v>667.5</v>
      </c>
      <c r="T129" s="21">
        <f t="shared" si="56"/>
        <v>667.5</v>
      </c>
      <c r="U129" s="21">
        <f t="shared" si="56"/>
        <v>667.5</v>
      </c>
      <c r="V129" s="21">
        <f t="shared" si="56"/>
        <v>667.5</v>
      </c>
      <c r="W129" s="21">
        <f t="shared" si="56"/>
        <v>667.5</v>
      </c>
    </row>
    <row r="130" spans="1:24" x14ac:dyDescent="0.2">
      <c r="A130" s="332"/>
      <c r="B130" s="332"/>
      <c r="C130" s="347"/>
      <c r="D130" s="347"/>
      <c r="E130" s="347"/>
      <c r="F130" s="347"/>
      <c r="G130" s="347"/>
    </row>
    <row r="131" spans="1:24" ht="13.5" thickBot="1" x14ac:dyDescent="0.25">
      <c r="A131" s="353" t="s">
        <v>897</v>
      </c>
      <c r="B131" s="352"/>
      <c r="C131" s="179"/>
      <c r="D131" s="349"/>
      <c r="E131" s="349"/>
      <c r="F131" s="349"/>
      <c r="G131" s="349"/>
    </row>
    <row r="132" spans="1:24" ht="13.5" thickBot="1" x14ac:dyDescent="0.25">
      <c r="A132" s="1267" t="s">
        <v>888</v>
      </c>
      <c r="B132" s="1327"/>
      <c r="C132" s="578">
        <v>0</v>
      </c>
      <c r="D132" s="576">
        <f t="shared" ref="D132:W132" si="57">D78-D80-D92-D93-D101-D102-D128-D129</f>
        <v>1086.7698334122763</v>
      </c>
      <c r="E132" s="21">
        <f t="shared" si="57"/>
        <v>1513.7172501184141</v>
      </c>
      <c r="F132" s="21">
        <f t="shared" si="57"/>
        <v>2021.5044358655987</v>
      </c>
      <c r="G132" s="21">
        <f t="shared" si="57"/>
        <v>2387.7196560116199</v>
      </c>
      <c r="H132" s="21">
        <f t="shared" si="57"/>
        <v>2259.520407853247</v>
      </c>
      <c r="I132" s="21">
        <f t="shared" si="57"/>
        <v>2259.520407853247</v>
      </c>
      <c r="J132" s="21">
        <f t="shared" si="57"/>
        <v>2259.520407853247</v>
      </c>
      <c r="K132" s="21">
        <f t="shared" si="57"/>
        <v>2259.520407853247</v>
      </c>
      <c r="L132" s="21">
        <f t="shared" si="57"/>
        <v>2259.520407853247</v>
      </c>
      <c r="M132" s="21">
        <f t="shared" si="57"/>
        <v>2259.520407853247</v>
      </c>
      <c r="N132" s="21">
        <f t="shared" si="57"/>
        <v>2259.520407853247</v>
      </c>
      <c r="O132" s="21">
        <f t="shared" si="57"/>
        <v>2259.520407853247</v>
      </c>
      <c r="P132" s="21">
        <f t="shared" si="57"/>
        <v>2259.520407853247</v>
      </c>
      <c r="Q132" s="21">
        <f t="shared" si="57"/>
        <v>2259.520407853247</v>
      </c>
      <c r="R132" s="21">
        <f t="shared" si="57"/>
        <v>2259.520407853247</v>
      </c>
      <c r="S132" s="21">
        <f t="shared" si="57"/>
        <v>2259.520407853247</v>
      </c>
      <c r="T132" s="21">
        <f t="shared" si="57"/>
        <v>2259.520407853247</v>
      </c>
      <c r="U132" s="21">
        <f t="shared" si="57"/>
        <v>2259.520407853247</v>
      </c>
      <c r="V132" s="21">
        <f t="shared" si="57"/>
        <v>2259.520407853247</v>
      </c>
      <c r="W132" s="21">
        <f t="shared" si="57"/>
        <v>2259.520407853247</v>
      </c>
    </row>
    <row r="133" spans="1:24" x14ac:dyDescent="0.2">
      <c r="A133" s="1267" t="s">
        <v>889</v>
      </c>
      <c r="B133" s="1327"/>
      <c r="C133" s="577">
        <v>0.6</v>
      </c>
      <c r="D133" s="356" t="s">
        <v>891</v>
      </c>
      <c r="E133" s="354"/>
      <c r="F133" s="347"/>
      <c r="G133" s="347"/>
      <c r="I133" s="347"/>
      <c r="K133" s="347"/>
    </row>
    <row r="134" spans="1:24" x14ac:dyDescent="0.2">
      <c r="A134" s="339"/>
      <c r="B134" s="340"/>
      <c r="C134" s="101">
        <f>1-C133</f>
        <v>0.4</v>
      </c>
      <c r="D134" s="355" t="s">
        <v>890</v>
      </c>
      <c r="E134" s="349"/>
      <c r="F134" s="349"/>
      <c r="G134" s="349"/>
      <c r="I134" s="349"/>
      <c r="K134" s="349"/>
    </row>
    <row r="135" spans="1:24" x14ac:dyDescent="0.2">
      <c r="A135" s="1267" t="s">
        <v>886</v>
      </c>
      <c r="B135" s="1327"/>
      <c r="C135" s="416">
        <f t="shared" ref="C135:J135" si="58">C137*(1-$D$83)</f>
        <v>0</v>
      </c>
      <c r="D135" s="21">
        <f t="shared" si="58"/>
        <v>483.00881484990055</v>
      </c>
      <c r="E135" s="21">
        <f t="shared" si="58"/>
        <v>672.7632222748507</v>
      </c>
      <c r="F135" s="21">
        <f t="shared" si="58"/>
        <v>898.44641594026609</v>
      </c>
      <c r="G135" s="21">
        <f t="shared" si="58"/>
        <v>1061.2087360051644</v>
      </c>
      <c r="H135" s="21">
        <f t="shared" si="58"/>
        <v>1004.231292379221</v>
      </c>
      <c r="I135" s="21">
        <f t="shared" si="58"/>
        <v>1004.231292379221</v>
      </c>
      <c r="J135" s="21">
        <f t="shared" si="58"/>
        <v>1004.231292379221</v>
      </c>
      <c r="K135" s="21">
        <f>K137*(1-$D$83)</f>
        <v>1004.231292379221</v>
      </c>
      <c r="L135" s="21">
        <f>L137*(1-$D$83)</f>
        <v>1004.231292379221</v>
      </c>
      <c r="M135" s="21">
        <f t="shared" ref="M135:W135" si="59">M137*(1-$D$83)</f>
        <v>1004.231292379221</v>
      </c>
      <c r="N135" s="21">
        <f t="shared" si="59"/>
        <v>1004.231292379221</v>
      </c>
      <c r="O135" s="21">
        <f t="shared" si="59"/>
        <v>1004.231292379221</v>
      </c>
      <c r="P135" s="21">
        <f t="shared" si="59"/>
        <v>1004.231292379221</v>
      </c>
      <c r="Q135" s="21">
        <f t="shared" si="59"/>
        <v>1004.231292379221</v>
      </c>
      <c r="R135" s="21">
        <f t="shared" si="59"/>
        <v>1004.231292379221</v>
      </c>
      <c r="S135" s="21">
        <f t="shared" si="59"/>
        <v>1004.231292379221</v>
      </c>
      <c r="T135" s="21">
        <f t="shared" si="59"/>
        <v>1004.231292379221</v>
      </c>
      <c r="U135" s="21">
        <f t="shared" si="59"/>
        <v>1004.231292379221</v>
      </c>
      <c r="V135" s="21">
        <f t="shared" si="59"/>
        <v>1004.231292379221</v>
      </c>
      <c r="W135" s="21">
        <f t="shared" si="59"/>
        <v>1004.231292379221</v>
      </c>
    </row>
    <row r="136" spans="1:24" ht="13.5" thickBot="1" x14ac:dyDescent="0.25">
      <c r="A136" s="1339" t="s">
        <v>887</v>
      </c>
      <c r="B136" s="1340"/>
      <c r="C136" s="417">
        <f t="shared" ref="C136:J136" si="60">C138*(1-$D$84)</f>
        <v>0</v>
      </c>
      <c r="D136" s="26">
        <f t="shared" si="60"/>
        <v>603.76101856237574</v>
      </c>
      <c r="E136" s="26">
        <f t="shared" si="60"/>
        <v>840.95402784356327</v>
      </c>
      <c r="F136" s="26">
        <f t="shared" si="60"/>
        <v>1123.0580199253327</v>
      </c>
      <c r="G136" s="26">
        <f t="shared" si="60"/>
        <v>1326.5109200064553</v>
      </c>
      <c r="H136" s="26">
        <f t="shared" si="60"/>
        <v>1255.2891154740259</v>
      </c>
      <c r="I136" s="26">
        <f t="shared" si="60"/>
        <v>1255.2891154740259</v>
      </c>
      <c r="J136" s="26">
        <f t="shared" si="60"/>
        <v>1255.2891154740259</v>
      </c>
      <c r="K136" s="26">
        <f>K138*(1-$D$84)</f>
        <v>1255.2891154740259</v>
      </c>
      <c r="L136" s="26">
        <f>L138*(1-$D$84)</f>
        <v>1255.2891154740259</v>
      </c>
      <c r="M136" s="26">
        <f t="shared" ref="M136:W136" si="61">M138*(1-$D$84)</f>
        <v>1255.2891154740259</v>
      </c>
      <c r="N136" s="26">
        <f t="shared" si="61"/>
        <v>1255.2891154740259</v>
      </c>
      <c r="O136" s="26">
        <f t="shared" si="61"/>
        <v>1255.2891154740259</v>
      </c>
      <c r="P136" s="26">
        <f t="shared" si="61"/>
        <v>1255.2891154740259</v>
      </c>
      <c r="Q136" s="26">
        <f t="shared" si="61"/>
        <v>1255.2891154740259</v>
      </c>
      <c r="R136" s="26">
        <f t="shared" si="61"/>
        <v>1255.2891154740259</v>
      </c>
      <c r="S136" s="26">
        <f t="shared" si="61"/>
        <v>1255.2891154740259</v>
      </c>
      <c r="T136" s="26">
        <f t="shared" si="61"/>
        <v>1255.2891154740259</v>
      </c>
      <c r="U136" s="26">
        <f t="shared" si="61"/>
        <v>1255.2891154740259</v>
      </c>
      <c r="V136" s="26">
        <f t="shared" si="61"/>
        <v>1255.2891154740259</v>
      </c>
      <c r="W136" s="26">
        <f t="shared" si="61"/>
        <v>1255.2891154740259</v>
      </c>
    </row>
    <row r="137" spans="1:24" x14ac:dyDescent="0.2">
      <c r="A137" s="357" t="s">
        <v>892</v>
      </c>
      <c r="B137" s="358"/>
      <c r="C137" s="418">
        <f t="shared" ref="C137:W137" si="62">C138*$C$134/$C$133</f>
        <v>0</v>
      </c>
      <c r="D137" s="359">
        <f t="shared" si="62"/>
        <v>536.67646094433394</v>
      </c>
      <c r="E137" s="359">
        <f t="shared" si="62"/>
        <v>747.5146914165008</v>
      </c>
      <c r="F137" s="359">
        <f t="shared" si="62"/>
        <v>998.27379548918452</v>
      </c>
      <c r="G137" s="359">
        <f t="shared" si="62"/>
        <v>1179.120817783516</v>
      </c>
      <c r="H137" s="435">
        <f t="shared" si="62"/>
        <v>1115.8125470880234</v>
      </c>
      <c r="I137" s="435">
        <f t="shared" si="62"/>
        <v>1115.8125470880234</v>
      </c>
      <c r="J137" s="359">
        <f t="shared" si="62"/>
        <v>1115.8125470880234</v>
      </c>
      <c r="K137" s="359">
        <f t="shared" si="62"/>
        <v>1115.8125470880234</v>
      </c>
      <c r="L137" s="359">
        <f t="shared" si="62"/>
        <v>1115.8125470880234</v>
      </c>
      <c r="M137" s="359">
        <f t="shared" si="62"/>
        <v>1115.8125470880234</v>
      </c>
      <c r="N137" s="359">
        <f t="shared" si="62"/>
        <v>1115.8125470880234</v>
      </c>
      <c r="O137" s="359">
        <f t="shared" si="62"/>
        <v>1115.8125470880234</v>
      </c>
      <c r="P137" s="359">
        <f t="shared" si="62"/>
        <v>1115.8125470880234</v>
      </c>
      <c r="Q137" s="359">
        <f t="shared" si="62"/>
        <v>1115.8125470880234</v>
      </c>
      <c r="R137" s="359">
        <f t="shared" si="62"/>
        <v>1115.8125470880234</v>
      </c>
      <c r="S137" s="359">
        <f t="shared" si="62"/>
        <v>1115.8125470880234</v>
      </c>
      <c r="T137" s="359">
        <f t="shared" si="62"/>
        <v>1115.8125470880234</v>
      </c>
      <c r="U137" s="359">
        <f t="shared" si="62"/>
        <v>1115.8125470880234</v>
      </c>
      <c r="V137" s="359">
        <f t="shared" si="62"/>
        <v>1115.8125470880234</v>
      </c>
      <c r="W137" s="360">
        <f t="shared" si="62"/>
        <v>1115.8125470880234</v>
      </c>
      <c r="X137" t="s">
        <v>896</v>
      </c>
    </row>
    <row r="138" spans="1:24" x14ac:dyDescent="0.2">
      <c r="A138" s="1358" t="s">
        <v>893</v>
      </c>
      <c r="B138" s="1327"/>
      <c r="C138" s="416">
        <f t="shared" ref="C138:W138" si="63">C132/($C$134*(1-$D$83)/$C$133+(1-$D$84))</f>
        <v>0</v>
      </c>
      <c r="D138" s="21">
        <f t="shared" si="63"/>
        <v>805.01469141650091</v>
      </c>
      <c r="E138" s="21">
        <f t="shared" si="63"/>
        <v>1121.272037124751</v>
      </c>
      <c r="F138" s="21">
        <f t="shared" si="63"/>
        <v>1497.4106932337768</v>
      </c>
      <c r="G138" s="21">
        <f t="shared" si="63"/>
        <v>1768.6812266752738</v>
      </c>
      <c r="H138" s="436">
        <f t="shared" si="63"/>
        <v>1673.7188206320347</v>
      </c>
      <c r="I138" s="436">
        <f t="shared" si="63"/>
        <v>1673.7188206320347</v>
      </c>
      <c r="J138" s="21">
        <f t="shared" si="63"/>
        <v>1673.7188206320347</v>
      </c>
      <c r="K138" s="21">
        <f t="shared" si="63"/>
        <v>1673.7188206320347</v>
      </c>
      <c r="L138" s="21">
        <f t="shared" si="63"/>
        <v>1673.7188206320347</v>
      </c>
      <c r="M138" s="21">
        <f t="shared" si="63"/>
        <v>1673.7188206320347</v>
      </c>
      <c r="N138" s="21">
        <f t="shared" si="63"/>
        <v>1673.7188206320347</v>
      </c>
      <c r="O138" s="21">
        <f t="shared" si="63"/>
        <v>1673.7188206320347</v>
      </c>
      <c r="P138" s="21">
        <f t="shared" si="63"/>
        <v>1673.7188206320347</v>
      </c>
      <c r="Q138" s="21">
        <f t="shared" si="63"/>
        <v>1673.7188206320347</v>
      </c>
      <c r="R138" s="21">
        <f t="shared" si="63"/>
        <v>1673.7188206320347</v>
      </c>
      <c r="S138" s="21">
        <f t="shared" si="63"/>
        <v>1673.7188206320347</v>
      </c>
      <c r="T138" s="21">
        <f t="shared" si="63"/>
        <v>1673.7188206320347</v>
      </c>
      <c r="U138" s="21">
        <f t="shared" si="63"/>
        <v>1673.7188206320347</v>
      </c>
      <c r="V138" s="21">
        <f t="shared" si="63"/>
        <v>1673.7188206320347</v>
      </c>
      <c r="W138" s="363">
        <f t="shared" si="63"/>
        <v>1673.7188206320347</v>
      </c>
      <c r="X138" t="s">
        <v>896</v>
      </c>
    </row>
    <row r="139" spans="1:24" ht="13.5" thickBot="1" x14ac:dyDescent="0.25">
      <c r="A139" s="1354" t="s">
        <v>898</v>
      </c>
      <c r="B139" s="1355"/>
      <c r="C139" s="419">
        <f t="shared" ref="C139:J139" si="64">C137+C138</f>
        <v>0</v>
      </c>
      <c r="D139" s="361">
        <f t="shared" si="64"/>
        <v>1341.6911523608348</v>
      </c>
      <c r="E139" s="361">
        <f t="shared" si="64"/>
        <v>1868.7867285412517</v>
      </c>
      <c r="F139" s="361">
        <f t="shared" si="64"/>
        <v>2495.6844887229613</v>
      </c>
      <c r="G139" s="361">
        <f t="shared" si="64"/>
        <v>2947.8020444587901</v>
      </c>
      <c r="H139" s="437">
        <f t="shared" si="64"/>
        <v>2789.5313677200584</v>
      </c>
      <c r="I139" s="437">
        <f t="shared" si="64"/>
        <v>2789.5313677200584</v>
      </c>
      <c r="J139" s="361">
        <f t="shared" si="64"/>
        <v>2789.5313677200584</v>
      </c>
      <c r="K139" s="361">
        <f>K137+K138</f>
        <v>2789.5313677200584</v>
      </c>
      <c r="L139" s="361">
        <f>L137+L138</f>
        <v>2789.5313677200584</v>
      </c>
      <c r="M139" s="361">
        <f t="shared" ref="M139:W139" si="65">M137+M138</f>
        <v>2789.5313677200584</v>
      </c>
      <c r="N139" s="361">
        <f t="shared" si="65"/>
        <v>2789.5313677200584</v>
      </c>
      <c r="O139" s="361">
        <f t="shared" si="65"/>
        <v>2789.5313677200584</v>
      </c>
      <c r="P139" s="361">
        <f t="shared" si="65"/>
        <v>2789.5313677200584</v>
      </c>
      <c r="Q139" s="361">
        <f t="shared" si="65"/>
        <v>2789.5313677200584</v>
      </c>
      <c r="R139" s="361">
        <f t="shared" si="65"/>
        <v>2789.5313677200584</v>
      </c>
      <c r="S139" s="361">
        <f t="shared" si="65"/>
        <v>2789.5313677200584</v>
      </c>
      <c r="T139" s="361">
        <f t="shared" si="65"/>
        <v>2789.5313677200584</v>
      </c>
      <c r="U139" s="361">
        <f t="shared" si="65"/>
        <v>2789.5313677200584</v>
      </c>
      <c r="V139" s="361">
        <f t="shared" si="65"/>
        <v>2789.5313677200584</v>
      </c>
      <c r="W139" s="362">
        <f t="shared" si="65"/>
        <v>2789.5313677200584</v>
      </c>
    </row>
    <row r="140" spans="1:24" x14ac:dyDescent="0.2">
      <c r="A140" s="352"/>
      <c r="B140" s="352"/>
      <c r="C140" s="349"/>
      <c r="D140" s="349"/>
      <c r="E140" s="349"/>
      <c r="F140" s="349"/>
      <c r="G140" s="349"/>
      <c r="H140" s="349"/>
      <c r="I140" s="349"/>
      <c r="J140" s="349"/>
    </row>
    <row r="141" spans="1:24" x14ac:dyDescent="0.2">
      <c r="A141" s="1267" t="s">
        <v>1112</v>
      </c>
      <c r="B141" s="1327"/>
      <c r="C141" s="416">
        <f>C144*(1-C83)</f>
        <v>64.762019328247888</v>
      </c>
      <c r="D141" s="21">
        <f t="shared" ref="D141:L141" si="66">D92+D101+D128+D135</f>
        <v>496.50881484990055</v>
      </c>
      <c r="E141" s="21">
        <f t="shared" si="66"/>
        <v>744.7632222748507</v>
      </c>
      <c r="F141" s="21">
        <f t="shared" si="66"/>
        <v>1114.446415940266</v>
      </c>
      <c r="G141" s="21">
        <f t="shared" si="66"/>
        <v>1349.2087360051644</v>
      </c>
      <c r="H141" s="21">
        <f t="shared" si="66"/>
        <v>1537.9312923792211</v>
      </c>
      <c r="I141" s="21">
        <f t="shared" si="66"/>
        <v>1537.9312923792211</v>
      </c>
      <c r="J141" s="21">
        <f t="shared" si="66"/>
        <v>1537.9312923792211</v>
      </c>
      <c r="K141" s="21">
        <f t="shared" si="66"/>
        <v>1537.9312923792211</v>
      </c>
      <c r="L141" s="21">
        <f t="shared" si="66"/>
        <v>1537.9312923792211</v>
      </c>
      <c r="M141" s="21">
        <f t="shared" ref="M141:W141" si="67">M92+M101+M128+M135</f>
        <v>1537.9312923792211</v>
      </c>
      <c r="N141" s="21">
        <f t="shared" si="67"/>
        <v>1537.9312923792211</v>
      </c>
      <c r="O141" s="21">
        <f t="shared" si="67"/>
        <v>1537.9312923792211</v>
      </c>
      <c r="P141" s="21">
        <f t="shared" si="67"/>
        <v>1537.9312923792211</v>
      </c>
      <c r="Q141" s="21">
        <f t="shared" si="67"/>
        <v>1537.9312923792211</v>
      </c>
      <c r="R141" s="21">
        <f t="shared" si="67"/>
        <v>1537.9312923792211</v>
      </c>
      <c r="S141" s="21">
        <f t="shared" si="67"/>
        <v>1537.9312923792211</v>
      </c>
      <c r="T141" s="21">
        <f t="shared" si="67"/>
        <v>1537.9312923792211</v>
      </c>
      <c r="U141" s="21">
        <f t="shared" si="67"/>
        <v>1537.9312923792211</v>
      </c>
      <c r="V141" s="21">
        <f t="shared" si="67"/>
        <v>1537.9312923792211</v>
      </c>
      <c r="W141" s="21">
        <f t="shared" si="67"/>
        <v>1537.9312923792211</v>
      </c>
      <c r="X141" t="s">
        <v>1116</v>
      </c>
    </row>
    <row r="142" spans="1:24" x14ac:dyDescent="0.2">
      <c r="A142" s="1267" t="s">
        <v>1111</v>
      </c>
      <c r="B142" s="1327"/>
      <c r="C142" s="416">
        <f>C145*(1-C84)</f>
        <v>80.952524160309864</v>
      </c>
      <c r="D142" s="21">
        <f t="shared" ref="D142:L142" si="68">D93+D102+D129+D136</f>
        <v>620.63601856237574</v>
      </c>
      <c r="E142" s="21">
        <f t="shared" si="68"/>
        <v>930.95402784356327</v>
      </c>
      <c r="F142" s="21">
        <f t="shared" si="68"/>
        <v>1393.0580199253327</v>
      </c>
      <c r="G142" s="21">
        <f t="shared" si="68"/>
        <v>1686.5109200064553</v>
      </c>
      <c r="H142" s="21">
        <f t="shared" si="68"/>
        <v>1922.7891154740259</v>
      </c>
      <c r="I142" s="21">
        <f t="shared" si="68"/>
        <v>1922.7891154740259</v>
      </c>
      <c r="J142" s="21">
        <f t="shared" si="68"/>
        <v>1922.7891154740259</v>
      </c>
      <c r="K142" s="21">
        <f t="shared" si="68"/>
        <v>1922.7891154740259</v>
      </c>
      <c r="L142" s="21">
        <f t="shared" si="68"/>
        <v>1922.7891154740259</v>
      </c>
      <c r="M142" s="21">
        <f t="shared" ref="M142:W142" si="69">M93+M102+M129+M136</f>
        <v>1922.7891154740259</v>
      </c>
      <c r="N142" s="21">
        <f t="shared" si="69"/>
        <v>1922.7891154740259</v>
      </c>
      <c r="O142" s="21">
        <f t="shared" si="69"/>
        <v>1922.7891154740259</v>
      </c>
      <c r="P142" s="21">
        <f t="shared" si="69"/>
        <v>1922.7891154740259</v>
      </c>
      <c r="Q142" s="21">
        <f t="shared" si="69"/>
        <v>1922.7891154740259</v>
      </c>
      <c r="R142" s="21">
        <f t="shared" si="69"/>
        <v>1922.7891154740259</v>
      </c>
      <c r="S142" s="21">
        <f t="shared" si="69"/>
        <v>1922.7891154740259</v>
      </c>
      <c r="T142" s="21">
        <f t="shared" si="69"/>
        <v>1922.7891154740259</v>
      </c>
      <c r="U142" s="21">
        <f t="shared" si="69"/>
        <v>1922.7891154740259</v>
      </c>
      <c r="V142" s="21">
        <f t="shared" si="69"/>
        <v>1922.7891154740259</v>
      </c>
      <c r="W142" s="21">
        <f t="shared" si="69"/>
        <v>1922.7891154740259</v>
      </c>
      <c r="X142" t="s">
        <v>1116</v>
      </c>
    </row>
    <row r="143" spans="1:24" x14ac:dyDescent="0.2">
      <c r="A143" s="339" t="s">
        <v>894</v>
      </c>
      <c r="B143" s="340"/>
      <c r="C143" s="416">
        <f t="shared" ref="C143:J143" si="70">C141+C142</f>
        <v>145.71454348855775</v>
      </c>
      <c r="D143" s="21">
        <f t="shared" si="70"/>
        <v>1117.1448334122763</v>
      </c>
      <c r="E143" s="21">
        <f t="shared" si="70"/>
        <v>1675.7172501184141</v>
      </c>
      <c r="F143" s="21">
        <f t="shared" si="70"/>
        <v>2507.5044358655987</v>
      </c>
      <c r="G143" s="21">
        <f t="shared" si="70"/>
        <v>3035.7196560116199</v>
      </c>
      <c r="H143" s="21">
        <f t="shared" si="70"/>
        <v>3460.7204078532468</v>
      </c>
      <c r="I143" s="21">
        <f t="shared" si="70"/>
        <v>3460.7204078532468</v>
      </c>
      <c r="J143" s="21">
        <f t="shared" si="70"/>
        <v>3460.7204078532468</v>
      </c>
      <c r="K143" s="21">
        <f>K141+K142</f>
        <v>3460.7204078532468</v>
      </c>
      <c r="L143" s="21">
        <f>L141+L142</f>
        <v>3460.7204078532468</v>
      </c>
      <c r="M143" s="21">
        <f t="shared" ref="M143:W143" si="71">M141+M142</f>
        <v>3460.7204078532468</v>
      </c>
      <c r="N143" s="21">
        <f t="shared" si="71"/>
        <v>3460.7204078532468</v>
      </c>
      <c r="O143" s="21">
        <f t="shared" si="71"/>
        <v>3460.7204078532468</v>
      </c>
      <c r="P143" s="21">
        <f t="shared" si="71"/>
        <v>3460.7204078532468</v>
      </c>
      <c r="Q143" s="21">
        <f t="shared" si="71"/>
        <v>3460.7204078532468</v>
      </c>
      <c r="R143" s="21">
        <f t="shared" si="71"/>
        <v>3460.7204078532468</v>
      </c>
      <c r="S143" s="21">
        <f t="shared" si="71"/>
        <v>3460.7204078532468</v>
      </c>
      <c r="T143" s="21">
        <f t="shared" si="71"/>
        <v>3460.7204078532468</v>
      </c>
      <c r="U143" s="21">
        <f t="shared" si="71"/>
        <v>3460.7204078532468</v>
      </c>
      <c r="V143" s="21">
        <f t="shared" si="71"/>
        <v>3460.7204078532468</v>
      </c>
      <c r="W143" s="21">
        <f t="shared" si="71"/>
        <v>3460.7204078532468</v>
      </c>
    </row>
    <row r="144" spans="1:24" x14ac:dyDescent="0.2">
      <c r="A144" s="339" t="s">
        <v>1114</v>
      </c>
      <c r="B144" s="340"/>
      <c r="C144" s="416">
        <f>C145*C134/C133</f>
        <v>71.957799253608769</v>
      </c>
      <c r="D144" s="21">
        <f t="shared" ref="D144:W144" si="72">D88+D99+D126+D137</f>
        <v>551.67646094433394</v>
      </c>
      <c r="E144" s="21">
        <f t="shared" si="72"/>
        <v>827.5146914165008</v>
      </c>
      <c r="F144" s="21">
        <f t="shared" si="72"/>
        <v>1238.2737954891845</v>
      </c>
      <c r="G144" s="21">
        <f t="shared" si="72"/>
        <v>1499.120817783516</v>
      </c>
      <c r="H144" s="21">
        <f t="shared" si="72"/>
        <v>1708.8125470880234</v>
      </c>
      <c r="I144" s="21">
        <f t="shared" si="72"/>
        <v>1708.8125470880234</v>
      </c>
      <c r="J144" s="21">
        <f t="shared" si="72"/>
        <v>1708.8125470880234</v>
      </c>
      <c r="K144" s="21">
        <f t="shared" si="72"/>
        <v>1708.8125470880234</v>
      </c>
      <c r="L144" s="21">
        <f t="shared" si="72"/>
        <v>1708.8125470880234</v>
      </c>
      <c r="M144" s="21">
        <f t="shared" si="72"/>
        <v>1708.8125470880234</v>
      </c>
      <c r="N144" s="21">
        <f t="shared" si="72"/>
        <v>1708.8125470880234</v>
      </c>
      <c r="O144" s="21">
        <f t="shared" si="72"/>
        <v>1708.8125470880234</v>
      </c>
      <c r="P144" s="21">
        <f t="shared" si="72"/>
        <v>1708.8125470880234</v>
      </c>
      <c r="Q144" s="21">
        <f t="shared" si="72"/>
        <v>1708.8125470880234</v>
      </c>
      <c r="R144" s="21">
        <f t="shared" si="72"/>
        <v>1708.8125470880234</v>
      </c>
      <c r="S144" s="21">
        <f t="shared" si="72"/>
        <v>1708.8125470880234</v>
      </c>
      <c r="T144" s="21">
        <f t="shared" si="72"/>
        <v>1708.8125470880234</v>
      </c>
      <c r="U144" s="21">
        <f t="shared" si="72"/>
        <v>1708.8125470880234</v>
      </c>
      <c r="V144" s="21">
        <f t="shared" si="72"/>
        <v>1708.8125470880234</v>
      </c>
      <c r="W144" s="21">
        <f t="shared" si="72"/>
        <v>1708.8125470880234</v>
      </c>
    </row>
    <row r="145" spans="1:32" x14ac:dyDescent="0.2">
      <c r="A145" s="339" t="s">
        <v>1113</v>
      </c>
      <c r="B145" s="340"/>
      <c r="C145" s="416">
        <f>C81/(C134*(1-C83)/C133+(1-C84))</f>
        <v>107.93669888041315</v>
      </c>
      <c r="D145" s="21">
        <f t="shared" ref="D145:W145" si="73">D91+D100+D127+D138</f>
        <v>827.51469141650091</v>
      </c>
      <c r="E145" s="21">
        <f t="shared" si="73"/>
        <v>1241.272037124751</v>
      </c>
      <c r="F145" s="21">
        <f t="shared" si="73"/>
        <v>1857.4106932337768</v>
      </c>
      <c r="G145" s="21">
        <f t="shared" si="73"/>
        <v>2248.681226675274</v>
      </c>
      <c r="H145" s="21">
        <f t="shared" si="73"/>
        <v>2563.7188206320347</v>
      </c>
      <c r="I145" s="21">
        <f t="shared" si="73"/>
        <v>2563.7188206320347</v>
      </c>
      <c r="J145" s="21">
        <f t="shared" si="73"/>
        <v>2563.7188206320347</v>
      </c>
      <c r="K145" s="21">
        <f t="shared" si="73"/>
        <v>2563.7188206320347</v>
      </c>
      <c r="L145" s="21">
        <f t="shared" si="73"/>
        <v>2563.7188206320347</v>
      </c>
      <c r="M145" s="21">
        <f t="shared" si="73"/>
        <v>2563.7188206320347</v>
      </c>
      <c r="N145" s="21">
        <f t="shared" si="73"/>
        <v>2563.7188206320347</v>
      </c>
      <c r="O145" s="21">
        <f t="shared" si="73"/>
        <v>2563.7188206320347</v>
      </c>
      <c r="P145" s="21">
        <f t="shared" si="73"/>
        <v>2563.7188206320347</v>
      </c>
      <c r="Q145" s="21">
        <f t="shared" si="73"/>
        <v>2563.7188206320347</v>
      </c>
      <c r="R145" s="21">
        <f t="shared" si="73"/>
        <v>2563.7188206320347</v>
      </c>
      <c r="S145" s="21">
        <f t="shared" si="73"/>
        <v>2563.7188206320347</v>
      </c>
      <c r="T145" s="21">
        <f t="shared" si="73"/>
        <v>2563.7188206320347</v>
      </c>
      <c r="U145" s="21">
        <f t="shared" si="73"/>
        <v>2563.7188206320347</v>
      </c>
      <c r="V145" s="21">
        <f t="shared" si="73"/>
        <v>2563.7188206320347</v>
      </c>
      <c r="W145" s="21">
        <f t="shared" si="73"/>
        <v>2563.7188206320347</v>
      </c>
    </row>
    <row r="146" spans="1:32" x14ac:dyDescent="0.2">
      <c r="A146" s="339" t="s">
        <v>1115</v>
      </c>
      <c r="B146" s="340"/>
      <c r="C146" s="416">
        <f t="shared" ref="C146:J146" si="74">C144+C145</f>
        <v>179.89449813402192</v>
      </c>
      <c r="D146" s="21">
        <f t="shared" si="74"/>
        <v>1379.1911523608348</v>
      </c>
      <c r="E146" s="21">
        <f t="shared" si="74"/>
        <v>2068.7867285412517</v>
      </c>
      <c r="F146" s="21">
        <f t="shared" si="74"/>
        <v>3095.6844887229613</v>
      </c>
      <c r="G146" s="21">
        <f t="shared" si="74"/>
        <v>3747.8020444587901</v>
      </c>
      <c r="H146" s="21">
        <f t="shared" si="74"/>
        <v>4272.5313677200584</v>
      </c>
      <c r="I146" s="21">
        <f t="shared" si="74"/>
        <v>4272.5313677200584</v>
      </c>
      <c r="J146" s="21">
        <f t="shared" si="74"/>
        <v>4272.5313677200584</v>
      </c>
      <c r="K146" s="21">
        <f>K144+K145</f>
        <v>4272.5313677200584</v>
      </c>
      <c r="L146" s="21">
        <f>L144+L145</f>
        <v>4272.5313677200584</v>
      </c>
      <c r="M146" s="21">
        <f t="shared" ref="M146:W146" si="75">M144+M145</f>
        <v>4272.5313677200584</v>
      </c>
      <c r="N146" s="21">
        <f t="shared" si="75"/>
        <v>4272.5313677200584</v>
      </c>
      <c r="O146" s="21">
        <f t="shared" si="75"/>
        <v>4272.5313677200584</v>
      </c>
      <c r="P146" s="21">
        <f t="shared" si="75"/>
        <v>4272.5313677200584</v>
      </c>
      <c r="Q146" s="21">
        <f t="shared" si="75"/>
        <v>4272.5313677200584</v>
      </c>
      <c r="R146" s="21">
        <f t="shared" si="75"/>
        <v>4272.5313677200584</v>
      </c>
      <c r="S146" s="21">
        <f t="shared" si="75"/>
        <v>4272.5313677200584</v>
      </c>
      <c r="T146" s="21">
        <f t="shared" si="75"/>
        <v>4272.5313677200584</v>
      </c>
      <c r="U146" s="21">
        <f t="shared" si="75"/>
        <v>4272.5313677200584</v>
      </c>
      <c r="V146" s="21">
        <f t="shared" si="75"/>
        <v>4272.5313677200584</v>
      </c>
      <c r="W146" s="21">
        <f t="shared" si="75"/>
        <v>4272.5313677200584</v>
      </c>
    </row>
    <row r="147" spans="1:32" x14ac:dyDescent="0.2">
      <c r="A147" s="339" t="s">
        <v>588</v>
      </c>
      <c r="B147" s="340"/>
      <c r="C147" s="847">
        <f>C80</f>
        <v>36.428635872139438</v>
      </c>
      <c r="D147" s="604">
        <f>Scénario!B39</f>
        <v>277.36198445985832</v>
      </c>
      <c r="E147" s="604">
        <f>Scénario!C39</f>
        <v>419.92996932428571</v>
      </c>
      <c r="F147" s="604">
        <f>Scénario!D39</f>
        <v>627.68971334668515</v>
      </c>
      <c r="G147" s="604">
        <f>Scénario!E39</f>
        <v>759.89872938449821</v>
      </c>
      <c r="H147" s="604">
        <f>Scénario!F39</f>
        <v>865.80441660901727</v>
      </c>
      <c r="I147" s="604">
        <f>Scénario!G39</f>
        <v>865.69452501146384</v>
      </c>
      <c r="J147" s="604">
        <f>Scénario!H39</f>
        <v>865.67203316971381</v>
      </c>
      <c r="K147" s="604">
        <f>Scénario!I39</f>
        <v>865.55556292342567</v>
      </c>
      <c r="L147" s="604">
        <f>Scénario!J39</f>
        <v>866.52315148497132</v>
      </c>
      <c r="M147" s="604">
        <f>Scénario!K39</f>
        <v>866.52315148497132</v>
      </c>
      <c r="N147" s="604">
        <f>Scénario!L39</f>
        <v>866.52315148497132</v>
      </c>
      <c r="O147" s="604">
        <f>Scénario!M39</f>
        <v>866.52315148497132</v>
      </c>
      <c r="P147" s="604">
        <f>Scénario!N39</f>
        <v>866.52315148497132</v>
      </c>
      <c r="Q147" s="604">
        <f>Scénario!O39</f>
        <v>866.52315148497132</v>
      </c>
      <c r="R147" s="604">
        <f>Scénario!P39</f>
        <v>866.52315148497132</v>
      </c>
      <c r="S147" s="604">
        <f>Scénario!Q39</f>
        <v>866.52315148497132</v>
      </c>
      <c r="T147" s="604">
        <f>Scénario!R39</f>
        <v>866.52315148497132</v>
      </c>
      <c r="U147" s="604">
        <f>Scénario!S39</f>
        <v>866.52315148497132</v>
      </c>
      <c r="V147" s="604">
        <f>Scénario!T39</f>
        <v>866.52315148497132</v>
      </c>
      <c r="W147" s="604">
        <f>Scénario!U39</f>
        <v>866.52315148497132</v>
      </c>
    </row>
    <row r="148" spans="1:32" x14ac:dyDescent="0.2">
      <c r="A148" s="1267" t="s">
        <v>1129</v>
      </c>
      <c r="B148" s="1330"/>
      <c r="C148" s="416">
        <f>C151/(1-C82)</f>
        <v>33.116941701944945</v>
      </c>
      <c r="D148" s="21">
        <f>D151/(1-D82)</f>
        <v>252.14725859987121</v>
      </c>
      <c r="E148" s="21">
        <f t="shared" ref="E148:W148" si="76">E151/(1-E82)</f>
        <v>381.75451756753245</v>
      </c>
      <c r="F148" s="21">
        <f t="shared" si="76"/>
        <v>570.62701213335015</v>
      </c>
      <c r="G148" s="21">
        <f t="shared" si="76"/>
        <v>690.81702671318033</v>
      </c>
      <c r="H148" s="21">
        <f t="shared" si="76"/>
        <v>787.0949241900156</v>
      </c>
      <c r="I148" s="21">
        <f t="shared" si="76"/>
        <v>786.9950227376944</v>
      </c>
      <c r="J148" s="21">
        <f t="shared" si="76"/>
        <v>786.97457560883072</v>
      </c>
      <c r="K148" s="21">
        <f t="shared" si="76"/>
        <v>786.86869356675061</v>
      </c>
      <c r="L148" s="21">
        <f t="shared" si="76"/>
        <v>787.74831953179216</v>
      </c>
      <c r="M148" s="21">
        <f t="shared" si="76"/>
        <v>787.74831953179216</v>
      </c>
      <c r="N148" s="21">
        <f t="shared" si="76"/>
        <v>787.74831953179216</v>
      </c>
      <c r="O148" s="21">
        <f t="shared" si="76"/>
        <v>787.74831953179216</v>
      </c>
      <c r="P148" s="21">
        <f t="shared" si="76"/>
        <v>787.74831953179216</v>
      </c>
      <c r="Q148" s="21">
        <f t="shared" si="76"/>
        <v>787.74831953179216</v>
      </c>
      <c r="R148" s="21">
        <f t="shared" si="76"/>
        <v>787.74831953179216</v>
      </c>
      <c r="S148" s="21">
        <f t="shared" si="76"/>
        <v>787.74831953179216</v>
      </c>
      <c r="T148" s="21">
        <f t="shared" si="76"/>
        <v>787.74831953179216</v>
      </c>
      <c r="U148" s="21">
        <f t="shared" si="76"/>
        <v>787.74831953179216</v>
      </c>
      <c r="V148" s="21">
        <f t="shared" si="76"/>
        <v>787.74831953179216</v>
      </c>
      <c r="W148" s="21">
        <f t="shared" si="76"/>
        <v>787.74831953179216</v>
      </c>
    </row>
    <row r="149" spans="1:32" x14ac:dyDescent="0.2">
      <c r="D149" t="s">
        <v>351</v>
      </c>
      <c r="Y149" s="88" t="s">
        <v>1139</v>
      </c>
    </row>
    <row r="150" spans="1:32" x14ac:dyDescent="0.2">
      <c r="AA150" s="84" t="s">
        <v>1136</v>
      </c>
      <c r="AB150" s="84" t="s">
        <v>1137</v>
      </c>
      <c r="AC150" s="84" t="s">
        <v>1138</v>
      </c>
      <c r="AD150" s="84" t="s">
        <v>1140</v>
      </c>
    </row>
    <row r="151" spans="1:32" x14ac:dyDescent="0.2">
      <c r="A151" s="1267" t="s">
        <v>1120</v>
      </c>
      <c r="B151" s="1330"/>
      <c r="C151" s="66">
        <f>C147*$AA$162/100</f>
        <v>32.785772284925493</v>
      </c>
      <c r="D151" s="66">
        <f t="shared" ref="D151:L151" si="77">D147*$AA$162/100</f>
        <v>249.6257860138725</v>
      </c>
      <c r="E151" s="66">
        <f t="shared" si="77"/>
        <v>377.93697239185713</v>
      </c>
      <c r="F151" s="66">
        <f t="shared" si="77"/>
        <v>564.9207420120166</v>
      </c>
      <c r="G151" s="66">
        <f t="shared" si="77"/>
        <v>683.9088564460485</v>
      </c>
      <c r="H151" s="66">
        <f t="shared" si="77"/>
        <v>779.22397494811548</v>
      </c>
      <c r="I151" s="66">
        <f t="shared" si="77"/>
        <v>779.12507251031741</v>
      </c>
      <c r="J151" s="66">
        <f t="shared" si="77"/>
        <v>779.10482985274245</v>
      </c>
      <c r="K151" s="66">
        <f t="shared" si="77"/>
        <v>779.00000663108312</v>
      </c>
      <c r="L151" s="66">
        <f t="shared" si="77"/>
        <v>779.87083633647421</v>
      </c>
      <c r="M151" s="66">
        <f>M147*$AA$162/100</f>
        <v>779.87083633647421</v>
      </c>
      <c r="N151" s="66">
        <f>N147*$AA$162/100</f>
        <v>779.87083633647421</v>
      </c>
      <c r="O151" s="66">
        <f t="shared" ref="O151:W151" si="78">O147*$AA$162/100</f>
        <v>779.87083633647421</v>
      </c>
      <c r="P151" s="66">
        <f t="shared" si="78"/>
        <v>779.87083633647421</v>
      </c>
      <c r="Q151" s="66">
        <f t="shared" si="78"/>
        <v>779.87083633647421</v>
      </c>
      <c r="R151" s="66">
        <f t="shared" si="78"/>
        <v>779.87083633647421</v>
      </c>
      <c r="S151" s="66">
        <f t="shared" si="78"/>
        <v>779.87083633647421</v>
      </c>
      <c r="T151" s="66">
        <f t="shared" si="78"/>
        <v>779.87083633647421</v>
      </c>
      <c r="U151" s="66">
        <f t="shared" si="78"/>
        <v>779.87083633647421</v>
      </c>
      <c r="V151" s="66">
        <f t="shared" si="78"/>
        <v>779.87083633647421</v>
      </c>
      <c r="W151" s="66">
        <f t="shared" si="78"/>
        <v>779.87083633647421</v>
      </c>
      <c r="Y151" s="1267" t="s">
        <v>1147</v>
      </c>
      <c r="Z151" s="1330"/>
      <c r="AA151" s="16">
        <v>90</v>
      </c>
      <c r="AB151" s="16">
        <v>6</v>
      </c>
      <c r="AC151" s="16">
        <v>4</v>
      </c>
      <c r="AD151" s="20">
        <f>SUM(AA151:AC151)</f>
        <v>100</v>
      </c>
    </row>
    <row r="152" spans="1:32" x14ac:dyDescent="0.2">
      <c r="A152" s="1267" t="s">
        <v>1175</v>
      </c>
      <c r="B152" s="1330"/>
      <c r="C152" s="66">
        <f>C147*$AN$164/100</f>
        <v>2.6493553361555957</v>
      </c>
      <c r="D152" s="66">
        <f t="shared" ref="D152:W152" si="79">D147*$AN$164/100</f>
        <v>20.171780687989695</v>
      </c>
      <c r="E152" s="66">
        <f t="shared" si="79"/>
        <v>30.540361405402596</v>
      </c>
      <c r="F152" s="66">
        <f t="shared" si="79"/>
        <v>45.650160970668011</v>
      </c>
      <c r="G152" s="66">
        <f t="shared" si="79"/>
        <v>55.265362137054417</v>
      </c>
      <c r="H152" s="66">
        <f t="shared" si="79"/>
        <v>62.967593935201258</v>
      </c>
      <c r="I152" s="66">
        <f t="shared" si="79"/>
        <v>62.959601819015553</v>
      </c>
      <c r="J152" s="66">
        <f t="shared" si="79"/>
        <v>62.95796604870646</v>
      </c>
      <c r="K152" s="66">
        <f t="shared" si="79"/>
        <v>62.949495485340051</v>
      </c>
      <c r="L152" s="66">
        <f t="shared" si="79"/>
        <v>63.019865562543366</v>
      </c>
      <c r="M152" s="66">
        <f t="shared" si="79"/>
        <v>63.019865562543366</v>
      </c>
      <c r="N152" s="66">
        <f t="shared" si="79"/>
        <v>63.019865562543366</v>
      </c>
      <c r="O152" s="66">
        <f t="shared" si="79"/>
        <v>63.019865562543366</v>
      </c>
      <c r="P152" s="66">
        <f t="shared" si="79"/>
        <v>63.019865562543366</v>
      </c>
      <c r="Q152" s="66">
        <f t="shared" si="79"/>
        <v>63.019865562543366</v>
      </c>
      <c r="R152" s="66">
        <f t="shared" si="79"/>
        <v>63.019865562543366</v>
      </c>
      <c r="S152" s="66">
        <f t="shared" si="79"/>
        <v>63.019865562543366</v>
      </c>
      <c r="T152" s="66">
        <f t="shared" si="79"/>
        <v>63.019865562543366</v>
      </c>
      <c r="U152" s="66">
        <f t="shared" si="79"/>
        <v>63.019865562543366</v>
      </c>
      <c r="V152" s="66">
        <f t="shared" si="79"/>
        <v>63.019865562543366</v>
      </c>
      <c r="W152" s="66">
        <f t="shared" si="79"/>
        <v>63.019865562543366</v>
      </c>
      <c r="Y152" s="1267" t="s">
        <v>1145</v>
      </c>
      <c r="Z152" s="1330"/>
      <c r="AA152" s="24"/>
      <c r="AB152" s="25"/>
      <c r="AC152" s="25"/>
      <c r="AD152" s="27"/>
    </row>
    <row r="153" spans="1:32" x14ac:dyDescent="0.2">
      <c r="A153" s="1267" t="s">
        <v>1176</v>
      </c>
      <c r="B153" s="1330"/>
      <c r="C153" s="66">
        <f>C147*$AK$165/100</f>
        <v>0.99350825105834839</v>
      </c>
      <c r="D153" s="66">
        <f t="shared" ref="D153:W153" si="80">D147*$AK$165/100</f>
        <v>7.5644177579961367</v>
      </c>
      <c r="E153" s="66">
        <f t="shared" si="80"/>
        <v>11.452635527025976</v>
      </c>
      <c r="F153" s="66">
        <f t="shared" si="80"/>
        <v>17.118810364000506</v>
      </c>
      <c r="G153" s="66">
        <f t="shared" si="80"/>
        <v>20.724510801395407</v>
      </c>
      <c r="H153" s="66">
        <f t="shared" si="80"/>
        <v>23.612847725700473</v>
      </c>
      <c r="I153" s="66">
        <f t="shared" si="80"/>
        <v>23.609850682130833</v>
      </c>
      <c r="J153" s="66">
        <f t="shared" si="80"/>
        <v>23.609237268264923</v>
      </c>
      <c r="K153" s="66">
        <f t="shared" si="80"/>
        <v>23.606060807002518</v>
      </c>
      <c r="L153" s="66">
        <f t="shared" si="80"/>
        <v>23.632449585953765</v>
      </c>
      <c r="M153" s="66">
        <f t="shared" si="80"/>
        <v>23.632449585953765</v>
      </c>
      <c r="N153" s="66">
        <f t="shared" si="80"/>
        <v>23.632449585953765</v>
      </c>
      <c r="O153" s="66">
        <f t="shared" si="80"/>
        <v>23.632449585953765</v>
      </c>
      <c r="P153" s="66">
        <f t="shared" si="80"/>
        <v>23.632449585953765</v>
      </c>
      <c r="Q153" s="66">
        <f t="shared" si="80"/>
        <v>23.632449585953765</v>
      </c>
      <c r="R153" s="66">
        <f t="shared" si="80"/>
        <v>23.632449585953765</v>
      </c>
      <c r="S153" s="66">
        <f t="shared" si="80"/>
        <v>23.632449585953765</v>
      </c>
      <c r="T153" s="66">
        <f t="shared" si="80"/>
        <v>23.632449585953765</v>
      </c>
      <c r="U153" s="66">
        <f t="shared" si="80"/>
        <v>23.632449585953765</v>
      </c>
      <c r="V153" s="66">
        <f t="shared" si="80"/>
        <v>23.632449585953765</v>
      </c>
      <c r="W153" s="66">
        <f t="shared" si="80"/>
        <v>23.632449585953765</v>
      </c>
      <c r="Y153" s="1267" t="s">
        <v>600</v>
      </c>
      <c r="Z153" s="1330"/>
      <c r="AA153" s="20">
        <f>AA151*0.5/100</f>
        <v>0.45</v>
      </c>
      <c r="AB153" s="20">
        <f>AB151*0.5/100</f>
        <v>0.03</v>
      </c>
      <c r="AC153" s="20">
        <f>AC151*0.5/100</f>
        <v>0.02</v>
      </c>
      <c r="AD153" s="83"/>
    </row>
    <row r="154" spans="1:32" x14ac:dyDescent="0.2">
      <c r="B154" s="75" t="s">
        <v>672</v>
      </c>
      <c r="C154" s="195">
        <f>Exploitation!B8</f>
        <v>124.23205038221242</v>
      </c>
      <c r="D154" s="195">
        <f>Exploitation!C8</f>
        <v>1169.2428271267052</v>
      </c>
      <c r="E154" s="195">
        <f>Exploitation!D8</f>
        <v>1812.3263820463928</v>
      </c>
      <c r="F154" s="195">
        <f>Exploitation!E8</f>
        <v>2806.1827851040921</v>
      </c>
      <c r="G154" s="195">
        <f>Exploitation!F8</f>
        <v>3507.7284813801152</v>
      </c>
      <c r="H154" s="195">
        <f>Exploitation!G8</f>
        <v>4033.8877535871325</v>
      </c>
      <c r="I154" s="195">
        <f>Exploitation!H8</f>
        <v>4033.8877535871325</v>
      </c>
      <c r="Y154" s="1352" t="s">
        <v>1143</v>
      </c>
      <c r="Z154" s="1330"/>
      <c r="AA154" s="20">
        <f>AA151-AA153</f>
        <v>89.55</v>
      </c>
      <c r="AB154" s="20">
        <f>AB151-AB153</f>
        <v>5.97</v>
      </c>
      <c r="AC154" s="20">
        <f>AC151-AC153</f>
        <v>3.98</v>
      </c>
      <c r="AD154" s="20">
        <f>SUM(AA154:AC154)</f>
        <v>99.5</v>
      </c>
    </row>
    <row r="155" spans="1:32" x14ac:dyDescent="0.2">
      <c r="C155" s="781">
        <f t="shared" ref="C155:H155" si="81">C147</f>
        <v>36.428635872139438</v>
      </c>
      <c r="D155" s="781">
        <f t="shared" si="81"/>
        <v>277.36198445985832</v>
      </c>
      <c r="E155" s="781">
        <f t="shared" si="81"/>
        <v>419.92996932428571</v>
      </c>
      <c r="F155" s="781">
        <f t="shared" si="81"/>
        <v>627.68971334668515</v>
      </c>
      <c r="G155" s="781">
        <f t="shared" si="81"/>
        <v>759.89872938449821</v>
      </c>
      <c r="H155" s="781">
        <f t="shared" si="81"/>
        <v>865.80441660901727</v>
      </c>
      <c r="I155" s="781">
        <f>I147</f>
        <v>865.69452501146384</v>
      </c>
      <c r="Y155" s="1267" t="s">
        <v>601</v>
      </c>
      <c r="Z155" s="1330"/>
      <c r="AA155" s="20">
        <v>0</v>
      </c>
      <c r="AB155" s="20">
        <f>AB154*0</f>
        <v>0</v>
      </c>
      <c r="AC155" s="20">
        <v>0</v>
      </c>
      <c r="AD155" s="24"/>
    </row>
    <row r="156" spans="1:32" x14ac:dyDescent="0.2">
      <c r="C156">
        <f t="shared" ref="C156:H156" si="82">C155/C154</f>
        <v>0.29323057745616427</v>
      </c>
      <c r="D156">
        <f t="shared" si="82"/>
        <v>0.23721504038767299</v>
      </c>
      <c r="E156">
        <f t="shared" si="82"/>
        <v>0.23170769541528205</v>
      </c>
      <c r="F156">
        <f t="shared" si="82"/>
        <v>0.22368097925716615</v>
      </c>
      <c r="G156">
        <f t="shared" si="82"/>
        <v>0.21663556156590438</v>
      </c>
      <c r="H156">
        <f t="shared" si="82"/>
        <v>0.21463274872710605</v>
      </c>
      <c r="I156">
        <f>I155/I154</f>
        <v>0.21460550662116104</v>
      </c>
      <c r="Y156" s="1352"/>
      <c r="Z156" s="1330" t="s">
        <v>1143</v>
      </c>
      <c r="AA156" s="20">
        <f>AA154-AA155</f>
        <v>89.55</v>
      </c>
      <c r="AB156" s="20">
        <f>AB154-AB155</f>
        <v>5.97</v>
      </c>
      <c r="AC156" s="20">
        <f>AC154-AC155</f>
        <v>3.98</v>
      </c>
      <c r="AD156" s="20">
        <f>SUM(AA156:AC156)</f>
        <v>99.5</v>
      </c>
      <c r="AE156" s="86">
        <f>(AD151-AD156)/AD151</f>
        <v>5.0000000000000001E-3</v>
      </c>
      <c r="AF156" t="s">
        <v>1146</v>
      </c>
    </row>
    <row r="157" spans="1:32" x14ac:dyDescent="0.2">
      <c r="C157" s="195">
        <f>C154</f>
        <v>124.23205038221242</v>
      </c>
      <c r="D157">
        <v>593</v>
      </c>
      <c r="E157">
        <v>593</v>
      </c>
      <c r="F157">
        <v>968</v>
      </c>
      <c r="G157">
        <v>1016</v>
      </c>
      <c r="H157">
        <v>1059</v>
      </c>
      <c r="I157">
        <v>1059</v>
      </c>
      <c r="Y157" s="1340" t="s">
        <v>1141</v>
      </c>
      <c r="Z157" s="1340"/>
      <c r="AA157" s="11">
        <f>AB155</f>
        <v>0</v>
      </c>
      <c r="AB157" t="s">
        <v>1142</v>
      </c>
    </row>
    <row r="158" spans="1:32" x14ac:dyDescent="0.2">
      <c r="C158" s="42">
        <f t="shared" ref="C158:H158" si="83">C156*C157</f>
        <v>36.428635872139438</v>
      </c>
      <c r="D158" s="42">
        <f t="shared" si="83"/>
        <v>140.66851894989009</v>
      </c>
      <c r="E158" s="42">
        <f t="shared" si="83"/>
        <v>137.40266338126224</v>
      </c>
      <c r="F158" s="42">
        <f t="shared" si="83"/>
        <v>216.52318792093683</v>
      </c>
      <c r="G158" s="42">
        <f t="shared" si="83"/>
        <v>220.10173055095885</v>
      </c>
      <c r="H158" s="42">
        <f t="shared" si="83"/>
        <v>227.29608090200531</v>
      </c>
      <c r="I158" s="42">
        <f>I156*I157</f>
        <v>227.26723151180954</v>
      </c>
      <c r="Z158" s="85" t="s">
        <v>1143</v>
      </c>
      <c r="AA158" s="43">
        <v>0</v>
      </c>
      <c r="AB158" t="s">
        <v>1144</v>
      </c>
    </row>
    <row r="159" spans="1:32" x14ac:dyDescent="0.2">
      <c r="Z159" s="85"/>
      <c r="AA159" s="43"/>
    </row>
    <row r="160" spans="1:32" x14ac:dyDescent="0.2">
      <c r="A160" t="s">
        <v>185</v>
      </c>
      <c r="C160" s="47">
        <f>C147*$AN$164/100</f>
        <v>2.6493553361555957</v>
      </c>
      <c r="D160" s="47">
        <f t="shared" ref="D160:K160" si="84">D147*$AN$164/100</f>
        <v>20.171780687989695</v>
      </c>
      <c r="E160" s="47">
        <f t="shared" si="84"/>
        <v>30.540361405402596</v>
      </c>
      <c r="F160" s="47">
        <f t="shared" si="84"/>
        <v>45.650160970668011</v>
      </c>
      <c r="G160" s="47">
        <f t="shared" si="84"/>
        <v>55.265362137054417</v>
      </c>
      <c r="H160" s="47">
        <f t="shared" si="84"/>
        <v>62.967593935201258</v>
      </c>
      <c r="I160" s="47">
        <f t="shared" si="84"/>
        <v>62.959601819015553</v>
      </c>
      <c r="J160" s="47">
        <f t="shared" si="84"/>
        <v>62.95796604870646</v>
      </c>
      <c r="K160" s="47">
        <f t="shared" si="84"/>
        <v>62.949495485340051</v>
      </c>
      <c r="Y160" s="75" t="s">
        <v>586</v>
      </c>
      <c r="Z160" s="85"/>
      <c r="AA160" s="43"/>
    </row>
    <row r="161" spans="1:41" x14ac:dyDescent="0.2">
      <c r="A161" t="s">
        <v>184</v>
      </c>
      <c r="C161" s="47">
        <f>C147*$AK$165/100</f>
        <v>0.99350825105834839</v>
      </c>
      <c r="D161" s="47">
        <f t="shared" ref="D161:K161" si="85">D147*$AK$165/100</f>
        <v>7.5644177579961367</v>
      </c>
      <c r="E161" s="47">
        <f t="shared" si="85"/>
        <v>11.452635527025976</v>
      </c>
      <c r="F161" s="47">
        <f t="shared" si="85"/>
        <v>17.118810364000506</v>
      </c>
      <c r="G161" s="47">
        <f t="shared" si="85"/>
        <v>20.724510801395407</v>
      </c>
      <c r="H161" s="47">
        <f t="shared" si="85"/>
        <v>23.612847725700473</v>
      </c>
      <c r="I161" s="47">
        <f t="shared" si="85"/>
        <v>23.609850682130833</v>
      </c>
      <c r="J161" s="47">
        <f t="shared" si="85"/>
        <v>23.609237268264923</v>
      </c>
      <c r="K161" s="47">
        <f t="shared" si="85"/>
        <v>23.606060807002518</v>
      </c>
      <c r="Z161" s="85"/>
      <c r="AA161" s="84" t="s">
        <v>1136</v>
      </c>
      <c r="AB161" s="84" t="s">
        <v>1137</v>
      </c>
      <c r="AC161" s="84" t="s">
        <v>1138</v>
      </c>
      <c r="AI161" s="85"/>
      <c r="AJ161" s="84" t="s">
        <v>1136</v>
      </c>
      <c r="AK161" s="84" t="s">
        <v>1137</v>
      </c>
      <c r="AL161" s="84" t="s">
        <v>1138</v>
      </c>
    </row>
    <row r="162" spans="1:41" x14ac:dyDescent="0.2">
      <c r="Y162" s="1266" t="s">
        <v>1148</v>
      </c>
      <c r="Z162" s="1266"/>
      <c r="AA162" s="20">
        <f>AA151</f>
        <v>90</v>
      </c>
      <c r="AH162" s="1266" t="s">
        <v>1148</v>
      </c>
      <c r="AI162" s="1266"/>
      <c r="AJ162" s="20">
        <v>90</v>
      </c>
    </row>
    <row r="163" spans="1:41" x14ac:dyDescent="0.2">
      <c r="Y163" s="1266" t="s">
        <v>581</v>
      </c>
      <c r="Z163" s="1266"/>
      <c r="AA163" s="43"/>
      <c r="AB163" s="28">
        <f>AB151</f>
        <v>6</v>
      </c>
      <c r="AD163" t="s">
        <v>1143</v>
      </c>
      <c r="AE163" s="48">
        <f>AB163/(1-AA166)</f>
        <v>9.2307692307692299</v>
      </c>
      <c r="AF163" t="s">
        <v>582</v>
      </c>
      <c r="AH163" s="1266" t="s">
        <v>182</v>
      </c>
      <c r="AI163" s="1266"/>
      <c r="AJ163" s="43"/>
      <c r="AL163" s="28">
        <f>AC151</f>
        <v>4</v>
      </c>
    </row>
    <row r="164" spans="1:41" x14ac:dyDescent="0.2">
      <c r="Y164" s="1266" t="s">
        <v>584</v>
      </c>
      <c r="Z164" s="1266"/>
      <c r="AC164" s="28">
        <f>AE163*AA166</f>
        <v>3.2307692307692304</v>
      </c>
      <c r="AD164" t="s">
        <v>585</v>
      </c>
      <c r="AE164" s="48">
        <f>AE163</f>
        <v>9.2307692307692299</v>
      </c>
      <c r="AF164" t="s">
        <v>582</v>
      </c>
      <c r="AH164" s="1266" t="s">
        <v>183</v>
      </c>
      <c r="AI164" s="1266"/>
      <c r="AK164" s="28">
        <f>AN164*(1-AJ166)</f>
        <v>3.2727272727272725</v>
      </c>
      <c r="AM164" t="s">
        <v>1143</v>
      </c>
      <c r="AN164" s="48">
        <f>AL163/(AJ166)</f>
        <v>7.2727272727272725</v>
      </c>
      <c r="AO164" t="s">
        <v>582</v>
      </c>
    </row>
    <row r="165" spans="1:41" x14ac:dyDescent="0.2">
      <c r="Y165" s="1266" t="s">
        <v>583</v>
      </c>
      <c r="Z165" s="1266"/>
      <c r="AC165" s="28">
        <f>AC151-AC164</f>
        <v>0.76923076923076961</v>
      </c>
      <c r="AH165" s="1266" t="s">
        <v>181</v>
      </c>
      <c r="AI165" s="1266"/>
      <c r="AK165" s="28">
        <f>AB151-AK164</f>
        <v>2.7272727272727275</v>
      </c>
      <c r="AM165" t="s">
        <v>585</v>
      </c>
      <c r="AN165" s="48">
        <f>AN164</f>
        <v>7.2727272727272725</v>
      </c>
      <c r="AO165" t="s">
        <v>582</v>
      </c>
    </row>
    <row r="166" spans="1:41" x14ac:dyDescent="0.2">
      <c r="Y166" s="1266" t="s">
        <v>587</v>
      </c>
      <c r="Z166" s="1266"/>
      <c r="AA166" s="18">
        <v>0.35</v>
      </c>
      <c r="AH166" s="1266" t="s">
        <v>587</v>
      </c>
      <c r="AI166" s="1266"/>
      <c r="AJ166" s="18">
        <v>0.55000000000000004</v>
      </c>
    </row>
    <row r="167" spans="1:41" x14ac:dyDescent="0.2">
      <c r="A167" s="12" t="s">
        <v>14</v>
      </c>
    </row>
    <row r="168" spans="1:41" x14ac:dyDescent="0.2">
      <c r="F168" s="40" t="s">
        <v>835</v>
      </c>
      <c r="G168" s="40" t="s">
        <v>945</v>
      </c>
      <c r="H168" s="40" t="s">
        <v>946</v>
      </c>
      <c r="I168" s="40" t="s">
        <v>947</v>
      </c>
      <c r="J168" s="40" t="s">
        <v>948</v>
      </c>
      <c r="K168" s="40" t="s">
        <v>949</v>
      </c>
      <c r="L168" s="40" t="s">
        <v>846</v>
      </c>
      <c r="M168" s="40" t="s">
        <v>847</v>
      </c>
      <c r="N168" s="40" t="s">
        <v>848</v>
      </c>
      <c r="O168" s="40" t="s">
        <v>849</v>
      </c>
      <c r="P168" s="40" t="s">
        <v>509</v>
      </c>
      <c r="Q168" s="40" t="s">
        <v>510</v>
      </c>
      <c r="R168" s="40" t="s">
        <v>368</v>
      </c>
      <c r="S168" s="40" t="s">
        <v>369</v>
      </c>
      <c r="T168" s="40" t="s">
        <v>370</v>
      </c>
      <c r="U168" s="40" t="s">
        <v>371</v>
      </c>
      <c r="V168" s="40" t="s">
        <v>372</v>
      </c>
      <c r="W168" s="40" t="s">
        <v>373</v>
      </c>
      <c r="X168" s="40" t="s">
        <v>374</v>
      </c>
      <c r="Y168" s="40" t="s">
        <v>375</v>
      </c>
      <c r="Z168" s="40" t="s">
        <v>376</v>
      </c>
    </row>
    <row r="169" spans="1:41" x14ac:dyDescent="0.2">
      <c r="A169" s="1266" t="s">
        <v>13</v>
      </c>
      <c r="B169" s="1266"/>
      <c r="C169" s="1266"/>
      <c r="D169" s="1266"/>
      <c r="E169" s="1266"/>
      <c r="F169" s="95">
        <f>C148*'Données Matières'!D52*1000</f>
        <v>236549.58358532106</v>
      </c>
      <c r="G169" s="95">
        <f>D148*'Données Matières'!E52*1000</f>
        <v>1801051.8471419374</v>
      </c>
      <c r="H169" s="80">
        <f>E148*'Données Matières'!F52*1000</f>
        <v>2726817.9826252316</v>
      </c>
      <c r="I169" s="80">
        <f>F148*'Données Matières'!G52*1000</f>
        <v>4075907.2295239298</v>
      </c>
      <c r="J169" s="80">
        <f>G148*'Données Matières'!H52*1000</f>
        <v>4934407.333665574</v>
      </c>
      <c r="K169" s="80">
        <f>H148*'Données Matières'!I52*1000</f>
        <v>5622106.6013572542</v>
      </c>
      <c r="L169" s="80">
        <f>I148*'Données Matières'!J52*1000</f>
        <v>5621393.0195549605</v>
      </c>
      <c r="M169" s="80">
        <f>J148*'Données Matières'!K52*1000</f>
        <v>5621246.9686345058</v>
      </c>
      <c r="N169" s="80">
        <f>K148*'Données Matières'!L52*1000</f>
        <v>5620490.6683339328</v>
      </c>
      <c r="O169" s="80">
        <f>L148*'Données Matières'!M52*1000</f>
        <v>5626773.7109413724</v>
      </c>
      <c r="P169" s="80">
        <f>M148*'Données Matières'!N52*1000</f>
        <v>5626773.7109413724</v>
      </c>
      <c r="Q169" s="80">
        <f>N148*'Données Matières'!O52*1000</f>
        <v>5626773.7109413724</v>
      </c>
      <c r="R169" s="80">
        <f>O148*'Données Matières'!P52*1000</f>
        <v>5626773.7109413724</v>
      </c>
      <c r="S169" s="80">
        <f>P148*'Données Matières'!Q52*1000</f>
        <v>5626773.7109413724</v>
      </c>
      <c r="T169" s="80">
        <f>Q148*'Données Matières'!R52*1000</f>
        <v>5626773.7109413724</v>
      </c>
      <c r="U169" s="80">
        <f>R148*'Données Matières'!S52*1000</f>
        <v>5626773.7109413724</v>
      </c>
      <c r="V169" s="80">
        <f>S148*'Données Matières'!T52*1000</f>
        <v>5626773.7109413724</v>
      </c>
      <c r="W169" s="80">
        <f>T148*'Données Matières'!U52*1000</f>
        <v>5626773.7109413724</v>
      </c>
      <c r="X169" s="80">
        <f>U148*'Données Matières'!V52*1000</f>
        <v>5626773.7109413724</v>
      </c>
      <c r="Y169" s="80">
        <f>V148*'Données Matières'!W52*1000</f>
        <v>5626773.7109413724</v>
      </c>
      <c r="Z169" s="80">
        <f>W148*'Données Matières'!X52*1000</f>
        <v>5626773.7109413724</v>
      </c>
    </row>
    <row r="170" spans="1:41" x14ac:dyDescent="0.2">
      <c r="A170" s="1266" t="s">
        <v>905</v>
      </c>
      <c r="B170" s="1266"/>
      <c r="C170" s="1266"/>
      <c r="D170" s="1266"/>
      <c r="E170" s="1266"/>
      <c r="F170" s="95">
        <f>C99*1000*('Données Matières'!D60+'Données Matières'!D62+'Données Matières'!D34)+C99*(1-C83)*1000*'Données Matières'!D64</f>
        <v>0</v>
      </c>
      <c r="G170" s="95">
        <f>D99*1000*('Données Matières'!E60+'Données Matières'!E62+'Données Matières'!E34)+D99*(1-D83)*1000*'Données Matières'!E64</f>
        <v>0</v>
      </c>
      <c r="H170" s="95">
        <f>E99*1000*('Données Matières'!F60+'Données Matières'!F62+'Données Matières'!F34)+E99*(1-E83)*1000*'Données Matières'!F64</f>
        <v>0</v>
      </c>
      <c r="I170" s="95">
        <f>F99*1000*('Données Matières'!G60+'Données Matières'!G62+'Données Matières'!G34)+F99*(1-F83)*1000*'Données Matières'!G64</f>
        <v>0</v>
      </c>
      <c r="J170" s="95">
        <f>G99*1000*('Données Matières'!H60+'Données Matières'!H62+'Données Matières'!H34)+G99*(1-G83)*1000*'Données Matières'!H64</f>
        <v>0</v>
      </c>
      <c r="K170" s="95">
        <f>H99*1000*('Données Matières'!I60+'Données Matières'!I62+'Données Matières'!I34)+H99*(1-H83)*1000*'Données Matières'!I64</f>
        <v>0</v>
      </c>
      <c r="L170" s="95">
        <f>I99*1000*('Données Matières'!J60+'Données Matières'!J62+'Données Matières'!J34)+I99*(1-I83)*1000*'Données Matières'!J64</f>
        <v>0</v>
      </c>
      <c r="M170" s="95">
        <f>J99*1000*('Données Matières'!K60+'Données Matières'!K62+'Données Matières'!K34)+J99*(1-J83)*1000*'Données Matières'!K64</f>
        <v>0</v>
      </c>
      <c r="N170" s="95">
        <f>K99*1000*('Données Matières'!L60+'Données Matières'!L62+'Données Matières'!L34)+K99*(1-K83)*1000*'Données Matières'!L64</f>
        <v>0</v>
      </c>
      <c r="O170" s="95">
        <f>L99*1000*('Données Matières'!M60+'Données Matières'!M62+'Données Matières'!M34)+L99*(1-L83)*1000*'Données Matières'!M64</f>
        <v>0</v>
      </c>
      <c r="P170" s="95">
        <f>M99*1000*('Données Matières'!N60+'Données Matières'!N62+'Données Matières'!N34)+M99*(1-M83)*1000*'Données Matières'!N64</f>
        <v>0</v>
      </c>
      <c r="Q170" s="95">
        <f>N99*1000*('Données Matières'!O60+'Données Matières'!O62+'Données Matières'!O34)+N99*(1-N83)*1000*'Données Matières'!O64</f>
        <v>0</v>
      </c>
      <c r="R170" s="95">
        <f>O99*1000*('Données Matières'!P60+'Données Matières'!P62+'Données Matières'!P34)+O99*(1-O83)*1000*'Données Matières'!P64</f>
        <v>0</v>
      </c>
      <c r="S170" s="95">
        <f>P99*1000*('Données Matières'!Q60+'Données Matières'!Q62+'Données Matières'!Q34)+P99*(1-P83)*1000*'Données Matières'!Q64</f>
        <v>0</v>
      </c>
      <c r="T170" s="95">
        <f>Q99*1000*('Données Matières'!R60+'Données Matières'!R62+'Données Matières'!R34)+Q99*(1-Q83)*1000*'Données Matières'!R64</f>
        <v>0</v>
      </c>
      <c r="U170" s="95">
        <f>R99*1000*('Données Matières'!S60+'Données Matières'!S62+'Données Matières'!S34)+R99*(1-R83)*1000*'Données Matières'!S64</f>
        <v>0</v>
      </c>
      <c r="V170" s="95">
        <f>S99*1000*('Données Matières'!T60+'Données Matières'!T62+'Données Matières'!T34)+S99*(1-S83)*1000*'Données Matières'!T64</f>
        <v>0</v>
      </c>
      <c r="W170" s="95">
        <f>T99*1000*('Données Matières'!U60+'Données Matières'!U62+'Données Matières'!U34)+T99*(1-T83)*1000*'Données Matières'!U64</f>
        <v>0</v>
      </c>
      <c r="X170" s="95">
        <f>U99*1000*('Données Matières'!V60+'Données Matières'!V62+'Données Matières'!V34)+U99*(1-U83)*1000*'Données Matières'!V64</f>
        <v>0</v>
      </c>
      <c r="Y170" s="95">
        <f>V99*1000*('Données Matières'!W60+'Données Matières'!W62+'Données Matières'!W34)+V99*(1-V83)*1000*'Données Matières'!W64</f>
        <v>0</v>
      </c>
      <c r="Z170" s="95">
        <f>W99*1000*('Données Matières'!X60+'Données Matières'!X62+'Données Matières'!X34)+W99*(1-W83)*1000*'Données Matières'!X64</f>
        <v>0</v>
      </c>
    </row>
    <row r="171" spans="1:41" x14ac:dyDescent="0.2">
      <c r="A171" s="1266" t="s">
        <v>911</v>
      </c>
      <c r="B171" s="1266"/>
      <c r="C171" s="1266"/>
      <c r="D171" s="1266"/>
      <c r="E171" s="1266"/>
      <c r="F171" s="95">
        <f>C100*1000*('Données Matières'!D59+'Données Matières'!D61+'Données Matières'!D35)+C100*(1-C84)*1000*'Données Matières'!D63</f>
        <v>0</v>
      </c>
      <c r="G171" s="95">
        <f>D100*1000*('Données Matières'!E59+'Données Matières'!E61+'Données Matières'!E35)+D100*(1-D84)*1000*'Données Matières'!E63</f>
        <v>0</v>
      </c>
      <c r="H171" s="95">
        <f>E100*1000*('Données Matières'!F59+'Données Matières'!F61+'Données Matières'!F35)+E100*(1-E84)*1000*'Données Matières'!F63</f>
        <v>0</v>
      </c>
      <c r="I171" s="95">
        <f>F100*1000*('Données Matières'!G59+'Données Matières'!G61+'Données Matières'!G35)+F100*(1-F84)*1000*'Données Matières'!G63</f>
        <v>0</v>
      </c>
      <c r="J171" s="95">
        <f>G100*1000*('Données Matières'!H59+'Données Matières'!H61+'Données Matières'!H35)+G100*(1-G84)*1000*'Données Matières'!H63</f>
        <v>0</v>
      </c>
      <c r="K171" s="95">
        <f>H100*1000*('Données Matières'!I59+'Données Matières'!I61+'Données Matières'!I35)+H100*(1-H84)*1000*'Données Matières'!I63</f>
        <v>0</v>
      </c>
      <c r="L171" s="95">
        <f>I100*1000*('Données Matières'!J59+'Données Matières'!J61+'Données Matières'!J35)+I100*(1-I84)*1000*'Données Matières'!J63</f>
        <v>0</v>
      </c>
      <c r="M171" s="95">
        <f>J100*1000*('Données Matières'!K59+'Données Matières'!K61+'Données Matières'!K35)+J100*(1-J84)*1000*'Données Matières'!K63</f>
        <v>0</v>
      </c>
      <c r="N171" s="95">
        <f>K100*1000*('Données Matières'!L59+'Données Matières'!L61+'Données Matières'!L35)+K100*(1-K84)*1000*'Données Matières'!L63</f>
        <v>0</v>
      </c>
      <c r="O171" s="95">
        <f>L100*1000*('Données Matières'!M59+'Données Matières'!M61+'Données Matières'!M35)+L100*(1-L84)*1000*'Données Matières'!M63</f>
        <v>0</v>
      </c>
      <c r="P171" s="95">
        <f>M100*1000*('Données Matières'!N59+'Données Matières'!N61+'Données Matières'!N35)+M100*(1-M84)*1000*'Données Matières'!N63</f>
        <v>0</v>
      </c>
      <c r="Q171" s="95">
        <f>N100*1000*('Données Matières'!O59+'Données Matières'!O61+'Données Matières'!O35)+N100*(1-N84)*1000*'Données Matières'!O63</f>
        <v>0</v>
      </c>
      <c r="R171" s="95">
        <f>O100*1000*('Données Matières'!P59+'Données Matières'!P61+'Données Matières'!P35)+O100*(1-O84)*1000*'Données Matières'!P63</f>
        <v>0</v>
      </c>
      <c r="S171" s="95">
        <f>P100*1000*('Données Matières'!Q59+'Données Matières'!Q61+'Données Matières'!Q35)+P100*(1-P84)*1000*'Données Matières'!Q63</f>
        <v>0</v>
      </c>
      <c r="T171" s="95">
        <f>Q100*1000*('Données Matières'!R59+'Données Matières'!R61+'Données Matières'!R35)+Q100*(1-Q84)*1000*'Données Matières'!R63</f>
        <v>0</v>
      </c>
      <c r="U171" s="95">
        <f>R100*1000*('Données Matières'!S59+'Données Matières'!S61+'Données Matières'!S35)+R100*(1-R84)*1000*'Données Matières'!S63</f>
        <v>0</v>
      </c>
      <c r="V171" s="95">
        <f>S100*1000*('Données Matières'!T59+'Données Matières'!T61+'Données Matières'!T35)+S100*(1-S84)*1000*'Données Matières'!T63</f>
        <v>0</v>
      </c>
      <c r="W171" s="95">
        <f>T100*1000*('Données Matières'!U59+'Données Matières'!U61+'Données Matières'!U35)+T100*(1-T84)*1000*'Données Matières'!U63</f>
        <v>0</v>
      </c>
      <c r="X171" s="95">
        <f>U100*1000*('Données Matières'!V59+'Données Matières'!V61+'Données Matières'!V35)+U100*(1-U84)*1000*'Données Matières'!V63</f>
        <v>0</v>
      </c>
      <c r="Y171" s="95">
        <f>V100*1000*('Données Matières'!W59+'Données Matières'!W61+'Données Matières'!W35)+V100*(1-V84)*1000*'Données Matières'!W63</f>
        <v>0</v>
      </c>
      <c r="Z171" s="95">
        <f>W100*1000*('Données Matières'!X59+'Données Matières'!X61+'Données Matières'!X35)+W100*(1-W84)*1000*'Données Matières'!X63</f>
        <v>0</v>
      </c>
    </row>
    <row r="172" spans="1:41" x14ac:dyDescent="0.2">
      <c r="A172" s="1266" t="s">
        <v>534</v>
      </c>
      <c r="B172" s="1266"/>
      <c r="C172" s="1266"/>
      <c r="D172" s="1266"/>
      <c r="E172" s="1266"/>
      <c r="F172" s="95">
        <f>C137*('Données Matières'!D36+'Données Matières'!D62)*1000+(C137*(1-C83))*'Données Matières'!D64*1000</f>
        <v>0</v>
      </c>
      <c r="G172" s="95">
        <f>Scénario!B25/'Données gestion'!D9*1000+Scénario!B16*('Données Matières'!E60+'Données Matières'!E62)*1000+Scénario!B16*(1-'Données PAMCHR'!D83)*'Données Matières'!E64*1000</f>
        <v>1776058.5131945352</v>
      </c>
      <c r="H172" s="95">
        <f>Scénario!C25/'Données gestion'!E9*1000+Scénario!C16*('Données Matières'!F60+'Données Matières'!F62)*1000+Scénario!C16*(1-'Données PAMCHR'!E83)*'Données Matières'!F64*1000</f>
        <v>3439631.2252449864</v>
      </c>
      <c r="I172" s="95">
        <f>Scénario!D25/'Données gestion'!F9*1000+Scénario!D16*('Données Matières'!G60+'Données Matières'!G62)*1000+Scénario!D16*(1-'Données PAMCHR'!F83)*'Données Matières'!G64*1000</f>
        <v>5599135.6960132578</v>
      </c>
      <c r="J172" s="95">
        <f>Scénario!E25/'Données gestion'!G9*1000+Scénario!E16*('Données Matières'!H60+'Données Matières'!H62)*1000+Scénario!E16*(1-'Données PAMCHR'!G83)*'Données Matières'!H64*1000</f>
        <v>6607411.4231425934</v>
      </c>
      <c r="K172" s="95">
        <f>Scénario!F25/'Données gestion'!H9*1000+Scénario!F16*('Données Matières'!I60+'Données Matières'!I62)*1000+Scénario!F16*(1-'Données PAMCHR'!H83)*'Données Matières'!I64*1000</f>
        <v>6888245.7757732449</v>
      </c>
      <c r="L172" s="95">
        <f>Scénario!G25/'Données gestion'!I9*1000+Scénario!G16*('Données Matières'!J60+'Données Matières'!J62)*1000+Scénario!G16*(1-'Données PAMCHR'!I83)*'Données Matières'!J64*1000</f>
        <v>6741067.8788630422</v>
      </c>
      <c r="M172" s="95">
        <f>Scénario!H25/'Données gestion'!J9*1000+Scénario!H16*('Données Matières'!K60+'Données Matières'!K62)*1000+Scénario!H16*(1-'Données PAMCHR'!J83)*'Données Matières'!K64*1000</f>
        <v>6533872.0970188882</v>
      </c>
      <c r="N172" s="95">
        <f>Scénario!I25/'Données gestion'!K9*1000+Scénario!I16*('Données Matières'!L60+'Données Matières'!L62)*1000+Scénario!I16*(1-'Données PAMCHR'!K83)*'Données Matières'!L64*1000</f>
        <v>6500272.5125066899</v>
      </c>
      <c r="O172" s="95">
        <f>Scénario!J25/'Données gestion'!L9*1000+Scénario!J16*('Données Matières'!M60+'Données Matières'!M62)*1000+Scénario!J16*(1-'Données PAMCHR'!L83)*'Données Matières'!M64*1000</f>
        <v>6481851.5890254481</v>
      </c>
      <c r="P172" s="95">
        <f>Scénario!K25/'Données gestion'!M9*1000+Scénario!K16*('Données Matières'!N60+'Données Matières'!N62)*1000+Scénario!K16*(1-'Données PAMCHR'!M83)*'Données Matières'!N64*1000</f>
        <v>6513990.0413989918</v>
      </c>
      <c r="Q172" s="95">
        <f>Scénario!L25/'Données gestion'!N9*1000+Scénario!L16*('Données Matières'!O60+'Données Matières'!O62)*1000+Scénario!L16*(1-'Données PAMCHR'!N83)*'Données Matières'!O64*1000</f>
        <v>6547071.7952471944</v>
      </c>
      <c r="R172" s="95">
        <f>Scénario!M25/'Données gestion'!O9*1000+Scénario!M16*('Données Matières'!P60+'Données Matières'!P62)*1000+Scénario!M16*(1-'Données PAMCHR'!O83)*'Données Matières'!P64*1000</f>
        <v>6581124.9410933303</v>
      </c>
      <c r="S172" s="95">
        <f>Scénario!N25/'Données gestion'!P9*1000+Scénario!N16*('Données Matières'!Q60+'Données Matières'!Q62)*1000+Scénario!N16*(1-'Données PAMCHR'!P83)*'Données Matières'!Q64*1000</f>
        <v>6616178.4100911608</v>
      </c>
      <c r="T172" s="95">
        <f>Scénario!O25/'Données gestion'!Q9*1000+Scénario!O16*('Données Matières'!R60+'Données Matières'!R62)*1000+Scénario!O16*(1-'Données PAMCHR'!Q83)*'Données Matières'!R64*1000</f>
        <v>6652261.9992230022</v>
      </c>
      <c r="U172" s="95">
        <f>Scénario!P25/'Données gestion'!R9*1000+Scénario!P16*('Données Matières'!S60+'Données Matières'!S62)*1000+Scénario!P16*(1-'Données PAMCHR'!R83)*'Données Matières'!S64*1000</f>
        <v>6689406.3972535124</v>
      </c>
      <c r="V172" s="95">
        <f>Scénario!Q25/'Données gestion'!S9*1000+Scénario!Q16*('Données Matières'!T60+'Données Matières'!T62)*1000+Scénario!Q16*(1-'Données PAMCHR'!S83)*'Données Matières'!T64*1000</f>
        <v>6727643.2114619017</v>
      </c>
      <c r="W172" s="95">
        <f>Scénario!R25/'Données gestion'!T9*1000+Scénario!R16*('Données Matières'!U60+'Données Matières'!U62)*1000+Scénario!R16*(1-'Données PAMCHR'!T83)*'Données Matières'!U64*1000</f>
        <v>6767004.9951758748</v>
      </c>
      <c r="X172" s="95">
        <f>Scénario!S25/'Données gestion'!U9*1000+Scénario!S16*('Données Matières'!V60+'Données Matières'!V62)*1000+Scénario!S16*(1-'Données PAMCHR'!U83)*'Données Matières'!V64*1000</f>
        <v>6807525.2761313915</v>
      </c>
      <c r="Y172" s="95">
        <f>Scénario!T25/'Données gestion'!V9*1000+Scénario!T16*('Données Matières'!W60+'Données Matières'!W62)*1000+Scénario!T16*(1-'Données PAMCHR'!V83)*'Données Matières'!W64*1000</f>
        <v>6849238.5856830021</v>
      </c>
      <c r="Z172" s="95">
        <f>Scénario!U25/'Données gestion'!W9*1000+Scénario!U16*('Données Matières'!X60+'Données Matières'!X62)*1000+Scénario!U16*(1-'Données PAMCHR'!W83)*'Données Matières'!X64*1000</f>
        <v>6892180.4888902605</v>
      </c>
    </row>
    <row r="173" spans="1:41" x14ac:dyDescent="0.2">
      <c r="A173" s="1266" t="s">
        <v>535</v>
      </c>
      <c r="B173" s="1266"/>
      <c r="C173" s="1266"/>
      <c r="D173" s="1266"/>
      <c r="E173" s="1266"/>
      <c r="F173" s="95">
        <f>(C144)*('Données Economie Circulaire'!F28+'Données Matières'!D62)*1000+(C144)*(1-C83)*'Données Matières'!D64*1000</f>
        <v>131991.16320233382</v>
      </c>
      <c r="G173" s="95">
        <f>Scénario!B20/'Données gestion'!D9*1000+Scénario!B7*('Données Matières'!E60+'Données Matières'!E62)*1000+Scénario!B7*(1-'Données PAMCHR'!D83)*'Données Matières'!E64*1000</f>
        <v>747204.44622857147</v>
      </c>
      <c r="H173" s="95">
        <f>Scénario!C20/'Données gestion'!E9*1000+Scénario!C7*('Données Matières'!F60+'Données Matières'!F62)*1000+Scénario!C7*(1-'Données PAMCHR'!E83)*'Données Matières'!F64*1000</f>
        <v>888439.12024800002</v>
      </c>
      <c r="I173" s="95">
        <f>Scénario!D20/'Données gestion'!F9*1000+Scénario!D7*('Données Matières'!G60+'Données Matières'!G62)*1000+Scénario!D7*(1-'Données PAMCHR'!F83)*'Données Matières'!G64*1000</f>
        <v>1201583.2242786943</v>
      </c>
      <c r="J173" s="95">
        <f>Scénario!E20/'Données gestion'!G9*1000+Scénario!E7*('Données Matières'!H60+'Données Matières'!H62)*1000+Scénario!E7*(1-'Données PAMCHR'!G83)*'Données Matières'!H64*1000</f>
        <v>1465367.0238783262</v>
      </c>
      <c r="K173" s="95">
        <f>Scénario!F20/'Données gestion'!H9*1000+Scénario!F7*('Données Matières'!I60+'Données Matières'!I62)*1000+Scénario!F7*(1-'Données PAMCHR'!H83)*'Données Matières'!I64*1000</f>
        <v>1766078.7607290577</v>
      </c>
      <c r="L173" s="95">
        <f>Scénario!G20/'Données gestion'!I9*1000+Scénario!G7*('Données Matières'!J60+'Données Matières'!J62)*1000+Scénario!G7*(1-'Données PAMCHR'!I83)*'Données Matières'!J64*1000</f>
        <v>1824353.4701012203</v>
      </c>
      <c r="M173" s="95">
        <f>Scénario!H20/'Données gestion'!J9*1000+Scénario!H7*('Données Matières'!K60+'Données Matières'!K62)*1000+Scénario!H7*(1-'Données PAMCHR'!J83)*'Données Matières'!K64*1000</f>
        <v>1880410.6300916648</v>
      </c>
      <c r="N173" s="95">
        <f>Scénario!I20/'Données gestion'!K9*1000+Scénario!I7*('Données Matières'!L60+'Données Matières'!L62)*1000+Scénario!I7*(1-'Données PAMCHR'!K83)*'Données Matières'!L64*1000</f>
        <v>1919484.0575782149</v>
      </c>
      <c r="O173" s="95">
        <f>Scénario!J20/'Données gestion'!L9*1000+Scénario!J7*('Données Matières'!M60+'Données Matières'!M62)*1000+Scénario!J7*(1-'Données PAMCHR'!L83)*'Données Matières'!M64*1000</f>
        <v>1956618.669805042</v>
      </c>
      <c r="P173" s="95">
        <f>Scénario!K20/'Données gestion'!M9*1000+Scénario!K7*('Données Matières'!N60+'Données Matières'!N62)*1000+Scénario!K7*(1-'Données PAMCHR'!M83)*'Données Matières'!N64*1000</f>
        <v>1993430.3591229625</v>
      </c>
      <c r="Q173" s="95">
        <f>Scénario!L20/'Données gestion'!N9*1000+Scénario!L7*('Données Matières'!O60+'Données Matières'!O62)*1000+Scénario!L7*(1-'Données PAMCHR'!N83)*'Données Matières'!O64*1000</f>
        <v>2031322.5149305156</v>
      </c>
      <c r="R173" s="95">
        <f>Scénario!M20/'Données gestion'!O9*1000+Scénario!M7*('Données Matières'!P60+'Données Matières'!P62)*1000+Scénario!M7*(1-'Données PAMCHR'!O83)*'Données Matières'!P64*1000</f>
        <v>2070327.3123804908</v>
      </c>
      <c r="S173" s="95">
        <f>Scénario!N20/'Données gestion'!P9*1000+Scénario!N7*('Données Matières'!Q60+'Données Matières'!Q62)*1000+Scénario!N7*(1-'Données PAMCHR'!P83)*'Données Matières'!Q64*1000</f>
        <v>2110477.8894918431</v>
      </c>
      <c r="T173" s="95">
        <f>Scénario!O20/'Données gestion'!Q9*1000+Scénario!O7*('Données Matières'!R60+'Données Matières'!R62)*1000+Scénario!O7*(1-'Données PAMCHR'!Q83)*'Données Matières'!R64*1000</f>
        <v>2151808.3760117926</v>
      </c>
      <c r="U173" s="95">
        <f>Scénario!P20/'Données gestion'!R9*1000+Scénario!P7*('Données Matières'!S60+'Données Matières'!S62)*1000+Scénario!P7*(1-'Données PAMCHR'!R83)*'Données Matières'!S64*1000</f>
        <v>2194353.9231435498</v>
      </c>
      <c r="V173" s="95">
        <f>Scénario!Q20/'Données gestion'!S9*1000+Scénario!Q7*('Données Matières'!T60+'Données Matières'!T62)*1000+Scénario!Q7*(1-'Données PAMCHR'!S83)*'Données Matières'!T64*1000</f>
        <v>2238150.7341656312</v>
      </c>
      <c r="W173" s="95">
        <f>Scénario!R20/'Données gestion'!T9*1000+Scénario!R7*('Données Matières'!U60+'Données Matières'!U62)*1000+Scénario!R7*(1-'Données PAMCHR'!T83)*'Données Matières'!U64*1000</f>
        <v>2283236.0959695093</v>
      </c>
      <c r="X173" s="95">
        <f>Scénario!S20/'Données gestion'!U9*1000+Scénario!S7*('Données Matières'!V60+'Données Matières'!V62)*1000+Scénario!S7*(1-'Données PAMCHR'!U83)*'Données Matières'!V64*1000</f>
        <v>2329648.4115431504</v>
      </c>
      <c r="Y173" s="95">
        <f>Scénario!T20/'Données gestion'!V9*1000+Scénario!T7*('Données Matières'!W60+'Données Matières'!W62)*1000+Scénario!T7*(1-'Données PAMCHR'!V83)*'Données Matières'!W64*1000</f>
        <v>2377427.2334288033</v>
      </c>
      <c r="Z173" s="95">
        <f>Scénario!U20/'Données gestion'!W9*1000+Scénario!U7*('Données Matières'!X60+'Données Matières'!X62)*1000+Scénario!U7*(1-'Données PAMCHR'!W83)*'Données Matières'!X64*1000</f>
        <v>2426613.2981842761</v>
      </c>
    </row>
    <row r="174" spans="1:41" x14ac:dyDescent="0.2">
      <c r="A174" s="1266" t="s">
        <v>630</v>
      </c>
      <c r="B174" s="1266"/>
      <c r="C174" s="1266"/>
      <c r="D174" s="1266"/>
      <c r="E174" s="1266"/>
      <c r="F174" s="95">
        <f>C138*('Données Matières'!D37+'Données Matières'!D61)*1000+C138*(1-C84)*'Données Matières'!D63*1000</f>
        <v>0</v>
      </c>
      <c r="G174" s="95">
        <f>Scénario!B26/'Données gestion'!D9*1000+Scénario!B17*('Données Matières'!E59+'Données Matières'!E61)*1000+Scénario!B17*(1-'Données PAMCHR'!D84)*'Données Matières'!E63*1000</f>
        <v>1800513.7517825072</v>
      </c>
      <c r="H174" s="95">
        <f>Scénario!C26/'Données gestion'!E9*1000+Scénario!C17*('Données Matières'!F59+'Données Matières'!F61)*1000+Scénario!C17*(1-'Données PAMCHR'!E84)*'Données Matières'!F63*1000</f>
        <v>3504776.9923958415</v>
      </c>
      <c r="I174" s="95">
        <f>Scénario!D26/'Données gestion'!F9*1000+Scénario!D17*('Données Matières'!G59+'Données Matières'!G61)*1000+Scénario!D17*(1-'Données PAMCHR'!F84)*'Données Matières'!G63*1000</f>
        <v>5734724.6249406096</v>
      </c>
      <c r="J174" s="95">
        <f>Scénario!E26/'Données gestion'!G9*1000+Scénario!E17*('Données Matières'!H59+'Données Matières'!H61)*1000+Scénario!E17*(1-'Données PAMCHR'!G84)*'Données Matières'!H63*1000</f>
        <v>6802987.0017583575</v>
      </c>
      <c r="K174" s="95">
        <f>Scénario!F26/'Données gestion'!H9*1000+Scénario!F17*('Données Matières'!I59+'Données Matières'!I61)*1000+Scénario!F17*(1-'Données PAMCHR'!H84)*'Données Matières'!I63*1000</f>
        <v>7129961.2443023426</v>
      </c>
      <c r="L174" s="95">
        <f>Scénario!G26/'Données gestion'!I9*1000+Scénario!G17*('Données Matières'!J59+'Données Matières'!J61)*1000+Scénario!G17*(1-'Données PAMCHR'!I84)*'Données Matières'!J63*1000</f>
        <v>7015374.4463168588</v>
      </c>
      <c r="M174" s="95">
        <f>Scénario!H26/'Données gestion'!J9*1000+Scénario!H17*('Données Matières'!K59+'Données Matières'!K61)*1000+Scénario!H17*(1-'Données PAMCHR'!J84)*'Données Matières'!K63*1000</f>
        <v>6837063.3585025948</v>
      </c>
      <c r="N174" s="95">
        <f>Scénario!I26/'Données gestion'!K9*1000+Scénario!I17*('Données Matières'!L59+'Données Matières'!L61)*1000+Scénario!I17*(1-'Données PAMCHR'!K84)*'Données Matières'!L63*1000</f>
        <v>6839751.8454694301</v>
      </c>
      <c r="O174" s="95">
        <f>Scénario!J26/'Données gestion'!L9*1000+Scénario!J17*('Données Matières'!M59+'Données Matières'!M61)*1000+Scénario!J17*(1-'Données PAMCHR'!L84)*'Données Matières'!M63*1000</f>
        <v>6858835.8851923514</v>
      </c>
      <c r="P174" s="95">
        <f>Scénario!K26/'Données gestion'!M9*1000+Scénario!K17*('Données Matières'!N59+'Données Matières'!N61)*1000+Scénario!K17*(1-'Données PAMCHR'!M84)*'Données Matières'!N63*1000</f>
        <v>6932237.4525079019</v>
      </c>
      <c r="Q174" s="95">
        <f>Scénario!L26/'Données gestion'!N9*1000+Scénario!L17*('Données Matières'!O59+'Données Matières'!O61)*1000+Scénario!L17*(1-'Données PAMCHR'!N84)*'Données Matières'!O63*1000</f>
        <v>7007782.4203213761</v>
      </c>
      <c r="R174" s="95">
        <f>Scénario!M26/'Données gestion'!O9*1000+Scénario!M17*('Données Matières'!P59+'Données Matières'!P61)*1000+Scénario!M17*(1-'Données PAMCHR'!O84)*'Données Matières'!P63*1000</f>
        <v>7085534.5041824989</v>
      </c>
      <c r="S174" s="95">
        <f>Scénario!N26/'Données gestion'!P9*1000+Scénario!N17*('Données Matières'!Q59+'Données Matières'!Q61)*1000+Scénario!N17*(1-'Données PAMCHR'!P84)*'Données Matières'!Q63*1000</f>
        <v>7165559.3252428314</v>
      </c>
      <c r="T174" s="95">
        <f>Scénario!O26/'Données gestion'!Q9*1000+Scénario!O17*('Données Matières'!R59+'Données Matières'!R61)*1000+Scénario!O17*(1-'Données PAMCHR'!Q84)*'Données Matières'!R63*1000</f>
        <v>7247924.4673651848</v>
      </c>
      <c r="U174" s="95">
        <f>Scénario!P26/'Données gestion'!R9*1000+Scénario!P17*('Données Matières'!S59+'Données Matières'!S61)*1000+Scénario!P17*(1-'Données PAMCHR'!R84)*'Données Matières'!S63*1000</f>
        <v>7332699.535945721</v>
      </c>
      <c r="V174" s="95">
        <f>Scénario!Q26/'Données gestion'!S9*1000+Scénario!Q17*('Données Matières'!T59+'Données Matières'!T61)*1000+Scénario!Q17*(1-'Données PAMCHR'!S84)*'Données Matières'!T63*1000</f>
        <v>7419956.2185001289</v>
      </c>
      <c r="W174" s="95">
        <f>Scénario!R26/'Données gestion'!T9*1000+Scénario!R17*('Données Matières'!U59+'Données Matières'!U61)*1000+Scénario!R17*(1-'Données PAMCHR'!T84)*'Données Matières'!U63*1000</f>
        <v>7509768.3470667908</v>
      </c>
      <c r="X174" s="95">
        <f>Scénario!S26/'Données gestion'!U9*1000+Scénario!S17*('Données Matières'!V59+'Données Matières'!V61)*1000+Scénario!S17*(1-'Données PAMCHR'!U84)*'Données Matières'!V63*1000</f>
        <v>7602211.9624814317</v>
      </c>
      <c r="Y174" s="95">
        <f>Scénario!T26/'Données gestion'!V9*1000+Scénario!T17*('Données Matières'!W59+'Données Matières'!W61)*1000+Scénario!T17*(1-'Données PAMCHR'!V84)*'Données Matières'!W63*1000</f>
        <v>7697365.3805793989</v>
      </c>
      <c r="Z174" s="95">
        <f>Scénario!U26/'Données gestion'!W9*1000+Scénario!U17*('Données Matières'!X59+'Données Matières'!X61)*1000+Scénario!U17*(1-'Données PAMCHR'!W84)*'Données Matières'!X63*1000</f>
        <v>7795309.260383402</v>
      </c>
    </row>
    <row r="175" spans="1:41" x14ac:dyDescent="0.2">
      <c r="A175" s="1266" t="s">
        <v>342</v>
      </c>
      <c r="B175" s="1266"/>
      <c r="C175" s="1266"/>
      <c r="D175" s="1266"/>
      <c r="E175" s="1266"/>
      <c r="F175" s="95">
        <f>(C145)*('Données Economie Circulaire'!F29+'Données Matières'!D61)*1000+(C145)*(1-C84)*'Données Matières'!D63*1000</f>
        <v>233614.71729927929</v>
      </c>
      <c r="G175" s="95">
        <f>Scénario!B23/'Données gestion'!D9*1000+Scénario!B10*('Données Matières'!E59+'Données Matières'!E61)*1000+Scénario!B10*(1-'Données PAMCHR'!D84)*'Données Matières'!E63*1000</f>
        <v>861860.96724532556</v>
      </c>
      <c r="H175" s="95">
        <f>Scénario!C23/'Données gestion'!E9*1000+Scénario!C10*('Données Matières'!F59+'Données Matières'!F61)*1000+Scénario!C10*(1-'Données PAMCHR'!E84)*'Données Matières'!F63*1000</f>
        <v>1137700.7381239794</v>
      </c>
      <c r="I175" s="95">
        <f>Scénario!D23/'Données gestion'!F9*1000+Scénario!D10*('Données Matières'!G59+'Données Matières'!G61)*1000+Scénario!D10*(1-'Données PAMCHR'!F84)*'Données Matières'!G63*1000</f>
        <v>1610402.5837896022</v>
      </c>
      <c r="J175" s="95">
        <f>Scénario!E23/'Données gestion'!G9*1000+Scénario!E10*('Données Matières'!H59+'Données Matières'!H61)*1000+Scénario!E10*(1-'Données PAMCHR'!G84)*'Données Matières'!H63*1000</f>
        <v>2175005.6509107091</v>
      </c>
      <c r="K175" s="95">
        <f>Scénario!F23/'Données gestion'!H9*1000+Scénario!F10*('Données Matières'!I59+'Données Matières'!I61)*1000+Scénario!F10*(1-'Données PAMCHR'!H84)*'Données Matières'!I63*1000</f>
        <v>2985662.7480344116</v>
      </c>
      <c r="L175" s="95">
        <f>Scénario!G23/'Données gestion'!I9*1000+Scénario!G10*('Données Matières'!J59+'Données Matières'!J61)*1000+Scénario!G10*(1-'Données PAMCHR'!I84)*'Données Matières'!J63*1000</f>
        <v>3161317.5528758303</v>
      </c>
      <c r="M175" s="95">
        <f>Scénario!H23/'Données gestion'!J9*1000+Scénario!H10*('Données Matières'!K59+'Données Matières'!K61)*1000+Scénario!H10*(1-'Données PAMCHR'!J84)*'Données Matières'!K63*1000</f>
        <v>3401144.2995537804</v>
      </c>
      <c r="N175" s="95">
        <f>Scénario!I23/'Données gestion'!K9*1000+Scénario!I10*('Données Matières'!L59+'Données Matières'!L61)*1000+Scénario!I10*(1-'Données PAMCHR'!K84)*'Données Matières'!L63*1000</f>
        <v>3526699.3408078072</v>
      </c>
      <c r="O175" s="95">
        <f>Scénario!J23/'Données gestion'!L9*1000+Scénario!J10*('Données Matières'!M59+'Données Matières'!M61)*1000+Scénario!J10*(1-'Données PAMCHR'!L84)*'Données Matières'!M63*1000</f>
        <v>3663587.3564134906</v>
      </c>
      <c r="P175" s="95">
        <f>Scénario!K23/'Données gestion'!M9*1000+Scénario!K10*('Données Matières'!N59+'Données Matières'!N61)*1000+Scénario!K10*(1-'Données PAMCHR'!M84)*'Données Matières'!N63*1000</f>
        <v>3748878.0278049465</v>
      </c>
      <c r="Q175" s="95">
        <f>Scénario!L23/'Données gestion'!N9*1000+Scénario!L10*('Données Matières'!O59+'Données Matières'!O61)*1000+Scénario!L10*(1-'Données PAMCHR'!N84)*'Données Matières'!O63*1000</f>
        <v>3836659.2736379937</v>
      </c>
      <c r="R175" s="95">
        <f>Scénario!M23/'Données gestion'!O9*1000+Scénario!M10*('Données Matières'!P59+'Données Matières'!P61)*1000+Scénario!M10*(1-'Données PAMCHR'!O84)*'Données Matières'!P63*1000</f>
        <v>3927005.1296888785</v>
      </c>
      <c r="S175" s="95">
        <f>Scénario!N23/'Données gestion'!P9*1000+Scénario!N10*('Données Matières'!Q59+'Données Matières'!Q61)*1000+Scénario!N10*(1-'Données PAMCHR'!P84)*'Données Matières'!Q63*1000</f>
        <v>4019991.8459925638</v>
      </c>
      <c r="T175" s="95">
        <f>Scénario!O23/'Données gestion'!Q9*1000+Scénario!O10*('Données Matières'!R59+'Données Matières'!R61)*1000+Scénario!O10*(1-'Données PAMCHR'!Q84)*'Données Matières'!R63*1000</f>
        <v>4115697.9532023487</v>
      </c>
      <c r="U175" s="95">
        <f>Scénario!P23/'Données gestion'!R9*1000+Scénario!P10*('Données Matières'!S59+'Données Matières'!S61)*1000+Scénario!P10*(1-'Données PAMCHR'!R84)*'Données Matières'!S63*1000</f>
        <v>4214204.3309395835</v>
      </c>
      <c r="V175" s="95">
        <f>Scénario!Q23/'Données gestion'!S9*1000+Scénario!Q10*('Données Matières'!T59+'Données Matières'!T61)*1000+Scénario!Q10*(1-'Données PAMCHR'!S84)*'Données Matières'!T63*1000</f>
        <v>4315594.2781932037</v>
      </c>
      <c r="W175" s="95">
        <f>Scénario!R23/'Données gestion'!T9*1000+Scénario!R10*('Données Matières'!U59+'Données Matières'!U61)*1000+Scénario!R10*(1-'Données PAMCHR'!T84)*'Données Matières'!U63*1000</f>
        <v>4419953.5858305451</v>
      </c>
      <c r="X175" s="95">
        <f>Scénario!S23/'Données gestion'!U9*1000+Scénario!S10*('Données Matières'!V59+'Données Matières'!V61)*1000+Scénario!S10*(1-'Données PAMCHR'!U84)*'Données Matières'!V63*1000</f>
        <v>4527370.611282777</v>
      </c>
      <c r="Y175" s="95">
        <f>Scénario!T23/'Données gestion'!V9*1000+Scénario!T10*('Données Matières'!W59+'Données Matières'!W61)*1000+Scénario!T10*(1-'Données PAMCHR'!V84)*'Données Matières'!W63*1000</f>
        <v>4637936.3554702085</v>
      </c>
      <c r="Z175" s="95">
        <f>Scénario!U23/'Données gestion'!W9*1000+Scénario!U10*('Données Matières'!X59+'Données Matières'!X61)*1000+Scénario!U10*(1-'Données PAMCHR'!W84)*'Données Matières'!X63*1000</f>
        <v>4751744.5420346092</v>
      </c>
    </row>
    <row r="176" spans="1:41" x14ac:dyDescent="0.2">
      <c r="A176" s="1266" t="s">
        <v>589</v>
      </c>
      <c r="B176" s="1266"/>
      <c r="C176" s="1266"/>
      <c r="D176" s="1266"/>
      <c r="E176" s="1266"/>
      <c r="F176" s="95">
        <f>C152*'Données Matières'!D53*1000+C153*'Données Matières'!D55*1000</f>
        <v>63819.658353818115</v>
      </c>
      <c r="G176" s="95">
        <f>D152*'Données Matières'!E53*1000+D153*'Données Matières'!E55*1000</f>
        <v>485912.98204781179</v>
      </c>
      <c r="H176" s="95">
        <f>E152*'Données Matières'!F53*1000+E153*'Données Matières'!F55*1000</f>
        <v>735679.13080439181</v>
      </c>
      <c r="I176" s="95">
        <f>F152*'Données Matières'!G53*1000+F153*'Données Matières'!G55*1000</f>
        <v>1099655.3150821791</v>
      </c>
      <c r="J176" s="95">
        <f>G152*'Données Matières'!H53*1000+G153*'Données Matières'!H55*1000</f>
        <v>1331273.4921789696</v>
      </c>
      <c r="K176" s="95">
        <f>H152*'Données Matières'!I53*1000+H153*'Données Matières'!I55*1000</f>
        <v>1516810.6284065791</v>
      </c>
      <c r="L176" s="95">
        <f>I152*'Données Matières'!J53*1000+I153*'Données Matières'!J55*1000</f>
        <v>1516618.1083178108</v>
      </c>
      <c r="M176" s="95">
        <f>J152*'Données Matières'!K53*1000+J153*'Données Matières'!K55*1000</f>
        <v>1516578.7046557777</v>
      </c>
      <c r="N176" s="95">
        <f>K152*'Données Matières'!L53*1000+K153*'Données Matières'!L55*1000</f>
        <v>1516374.6593724852</v>
      </c>
      <c r="O176" s="95">
        <f>L152*'Données Matières'!M53*1000+L153*'Données Matières'!M55*1000</f>
        <v>1518069.7865697164</v>
      </c>
      <c r="P176" s="95">
        <f>M152*'Données Matières'!N53*1000+M153*'Données Matières'!N55*1000</f>
        <v>1518069.7865697164</v>
      </c>
      <c r="Q176" s="95">
        <f>N152*'Données Matières'!O53*1000+N153*'Données Matières'!O55*1000</f>
        <v>1518069.7865697164</v>
      </c>
      <c r="R176" s="95">
        <f>O152*'Données Matières'!P53*1000+O153*'Données Matières'!P55*1000</f>
        <v>1518069.7865697164</v>
      </c>
      <c r="S176" s="95">
        <f>P152*'Données Matières'!Q53*1000+P153*'Données Matières'!Q55*1000</f>
        <v>1518069.7865697164</v>
      </c>
      <c r="T176" s="95">
        <f>Q152*'Données Matières'!R53*1000+Q153*'Données Matières'!R55*1000</f>
        <v>1518069.7865697164</v>
      </c>
      <c r="U176" s="95">
        <f>R152*'Données Matières'!S53*1000+R153*'Données Matières'!S55*1000</f>
        <v>1518069.7865697164</v>
      </c>
      <c r="V176" s="95">
        <f>S152*'Données Matières'!T53*1000+S153*'Données Matières'!T55*1000</f>
        <v>1518069.7865697164</v>
      </c>
      <c r="W176" s="95">
        <f>T152*'Données Matières'!U53*1000+T153*'Données Matières'!U55*1000</f>
        <v>1518069.7865697164</v>
      </c>
      <c r="X176" s="95">
        <f>U152*'Données Matières'!V53*1000+U153*'Données Matières'!V55*1000</f>
        <v>1518069.7865697164</v>
      </c>
      <c r="Y176" s="95">
        <f>V152*'Données Matières'!W53*1000+V153*'Données Matières'!W55*1000</f>
        <v>1518069.7865697164</v>
      </c>
      <c r="Z176" s="95">
        <f>W152*'Données Matières'!X53*1000+W153*'Données Matières'!X55*1000</f>
        <v>1518069.7865697164</v>
      </c>
    </row>
    <row r="177" spans="1:26" x14ac:dyDescent="0.2">
      <c r="A177" s="1266" t="s">
        <v>16</v>
      </c>
      <c r="B177" s="1266"/>
      <c r="C177" s="1266"/>
      <c r="D177" s="1266"/>
      <c r="E177" s="1266"/>
      <c r="F177" s="95">
        <f t="shared" ref="F177:M177" si="86">SUM(F169:F176)</f>
        <v>665975.12244075234</v>
      </c>
      <c r="G177" s="95">
        <f t="shared" si="86"/>
        <v>7472602.5076406887</v>
      </c>
      <c r="H177" s="80">
        <f t="shared" si="86"/>
        <v>12433045.189442432</v>
      </c>
      <c r="I177" s="80">
        <f t="shared" si="86"/>
        <v>19321408.673628271</v>
      </c>
      <c r="J177" s="80">
        <f t="shared" si="86"/>
        <v>23316451.925534528</v>
      </c>
      <c r="K177" s="80">
        <f t="shared" si="86"/>
        <v>25908865.758602891</v>
      </c>
      <c r="L177" s="80">
        <f t="shared" si="86"/>
        <v>25880124.476029724</v>
      </c>
      <c r="M177" s="80">
        <f t="shared" si="86"/>
        <v>25790316.058457214</v>
      </c>
      <c r="N177" s="80">
        <f>SUM(N169:N176)</f>
        <v>25923073.084068563</v>
      </c>
      <c r="O177" s="80">
        <f>SUM(O169:O176)</f>
        <v>26105736.997947417</v>
      </c>
      <c r="P177" s="80">
        <f t="shared" ref="P177:Z177" si="87">SUM(P169:P176)</f>
        <v>26333379.378345892</v>
      </c>
      <c r="Q177" s="80">
        <f t="shared" si="87"/>
        <v>26567679.501648173</v>
      </c>
      <c r="R177" s="80">
        <f t="shared" si="87"/>
        <v>26808835.384856291</v>
      </c>
      <c r="S177" s="80">
        <f t="shared" si="87"/>
        <v>27057050.968329489</v>
      </c>
      <c r="T177" s="80">
        <f t="shared" si="87"/>
        <v>27312536.293313421</v>
      </c>
      <c r="U177" s="80">
        <f t="shared" si="87"/>
        <v>27575507.684793457</v>
      </c>
      <c r="V177" s="80">
        <f t="shared" si="87"/>
        <v>27846187.93983195</v>
      </c>
      <c r="W177" s="80">
        <f t="shared" si="87"/>
        <v>28124806.521553807</v>
      </c>
      <c r="X177" s="80">
        <f t="shared" si="87"/>
        <v>28411599.758949839</v>
      </c>
      <c r="Y177" s="80">
        <f t="shared" si="87"/>
        <v>28706811.052672498</v>
      </c>
      <c r="Z177" s="80">
        <f t="shared" si="87"/>
        <v>29010691.087003633</v>
      </c>
    </row>
    <row r="178" spans="1:26" x14ac:dyDescent="0.2">
      <c r="A178" t="s">
        <v>498</v>
      </c>
      <c r="F178" s="178">
        <f>C144*1000*('Données Matières'!D60+'Données Matières'!D62)+C144*(1-C83)*1000*'Données Matières'!D64+C145*1000*('Données Matières'!D59+'Données Matières'!D61)+C145*(1-C84)*'Données Matières'!D63</f>
        <v>254470.27195616678</v>
      </c>
      <c r="G178" s="178">
        <f>G172+G173+G174+G175-Scénario!B25/'Données gestion'!D9*1000-Scénario!B20/'Données gestion'!D9*1000-Scénario!B26/'Données gestion'!D9*1000-Scénario!B23/'Données gestion'!D9*1000</f>
        <v>2018972.2580515468</v>
      </c>
      <c r="H178" s="178">
        <f>H172+H173+H174+H175-Scénario!C25/'Données gestion'!E9*1000-Scénario!C20/'Données gestion'!E9*1000-Scénario!C26/'Données gestion'!E9*1000-Scénario!C23/'Données gestion'!E9*1000</f>
        <v>3186520.5890526115</v>
      </c>
      <c r="I178" s="178">
        <f>I172+I173+I174+I175-Scénario!D25/'Données gestion'!F9*1000-Scénario!D20/'Données gestion'!F9*1000-Scénario!D26/'Données gestion'!F9*1000-Scénario!D23/'Données gestion'!F9*1000</f>
        <v>4918176.8609199012</v>
      </c>
      <c r="J178" s="178">
        <f>J172+J173+J174+J175-Scénario!E25/'Données gestion'!G9*1000-Scénario!E20/'Données gestion'!G9*1000-Scénario!E26/'Données gestion'!G9*1000-Scénario!E23/'Données gestion'!G9*1000</f>
        <v>6153903.5753221093</v>
      </c>
      <c r="K178" s="178">
        <f>K172+K173+K174+K175-Scénario!F25/'Données gestion'!H9*1000-Scénario!F20/'Données gestion'!H9*1000-Scénario!F26/'Données gestion'!H9*1000-Scénario!F23/'Données gestion'!H9*1000</f>
        <v>7261631.7258769497</v>
      </c>
      <c r="L178" s="178">
        <f>L172+L173+L174+L175-Scénario!G25/'Données gestion'!I9*1000-Scénario!G20/'Données gestion'!I9*1000-Scénario!G26/'Données gestion'!I9*1000-Scénario!G23/'Données gestion'!I9*1000</f>
        <v>7472288.0948607009</v>
      </c>
      <c r="M178" s="178">
        <f>M172+M173+M174+M175-Scénario!H25/'Données gestion'!J9*1000-Scénario!H20/'Données gestion'!J9*1000-Scénario!H26/'Données gestion'!J9*1000-Scénario!H23/'Données gestion'!J9*1000</f>
        <v>7701118.4208404124</v>
      </c>
      <c r="N178" s="178">
        <f>N172+N173+N174+N175-Scénario!I25/'Données gestion'!K9*1000-Scénario!I20/'Données gestion'!K9*1000-Scénario!I26/'Données gestion'!K9*1000-Scénario!I23/'Données gestion'!K9*1000</f>
        <v>7921016.4018407846</v>
      </c>
      <c r="O178" s="178">
        <f>O172+O173+O174+O175-Scénario!J25/'Données gestion'!L9*1000-Scénario!J20/'Données gestion'!L9*1000-Scénario!J26/'Données gestion'!L9*1000-Scénario!J23/'Données gestion'!L9*1000</f>
        <v>8159841.0404366655</v>
      </c>
      <c r="P178" s="178">
        <f>P172+P173+P174+P175-Scénario!K25/'Données gestion'!M9*1000-Scénario!K20/'Données gestion'!M9*1000-Scénario!K26/'Données gestion'!M9*1000-Scénario!K23/'Données gestion'!M9*1000</f>
        <v>8387483.4208351364</v>
      </c>
      <c r="Q178" s="178">
        <f>Q172+Q173+Q174+Q175-Scénario!L25/'Données gestion'!N9*1000-Scénario!L20/'Données gestion'!N9*1000-Scénario!L26/'Données gestion'!N9*1000-Scénario!L23/'Données gestion'!N9*1000</f>
        <v>8621783.5441374127</v>
      </c>
      <c r="R178" s="178">
        <f>R172+R173+R174+R175-Scénario!M25/'Données gestion'!O9*1000-Scénario!M20/'Données gestion'!O9*1000-Scénario!M26/'Données gestion'!O9*1000-Scénario!M23/'Données gestion'!O9*1000</f>
        <v>8862939.4273455311</v>
      </c>
      <c r="S178" s="178">
        <f>S172+S173+S174+S175-Scénario!N25/'Données gestion'!P9*1000-Scénario!N20/'Données gestion'!P9*1000-Scénario!N26/'Données gestion'!P9*1000-Scénario!N23/'Données gestion'!P9*1000</f>
        <v>9111155.0108187329</v>
      </c>
      <c r="T178" s="178">
        <f>T172+T173+T174+T175-Scénario!O25/'Données gestion'!Q9*1000-Scénario!O20/'Données gestion'!Q9*1000-Scénario!O26/'Données gestion'!Q9*1000-Scénario!O23/'Données gestion'!Q9*1000</f>
        <v>9366640.3358026613</v>
      </c>
      <c r="U178" s="178">
        <f>U172+U173+U174+U175-Scénario!P25/'Données gestion'!R9*1000-Scénario!P20/'Données gestion'!R9*1000-Scénario!P26/'Données gestion'!R9*1000-Scénario!P23/'Données gestion'!R9*1000</f>
        <v>9629611.7272827011</v>
      </c>
      <c r="V178" s="178">
        <f>V172+V173+V174+V175-Scénario!Q25/'Données gestion'!S9*1000-Scénario!Q20/'Données gestion'!S9*1000-Scénario!Q26/'Données gestion'!S9*1000-Scénario!Q23/'Données gestion'!S9*1000</f>
        <v>9900291.9823212009</v>
      </c>
      <c r="W178" s="178">
        <f>W172+W173+W174+W175-Scénario!R25/'Données gestion'!T9*1000-Scénario!R20/'Données gestion'!T9*1000-Scénario!R26/'Données gestion'!T9*1000-Scénario!R23/'Données gestion'!T9*1000</f>
        <v>10178910.564043051</v>
      </c>
      <c r="X178" s="178">
        <f>X172+X173+X174+X175-Scénario!S25/'Données gestion'!U9*1000-Scénario!S20/'Données gestion'!U9*1000-Scénario!S26/'Données gestion'!U9*1000-Scénario!S23/'Données gestion'!U9*1000</f>
        <v>10465703.801439082</v>
      </c>
      <c r="Y178" s="178">
        <f>Y172+Y173+Y174+Y175-Scénario!T25/'Données gestion'!V9*1000-Scénario!T20/'Données gestion'!V9*1000-Scénario!T26/'Données gestion'!V9*1000-Scénario!T23/'Données gestion'!V9*1000</f>
        <v>10760915.095161749</v>
      </c>
      <c r="Z178" s="178">
        <f>Z172+Z173+Z174+Z175-Scénario!U25/'Données gestion'!W9*1000-Scénario!U20/'Données gestion'!W9*1000-Scénario!U26/'Données gestion'!W9*1000-Scénario!U23/'Données gestion'!W9*1000</f>
        <v>11064795.129492877</v>
      </c>
    </row>
    <row r="179" spans="1:26" x14ac:dyDescent="0.2">
      <c r="A179" t="s">
        <v>499</v>
      </c>
      <c r="F179" s="679">
        <f>F178/Exploitation!B8/1000</f>
        <v>2.0483463902693657</v>
      </c>
      <c r="G179" s="679">
        <f>G178/Exploitation!C8/1000</f>
        <v>1.7267347818698746</v>
      </c>
      <c r="H179" s="679">
        <f>H178/Exploitation!D8/1000</f>
        <v>1.7582487462631007</v>
      </c>
      <c r="I179" s="679">
        <f>I178/Exploitation!E8/1000</f>
        <v>1.7526217062647498</v>
      </c>
      <c r="J179" s="679">
        <f>J178/Exploitation!F8/1000</f>
        <v>1.754384242676861</v>
      </c>
      <c r="K179" s="679">
        <f>K178/Exploitation!G8/1000</f>
        <v>1.8001571113176236</v>
      </c>
      <c r="L179" s="679">
        <f>L178/Exploitation!H8/1000</f>
        <v>1.8523787847631539</v>
      </c>
      <c r="M179" s="679">
        <f>M178/Exploitation!I8/1000</f>
        <v>1.9091057786603498</v>
      </c>
      <c r="N179" s="679">
        <f>N178/Exploitation!J8/1000</f>
        <v>1.9636184459513097</v>
      </c>
      <c r="O179" s="679">
        <f>O178/Exploitation!K8/1000</f>
        <v>2.0228230280281179</v>
      </c>
      <c r="P179" s="679">
        <f>P178/Exploitation!L8/1000</f>
        <v>2.0792555304436946</v>
      </c>
      <c r="Q179" s="679">
        <f>Q178/Exploitation!M8/1000</f>
        <v>2.1373384860474851</v>
      </c>
      <c r="R179" s="679">
        <f>R178/Exploitation!N8/1000</f>
        <v>2.197120983216295</v>
      </c>
      <c r="S179" s="679">
        <f>S178/Exploitation!O8/1000</f>
        <v>2.2586535787260424</v>
      </c>
      <c r="T179" s="679">
        <f>T178/Exploitation!P8/1000</f>
        <v>2.3219883417612159</v>
      </c>
      <c r="U179" s="679">
        <f>U178/Exploitation!Q8/1000</f>
        <v>2.3871788992441778</v>
      </c>
      <c r="V179" s="679">
        <f>V178/Exploitation!R8/1000</f>
        <v>2.4542804825239304</v>
      </c>
      <c r="W179" s="679">
        <f>W178/Exploitation!S8/1000</f>
        <v>2.5233499754650981</v>
      </c>
      <c r="X179" s="679">
        <f>X178/Exploitation!T8/1000</f>
        <v>2.5944459639791568</v>
      </c>
      <c r="Y179" s="679">
        <f>Y178/Exploitation!U8/1000</f>
        <v>2.6676287870411395</v>
      </c>
      <c r="Z179" s="679">
        <f>Z178/Exploitation!V8/1000</f>
        <v>2.7429605892364042</v>
      </c>
    </row>
    <row r="180" spans="1:26" x14ac:dyDescent="0.2">
      <c r="F180" s="178"/>
      <c r="G180" s="178"/>
      <c r="H180" s="178"/>
      <c r="I180" s="178"/>
      <c r="J180" s="178"/>
      <c r="L180" s="36"/>
      <c r="M180" s="36"/>
    </row>
    <row r="181" spans="1:26" x14ac:dyDescent="0.2">
      <c r="A181" s="12" t="s">
        <v>1040</v>
      </c>
      <c r="F181" s="178"/>
      <c r="G181" s="178"/>
      <c r="H181" s="178"/>
      <c r="I181" s="178"/>
      <c r="J181" s="178"/>
    </row>
    <row r="182" spans="1:26" x14ac:dyDescent="0.2">
      <c r="A182" s="1346" t="s">
        <v>604</v>
      </c>
      <c r="B182" s="1347"/>
      <c r="F182" s="178"/>
      <c r="G182" s="178"/>
      <c r="H182" s="178"/>
      <c r="I182" s="178"/>
      <c r="J182" s="178"/>
    </row>
    <row r="183" spans="1:26" x14ac:dyDescent="0.2">
      <c r="A183" s="1289" t="s">
        <v>1041</v>
      </c>
      <c r="B183" s="1289"/>
      <c r="C183" s="16">
        <v>2</v>
      </c>
      <c r="F183" s="178"/>
      <c r="G183" s="178"/>
      <c r="H183" s="178"/>
      <c r="I183" s="178"/>
      <c r="J183" s="178"/>
    </row>
    <row r="184" spans="1:26" x14ac:dyDescent="0.2">
      <c r="A184" s="1289" t="s">
        <v>1042</v>
      </c>
      <c r="B184" s="1289"/>
      <c r="C184" s="16">
        <v>2</v>
      </c>
      <c r="F184" s="178"/>
      <c r="G184" s="178"/>
      <c r="H184" s="178"/>
      <c r="I184" s="178"/>
      <c r="J184" s="178"/>
    </row>
    <row r="185" spans="1:26" x14ac:dyDescent="0.2">
      <c r="A185" s="1350" t="s">
        <v>1043</v>
      </c>
      <c r="B185" s="1351"/>
      <c r="C185" s="32"/>
      <c r="F185" s="178"/>
      <c r="G185" s="178"/>
      <c r="H185" s="178"/>
      <c r="I185" s="178"/>
      <c r="J185" s="178"/>
    </row>
    <row r="186" spans="1:26" x14ac:dyDescent="0.2">
      <c r="A186" s="1289" t="s">
        <v>1042</v>
      </c>
      <c r="B186" s="1289"/>
      <c r="C186" s="16">
        <v>2</v>
      </c>
      <c r="D186" s="141"/>
      <c r="F186" s="178"/>
      <c r="G186" s="178"/>
      <c r="H186" s="178"/>
      <c r="I186" s="178"/>
      <c r="J186" s="178"/>
    </row>
    <row r="187" spans="1:26" x14ac:dyDescent="0.2">
      <c r="A187" s="1350" t="s">
        <v>491</v>
      </c>
      <c r="B187" s="1351"/>
      <c r="C187" s="32"/>
      <c r="D187" s="141"/>
      <c r="F187" s="178"/>
      <c r="G187" s="178"/>
      <c r="H187" s="178"/>
      <c r="I187" s="178"/>
      <c r="J187" s="178"/>
    </row>
    <row r="188" spans="1:26" x14ac:dyDescent="0.2">
      <c r="A188" s="573" t="s">
        <v>492</v>
      </c>
      <c r="B188" s="573"/>
      <c r="C188" s="16">
        <v>2</v>
      </c>
      <c r="D188" s="141"/>
      <c r="F188" s="178"/>
      <c r="G188" s="178"/>
      <c r="H188" s="178"/>
      <c r="I188" s="178"/>
      <c r="J188" s="178"/>
    </row>
    <row r="189" spans="1:26" x14ac:dyDescent="0.2">
      <c r="A189" s="1289" t="s">
        <v>1044</v>
      </c>
      <c r="B189" s="1289"/>
      <c r="C189" s="20">
        <f>SUM(C183:C188)</f>
        <v>8</v>
      </c>
      <c r="D189" s="90" t="s">
        <v>490</v>
      </c>
    </row>
    <row r="192" spans="1:26" x14ac:dyDescent="0.2">
      <c r="A192" s="12" t="s">
        <v>1045</v>
      </c>
    </row>
    <row r="193" spans="1:22" x14ac:dyDescent="0.2">
      <c r="A193" s="1289" t="s">
        <v>505</v>
      </c>
      <c r="B193" s="1289"/>
      <c r="C193" s="16">
        <v>1</v>
      </c>
    </row>
    <row r="194" spans="1:22" x14ac:dyDescent="0.2">
      <c r="A194" s="1289" t="s">
        <v>1046</v>
      </c>
      <c r="B194" s="1289"/>
      <c r="C194" s="16">
        <v>3</v>
      </c>
    </row>
    <row r="195" spans="1:22" x14ac:dyDescent="0.2">
      <c r="A195" s="63"/>
      <c r="B195" s="63"/>
      <c r="C195" s="64"/>
    </row>
    <row r="196" spans="1:22" x14ac:dyDescent="0.2">
      <c r="A196" s="1289" t="s">
        <v>1047</v>
      </c>
      <c r="B196" s="1289"/>
      <c r="C196" s="16">
        <v>1</v>
      </c>
    </row>
    <row r="197" spans="1:22" x14ac:dyDescent="0.2">
      <c r="A197" s="1289" t="s">
        <v>1048</v>
      </c>
      <c r="B197" s="1289"/>
      <c r="C197" s="16">
        <v>1</v>
      </c>
    </row>
    <row r="198" spans="1:22" x14ac:dyDescent="0.2">
      <c r="A198" s="1289" t="s">
        <v>1049</v>
      </c>
      <c r="B198" s="1289"/>
      <c r="C198" s="16">
        <v>1</v>
      </c>
    </row>
    <row r="199" spans="1:22" x14ac:dyDescent="0.2">
      <c r="A199" s="1289" t="s">
        <v>1522</v>
      </c>
      <c r="B199" s="1289"/>
      <c r="C199" s="16">
        <v>1</v>
      </c>
    </row>
    <row r="200" spans="1:22" x14ac:dyDescent="0.2">
      <c r="A200" s="1289" t="s">
        <v>88</v>
      </c>
      <c r="B200" s="1289"/>
      <c r="C200" s="20">
        <f>SUM(C196:C199)</f>
        <v>4</v>
      </c>
    </row>
    <row r="203" spans="1:22" x14ac:dyDescent="0.2">
      <c r="A203" s="15" t="s">
        <v>1053</v>
      </c>
      <c r="B203" s="15"/>
      <c r="C203" s="16">
        <v>3</v>
      </c>
      <c r="D203" s="16" t="s">
        <v>1054</v>
      </c>
    </row>
    <row r="204" spans="1:22" x14ac:dyDescent="0.2">
      <c r="A204" s="15" t="s">
        <v>1055</v>
      </c>
      <c r="B204" s="15"/>
      <c r="C204" s="16">
        <v>5</v>
      </c>
      <c r="D204" s="16" t="s">
        <v>1054</v>
      </c>
    </row>
    <row r="205" spans="1:22" x14ac:dyDescent="0.2">
      <c r="A205" s="14"/>
      <c r="B205" s="14"/>
      <c r="C205" s="32"/>
      <c r="D205" s="14"/>
    </row>
    <row r="207" spans="1:22" x14ac:dyDescent="0.2">
      <c r="B207" s="65" t="s">
        <v>835</v>
      </c>
      <c r="C207" s="65" t="s">
        <v>945</v>
      </c>
      <c r="D207" s="65" t="s">
        <v>946</v>
      </c>
      <c r="E207" s="65" t="s">
        <v>947</v>
      </c>
      <c r="F207" s="65" t="s">
        <v>948</v>
      </c>
      <c r="G207" s="65" t="s">
        <v>949</v>
      </c>
      <c r="H207" s="65" t="s">
        <v>846</v>
      </c>
      <c r="I207" s="65" t="s">
        <v>847</v>
      </c>
      <c r="J207" s="65" t="s">
        <v>848</v>
      </c>
      <c r="K207" s="65" t="s">
        <v>849</v>
      </c>
      <c r="L207" s="65" t="s">
        <v>509</v>
      </c>
      <c r="M207" s="65" t="s">
        <v>510</v>
      </c>
      <c r="N207" s="65" t="s">
        <v>368</v>
      </c>
      <c r="O207" s="65" t="s">
        <v>369</v>
      </c>
      <c r="P207" s="65" t="s">
        <v>370</v>
      </c>
      <c r="Q207" s="65" t="s">
        <v>371</v>
      </c>
      <c r="R207" s="65" t="s">
        <v>372</v>
      </c>
      <c r="S207" s="65" t="s">
        <v>373</v>
      </c>
      <c r="T207" s="65" t="s">
        <v>374</v>
      </c>
      <c r="U207" s="65" t="s">
        <v>375</v>
      </c>
      <c r="V207" s="65" t="s">
        <v>376</v>
      </c>
    </row>
    <row r="208" spans="1:22" x14ac:dyDescent="0.2">
      <c r="A208" s="50" t="s">
        <v>1050</v>
      </c>
      <c r="B208" s="20">
        <f t="shared" ref="B208:I208" si="88">IF(C8=5,$C$203,$C$204)</f>
        <v>3</v>
      </c>
      <c r="C208" s="20">
        <f t="shared" si="88"/>
        <v>3</v>
      </c>
      <c r="D208" s="20">
        <f t="shared" si="88"/>
        <v>3</v>
      </c>
      <c r="E208" s="844">
        <v>4</v>
      </c>
      <c r="F208" s="20">
        <f t="shared" si="88"/>
        <v>5</v>
      </c>
      <c r="G208" s="20">
        <f t="shared" si="88"/>
        <v>5</v>
      </c>
      <c r="H208" s="20">
        <f t="shared" si="88"/>
        <v>5</v>
      </c>
      <c r="I208" s="20">
        <f t="shared" si="88"/>
        <v>5</v>
      </c>
      <c r="J208" s="20">
        <f>IF(K8=5,$C$203,$C$204)</f>
        <v>5</v>
      </c>
      <c r="K208" s="20">
        <f>IF(L8=5,$C$203,$C$204)</f>
        <v>5</v>
      </c>
      <c r="L208" s="20">
        <f t="shared" ref="L208:V208" si="89">IF(M8=5,$C$203,$C$204)</f>
        <v>5</v>
      </c>
      <c r="M208" s="20">
        <f t="shared" si="89"/>
        <v>5</v>
      </c>
      <c r="N208" s="20">
        <f t="shared" si="89"/>
        <v>5</v>
      </c>
      <c r="O208" s="20">
        <f t="shared" si="89"/>
        <v>5</v>
      </c>
      <c r="P208" s="20">
        <f t="shared" si="89"/>
        <v>5</v>
      </c>
      <c r="Q208" s="20">
        <f t="shared" si="89"/>
        <v>5</v>
      </c>
      <c r="R208" s="20">
        <f t="shared" si="89"/>
        <v>5</v>
      </c>
      <c r="S208" s="20">
        <f t="shared" si="89"/>
        <v>5</v>
      </c>
      <c r="T208" s="20">
        <f t="shared" si="89"/>
        <v>5</v>
      </c>
      <c r="U208" s="20">
        <f t="shared" si="89"/>
        <v>5</v>
      </c>
      <c r="V208" s="20">
        <f t="shared" si="89"/>
        <v>5</v>
      </c>
    </row>
    <row r="209" spans="1:22" x14ac:dyDescent="0.2">
      <c r="A209" s="50" t="s">
        <v>1051</v>
      </c>
      <c r="B209" s="37">
        <v>26</v>
      </c>
      <c r="C209" s="37">
        <v>22</v>
      </c>
      <c r="D209" s="37">
        <v>26</v>
      </c>
      <c r="E209" s="37">
        <v>35</v>
      </c>
      <c r="F209" s="37">
        <v>44</v>
      </c>
      <c r="G209" s="37">
        <v>44</v>
      </c>
      <c r="H209" s="37">
        <v>44</v>
      </c>
      <c r="I209" s="37">
        <v>44</v>
      </c>
      <c r="J209" s="37">
        <v>44</v>
      </c>
      <c r="K209" s="37">
        <v>44</v>
      </c>
      <c r="L209" s="37">
        <v>44</v>
      </c>
      <c r="M209" s="37">
        <v>44</v>
      </c>
      <c r="N209" s="37">
        <v>44</v>
      </c>
      <c r="O209" s="37">
        <v>44</v>
      </c>
      <c r="P209" s="37">
        <v>44</v>
      </c>
      <c r="Q209" s="37">
        <v>44</v>
      </c>
      <c r="R209" s="37">
        <v>44</v>
      </c>
      <c r="S209" s="37">
        <v>44</v>
      </c>
      <c r="T209" s="37">
        <v>44</v>
      </c>
      <c r="U209" s="37">
        <v>44</v>
      </c>
      <c r="V209" s="37">
        <v>44</v>
      </c>
    </row>
    <row r="210" spans="1:22" x14ac:dyDescent="0.2">
      <c r="A210" s="15" t="s">
        <v>1052</v>
      </c>
      <c r="B210" s="37">
        <v>4</v>
      </c>
      <c r="C210" s="37">
        <v>4</v>
      </c>
      <c r="D210" s="37">
        <v>3</v>
      </c>
      <c r="E210" s="37">
        <v>3</v>
      </c>
      <c r="F210" s="37">
        <v>3</v>
      </c>
      <c r="G210" s="37">
        <v>3</v>
      </c>
      <c r="H210" s="37">
        <v>3</v>
      </c>
      <c r="I210" s="37">
        <v>3</v>
      </c>
      <c r="J210" s="37">
        <v>3</v>
      </c>
      <c r="K210" s="37">
        <v>3</v>
      </c>
      <c r="L210" s="37">
        <v>3</v>
      </c>
      <c r="M210" s="37">
        <v>3</v>
      </c>
      <c r="N210" s="37">
        <v>3</v>
      </c>
      <c r="O210" s="37">
        <v>3</v>
      </c>
      <c r="P210" s="37">
        <v>3</v>
      </c>
      <c r="Q210" s="37">
        <v>3</v>
      </c>
      <c r="R210" s="37">
        <v>3</v>
      </c>
      <c r="S210" s="37">
        <v>3</v>
      </c>
      <c r="T210" s="37">
        <v>3</v>
      </c>
      <c r="U210" s="37">
        <v>3</v>
      </c>
      <c r="V210" s="37">
        <v>3</v>
      </c>
    </row>
    <row r="211" spans="1:22" x14ac:dyDescent="0.2">
      <c r="A211" s="15" t="s">
        <v>506</v>
      </c>
      <c r="B211" s="1213">
        <v>1</v>
      </c>
      <c r="C211" s="1213">
        <v>1</v>
      </c>
      <c r="D211" s="1213">
        <v>1</v>
      </c>
      <c r="E211" s="1213">
        <v>1</v>
      </c>
      <c r="F211" s="1213">
        <v>1</v>
      </c>
      <c r="G211" s="1213">
        <v>1</v>
      </c>
      <c r="H211" s="1213">
        <v>1</v>
      </c>
      <c r="I211" s="1213">
        <v>1</v>
      </c>
      <c r="J211" s="1213">
        <v>1</v>
      </c>
      <c r="K211" s="1213">
        <v>1</v>
      </c>
      <c r="L211" s="1213">
        <v>1</v>
      </c>
      <c r="M211" s="1213">
        <v>1</v>
      </c>
      <c r="N211" s="1213">
        <v>1</v>
      </c>
      <c r="O211" s="1213">
        <v>1</v>
      </c>
      <c r="P211" s="1213">
        <v>1</v>
      </c>
      <c r="Q211" s="1213">
        <v>1</v>
      </c>
      <c r="R211" s="1213">
        <v>1</v>
      </c>
      <c r="S211" s="1213">
        <v>1</v>
      </c>
      <c r="T211" s="1213">
        <v>1</v>
      </c>
      <c r="U211" s="1213">
        <v>1</v>
      </c>
      <c r="V211" s="1213">
        <v>1</v>
      </c>
    </row>
    <row r="212" spans="1:22" x14ac:dyDescent="0.2">
      <c r="A212" s="15" t="s">
        <v>89</v>
      </c>
      <c r="B212" s="37">
        <v>5</v>
      </c>
      <c r="C212" s="37">
        <v>6</v>
      </c>
      <c r="D212" s="37">
        <v>9</v>
      </c>
      <c r="E212" s="37">
        <v>9</v>
      </c>
      <c r="F212" s="37">
        <v>9</v>
      </c>
      <c r="G212" s="37">
        <v>9</v>
      </c>
      <c r="H212" s="37">
        <v>9</v>
      </c>
      <c r="I212" s="37">
        <v>9</v>
      </c>
      <c r="J212" s="37">
        <v>9</v>
      </c>
      <c r="K212" s="37">
        <v>9</v>
      </c>
      <c r="L212" s="37">
        <v>9</v>
      </c>
      <c r="M212" s="37">
        <v>9</v>
      </c>
      <c r="N212" s="37">
        <v>9</v>
      </c>
      <c r="O212" s="37">
        <v>9</v>
      </c>
      <c r="P212" s="37">
        <v>9</v>
      </c>
      <c r="Q212" s="37">
        <v>9</v>
      </c>
      <c r="R212" s="37">
        <v>9</v>
      </c>
      <c r="S212" s="37">
        <v>9</v>
      </c>
      <c r="T212" s="37">
        <v>9</v>
      </c>
      <c r="U212" s="37">
        <v>9</v>
      </c>
      <c r="V212" s="37">
        <v>9</v>
      </c>
    </row>
    <row r="213" spans="1:22" x14ac:dyDescent="0.2">
      <c r="A213" s="15" t="s">
        <v>1058</v>
      </c>
      <c r="B213" s="20">
        <f t="shared" ref="B213:I213" si="90">IF(C8=5,$C$203,$C$204)</f>
        <v>3</v>
      </c>
      <c r="C213" s="37">
        <v>2</v>
      </c>
      <c r="D213" s="20">
        <f t="shared" si="90"/>
        <v>3</v>
      </c>
      <c r="E213" s="844">
        <v>4</v>
      </c>
      <c r="F213" s="20">
        <f t="shared" si="90"/>
        <v>5</v>
      </c>
      <c r="G213" s="20">
        <f t="shared" si="90"/>
        <v>5</v>
      </c>
      <c r="H213" s="20">
        <f t="shared" si="90"/>
        <v>5</v>
      </c>
      <c r="I213" s="20">
        <f t="shared" si="90"/>
        <v>5</v>
      </c>
      <c r="J213" s="20">
        <f>IF(K8=5,$C$203,$C$204)</f>
        <v>5</v>
      </c>
      <c r="K213" s="20">
        <f>IF(L8=5,$C$203,$C$204)</f>
        <v>5</v>
      </c>
      <c r="L213" s="20">
        <f t="shared" ref="L213:V213" si="91">IF(M8=5,$C$203,$C$204)</f>
        <v>5</v>
      </c>
      <c r="M213" s="20">
        <f t="shared" si="91"/>
        <v>5</v>
      </c>
      <c r="N213" s="20">
        <f t="shared" si="91"/>
        <v>5</v>
      </c>
      <c r="O213" s="20">
        <f t="shared" si="91"/>
        <v>5</v>
      </c>
      <c r="P213" s="20">
        <f t="shared" si="91"/>
        <v>5</v>
      </c>
      <c r="Q213" s="20">
        <f t="shared" si="91"/>
        <v>5</v>
      </c>
      <c r="R213" s="20">
        <f t="shared" si="91"/>
        <v>5</v>
      </c>
      <c r="S213" s="20">
        <f t="shared" si="91"/>
        <v>5</v>
      </c>
      <c r="T213" s="20">
        <f t="shared" si="91"/>
        <v>5</v>
      </c>
      <c r="U213" s="20">
        <f t="shared" si="91"/>
        <v>5</v>
      </c>
      <c r="V213" s="20">
        <f t="shared" si="91"/>
        <v>5</v>
      </c>
    </row>
    <row r="215" spans="1:22" x14ac:dyDescent="0.2">
      <c r="A215" t="s">
        <v>1492</v>
      </c>
      <c r="B215" s="1195">
        <v>0</v>
      </c>
      <c r="C215" s="20">
        <f>B215</f>
        <v>0</v>
      </c>
      <c r="D215" s="20">
        <f t="shared" ref="D215:V215" si="92">C215</f>
        <v>0</v>
      </c>
      <c r="E215" s="20">
        <f t="shared" si="92"/>
        <v>0</v>
      </c>
      <c r="F215" s="20">
        <f t="shared" si="92"/>
        <v>0</v>
      </c>
      <c r="G215" s="20">
        <f t="shared" si="92"/>
        <v>0</v>
      </c>
      <c r="H215" s="20">
        <f t="shared" si="92"/>
        <v>0</v>
      </c>
      <c r="I215" s="20">
        <f t="shared" si="92"/>
        <v>0</v>
      </c>
      <c r="J215" s="20">
        <f t="shared" si="92"/>
        <v>0</v>
      </c>
      <c r="K215" s="20">
        <f t="shared" si="92"/>
        <v>0</v>
      </c>
      <c r="L215" s="20">
        <f t="shared" si="92"/>
        <v>0</v>
      </c>
      <c r="M215" s="20">
        <f t="shared" si="92"/>
        <v>0</v>
      </c>
      <c r="N215" s="20">
        <f t="shared" si="92"/>
        <v>0</v>
      </c>
      <c r="O215" s="20">
        <f t="shared" si="92"/>
        <v>0</v>
      </c>
      <c r="P215" s="20">
        <f t="shared" si="92"/>
        <v>0</v>
      </c>
      <c r="Q215" s="20">
        <f t="shared" si="92"/>
        <v>0</v>
      </c>
      <c r="R215" s="20">
        <f t="shared" si="92"/>
        <v>0</v>
      </c>
      <c r="S215" s="20">
        <f t="shared" si="92"/>
        <v>0</v>
      </c>
      <c r="T215" s="20">
        <f t="shared" si="92"/>
        <v>0</v>
      </c>
      <c r="U215" s="20">
        <f t="shared" si="92"/>
        <v>0</v>
      </c>
      <c r="V215" s="20">
        <f t="shared" si="92"/>
        <v>0</v>
      </c>
    </row>
    <row r="216" spans="1:22" x14ac:dyDescent="0.2">
      <c r="A216" t="s">
        <v>1493</v>
      </c>
      <c r="B216" s="1195">
        <v>1</v>
      </c>
      <c r="C216" s="20">
        <f>B216</f>
        <v>1</v>
      </c>
      <c r="D216" s="20">
        <f t="shared" ref="D216:V216" si="93">C216</f>
        <v>1</v>
      </c>
      <c r="E216" s="20">
        <f t="shared" si="93"/>
        <v>1</v>
      </c>
      <c r="F216" s="20">
        <f t="shared" si="93"/>
        <v>1</v>
      </c>
      <c r="G216" s="20">
        <f t="shared" si="93"/>
        <v>1</v>
      </c>
      <c r="H216" s="20">
        <f t="shared" si="93"/>
        <v>1</v>
      </c>
      <c r="I216" s="20">
        <f t="shared" si="93"/>
        <v>1</v>
      </c>
      <c r="J216" s="20">
        <f t="shared" si="93"/>
        <v>1</v>
      </c>
      <c r="K216" s="20">
        <f t="shared" si="93"/>
        <v>1</v>
      </c>
      <c r="L216" s="20">
        <f t="shared" si="93"/>
        <v>1</v>
      </c>
      <c r="M216" s="20">
        <f t="shared" si="93"/>
        <v>1</v>
      </c>
      <c r="N216" s="20">
        <f t="shared" si="93"/>
        <v>1</v>
      </c>
      <c r="O216" s="20">
        <f t="shared" si="93"/>
        <v>1</v>
      </c>
      <c r="P216" s="20">
        <f t="shared" si="93"/>
        <v>1</v>
      </c>
      <c r="Q216" s="20">
        <f t="shared" si="93"/>
        <v>1</v>
      </c>
      <c r="R216" s="20">
        <f t="shared" si="93"/>
        <v>1</v>
      </c>
      <c r="S216" s="20">
        <f t="shared" si="93"/>
        <v>1</v>
      </c>
      <c r="T216" s="20">
        <f t="shared" si="93"/>
        <v>1</v>
      </c>
      <c r="U216" s="20">
        <f t="shared" si="93"/>
        <v>1</v>
      </c>
      <c r="V216" s="20">
        <f t="shared" si="93"/>
        <v>1</v>
      </c>
    </row>
    <row r="219" spans="1:22" x14ac:dyDescent="0.2">
      <c r="A219" s="12" t="s">
        <v>1065</v>
      </c>
    </row>
    <row r="221" spans="1:22" x14ac:dyDescent="0.2">
      <c r="A221" s="1289" t="s">
        <v>1067</v>
      </c>
      <c r="B221" s="1289"/>
      <c r="C221" s="1289"/>
      <c r="D221" s="37">
        <v>6010</v>
      </c>
      <c r="E221" t="s">
        <v>605</v>
      </c>
    </row>
    <row r="222" spans="1:22" x14ac:dyDescent="0.2">
      <c r="A222" s="1289" t="s">
        <v>606</v>
      </c>
      <c r="B222" s="1289"/>
      <c r="C222" s="1289"/>
      <c r="D222" s="17">
        <v>123</v>
      </c>
      <c r="E222" t="s">
        <v>607</v>
      </c>
    </row>
    <row r="223" spans="1:22" x14ac:dyDescent="0.2">
      <c r="A223" s="1289" t="s">
        <v>612</v>
      </c>
      <c r="B223" s="1289"/>
      <c r="C223" s="1289"/>
      <c r="D223" s="17">
        <v>11746</v>
      </c>
      <c r="E223" t="s">
        <v>608</v>
      </c>
    </row>
    <row r="224" spans="1:22" x14ac:dyDescent="0.2">
      <c r="A224" s="1289" t="s">
        <v>609</v>
      </c>
      <c r="B224" s="1289"/>
      <c r="C224" s="1289"/>
      <c r="D224" s="17">
        <v>70</v>
      </c>
      <c r="E224" t="s">
        <v>607</v>
      </c>
    </row>
    <row r="225" spans="1:23" x14ac:dyDescent="0.2">
      <c r="A225" s="1289" t="s">
        <v>621</v>
      </c>
      <c r="B225" s="1289"/>
      <c r="C225" s="1289"/>
      <c r="D225" s="584">
        <f>2321165*50%/4300</f>
        <v>269.90290697674419</v>
      </c>
      <c r="E225" t="s">
        <v>619</v>
      </c>
    </row>
    <row r="226" spans="1:23" x14ac:dyDescent="0.2">
      <c r="A226" s="1289" t="s">
        <v>610</v>
      </c>
      <c r="B226" s="1289"/>
      <c r="C226" s="1289"/>
      <c r="D226" s="584">
        <f>2321165*50%</f>
        <v>1160582.5</v>
      </c>
      <c r="E226" t="s">
        <v>620</v>
      </c>
    </row>
    <row r="227" spans="1:23" x14ac:dyDescent="0.2">
      <c r="A227" s="1289" t="s">
        <v>611</v>
      </c>
      <c r="B227" s="1289"/>
      <c r="C227" s="1289"/>
      <c r="D227" s="17">
        <v>5.6</v>
      </c>
      <c r="E227" t="s">
        <v>607</v>
      </c>
    </row>
    <row r="228" spans="1:23" x14ac:dyDescent="0.2">
      <c r="A228" s="581"/>
      <c r="B228" s="581"/>
      <c r="C228" s="581"/>
    </row>
    <row r="230" spans="1:23" x14ac:dyDescent="0.2">
      <c r="C230" s="40" t="s">
        <v>835</v>
      </c>
      <c r="D230" s="40" t="s">
        <v>945</v>
      </c>
      <c r="E230" s="40" t="s">
        <v>946</v>
      </c>
      <c r="F230" s="40" t="s">
        <v>947</v>
      </c>
      <c r="G230" s="40" t="s">
        <v>948</v>
      </c>
      <c r="H230" s="40" t="s">
        <v>949</v>
      </c>
      <c r="I230" s="40" t="s">
        <v>846</v>
      </c>
      <c r="J230" s="40" t="s">
        <v>847</v>
      </c>
      <c r="K230" s="40" t="s">
        <v>848</v>
      </c>
      <c r="L230" s="40" t="s">
        <v>849</v>
      </c>
      <c r="M230" s="40" t="s">
        <v>509</v>
      </c>
      <c r="N230" s="40" t="s">
        <v>510</v>
      </c>
      <c r="O230" s="40" t="s">
        <v>368</v>
      </c>
      <c r="P230" s="40" t="s">
        <v>369</v>
      </c>
      <c r="Q230" s="40" t="s">
        <v>370</v>
      </c>
      <c r="R230" s="40" t="s">
        <v>371</v>
      </c>
      <c r="S230" s="40" t="s">
        <v>372</v>
      </c>
      <c r="T230" s="40" t="s">
        <v>373</v>
      </c>
      <c r="U230" s="40" t="s">
        <v>374</v>
      </c>
      <c r="V230" s="40" t="s">
        <v>375</v>
      </c>
      <c r="W230" s="40" t="s">
        <v>376</v>
      </c>
    </row>
    <row r="231" spans="1:23" x14ac:dyDescent="0.2">
      <c r="A231" s="1289" t="s">
        <v>615</v>
      </c>
      <c r="B231" s="1289"/>
      <c r="C231" s="21">
        <f t="shared" ref="C231:J231" si="94">D57*$D$221/1000</f>
        <v>1089.2071054180012</v>
      </c>
      <c r="D231" s="21">
        <f t="shared" si="94"/>
        <v>8350.5878082046765</v>
      </c>
      <c r="E231" s="21">
        <f t="shared" si="94"/>
        <v>12525.881712307013</v>
      </c>
      <c r="F231" s="21">
        <f t="shared" si="94"/>
        <v>18743.438939068106</v>
      </c>
      <c r="G231" s="21">
        <f t="shared" si="94"/>
        <v>22691.814696208359</v>
      </c>
      <c r="H231" s="21">
        <f t="shared" si="94"/>
        <v>25868.668753677532</v>
      </c>
      <c r="I231" s="21">
        <f t="shared" si="94"/>
        <v>25868.668753677532</v>
      </c>
      <c r="J231" s="21">
        <f t="shared" si="94"/>
        <v>25868.668753677532</v>
      </c>
      <c r="K231" s="21">
        <f>L57*$D$221/1000</f>
        <v>25868.668753677532</v>
      </c>
      <c r="L231" s="21">
        <f>M57*$D$221/1000</f>
        <v>25868.668753677532</v>
      </c>
      <c r="M231" s="21">
        <f t="shared" ref="M231:W231" si="95">N57*$D$221/1000</f>
        <v>25868.668753677532</v>
      </c>
      <c r="N231" s="21">
        <f t="shared" si="95"/>
        <v>25868.668753677532</v>
      </c>
      <c r="O231" s="21">
        <f t="shared" si="95"/>
        <v>25868.668753677532</v>
      </c>
      <c r="P231" s="21">
        <f t="shared" si="95"/>
        <v>25868.668753677532</v>
      </c>
      <c r="Q231" s="21">
        <f t="shared" si="95"/>
        <v>25868.668753677532</v>
      </c>
      <c r="R231" s="21">
        <f t="shared" si="95"/>
        <v>25868.668753677532</v>
      </c>
      <c r="S231" s="21">
        <f t="shared" si="95"/>
        <v>25868.668753677532</v>
      </c>
      <c r="T231" s="21">
        <f t="shared" si="95"/>
        <v>25868.668753677532</v>
      </c>
      <c r="U231" s="21">
        <f t="shared" si="95"/>
        <v>25868.668753677532</v>
      </c>
      <c r="V231" s="21">
        <f t="shared" si="95"/>
        <v>25868.668753677532</v>
      </c>
      <c r="W231" s="21">
        <f t="shared" si="95"/>
        <v>25868.668753677532</v>
      </c>
    </row>
    <row r="232" spans="1:23" x14ac:dyDescent="0.2">
      <c r="A232" s="1289" t="s">
        <v>614</v>
      </c>
      <c r="B232" s="1289"/>
      <c r="C232" s="21">
        <f>(D55-1)*$D$222/1000</f>
        <v>2.8290000000000002</v>
      </c>
      <c r="D232" s="21">
        <f t="shared" ref="D232:L232" si="96">(E55-1)*$D$222/1000</f>
        <v>22.509</v>
      </c>
      <c r="E232" s="21">
        <f t="shared" si="96"/>
        <v>33.825000000000003</v>
      </c>
      <c r="F232" s="21">
        <f t="shared" si="96"/>
        <v>50.676000000000002</v>
      </c>
      <c r="G232" s="21">
        <f t="shared" si="96"/>
        <v>61.377000000000002</v>
      </c>
      <c r="H232" s="21">
        <f t="shared" si="96"/>
        <v>69.986999999999995</v>
      </c>
      <c r="I232" s="21">
        <f t="shared" si="96"/>
        <v>69.986999999999995</v>
      </c>
      <c r="J232" s="21">
        <f t="shared" si="96"/>
        <v>69.986999999999995</v>
      </c>
      <c r="K232" s="21">
        <f t="shared" si="96"/>
        <v>69.986999999999995</v>
      </c>
      <c r="L232" s="21">
        <f t="shared" si="96"/>
        <v>69.986999999999995</v>
      </c>
      <c r="M232" s="21">
        <f t="shared" ref="M232:W232" si="97">(N55-1)*$D$222/1000</f>
        <v>69.986999999999995</v>
      </c>
      <c r="N232" s="21">
        <f t="shared" si="97"/>
        <v>69.986999999999995</v>
      </c>
      <c r="O232" s="21">
        <f t="shared" si="97"/>
        <v>69.986999999999995</v>
      </c>
      <c r="P232" s="21">
        <f t="shared" si="97"/>
        <v>69.986999999999995</v>
      </c>
      <c r="Q232" s="21">
        <f t="shared" si="97"/>
        <v>69.986999999999995</v>
      </c>
      <c r="R232" s="21">
        <f t="shared" si="97"/>
        <v>69.986999999999995</v>
      </c>
      <c r="S232" s="21">
        <f t="shared" si="97"/>
        <v>69.986999999999995</v>
      </c>
      <c r="T232" s="21">
        <f t="shared" si="97"/>
        <v>69.986999999999995</v>
      </c>
      <c r="U232" s="21">
        <f t="shared" si="97"/>
        <v>69.986999999999995</v>
      </c>
      <c r="V232" s="21">
        <f t="shared" si="97"/>
        <v>69.986999999999995</v>
      </c>
      <c r="W232" s="21">
        <f t="shared" si="97"/>
        <v>69.986999999999995</v>
      </c>
    </row>
    <row r="233" spans="1:23" x14ac:dyDescent="0.2">
      <c r="A233" s="1289" t="s">
        <v>613</v>
      </c>
      <c r="B233" s="1289"/>
      <c r="C233" s="21">
        <f>(INT(D55/14)+1)*$D$223/1000</f>
        <v>23.492000000000001</v>
      </c>
      <c r="D233" s="21">
        <f t="shared" ref="D233:L233" si="98">(INT(E55/14)+1)*$D$223/1000</f>
        <v>164.44399999999999</v>
      </c>
      <c r="E233" s="21">
        <f t="shared" si="98"/>
        <v>234.92</v>
      </c>
      <c r="F233" s="21">
        <f t="shared" si="98"/>
        <v>352.38</v>
      </c>
      <c r="G233" s="21">
        <f t="shared" si="98"/>
        <v>422.85599999999999</v>
      </c>
      <c r="H233" s="21">
        <f t="shared" si="98"/>
        <v>481.58600000000001</v>
      </c>
      <c r="I233" s="21">
        <f t="shared" si="98"/>
        <v>481.58600000000001</v>
      </c>
      <c r="J233" s="21">
        <f t="shared" si="98"/>
        <v>481.58600000000001</v>
      </c>
      <c r="K233" s="21">
        <f t="shared" si="98"/>
        <v>481.58600000000001</v>
      </c>
      <c r="L233" s="21">
        <f t="shared" si="98"/>
        <v>481.58600000000001</v>
      </c>
      <c r="M233" s="21">
        <f t="shared" ref="M233:W233" si="99">(INT(N55/14)+1)*$D$223/1000</f>
        <v>481.58600000000001</v>
      </c>
      <c r="N233" s="21">
        <f t="shared" si="99"/>
        <v>481.58600000000001</v>
      </c>
      <c r="O233" s="21">
        <f t="shared" si="99"/>
        <v>481.58600000000001</v>
      </c>
      <c r="P233" s="21">
        <f t="shared" si="99"/>
        <v>481.58600000000001</v>
      </c>
      <c r="Q233" s="21">
        <f t="shared" si="99"/>
        <v>481.58600000000001</v>
      </c>
      <c r="R233" s="21">
        <f t="shared" si="99"/>
        <v>481.58600000000001</v>
      </c>
      <c r="S233" s="21">
        <f t="shared" si="99"/>
        <v>481.58600000000001</v>
      </c>
      <c r="T233" s="21">
        <f t="shared" si="99"/>
        <v>481.58600000000001</v>
      </c>
      <c r="U233" s="21">
        <f t="shared" si="99"/>
        <v>481.58600000000001</v>
      </c>
      <c r="V233" s="21">
        <f t="shared" si="99"/>
        <v>481.58600000000001</v>
      </c>
      <c r="W233" s="21">
        <f t="shared" si="99"/>
        <v>481.58600000000001</v>
      </c>
    </row>
    <row r="234" spans="1:23" x14ac:dyDescent="0.2">
      <c r="A234" s="1289" t="s">
        <v>616</v>
      </c>
      <c r="B234" s="1289"/>
      <c r="C234" s="21">
        <f>$D$224*D57/1000</f>
        <v>12.686272442472561</v>
      </c>
      <c r="D234" s="21">
        <f t="shared" ref="D234:L234" si="100">$D$224*E57/1000</f>
        <v>97.261422058956299</v>
      </c>
      <c r="E234" s="21">
        <f t="shared" si="100"/>
        <v>145.89213308843443</v>
      </c>
      <c r="F234" s="21">
        <f t="shared" si="100"/>
        <v>218.30960494754865</v>
      </c>
      <c r="G234" s="21">
        <f t="shared" si="100"/>
        <v>264.29734255151163</v>
      </c>
      <c r="H234" s="21">
        <f t="shared" si="100"/>
        <v>301.29897050872336</v>
      </c>
      <c r="I234" s="21">
        <f t="shared" si="100"/>
        <v>301.29897050872336</v>
      </c>
      <c r="J234" s="21">
        <f t="shared" si="100"/>
        <v>301.29897050872336</v>
      </c>
      <c r="K234" s="21">
        <f t="shared" si="100"/>
        <v>301.29897050872336</v>
      </c>
      <c r="L234" s="21">
        <f t="shared" si="100"/>
        <v>301.29897050872336</v>
      </c>
      <c r="M234" s="21">
        <f t="shared" ref="M234:W234" si="101">$D$224*N57/1000</f>
        <v>301.29897050872336</v>
      </c>
      <c r="N234" s="21">
        <f t="shared" si="101"/>
        <v>301.29897050872336</v>
      </c>
      <c r="O234" s="21">
        <f t="shared" si="101"/>
        <v>301.29897050872336</v>
      </c>
      <c r="P234" s="21">
        <f t="shared" si="101"/>
        <v>301.29897050872336</v>
      </c>
      <c r="Q234" s="21">
        <f t="shared" si="101"/>
        <v>301.29897050872336</v>
      </c>
      <c r="R234" s="21">
        <f t="shared" si="101"/>
        <v>301.29897050872336</v>
      </c>
      <c r="S234" s="21">
        <f t="shared" si="101"/>
        <v>301.29897050872336</v>
      </c>
      <c r="T234" s="21">
        <f t="shared" si="101"/>
        <v>301.29897050872336</v>
      </c>
      <c r="U234" s="21">
        <f t="shared" si="101"/>
        <v>301.29897050872336</v>
      </c>
      <c r="V234" s="21">
        <f t="shared" si="101"/>
        <v>301.29897050872336</v>
      </c>
      <c r="W234" s="21">
        <f t="shared" si="101"/>
        <v>301.29897050872336</v>
      </c>
    </row>
    <row r="235" spans="1:23" x14ac:dyDescent="0.2">
      <c r="A235" s="1289" t="s">
        <v>617</v>
      </c>
      <c r="B235" s="1289"/>
      <c r="C235" s="21">
        <f>$D$226/12*4/1000+$D$225*D57/1000</f>
        <v>435.77600206079478</v>
      </c>
      <c r="D235" s="21">
        <f>$D$226/1000+$D$225*E57/1000</f>
        <v>1535.5987935772048</v>
      </c>
      <c r="E235" s="21">
        <f t="shared" ref="E235:L235" si="102">$D$226/1000+$D$225*F57/1000</f>
        <v>1723.1069403658071</v>
      </c>
      <c r="F235" s="21">
        <f t="shared" si="102"/>
        <v>2002.3310285183998</v>
      </c>
      <c r="G235" s="21">
        <f t="shared" si="102"/>
        <v>2179.648515155448</v>
      </c>
      <c r="H235" s="21">
        <f t="shared" si="102"/>
        <v>2322.3177572772106</v>
      </c>
      <c r="I235" s="21">
        <f t="shared" si="102"/>
        <v>2322.3177572772106</v>
      </c>
      <c r="J235" s="21">
        <f t="shared" si="102"/>
        <v>2322.3177572772106</v>
      </c>
      <c r="K235" s="21">
        <f t="shared" si="102"/>
        <v>2322.3177572772106</v>
      </c>
      <c r="L235" s="21">
        <f t="shared" si="102"/>
        <v>2322.3177572772106</v>
      </c>
      <c r="M235" s="21">
        <f t="shared" ref="M235:W235" si="103">$D$226/1000+$D$225*N57/1000</f>
        <v>2322.3177572772106</v>
      </c>
      <c r="N235" s="21">
        <f t="shared" si="103"/>
        <v>2322.3177572772106</v>
      </c>
      <c r="O235" s="21">
        <f t="shared" si="103"/>
        <v>2322.3177572772106</v>
      </c>
      <c r="P235" s="21">
        <f t="shared" si="103"/>
        <v>2322.3177572772106</v>
      </c>
      <c r="Q235" s="21">
        <f t="shared" si="103"/>
        <v>2322.3177572772106</v>
      </c>
      <c r="R235" s="21">
        <f t="shared" si="103"/>
        <v>2322.3177572772106</v>
      </c>
      <c r="S235" s="21">
        <f t="shared" si="103"/>
        <v>2322.3177572772106</v>
      </c>
      <c r="T235" s="21">
        <f t="shared" si="103"/>
        <v>2322.3177572772106</v>
      </c>
      <c r="U235" s="21">
        <f t="shared" si="103"/>
        <v>2322.3177572772106</v>
      </c>
      <c r="V235" s="21">
        <f t="shared" si="103"/>
        <v>2322.3177572772106</v>
      </c>
      <c r="W235" s="21">
        <f t="shared" si="103"/>
        <v>2322.3177572772106</v>
      </c>
    </row>
    <row r="236" spans="1:23" x14ac:dyDescent="0.2">
      <c r="A236" s="1289" t="s">
        <v>618</v>
      </c>
      <c r="B236" s="1289"/>
      <c r="C236" s="21">
        <f>$D$227*D57/1000</f>
        <v>1.0149017953978048</v>
      </c>
      <c r="D236" s="21">
        <f t="shared" ref="D236:L236" si="104">$D$227*E57/1000</f>
        <v>7.7809137647165034</v>
      </c>
      <c r="E236" s="21">
        <f t="shared" si="104"/>
        <v>11.671370647074754</v>
      </c>
      <c r="F236" s="21">
        <f t="shared" si="104"/>
        <v>17.46476839580389</v>
      </c>
      <c r="G236" s="21">
        <f t="shared" si="104"/>
        <v>21.143787404120932</v>
      </c>
      <c r="H236" s="21">
        <f t="shared" si="104"/>
        <v>24.103917640697865</v>
      </c>
      <c r="I236" s="21">
        <f t="shared" si="104"/>
        <v>24.103917640697865</v>
      </c>
      <c r="J236" s="21">
        <f t="shared" si="104"/>
        <v>24.103917640697865</v>
      </c>
      <c r="K236" s="21">
        <f t="shared" si="104"/>
        <v>24.103917640697865</v>
      </c>
      <c r="L236" s="21">
        <f t="shared" si="104"/>
        <v>24.103917640697865</v>
      </c>
      <c r="M236" s="21">
        <f t="shared" ref="M236:W236" si="105">$D$227*N57/1000</f>
        <v>24.103917640697865</v>
      </c>
      <c r="N236" s="21">
        <f t="shared" si="105"/>
        <v>24.103917640697865</v>
      </c>
      <c r="O236" s="21">
        <f t="shared" si="105"/>
        <v>24.103917640697865</v>
      </c>
      <c r="P236" s="21">
        <f t="shared" si="105"/>
        <v>24.103917640697865</v>
      </c>
      <c r="Q236" s="21">
        <f t="shared" si="105"/>
        <v>24.103917640697865</v>
      </c>
      <c r="R236" s="21">
        <f t="shared" si="105"/>
        <v>24.103917640697865</v>
      </c>
      <c r="S236" s="21">
        <f t="shared" si="105"/>
        <v>24.103917640697865</v>
      </c>
      <c r="T236" s="21">
        <f t="shared" si="105"/>
        <v>24.103917640697865</v>
      </c>
      <c r="U236" s="21">
        <f t="shared" si="105"/>
        <v>24.103917640697865</v>
      </c>
      <c r="V236" s="21">
        <f t="shared" si="105"/>
        <v>24.103917640697865</v>
      </c>
      <c r="W236" s="21">
        <f t="shared" si="105"/>
        <v>24.103917640697865</v>
      </c>
    </row>
    <row r="237" spans="1:23" x14ac:dyDescent="0.2">
      <c r="A237" s="1289" t="s">
        <v>106</v>
      </c>
      <c r="B237" s="1289"/>
      <c r="C237" s="80">
        <f>(C231+C232)*'Données gestion'!C25</f>
        <v>79330.406988031595</v>
      </c>
      <c r="D237" s="80">
        <f>(D231+D232)*'Données gestion'!D25</f>
        <v>644754.91671427921</v>
      </c>
      <c r="E237" s="80">
        <f>(E231+E232)*'Données gestion'!E25</f>
        <v>1025165.3374117317</v>
      </c>
      <c r="F237" s="80">
        <f>(F231+F232)*'Données gestion'!F25</f>
        <v>1626080.9397582747</v>
      </c>
      <c r="G237" s="80">
        <f>(G231+G232)*'Données gestion'!G25</f>
        <v>2086740.6282856076</v>
      </c>
      <c r="H237" s="80">
        <f>(H231+H232)*'Données gestion'!H25</f>
        <v>2521619.0492577362</v>
      </c>
      <c r="I237" s="80">
        <f>(I231+I232)*'Données gestion'!I25</f>
        <v>2672916.1922132005</v>
      </c>
      <c r="J237" s="80">
        <f>(J231+J232)*'Données gestion'!J25</f>
        <v>2833291.1637459928</v>
      </c>
      <c r="K237" s="80">
        <f>(K231+K232)*'Données gestion'!K25</f>
        <v>3003288.6335707521</v>
      </c>
      <c r="L237" s="80">
        <f>(L231+L232)*'Données gestion'!L25</f>
        <v>3183485.9515849971</v>
      </c>
      <c r="M237" s="80">
        <f>(M231+M232)*'Données gestion'!M25</f>
        <v>3183485.9515849971</v>
      </c>
      <c r="N237" s="80">
        <f>(N231+N232)*'Données gestion'!N25</f>
        <v>3183485.9515849971</v>
      </c>
      <c r="O237" s="80">
        <f>(O231+O232)*'Données gestion'!O25</f>
        <v>3183485.9515849971</v>
      </c>
      <c r="P237" s="80">
        <f>(P231+P232)*'Données gestion'!P25</f>
        <v>3183485.9515849971</v>
      </c>
      <c r="Q237" s="80">
        <f>(Q231+Q232)*'Données gestion'!Q25</f>
        <v>3183485.9515849971</v>
      </c>
      <c r="R237" s="80">
        <f>(R231+R232)*'Données gestion'!R25</f>
        <v>3183485.9515849971</v>
      </c>
      <c r="S237" s="80">
        <f>(S231+S232)*'Données gestion'!S25</f>
        <v>3183485.9515849971</v>
      </c>
      <c r="T237" s="80">
        <f>(T231+T232)*'Données gestion'!T25</f>
        <v>3183485.9515849971</v>
      </c>
      <c r="U237" s="80">
        <f>(U231+U232)*'Données gestion'!U25</f>
        <v>3183485.9515849971</v>
      </c>
      <c r="V237" s="80">
        <f>(V231+V232)*'Données gestion'!V25</f>
        <v>3183485.9515849971</v>
      </c>
      <c r="W237" s="80">
        <f>(W231+W232)*'Données gestion'!W25</f>
        <v>3183485.9515849971</v>
      </c>
    </row>
    <row r="238" spans="1:23" x14ac:dyDescent="0.2">
      <c r="C238" s="80">
        <f>C237/'Données gestion'!C25*'Données gestion'!$C$25</f>
        <v>79330.406988031595</v>
      </c>
      <c r="D238" s="80">
        <f>D237/'Données gestion'!D25*'Données gestion'!$C$25</f>
        <v>608259.3553908295</v>
      </c>
      <c r="E238" s="80">
        <f>E237/'Données gestion'!E25*'Données gestion'!$C$25</f>
        <v>912393.50072243821</v>
      </c>
      <c r="F238" s="80">
        <f>F237/'Données gestion'!F25*'Données gestion'!$C$25</f>
        <v>1365288.9127923339</v>
      </c>
      <c r="G238" s="80">
        <f>G237/'Données gestion'!G25*'Données gestion'!$C$25</f>
        <v>1652894.0284863552</v>
      </c>
      <c r="H238" s="80">
        <f>H237/'Données gestion'!H25*'Données gestion'!$C$25</f>
        <v>1884300.4434125794</v>
      </c>
      <c r="I238" s="80">
        <f>I237/'Données gestion'!I25*'Données gestion'!$C$25</f>
        <v>1884300.4434125794</v>
      </c>
      <c r="J238" s="80">
        <f>J237/'Données gestion'!J25*'Données gestion'!$C$25</f>
        <v>1884300.4434125794</v>
      </c>
      <c r="K238" s="80">
        <f>K237/'Données gestion'!K25*'Données gestion'!$C$25</f>
        <v>1884300.4434125794</v>
      </c>
      <c r="L238" s="80">
        <f>L237/'Données gestion'!L25*'Données gestion'!$C$25</f>
        <v>1884300.4434125794</v>
      </c>
      <c r="M238" s="80">
        <f>M237/'Données gestion'!M25*'Données gestion'!$C$25</f>
        <v>1884300.4434125794</v>
      </c>
      <c r="N238" s="80">
        <f>N237/'Données gestion'!N25*'Données gestion'!$C$25</f>
        <v>1884300.4434125794</v>
      </c>
      <c r="O238" s="80">
        <f>O237/'Données gestion'!O25*'Données gestion'!$C$25</f>
        <v>1884300.4434125794</v>
      </c>
      <c r="P238" s="80">
        <f>P237/'Données gestion'!P25*'Données gestion'!$C$25</f>
        <v>1884300.4434125794</v>
      </c>
      <c r="Q238" s="80">
        <f>Q237/'Données gestion'!Q25*'Données gestion'!$C$25</f>
        <v>1884300.4434125794</v>
      </c>
      <c r="R238" s="80">
        <f>R237/'Données gestion'!R25*'Données gestion'!$C$25</f>
        <v>1884300.4434125794</v>
      </c>
      <c r="S238" s="80">
        <f>S237/'Données gestion'!S25*'Données gestion'!$C$25</f>
        <v>1884300.4434125794</v>
      </c>
      <c r="T238" s="80">
        <f>T237/'Données gestion'!T25*'Données gestion'!$C$25</f>
        <v>1884300.4434125794</v>
      </c>
      <c r="U238" s="80">
        <f>U237/'Données gestion'!U25*'Données gestion'!$C$25</f>
        <v>1884300.4434125794</v>
      </c>
      <c r="V238" s="80">
        <f>V237/'Données gestion'!V25*'Données gestion'!$C$25</f>
        <v>1884300.4434125794</v>
      </c>
      <c r="W238" s="80">
        <f>W237/'Données gestion'!W25*'Données gestion'!$C$25</f>
        <v>1884300.4434125794</v>
      </c>
    </row>
    <row r="239" spans="1:23" x14ac:dyDescent="0.2">
      <c r="C239" s="80">
        <f>C237-C238</f>
        <v>0</v>
      </c>
      <c r="D239" s="80">
        <f t="shared" ref="D239:W239" si="106">D237-D238</f>
        <v>36495.561323449714</v>
      </c>
      <c r="E239" s="80">
        <f t="shared" si="106"/>
        <v>112771.8366892935</v>
      </c>
      <c r="F239" s="80">
        <f t="shared" si="106"/>
        <v>260792.02696594084</v>
      </c>
      <c r="G239" s="80">
        <f t="shared" si="106"/>
        <v>433846.59979925235</v>
      </c>
      <c r="H239" s="80">
        <f t="shared" si="106"/>
        <v>637318.60584515682</v>
      </c>
      <c r="I239" s="80">
        <f t="shared" si="106"/>
        <v>788615.74880062114</v>
      </c>
      <c r="J239" s="80">
        <f t="shared" si="106"/>
        <v>948990.72033341345</v>
      </c>
      <c r="K239" s="80">
        <f t="shared" si="106"/>
        <v>1118988.1901581727</v>
      </c>
      <c r="L239" s="80">
        <f t="shared" si="106"/>
        <v>1299185.5081724178</v>
      </c>
      <c r="M239" s="80">
        <f t="shared" si="106"/>
        <v>1299185.5081724178</v>
      </c>
      <c r="N239" s="80">
        <f t="shared" si="106"/>
        <v>1299185.5081724178</v>
      </c>
      <c r="O239" s="80">
        <f t="shared" si="106"/>
        <v>1299185.5081724178</v>
      </c>
      <c r="P239" s="80">
        <f t="shared" si="106"/>
        <v>1299185.5081724178</v>
      </c>
      <c r="Q239" s="80">
        <f t="shared" si="106"/>
        <v>1299185.5081724178</v>
      </c>
      <c r="R239" s="80">
        <f t="shared" si="106"/>
        <v>1299185.5081724178</v>
      </c>
      <c r="S239" s="80">
        <f t="shared" si="106"/>
        <v>1299185.5081724178</v>
      </c>
      <c r="T239" s="80">
        <f t="shared" si="106"/>
        <v>1299185.5081724178</v>
      </c>
      <c r="U239" s="80">
        <f t="shared" si="106"/>
        <v>1299185.5081724178</v>
      </c>
      <c r="V239" s="80">
        <f t="shared" si="106"/>
        <v>1299185.5081724178</v>
      </c>
      <c r="W239" s="80">
        <f t="shared" si="106"/>
        <v>1299185.5081724178</v>
      </c>
    </row>
    <row r="240" spans="1:23" x14ac:dyDescent="0.2">
      <c r="A240" s="12" t="s">
        <v>234</v>
      </c>
      <c r="L240" s="76"/>
    </row>
    <row r="241" spans="1:30" x14ac:dyDescent="0.2">
      <c r="C241" s="40" t="s">
        <v>835</v>
      </c>
      <c r="D241" s="40" t="s">
        <v>945</v>
      </c>
      <c r="E241" s="40" t="s">
        <v>946</v>
      </c>
      <c r="F241" s="40" t="s">
        <v>947</v>
      </c>
      <c r="G241" s="40" t="s">
        <v>948</v>
      </c>
      <c r="H241" s="40" t="s">
        <v>949</v>
      </c>
      <c r="I241" s="40" t="s">
        <v>846</v>
      </c>
      <c r="J241" s="40" t="s">
        <v>847</v>
      </c>
      <c r="K241" s="40" t="s">
        <v>848</v>
      </c>
      <c r="L241" s="40" t="s">
        <v>849</v>
      </c>
      <c r="M241" s="40" t="s">
        <v>509</v>
      </c>
      <c r="N241" s="40" t="s">
        <v>510</v>
      </c>
      <c r="O241" s="40" t="s">
        <v>368</v>
      </c>
      <c r="P241" s="40" t="s">
        <v>369</v>
      </c>
      <c r="Q241" s="40" t="s">
        <v>370</v>
      </c>
      <c r="R241" s="40" t="s">
        <v>371</v>
      </c>
      <c r="S241" s="40" t="s">
        <v>372</v>
      </c>
      <c r="T241" s="40" t="s">
        <v>373</v>
      </c>
      <c r="U241" s="40" t="s">
        <v>374</v>
      </c>
      <c r="V241" s="40" t="s">
        <v>375</v>
      </c>
      <c r="W241" s="40" t="s">
        <v>376</v>
      </c>
    </row>
    <row r="242" spans="1:30" x14ac:dyDescent="0.2">
      <c r="A242" s="1289" t="s">
        <v>107</v>
      </c>
      <c r="B242" s="1289"/>
      <c r="C242" s="80">
        <f>D242*C7/D7</f>
        <v>26086.956521739132</v>
      </c>
      <c r="D242" s="109">
        <v>150000</v>
      </c>
      <c r="E242" s="80">
        <f>$D$242*(1+'Données gestion'!E30)</f>
        <v>156060</v>
      </c>
      <c r="F242" s="80">
        <f>$D$242*(1+'Données gestion'!F30)</f>
        <v>159181.19999999998</v>
      </c>
      <c r="G242" s="80">
        <f>$D$242*(1+'Données gestion'!G30)</f>
        <v>162364.82399999999</v>
      </c>
      <c r="H242" s="80">
        <f>$D$242*(1+'Données gestion'!H30)</f>
        <v>165612.12048000001</v>
      </c>
      <c r="I242" s="80">
        <f>$D$242*(1+'Données gestion'!I30)</f>
        <v>168924.36288960002</v>
      </c>
      <c r="J242" s="80">
        <f>$D$242*(1+'Données gestion'!J30)</f>
        <v>172302.85014739196</v>
      </c>
      <c r="K242" s="80">
        <f>$D$242*(1+'Données gestion'!K30)</f>
        <v>175748.90715033983</v>
      </c>
      <c r="L242" s="80">
        <f>$D$242*(1+'Données gestion'!L30)</f>
        <v>179263.88529334663</v>
      </c>
      <c r="M242" s="80">
        <f>$D$242*(1+'Données gestion'!M30)</f>
        <v>182849.16299921356</v>
      </c>
      <c r="N242" s="80">
        <f>$D$242*(1+'Données gestion'!N30)</f>
        <v>186506.14625919779</v>
      </c>
      <c r="O242" s="80">
        <f>$D$242*(1+'Données gestion'!O30)</f>
        <v>190236.26918438179</v>
      </c>
      <c r="P242" s="80">
        <f>$D$242*(1+'Données gestion'!P30)</f>
        <v>194040.99456806941</v>
      </c>
      <c r="Q242" s="80">
        <f>$D$242*(1+'Données gestion'!Q30)</f>
        <v>197921.81445943081</v>
      </c>
      <c r="R242" s="80">
        <f>$D$242*(1+'Données gestion'!R30)</f>
        <v>201880.25074861938</v>
      </c>
      <c r="S242" s="80">
        <f>$D$242*(1+'Données gestion'!S30)</f>
        <v>205917.8557635918</v>
      </c>
      <c r="T242" s="80">
        <f>$D$242*(1+'Données gestion'!T30)</f>
        <v>210036.21287886365</v>
      </c>
      <c r="U242" s="80">
        <f>$D$242*(1+'Données gestion'!U30)</f>
        <v>214236.93713644092</v>
      </c>
      <c r="V242" s="80">
        <f>$D$242*(1+'Données gestion'!V30)</f>
        <v>218521.67587916972</v>
      </c>
      <c r="W242" s="80">
        <f>$D$242*(1+'Données gestion'!W30)</f>
        <v>222892.10939675313</v>
      </c>
      <c r="X242" t="s">
        <v>622</v>
      </c>
    </row>
    <row r="243" spans="1:30" x14ac:dyDescent="0.2">
      <c r="D243" s="582"/>
    </row>
    <row r="245" spans="1:30" x14ac:dyDescent="0.2">
      <c r="Z245" s="77" t="s">
        <v>1104</v>
      </c>
    </row>
    <row r="246" spans="1:30" x14ac:dyDescent="0.2">
      <c r="Z246" s="87" t="s">
        <v>1093</v>
      </c>
      <c r="AA246" s="73"/>
      <c r="AB246" s="74"/>
      <c r="AC246" s="16">
        <v>10</v>
      </c>
      <c r="AD246" t="s">
        <v>1094</v>
      </c>
    </row>
    <row r="247" spans="1:30" x14ac:dyDescent="0.2">
      <c r="A247" s="12" t="s">
        <v>1084</v>
      </c>
      <c r="Z247" t="s">
        <v>1100</v>
      </c>
    </row>
    <row r="248" spans="1:30" x14ac:dyDescent="0.2">
      <c r="C248" s="40" t="s">
        <v>835</v>
      </c>
      <c r="D248" s="40" t="s">
        <v>945</v>
      </c>
      <c r="E248" s="40" t="s">
        <v>946</v>
      </c>
      <c r="F248" s="40" t="s">
        <v>947</v>
      </c>
      <c r="G248" s="40" t="s">
        <v>948</v>
      </c>
      <c r="H248" s="40" t="s">
        <v>949</v>
      </c>
      <c r="I248" s="40" t="s">
        <v>846</v>
      </c>
      <c r="J248" s="40" t="s">
        <v>847</v>
      </c>
      <c r="K248" s="40" t="s">
        <v>848</v>
      </c>
      <c r="L248" s="40" t="s">
        <v>849</v>
      </c>
      <c r="M248" s="40" t="s">
        <v>509</v>
      </c>
      <c r="N248" s="40" t="s">
        <v>510</v>
      </c>
      <c r="O248" s="40" t="s">
        <v>368</v>
      </c>
      <c r="P248" s="40" t="s">
        <v>369</v>
      </c>
      <c r="Q248" s="40" t="s">
        <v>370</v>
      </c>
      <c r="R248" s="40" t="s">
        <v>371</v>
      </c>
      <c r="S248" s="40" t="s">
        <v>372</v>
      </c>
      <c r="T248" s="40" t="s">
        <v>373</v>
      </c>
      <c r="U248" s="40" t="s">
        <v>374</v>
      </c>
      <c r="V248" s="40" t="s">
        <v>375</v>
      </c>
      <c r="W248" s="40" t="s">
        <v>376</v>
      </c>
      <c r="Z248" t="s">
        <v>1091</v>
      </c>
    </row>
    <row r="249" spans="1:30" x14ac:dyDescent="0.2">
      <c r="A249" s="1266" t="s">
        <v>109</v>
      </c>
      <c r="B249" s="1266"/>
      <c r="C249" s="110">
        <v>350</v>
      </c>
      <c r="D249" s="110">
        <v>2000</v>
      </c>
      <c r="E249" s="110">
        <v>4000</v>
      </c>
      <c r="F249" s="110">
        <v>6000</v>
      </c>
      <c r="G249" s="110">
        <v>8000</v>
      </c>
      <c r="H249" s="110">
        <v>8000</v>
      </c>
      <c r="I249" s="110">
        <v>8000</v>
      </c>
      <c r="J249" s="110">
        <v>8000</v>
      </c>
      <c r="K249" s="110">
        <v>8000</v>
      </c>
      <c r="L249" s="110">
        <v>8000</v>
      </c>
      <c r="M249" s="110">
        <v>8000</v>
      </c>
      <c r="N249" s="110">
        <v>8000</v>
      </c>
      <c r="O249" s="110">
        <v>8000</v>
      </c>
      <c r="P249" s="110">
        <v>8000</v>
      </c>
      <c r="Q249" s="110">
        <v>8000</v>
      </c>
      <c r="R249" s="110">
        <v>8000</v>
      </c>
      <c r="S249" s="110">
        <v>8000</v>
      </c>
      <c r="T249" s="110">
        <v>8000</v>
      </c>
      <c r="U249" s="110">
        <v>8000</v>
      </c>
      <c r="V249" s="110">
        <v>8000</v>
      </c>
      <c r="W249" s="110">
        <v>8000</v>
      </c>
      <c r="X249" t="s">
        <v>493</v>
      </c>
      <c r="Z249" s="1348" t="s">
        <v>1090</v>
      </c>
      <c r="AA249" s="1349"/>
      <c r="AB249" s="15" t="s">
        <v>1095</v>
      </c>
      <c r="AC249" s="16">
        <v>8</v>
      </c>
    </row>
    <row r="250" spans="1:30" x14ac:dyDescent="0.2">
      <c r="A250" s="1266" t="s">
        <v>1099</v>
      </c>
      <c r="B250" s="1266"/>
      <c r="C250" s="66">
        <f t="shared" ref="C250:J250" si="107">D55/$AC$246*$AB$253/1000</f>
        <v>0</v>
      </c>
      <c r="D250" s="66">
        <f t="shared" si="107"/>
        <v>0</v>
      </c>
      <c r="E250" s="66">
        <f t="shared" si="107"/>
        <v>0</v>
      </c>
      <c r="F250" s="66">
        <f t="shared" si="107"/>
        <v>0</v>
      </c>
      <c r="G250" s="66">
        <f t="shared" si="107"/>
        <v>0</v>
      </c>
      <c r="H250" s="66">
        <f t="shared" si="107"/>
        <v>0</v>
      </c>
      <c r="I250" s="66">
        <f t="shared" si="107"/>
        <v>0</v>
      </c>
      <c r="J250" s="66">
        <f t="shared" si="107"/>
        <v>0</v>
      </c>
      <c r="K250" s="66">
        <f>L55/$AC$246*$AB$253/1000</f>
        <v>0</v>
      </c>
      <c r="L250" s="66">
        <f>M55/$AC$246*$AB$253/1000</f>
        <v>0</v>
      </c>
      <c r="M250" s="66">
        <f t="shared" ref="M250:W250" si="108">N55/$AC$246*$AB$253/1000</f>
        <v>0</v>
      </c>
      <c r="N250" s="66">
        <f t="shared" si="108"/>
        <v>0</v>
      </c>
      <c r="O250" s="66">
        <f t="shared" si="108"/>
        <v>0</v>
      </c>
      <c r="P250" s="66">
        <f t="shared" si="108"/>
        <v>0</v>
      </c>
      <c r="Q250" s="66">
        <f t="shared" si="108"/>
        <v>0</v>
      </c>
      <c r="R250" s="66">
        <f t="shared" si="108"/>
        <v>0</v>
      </c>
      <c r="S250" s="66">
        <f t="shared" si="108"/>
        <v>0</v>
      </c>
      <c r="T250" s="66">
        <f t="shared" si="108"/>
        <v>0</v>
      </c>
      <c r="U250" s="66">
        <f t="shared" si="108"/>
        <v>0</v>
      </c>
      <c r="V250" s="66">
        <f t="shared" si="108"/>
        <v>0</v>
      </c>
      <c r="W250" s="66">
        <f t="shared" si="108"/>
        <v>0</v>
      </c>
      <c r="X250" t="s">
        <v>17</v>
      </c>
      <c r="AB250" s="15" t="s">
        <v>1096</v>
      </c>
      <c r="AC250" s="16">
        <v>2.5</v>
      </c>
    </row>
    <row r="251" spans="1:30" x14ac:dyDescent="0.2">
      <c r="A251" s="1266" t="s">
        <v>1101</v>
      </c>
      <c r="B251" s="1266"/>
      <c r="C251" s="78">
        <f>'Données Matières'!C45</f>
        <v>20</v>
      </c>
      <c r="D251" s="78">
        <f>'Données Matières'!D45</f>
        <v>20</v>
      </c>
      <c r="E251" s="78">
        <f>'Données Matières'!E45</f>
        <v>20</v>
      </c>
      <c r="F251" s="78">
        <f>'Données Matières'!F45</f>
        <v>20</v>
      </c>
      <c r="G251" s="78">
        <f>'Données Matières'!G45</f>
        <v>20</v>
      </c>
      <c r="H251" s="78">
        <f>'Données Matières'!H45</f>
        <v>20</v>
      </c>
      <c r="I251" s="78">
        <f>'Données Matières'!I45</f>
        <v>20</v>
      </c>
      <c r="J251" s="78">
        <f>'Données Matières'!J45</f>
        <v>20</v>
      </c>
      <c r="K251" s="78">
        <f>'Données Matières'!K45</f>
        <v>20</v>
      </c>
      <c r="L251" s="78">
        <f>'Données Matières'!L45</f>
        <v>20</v>
      </c>
      <c r="M251" s="78">
        <f>'Données Matières'!M45</f>
        <v>20</v>
      </c>
      <c r="N251" s="78">
        <f>'Données Matières'!N45</f>
        <v>20</v>
      </c>
      <c r="O251" s="78">
        <f>'Données Matières'!O45</f>
        <v>20</v>
      </c>
      <c r="P251" s="78">
        <f>'Données Matières'!P45</f>
        <v>20</v>
      </c>
      <c r="Q251" s="78">
        <f>'Données Matières'!Q45</f>
        <v>20</v>
      </c>
      <c r="R251" s="78">
        <f>'Données Matières'!R45</f>
        <v>20</v>
      </c>
      <c r="S251" s="78">
        <f>'Données Matières'!S45</f>
        <v>20</v>
      </c>
      <c r="T251" s="78">
        <f>'Données Matières'!T45</f>
        <v>20</v>
      </c>
      <c r="U251" s="78">
        <f>'Données Matières'!U45</f>
        <v>20</v>
      </c>
      <c r="V251" s="78">
        <f>'Données Matières'!V45</f>
        <v>20</v>
      </c>
      <c r="W251" s="78">
        <f>'Données Matières'!W45</f>
        <v>20</v>
      </c>
      <c r="AB251" s="15" t="s">
        <v>1097</v>
      </c>
      <c r="AC251" s="16">
        <v>2</v>
      </c>
    </row>
    <row r="252" spans="1:30" x14ac:dyDescent="0.2">
      <c r="A252" s="1266" t="s">
        <v>1103</v>
      </c>
      <c r="B252" s="1266"/>
      <c r="C252" s="80">
        <f t="shared" ref="C252:H252" si="109">C250*C251*1000</f>
        <v>0</v>
      </c>
      <c r="D252" s="80">
        <f t="shared" si="109"/>
        <v>0</v>
      </c>
      <c r="E252" s="80">
        <f t="shared" si="109"/>
        <v>0</v>
      </c>
      <c r="F252" s="80">
        <f t="shared" si="109"/>
        <v>0</v>
      </c>
      <c r="G252" s="80">
        <f t="shared" si="109"/>
        <v>0</v>
      </c>
      <c r="H252" s="80">
        <f t="shared" si="109"/>
        <v>0</v>
      </c>
      <c r="I252" s="80">
        <f>I250*I251*1000</f>
        <v>0</v>
      </c>
      <c r="J252" s="80">
        <f>J250*J251*1000</f>
        <v>0</v>
      </c>
      <c r="K252" s="80">
        <f>K250*K251*1000</f>
        <v>0</v>
      </c>
      <c r="L252" s="80">
        <f>L250*L251*1000</f>
        <v>0</v>
      </c>
      <c r="M252" s="80">
        <f t="shared" ref="M252:W252" si="110">M250*M251*1000</f>
        <v>0</v>
      </c>
      <c r="N252" s="80">
        <f t="shared" si="110"/>
        <v>0</v>
      </c>
      <c r="O252" s="80">
        <f t="shared" si="110"/>
        <v>0</v>
      </c>
      <c r="P252" s="80">
        <f t="shared" si="110"/>
        <v>0</v>
      </c>
      <c r="Q252" s="80">
        <f t="shared" si="110"/>
        <v>0</v>
      </c>
      <c r="R252" s="80">
        <f t="shared" si="110"/>
        <v>0</v>
      </c>
      <c r="S252" s="80">
        <f t="shared" si="110"/>
        <v>0</v>
      </c>
      <c r="T252" s="80">
        <f t="shared" si="110"/>
        <v>0</v>
      </c>
      <c r="U252" s="80">
        <f t="shared" si="110"/>
        <v>0</v>
      </c>
      <c r="V252" s="80">
        <f t="shared" si="110"/>
        <v>0</v>
      </c>
      <c r="W252" s="80">
        <f t="shared" si="110"/>
        <v>0</v>
      </c>
      <c r="Z252" s="1267" t="s">
        <v>1098</v>
      </c>
      <c r="AA252" s="1330"/>
      <c r="AB252" s="16">
        <v>1</v>
      </c>
    </row>
    <row r="253" spans="1:30" x14ac:dyDescent="0.2">
      <c r="A253" s="1266" t="s">
        <v>1133</v>
      </c>
      <c r="B253" s="1266"/>
      <c r="C253" s="80">
        <f>C141/$AC$265*1000</f>
        <v>161.90504832061973</v>
      </c>
      <c r="D253" s="80">
        <f t="shared" ref="D253:W253" si="111">D141/$AC$265*1000</f>
        <v>1241.2720371247515</v>
      </c>
      <c r="E253" s="80">
        <f t="shared" si="111"/>
        <v>1861.9080556871268</v>
      </c>
      <c r="F253" s="80">
        <f t="shared" si="111"/>
        <v>2786.1160398506649</v>
      </c>
      <c r="G253" s="80">
        <f t="shared" si="111"/>
        <v>3373.0218400129106</v>
      </c>
      <c r="H253" s="80">
        <f t="shared" si="111"/>
        <v>3844.8282309480528</v>
      </c>
      <c r="I253" s="80">
        <f t="shared" si="111"/>
        <v>3844.8282309480528</v>
      </c>
      <c r="J253" s="80">
        <f t="shared" si="111"/>
        <v>3844.8282309480528</v>
      </c>
      <c r="K253" s="80">
        <f t="shared" si="111"/>
        <v>3844.8282309480528</v>
      </c>
      <c r="L253" s="80">
        <f t="shared" si="111"/>
        <v>3844.8282309480528</v>
      </c>
      <c r="M253" s="80">
        <f t="shared" si="111"/>
        <v>3844.8282309480528</v>
      </c>
      <c r="N253" s="80">
        <f t="shared" si="111"/>
        <v>3844.8282309480528</v>
      </c>
      <c r="O253" s="80">
        <f t="shared" si="111"/>
        <v>3844.8282309480528</v>
      </c>
      <c r="P253" s="80">
        <f t="shared" si="111"/>
        <v>3844.8282309480528</v>
      </c>
      <c r="Q253" s="80">
        <f t="shared" si="111"/>
        <v>3844.8282309480528</v>
      </c>
      <c r="R253" s="80">
        <f t="shared" si="111"/>
        <v>3844.8282309480528</v>
      </c>
      <c r="S253" s="80">
        <f t="shared" si="111"/>
        <v>3844.8282309480528</v>
      </c>
      <c r="T253" s="80">
        <f t="shared" si="111"/>
        <v>3844.8282309480528</v>
      </c>
      <c r="U253" s="80">
        <f t="shared" si="111"/>
        <v>3844.8282309480528</v>
      </c>
      <c r="V253" s="80">
        <f t="shared" si="111"/>
        <v>3844.8282309480528</v>
      </c>
      <c r="W253" s="80">
        <f t="shared" si="111"/>
        <v>3844.8282309480528</v>
      </c>
      <c r="Z253" s="1266" t="s">
        <v>1092</v>
      </c>
      <c r="AA253" s="1266"/>
      <c r="AB253" s="20">
        <v>0</v>
      </c>
      <c r="AC253" t="s">
        <v>625</v>
      </c>
    </row>
    <row r="254" spans="1:30" x14ac:dyDescent="0.2">
      <c r="A254" s="50" t="s">
        <v>172</v>
      </c>
      <c r="B254" s="50"/>
      <c r="C254" s="80">
        <f>C253*AB269</f>
        <v>92517.170468925557</v>
      </c>
      <c r="D254" s="80">
        <f t="shared" ref="D254:W254" si="112">D253*AC269</f>
        <v>709298.3069284294</v>
      </c>
      <c r="E254" s="80">
        <f t="shared" si="112"/>
        <v>997450.74411810376</v>
      </c>
      <c r="F254" s="80">
        <f t="shared" si="112"/>
        <v>1393058.0199253326</v>
      </c>
      <c r="G254" s="80">
        <f t="shared" si="112"/>
        <v>1566045.8542917087</v>
      </c>
      <c r="H254" s="80">
        <f t="shared" si="112"/>
        <v>1647783.5275491655</v>
      </c>
      <c r="I254" s="80">
        <f t="shared" si="112"/>
        <v>1510468.2335867351</v>
      </c>
      <c r="J254" s="80">
        <f t="shared" si="112"/>
        <v>1510468.2335867351</v>
      </c>
      <c r="K254" s="80">
        <f t="shared" si="112"/>
        <v>1510468.2335867351</v>
      </c>
      <c r="L254" s="80">
        <f t="shared" si="112"/>
        <v>1510468.2335867351</v>
      </c>
      <c r="M254" s="80">
        <f t="shared" si="112"/>
        <v>1510468.2335867351</v>
      </c>
      <c r="N254" s="80">
        <f t="shared" si="112"/>
        <v>1510468.2335867351</v>
      </c>
      <c r="O254" s="80">
        <f t="shared" si="112"/>
        <v>1510468.2335867351</v>
      </c>
      <c r="P254" s="80">
        <f t="shared" si="112"/>
        <v>1510468.2335867351</v>
      </c>
      <c r="Q254" s="80">
        <f t="shared" si="112"/>
        <v>1510468.2335867351</v>
      </c>
      <c r="R254" s="80">
        <f t="shared" si="112"/>
        <v>1510468.2335867351</v>
      </c>
      <c r="S254" s="80">
        <f t="shared" si="112"/>
        <v>1510468.2335867351</v>
      </c>
      <c r="T254" s="80">
        <f t="shared" si="112"/>
        <v>1510468.2335867351</v>
      </c>
      <c r="U254" s="80">
        <f t="shared" si="112"/>
        <v>1510468.2335867351</v>
      </c>
      <c r="V254" s="80">
        <f t="shared" si="112"/>
        <v>1510468.2335867351</v>
      </c>
      <c r="W254" s="80">
        <f t="shared" si="112"/>
        <v>1510468.2335867351</v>
      </c>
    </row>
    <row r="255" spans="1:30" x14ac:dyDescent="0.2">
      <c r="A255" s="1266" t="s">
        <v>94</v>
      </c>
      <c r="B255" s="1266"/>
      <c r="C255" s="80">
        <f>D255*C7/D7</f>
        <v>17391.304347826088</v>
      </c>
      <c r="D255" s="110">
        <v>100000</v>
      </c>
      <c r="E255" s="110">
        <v>125000</v>
      </c>
      <c r="F255" s="110">
        <v>150000</v>
      </c>
      <c r="G255" s="110">
        <v>175000</v>
      </c>
      <c r="H255" s="110">
        <v>175000</v>
      </c>
      <c r="I255" s="110">
        <v>175000</v>
      </c>
      <c r="J255" s="110">
        <v>175000</v>
      </c>
      <c r="K255" s="110">
        <v>175000</v>
      </c>
      <c r="L255" s="110">
        <v>175000</v>
      </c>
      <c r="M255" s="110">
        <v>175000</v>
      </c>
      <c r="N255" s="110">
        <v>175000</v>
      </c>
      <c r="O255" s="110">
        <v>175000</v>
      </c>
      <c r="P255" s="110">
        <v>175000</v>
      </c>
      <c r="Q255" s="110">
        <v>175000</v>
      </c>
      <c r="R255" s="110">
        <v>175000</v>
      </c>
      <c r="S255" s="110">
        <v>175000</v>
      </c>
      <c r="T255" s="110">
        <v>175000</v>
      </c>
      <c r="U255" s="110">
        <v>175000</v>
      </c>
      <c r="V255" s="110">
        <v>175000</v>
      </c>
      <c r="W255" s="110">
        <v>175000</v>
      </c>
      <c r="X255" t="s">
        <v>513</v>
      </c>
    </row>
    <row r="256" spans="1:30" x14ac:dyDescent="0.2">
      <c r="A256" s="1266" t="s">
        <v>108</v>
      </c>
      <c r="B256" s="1266"/>
      <c r="C256" s="80">
        <f>C249+C252+C254+C255</f>
        <v>110258.47481675164</v>
      </c>
      <c r="D256" s="80">
        <f t="shared" ref="D256:L256" si="113">D249+D252+D254+D255</f>
        <v>811298.3069284294</v>
      </c>
      <c r="E256" s="80">
        <f t="shared" si="113"/>
        <v>1126450.7441181038</v>
      </c>
      <c r="F256" s="80">
        <f t="shared" si="113"/>
        <v>1549058.0199253326</v>
      </c>
      <c r="G256" s="80">
        <f t="shared" si="113"/>
        <v>1749045.8542917087</v>
      </c>
      <c r="H256" s="80">
        <f t="shared" si="113"/>
        <v>1830783.5275491655</v>
      </c>
      <c r="I256" s="80">
        <f t="shared" si="113"/>
        <v>1693468.2335867351</v>
      </c>
      <c r="J256" s="80">
        <f t="shared" si="113"/>
        <v>1693468.2335867351</v>
      </c>
      <c r="K256" s="80">
        <f t="shared" si="113"/>
        <v>1693468.2335867351</v>
      </c>
      <c r="L256" s="80">
        <f t="shared" si="113"/>
        <v>1693468.2335867351</v>
      </c>
      <c r="M256" s="80">
        <f t="shared" ref="M256:W256" si="114">M249+M252+M254+M255</f>
        <v>1693468.2335867351</v>
      </c>
      <c r="N256" s="80">
        <f t="shared" si="114"/>
        <v>1693468.2335867351</v>
      </c>
      <c r="O256" s="80">
        <f t="shared" si="114"/>
        <v>1693468.2335867351</v>
      </c>
      <c r="P256" s="80">
        <f t="shared" si="114"/>
        <v>1693468.2335867351</v>
      </c>
      <c r="Q256" s="80">
        <f t="shared" si="114"/>
        <v>1693468.2335867351</v>
      </c>
      <c r="R256" s="80">
        <f t="shared" si="114"/>
        <v>1693468.2335867351</v>
      </c>
      <c r="S256" s="80">
        <f t="shared" si="114"/>
        <v>1693468.2335867351</v>
      </c>
      <c r="T256" s="80">
        <f t="shared" si="114"/>
        <v>1693468.2335867351</v>
      </c>
      <c r="U256" s="80">
        <f t="shared" si="114"/>
        <v>1693468.2335867351</v>
      </c>
      <c r="V256" s="80">
        <f t="shared" si="114"/>
        <v>1693468.2335867351</v>
      </c>
      <c r="W256" s="80">
        <f t="shared" si="114"/>
        <v>1693468.2335867351</v>
      </c>
      <c r="Z256" s="12" t="s">
        <v>1130</v>
      </c>
    </row>
    <row r="257" spans="26:48" x14ac:dyDescent="0.2">
      <c r="Z257" t="s">
        <v>1131</v>
      </c>
    </row>
    <row r="258" spans="26:48" x14ac:dyDescent="0.2">
      <c r="Z258" t="s">
        <v>1105</v>
      </c>
    </row>
    <row r="259" spans="26:48" x14ac:dyDescent="0.2">
      <c r="AA259" s="15" t="s">
        <v>1095</v>
      </c>
      <c r="AB259" s="16">
        <v>1.36</v>
      </c>
      <c r="AC259" s="43"/>
    </row>
    <row r="260" spans="26:48" x14ac:dyDescent="0.2">
      <c r="AA260" s="15" t="s">
        <v>1096</v>
      </c>
      <c r="AB260" s="16">
        <v>0.36</v>
      </c>
      <c r="AC260" s="43"/>
    </row>
    <row r="261" spans="26:48" x14ac:dyDescent="0.2">
      <c r="AA261" s="79" t="s">
        <v>1097</v>
      </c>
      <c r="AB261" s="16">
        <v>0.32</v>
      </c>
      <c r="AC261" s="43"/>
    </row>
    <row r="262" spans="26:48" x14ac:dyDescent="0.2">
      <c r="Z262" s="1266" t="s">
        <v>1098</v>
      </c>
      <c r="AA262" s="1266"/>
      <c r="AB262" s="37">
        <v>2</v>
      </c>
      <c r="AC262" s="43"/>
    </row>
    <row r="263" spans="26:48" x14ac:dyDescent="0.2">
      <c r="Z263" s="1266" t="s">
        <v>1106</v>
      </c>
      <c r="AA263" s="1266"/>
      <c r="AB263" s="20">
        <f>4.5*(AB259*AB260*AB262+2*AB259*AB261*AB262+2*AB260*AB261*AB262)</f>
        <v>14.313600000000001</v>
      </c>
      <c r="AC263" s="364">
        <f>4.5*20*10*0.02</f>
        <v>18</v>
      </c>
    </row>
    <row r="264" spans="26:48" ht="13.5" thickBot="1" x14ac:dyDescent="0.25">
      <c r="Z264" s="1266" t="s">
        <v>1107</v>
      </c>
      <c r="AA264" s="1266"/>
      <c r="AB264" s="58">
        <v>0.6</v>
      </c>
      <c r="AC264" s="43"/>
    </row>
    <row r="265" spans="26:48" ht="13.5" thickBot="1" x14ac:dyDescent="0.25">
      <c r="Z265" s="1266" t="s">
        <v>1108</v>
      </c>
      <c r="AA265" s="1266"/>
      <c r="AB265" s="1189">
        <f>AB264*(AB259*10*AB260*10*AB261*10)*4.5</f>
        <v>423.01440000000002</v>
      </c>
      <c r="AC265" s="890">
        <v>400</v>
      </c>
    </row>
    <row r="267" spans="26:48" x14ac:dyDescent="0.2">
      <c r="AB267" s="40" t="s">
        <v>835</v>
      </c>
      <c r="AC267" s="40" t="s">
        <v>945</v>
      </c>
      <c r="AD267" s="40" t="s">
        <v>946</v>
      </c>
      <c r="AE267" s="40" t="s">
        <v>947</v>
      </c>
      <c r="AF267" s="40" t="s">
        <v>948</v>
      </c>
      <c r="AG267" s="40" t="s">
        <v>949</v>
      </c>
      <c r="AH267" s="40" t="s">
        <v>846</v>
      </c>
      <c r="AI267" s="40" t="s">
        <v>847</v>
      </c>
      <c r="AJ267" s="40" t="s">
        <v>848</v>
      </c>
      <c r="AK267" s="40" t="s">
        <v>849</v>
      </c>
      <c r="AL267" s="40" t="s">
        <v>509</v>
      </c>
      <c r="AM267" s="40" t="s">
        <v>510</v>
      </c>
      <c r="AN267" s="40" t="s">
        <v>368</v>
      </c>
      <c r="AO267" s="40" t="s">
        <v>369</v>
      </c>
      <c r="AP267" s="40" t="s">
        <v>370</v>
      </c>
      <c r="AQ267" s="40" t="s">
        <v>371</v>
      </c>
      <c r="AR267" s="40" t="s">
        <v>372</v>
      </c>
      <c r="AS267" s="40" t="s">
        <v>373</v>
      </c>
      <c r="AT267" s="40" t="s">
        <v>374</v>
      </c>
      <c r="AU267" s="40" t="s">
        <v>375</v>
      </c>
      <c r="AV267" s="40" t="s">
        <v>376</v>
      </c>
    </row>
    <row r="268" spans="26:48" x14ac:dyDescent="0.2">
      <c r="Z268" t="s">
        <v>1171</v>
      </c>
      <c r="AB268" s="43">
        <v>800</v>
      </c>
      <c r="AC268" s="43">
        <v>800</v>
      </c>
      <c r="AD268" s="43">
        <v>750</v>
      </c>
      <c r="AE268" s="43">
        <v>700</v>
      </c>
      <c r="AF268" s="43">
        <v>650</v>
      </c>
      <c r="AG268" s="43">
        <v>600</v>
      </c>
      <c r="AH268" s="43">
        <v>550</v>
      </c>
      <c r="AI268" s="43">
        <v>550</v>
      </c>
      <c r="AJ268" s="43">
        <v>550</v>
      </c>
      <c r="AK268" s="43">
        <v>550</v>
      </c>
      <c r="AL268" s="43">
        <v>550</v>
      </c>
      <c r="AM268" s="43">
        <v>550</v>
      </c>
      <c r="AN268" s="43">
        <v>550</v>
      </c>
      <c r="AO268" s="43">
        <v>550</v>
      </c>
      <c r="AP268" s="43">
        <v>550</v>
      </c>
      <c r="AQ268" s="43">
        <v>550</v>
      </c>
      <c r="AR268" s="43">
        <v>550</v>
      </c>
      <c r="AS268" s="43">
        <v>550</v>
      </c>
      <c r="AT268" s="43">
        <v>550</v>
      </c>
      <c r="AU268" s="43">
        <v>550</v>
      </c>
      <c r="AV268" s="43">
        <v>550</v>
      </c>
    </row>
    <row r="269" spans="26:48" x14ac:dyDescent="0.2">
      <c r="Z269" t="s">
        <v>1172</v>
      </c>
      <c r="AB269" s="62">
        <f>AB268/'Données gestion'!C9</f>
        <v>571.42857142857144</v>
      </c>
      <c r="AC269" s="62">
        <f>AC268/'Données gestion'!D9</f>
        <v>571.42857142857144</v>
      </c>
      <c r="AD269" s="62">
        <f>AD268/'Données gestion'!E9</f>
        <v>535.71428571428578</v>
      </c>
      <c r="AE269" s="62">
        <f>AE268/'Données gestion'!F9</f>
        <v>500.00000000000006</v>
      </c>
      <c r="AF269" s="62">
        <f>AF268/'Données gestion'!G9</f>
        <v>464.28571428571433</v>
      </c>
      <c r="AG269" s="62">
        <f>AG268/'Données gestion'!H9</f>
        <v>428.57142857142861</v>
      </c>
      <c r="AH269" s="62">
        <f>AH268/'Données gestion'!I9</f>
        <v>392.85714285714289</v>
      </c>
      <c r="AI269" s="62">
        <f>AI268/'Données gestion'!J9</f>
        <v>392.85714285714289</v>
      </c>
      <c r="AJ269" s="62">
        <f>AJ268/'Données gestion'!K9</f>
        <v>392.85714285714289</v>
      </c>
      <c r="AK269" s="62">
        <f>AK268/'Données gestion'!L9</f>
        <v>392.85714285714289</v>
      </c>
      <c r="AL269" s="62">
        <f>AL268/'Données gestion'!M9</f>
        <v>392.85714285714289</v>
      </c>
      <c r="AM269" s="62">
        <f>AM268/'Données gestion'!N9</f>
        <v>392.85714285714289</v>
      </c>
      <c r="AN269" s="62">
        <f>AN268/'Données gestion'!O9</f>
        <v>392.85714285714289</v>
      </c>
      <c r="AO269" s="62">
        <f>AO268/'Données gestion'!P9</f>
        <v>392.85714285714289</v>
      </c>
      <c r="AP269" s="62">
        <f>AP268/'Données gestion'!Q9</f>
        <v>392.85714285714289</v>
      </c>
      <c r="AQ269" s="62">
        <f>AQ268/'Données gestion'!R9</f>
        <v>392.85714285714289</v>
      </c>
      <c r="AR269" s="62">
        <f>AR268/'Données gestion'!S9</f>
        <v>392.85714285714289</v>
      </c>
      <c r="AS269" s="62">
        <f>AS268/'Données gestion'!T9</f>
        <v>392.85714285714289</v>
      </c>
      <c r="AT269" s="62">
        <f>AT268/'Données gestion'!U9</f>
        <v>392.85714285714289</v>
      </c>
      <c r="AU269" s="62">
        <f>AU268/'Données gestion'!V9</f>
        <v>392.85714285714289</v>
      </c>
      <c r="AV269" s="62">
        <f>AV268/'Données gestion'!W9</f>
        <v>392.85714285714289</v>
      </c>
    </row>
  </sheetData>
  <mergeCells count="154">
    <mergeCell ref="AH166:AI166"/>
    <mergeCell ref="AH162:AI162"/>
    <mergeCell ref="AH163:AI163"/>
    <mergeCell ref="AH164:AI164"/>
    <mergeCell ref="AH165:AI165"/>
    <mergeCell ref="Y165:Z165"/>
    <mergeCell ref="Y166:Z166"/>
    <mergeCell ref="Y163:Z163"/>
    <mergeCell ref="Y164:Z164"/>
    <mergeCell ref="A148:B148"/>
    <mergeCell ref="A151:B151"/>
    <mergeCell ref="A172:E172"/>
    <mergeCell ref="A170:E170"/>
    <mergeCell ref="A171:E171"/>
    <mergeCell ref="A142:B142"/>
    <mergeCell ref="A132:B132"/>
    <mergeCell ref="A138:B138"/>
    <mergeCell ref="A133:B133"/>
    <mergeCell ref="A169:E169"/>
    <mergeCell ref="A152:B152"/>
    <mergeCell ref="A153:B153"/>
    <mergeCell ref="A126:B126"/>
    <mergeCell ref="A136:B136"/>
    <mergeCell ref="A141:B141"/>
    <mergeCell ref="A99:B99"/>
    <mergeCell ref="A139:B139"/>
    <mergeCell ref="A127:B127"/>
    <mergeCell ref="A113:B113"/>
    <mergeCell ref="A135:B135"/>
    <mergeCell ref="A100:B100"/>
    <mergeCell ref="A106:B106"/>
    <mergeCell ref="A107:B107"/>
    <mergeCell ref="Y156:Z156"/>
    <mergeCell ref="Y155:Z155"/>
    <mergeCell ref="Y153:Z153"/>
    <mergeCell ref="Y151:Z151"/>
    <mergeCell ref="Y162:Z162"/>
    <mergeCell ref="Y154:Z154"/>
    <mergeCell ref="Y152:Z152"/>
    <mergeCell ref="A174:E174"/>
    <mergeCell ref="A173:E173"/>
    <mergeCell ref="A187:B187"/>
    <mergeCell ref="A193:B193"/>
    <mergeCell ref="A222:C222"/>
    <mergeCell ref="A231:B231"/>
    <mergeCell ref="A198:B198"/>
    <mergeCell ref="A200:B200"/>
    <mergeCell ref="A236:B236"/>
    <mergeCell ref="A223:C223"/>
    <mergeCell ref="Y157:Z157"/>
    <mergeCell ref="A234:B234"/>
    <mergeCell ref="A175:E175"/>
    <mergeCell ref="A186:B186"/>
    <mergeCell ref="A185:B185"/>
    <mergeCell ref="A221:C221"/>
    <mergeCell ref="A177:E177"/>
    <mergeCell ref="A176:E176"/>
    <mergeCell ref="A183:B183"/>
    <mergeCell ref="A184:B184"/>
    <mergeCell ref="A224:C224"/>
    <mergeCell ref="A226:C226"/>
    <mergeCell ref="A232:B232"/>
    <mergeCell ref="A233:B233"/>
    <mergeCell ref="A199:B199"/>
    <mergeCell ref="A252:B252"/>
    <mergeCell ref="Z252:AA252"/>
    <mergeCell ref="A250:B250"/>
    <mergeCell ref="A249:B249"/>
    <mergeCell ref="A251:B251"/>
    <mergeCell ref="A235:B235"/>
    <mergeCell ref="A225:C225"/>
    <mergeCell ref="A227:C227"/>
    <mergeCell ref="Z264:AA264"/>
    <mergeCell ref="Z249:AA249"/>
    <mergeCell ref="A237:B237"/>
    <mergeCell ref="A242:B242"/>
    <mergeCell ref="Z265:AA265"/>
    <mergeCell ref="A253:B253"/>
    <mergeCell ref="Z253:AA253"/>
    <mergeCell ref="Z262:AA262"/>
    <mergeCell ref="A255:B255"/>
    <mergeCell ref="A256:B256"/>
    <mergeCell ref="Z263:AA263"/>
    <mergeCell ref="A48:B48"/>
    <mergeCell ref="A49:B49"/>
    <mergeCell ref="A197:B197"/>
    <mergeCell ref="A182:B182"/>
    <mergeCell ref="A189:B189"/>
    <mergeCell ref="A194:B194"/>
    <mergeCell ref="A196:B196"/>
    <mergeCell ref="A72:C72"/>
    <mergeCell ref="A79:B79"/>
    <mergeCell ref="A80:B80"/>
    <mergeCell ref="A73:C73"/>
    <mergeCell ref="A71:C71"/>
    <mergeCell ref="A78:B78"/>
    <mergeCell ref="A87:B87"/>
    <mergeCell ref="A93:B93"/>
    <mergeCell ref="A88:B88"/>
    <mergeCell ref="A92:B92"/>
    <mergeCell ref="A44:B44"/>
    <mergeCell ref="A45:B45"/>
    <mergeCell ref="A46:B46"/>
    <mergeCell ref="A47:B47"/>
    <mergeCell ref="A60:C60"/>
    <mergeCell ref="A61:C61"/>
    <mergeCell ref="A67:C67"/>
    <mergeCell ref="A40:B40"/>
    <mergeCell ref="A41:B41"/>
    <mergeCell ref="A42:B42"/>
    <mergeCell ref="A43:B43"/>
    <mergeCell ref="A55:C55"/>
    <mergeCell ref="A57:C57"/>
    <mergeCell ref="A58:C58"/>
    <mergeCell ref="A59:C59"/>
    <mergeCell ref="A56:C56"/>
    <mergeCell ref="A62:C62"/>
    <mergeCell ref="A66:C66"/>
    <mergeCell ref="D35:E35"/>
    <mergeCell ref="AB15:AD15"/>
    <mergeCell ref="AB16:AD16"/>
    <mergeCell ref="AB17:AD17"/>
    <mergeCell ref="AB18:AD18"/>
    <mergeCell ref="D34:E34"/>
    <mergeCell ref="A7:B7"/>
    <mergeCell ref="A8:B8"/>
    <mergeCell ref="A9:B9"/>
    <mergeCell ref="A10:B10"/>
    <mergeCell ref="A17:B17"/>
    <mergeCell ref="A16:B16"/>
    <mergeCell ref="Z12:Z13"/>
    <mergeCell ref="D32:E32"/>
    <mergeCell ref="D33:E33"/>
    <mergeCell ref="A28:B28"/>
    <mergeCell ref="A22:B22"/>
    <mergeCell ref="A23:B23"/>
    <mergeCell ref="A15:B15"/>
    <mergeCell ref="AB12:AD13"/>
    <mergeCell ref="AA12:AA13"/>
    <mergeCell ref="AB14:AD14"/>
    <mergeCell ref="A89:B89"/>
    <mergeCell ref="A91:B91"/>
    <mergeCell ref="A90:B90"/>
    <mergeCell ref="A81:B81"/>
    <mergeCell ref="A108:B108"/>
    <mergeCell ref="A109:B109"/>
    <mergeCell ref="A94:B94"/>
    <mergeCell ref="A101:B101"/>
    <mergeCell ref="A102:B102"/>
    <mergeCell ref="A103:B103"/>
    <mergeCell ref="A82:B82"/>
    <mergeCell ref="A83:B83"/>
    <mergeCell ref="A84:B84"/>
    <mergeCell ref="A97:D97"/>
  </mergeCells>
  <phoneticPr fontId="6" type="noConversion"/>
  <conditionalFormatting sqref="C132:W132 C135:W139">
    <cfRule type="cellIs" dxfId="0" priority="1" stopIfTrue="1" operator="lessThan">
      <formula>0</formula>
    </cfRule>
  </conditionalFormatting>
  <dataValidations disablePrompts="1" count="1">
    <dataValidation type="list" allowBlank="1" showInputMessage="1" showErrorMessage="1" sqref="E97">
      <formula1>$Y$98:$Y$99</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AB120"/>
  <sheetViews>
    <sheetView topLeftCell="A79" zoomScale="125" workbookViewId="0">
      <selection activeCell="J100" sqref="J100"/>
    </sheetView>
  </sheetViews>
  <sheetFormatPr baseColWidth="10" defaultRowHeight="12.75" x14ac:dyDescent="0.2"/>
  <cols>
    <col min="1" max="1" width="14.28515625" customWidth="1"/>
    <col min="2" max="2" width="14.140625" customWidth="1"/>
    <col min="8" max="8" width="11.7109375" customWidth="1"/>
  </cols>
  <sheetData>
    <row r="1" spans="1:28" ht="26.25" x14ac:dyDescent="0.4">
      <c r="A1" s="9" t="s">
        <v>1014</v>
      </c>
    </row>
    <row r="3" spans="1:28" x14ac:dyDescent="0.2">
      <c r="M3" s="57"/>
      <c r="N3" t="s">
        <v>1019</v>
      </c>
    </row>
    <row r="4" spans="1:28" x14ac:dyDescent="0.2">
      <c r="A4" s="12" t="s">
        <v>957</v>
      </c>
    </row>
    <row r="5" spans="1:28" x14ac:dyDescent="0.2">
      <c r="A5" s="12"/>
      <c r="C5" s="40" t="s">
        <v>835</v>
      </c>
      <c r="D5" s="40" t="s">
        <v>945</v>
      </c>
      <c r="E5" s="40" t="s">
        <v>946</v>
      </c>
      <c r="F5" s="40" t="s">
        <v>947</v>
      </c>
      <c r="G5" s="40" t="s">
        <v>948</v>
      </c>
      <c r="H5" s="40" t="s">
        <v>949</v>
      </c>
      <c r="I5" s="40" t="s">
        <v>846</v>
      </c>
      <c r="J5" s="40" t="s">
        <v>847</v>
      </c>
      <c r="K5" s="40" t="s">
        <v>848</v>
      </c>
      <c r="L5" s="40" t="s">
        <v>849</v>
      </c>
      <c r="M5" s="40" t="s">
        <v>509</v>
      </c>
      <c r="N5" s="40" t="s">
        <v>510</v>
      </c>
      <c r="O5" s="40" t="s">
        <v>368</v>
      </c>
      <c r="P5" s="40" t="s">
        <v>369</v>
      </c>
      <c r="Q5" s="40" t="s">
        <v>370</v>
      </c>
      <c r="R5" s="40" t="s">
        <v>371</v>
      </c>
      <c r="S5" s="40" t="s">
        <v>372</v>
      </c>
      <c r="T5" s="40" t="s">
        <v>373</v>
      </c>
      <c r="U5" s="40" t="s">
        <v>374</v>
      </c>
      <c r="V5" s="40" t="s">
        <v>375</v>
      </c>
      <c r="W5" s="40" t="s">
        <v>376</v>
      </c>
    </row>
    <row r="6" spans="1:28" x14ac:dyDescent="0.2">
      <c r="A6" s="1289" t="s">
        <v>961</v>
      </c>
      <c r="B6" s="1333"/>
      <c r="C6" s="52">
        <f>'Données PAMCHR'!C7</f>
        <v>8</v>
      </c>
      <c r="D6" s="52">
        <f>'Données PAMCHR'!D7</f>
        <v>46</v>
      </c>
      <c r="E6" s="52">
        <f>'Données PAMCHR'!E7</f>
        <v>46</v>
      </c>
      <c r="F6" s="52">
        <f>'Données PAMCHR'!F7</f>
        <v>46</v>
      </c>
      <c r="G6" s="52">
        <f>'Données PAMCHR'!G7</f>
        <v>46</v>
      </c>
      <c r="H6" s="52">
        <f>'Données PAMCHR'!H7</f>
        <v>46</v>
      </c>
      <c r="I6" s="52">
        <f>'Données PAMCHR'!I7</f>
        <v>46</v>
      </c>
      <c r="J6" s="52">
        <f>'Données PAMCHR'!J7</f>
        <v>46</v>
      </c>
      <c r="K6" s="52">
        <f>'Données PAMCHR'!K7</f>
        <v>46</v>
      </c>
      <c r="L6" s="52">
        <f>'Données PAMCHR'!L7</f>
        <v>46</v>
      </c>
      <c r="M6" s="52">
        <f>'Données PAMCHR'!M7</f>
        <v>46</v>
      </c>
      <c r="N6" s="52">
        <f>'Données PAMCHR'!N7</f>
        <v>46</v>
      </c>
      <c r="O6" s="52">
        <f>'Données PAMCHR'!O7</f>
        <v>46</v>
      </c>
      <c r="P6" s="52">
        <f>'Données PAMCHR'!P7</f>
        <v>46</v>
      </c>
      <c r="Q6" s="52">
        <f>'Données PAMCHR'!Q7</f>
        <v>46</v>
      </c>
      <c r="R6" s="52">
        <f>'Données PAMCHR'!R7</f>
        <v>46</v>
      </c>
      <c r="S6" s="52">
        <f>'Données PAMCHR'!S7</f>
        <v>46</v>
      </c>
      <c r="T6" s="52">
        <f>'Données PAMCHR'!T7</f>
        <v>46</v>
      </c>
      <c r="U6" s="52">
        <f>'Données PAMCHR'!U7</f>
        <v>46</v>
      </c>
      <c r="V6" s="52">
        <f>'Données PAMCHR'!V7</f>
        <v>46</v>
      </c>
      <c r="W6" s="52">
        <f>'Données PAMCHR'!W7</f>
        <v>46</v>
      </c>
    </row>
    <row r="7" spans="1:28" x14ac:dyDescent="0.2">
      <c r="A7" s="1289" t="s">
        <v>965</v>
      </c>
      <c r="B7" s="1333"/>
      <c r="C7" s="52">
        <f>'Données PAMCHR'!C8</f>
        <v>5</v>
      </c>
      <c r="D7" s="52">
        <f>'Données PAMCHR'!D8</f>
        <v>5</v>
      </c>
      <c r="E7" s="52">
        <f>'Données PAMCHR'!E8</f>
        <v>5</v>
      </c>
      <c r="F7" s="844">
        <f>'Données PAMCHR'!F8</f>
        <v>6</v>
      </c>
      <c r="G7" s="52">
        <f>'Données PAMCHR'!G8</f>
        <v>7</v>
      </c>
      <c r="H7" s="52">
        <f>'Données PAMCHR'!H8</f>
        <v>7</v>
      </c>
      <c r="I7" s="52">
        <f>'Données PAMCHR'!I8</f>
        <v>7</v>
      </c>
      <c r="J7" s="52">
        <f>'Données PAMCHR'!J8</f>
        <v>7</v>
      </c>
      <c r="K7" s="52">
        <f>'Données PAMCHR'!K8</f>
        <v>7</v>
      </c>
      <c r="L7" s="52">
        <f>'Données PAMCHR'!L8</f>
        <v>7</v>
      </c>
      <c r="M7" s="52">
        <f>'Données PAMCHR'!M8</f>
        <v>7</v>
      </c>
      <c r="N7" s="52">
        <f>'Données PAMCHR'!N8</f>
        <v>7</v>
      </c>
      <c r="O7" s="52">
        <f>'Données PAMCHR'!O8</f>
        <v>7</v>
      </c>
      <c r="P7" s="52">
        <f>'Données PAMCHR'!P8</f>
        <v>7</v>
      </c>
      <c r="Q7" s="52">
        <f>'Données PAMCHR'!Q8</f>
        <v>7</v>
      </c>
      <c r="R7" s="52">
        <f>'Données PAMCHR'!R8</f>
        <v>7</v>
      </c>
      <c r="S7" s="52">
        <f>'Données PAMCHR'!S8</f>
        <v>7</v>
      </c>
      <c r="T7" s="52">
        <f>'Données PAMCHR'!T8</f>
        <v>7</v>
      </c>
      <c r="U7" s="52">
        <f>'Données PAMCHR'!U8</f>
        <v>7</v>
      </c>
      <c r="V7" s="52">
        <f>'Données PAMCHR'!V8</f>
        <v>7</v>
      </c>
      <c r="W7" s="52">
        <f>'Données PAMCHR'!W8</f>
        <v>7</v>
      </c>
    </row>
    <row r="8" spans="1:28" x14ac:dyDescent="0.2">
      <c r="A8" s="1289" t="s">
        <v>968</v>
      </c>
      <c r="B8" s="1333"/>
      <c r="C8" s="52">
        <f>'Données PAMCHR'!C9</f>
        <v>24</v>
      </c>
      <c r="D8" s="52">
        <f>'Données PAMCHR'!D9</f>
        <v>24</v>
      </c>
      <c r="E8" s="52">
        <f>'Données PAMCHR'!E9</f>
        <v>24</v>
      </c>
      <c r="F8" s="52">
        <f>'Données PAMCHR'!F9</f>
        <v>24</v>
      </c>
      <c r="G8" s="52">
        <f>'Données PAMCHR'!G9</f>
        <v>24</v>
      </c>
      <c r="H8" s="52">
        <f>'Données PAMCHR'!H9</f>
        <v>24</v>
      </c>
      <c r="I8" s="52">
        <f>'Données PAMCHR'!I9</f>
        <v>24</v>
      </c>
      <c r="J8" s="52">
        <f>'Données PAMCHR'!J9</f>
        <v>24</v>
      </c>
      <c r="K8" s="52">
        <f>'Données PAMCHR'!K9</f>
        <v>24</v>
      </c>
      <c r="L8" s="52">
        <f>'Données PAMCHR'!L9</f>
        <v>24</v>
      </c>
      <c r="M8" s="52">
        <f>'Données PAMCHR'!M9</f>
        <v>24</v>
      </c>
      <c r="N8" s="52">
        <f>'Données PAMCHR'!N9</f>
        <v>24</v>
      </c>
      <c r="O8" s="52">
        <f>'Données PAMCHR'!O9</f>
        <v>24</v>
      </c>
      <c r="P8" s="52">
        <f>'Données PAMCHR'!P9</f>
        <v>24</v>
      </c>
      <c r="Q8" s="52">
        <f>'Données PAMCHR'!Q9</f>
        <v>24</v>
      </c>
      <c r="R8" s="52">
        <f>'Données PAMCHR'!R9</f>
        <v>24</v>
      </c>
      <c r="S8" s="52">
        <f>'Données PAMCHR'!S9</f>
        <v>24</v>
      </c>
      <c r="T8" s="52">
        <f>'Données PAMCHR'!T9</f>
        <v>24</v>
      </c>
      <c r="U8" s="52">
        <f>'Données PAMCHR'!U9</f>
        <v>24</v>
      </c>
      <c r="V8" s="52">
        <f>'Données PAMCHR'!V9</f>
        <v>24</v>
      </c>
      <c r="W8" s="52">
        <f>'Données PAMCHR'!W9</f>
        <v>24</v>
      </c>
    </row>
    <row r="9" spans="1:28" x14ac:dyDescent="0.2">
      <c r="A9" s="1289" t="s">
        <v>971</v>
      </c>
      <c r="B9" s="1333"/>
      <c r="C9" s="20">
        <f t="shared" ref="C9:H9" si="0">C6*C7*C8</f>
        <v>960</v>
      </c>
      <c r="D9" s="20">
        <f t="shared" si="0"/>
        <v>5520</v>
      </c>
      <c r="E9" s="20">
        <f t="shared" si="0"/>
        <v>5520</v>
      </c>
      <c r="F9" s="20">
        <f t="shared" si="0"/>
        <v>6624</v>
      </c>
      <c r="G9" s="20">
        <f t="shared" si="0"/>
        <v>7728</v>
      </c>
      <c r="H9" s="20">
        <f t="shared" si="0"/>
        <v>7728</v>
      </c>
      <c r="I9" s="20">
        <f>I6*I7*I8</f>
        <v>7728</v>
      </c>
      <c r="J9" s="20">
        <f>J6*J7*J8</f>
        <v>7728</v>
      </c>
      <c r="K9" s="20">
        <f>K6*K7*K8</f>
        <v>7728</v>
      </c>
      <c r="L9" s="20">
        <f>L6*L7*L8</f>
        <v>7728</v>
      </c>
      <c r="M9" s="20">
        <f t="shared" ref="M9:W9" si="1">M6*M7*M8</f>
        <v>7728</v>
      </c>
      <c r="N9" s="20">
        <f t="shared" si="1"/>
        <v>7728</v>
      </c>
      <c r="O9" s="20">
        <f t="shared" si="1"/>
        <v>7728</v>
      </c>
      <c r="P9" s="20">
        <f t="shared" si="1"/>
        <v>7728</v>
      </c>
      <c r="Q9" s="20">
        <f t="shared" si="1"/>
        <v>7728</v>
      </c>
      <c r="R9" s="20">
        <f t="shared" si="1"/>
        <v>7728</v>
      </c>
      <c r="S9" s="20">
        <f t="shared" si="1"/>
        <v>7728</v>
      </c>
      <c r="T9" s="20">
        <f t="shared" si="1"/>
        <v>7728</v>
      </c>
      <c r="U9" s="20">
        <f t="shared" si="1"/>
        <v>7728</v>
      </c>
      <c r="V9" s="20">
        <f t="shared" si="1"/>
        <v>7728</v>
      </c>
      <c r="W9" s="20">
        <f t="shared" si="1"/>
        <v>7728</v>
      </c>
    </row>
    <row r="12" spans="1:28" x14ac:dyDescent="0.2">
      <c r="A12" s="12" t="s">
        <v>985</v>
      </c>
    </row>
    <row r="13" spans="1:28" x14ac:dyDescent="0.2">
      <c r="A13" s="12"/>
      <c r="C13" s="40" t="s">
        <v>835</v>
      </c>
      <c r="D13" s="40" t="s">
        <v>945</v>
      </c>
      <c r="E13" s="40" t="s">
        <v>946</v>
      </c>
      <c r="F13" s="40" t="s">
        <v>947</v>
      </c>
      <c r="G13" s="40" t="s">
        <v>948</v>
      </c>
      <c r="H13" s="40" t="s">
        <v>949</v>
      </c>
      <c r="I13" s="40" t="s">
        <v>846</v>
      </c>
      <c r="J13" s="40" t="s">
        <v>847</v>
      </c>
      <c r="K13" s="40" t="s">
        <v>848</v>
      </c>
      <c r="L13" s="40" t="s">
        <v>849</v>
      </c>
      <c r="M13" s="40" t="s">
        <v>509</v>
      </c>
      <c r="N13" s="40" t="s">
        <v>510</v>
      </c>
      <c r="O13" s="40" t="s">
        <v>368</v>
      </c>
      <c r="P13" s="40" t="s">
        <v>369</v>
      </c>
      <c r="Q13" s="40" t="s">
        <v>370</v>
      </c>
      <c r="R13" s="40" t="s">
        <v>371</v>
      </c>
      <c r="S13" s="40" t="s">
        <v>372</v>
      </c>
      <c r="T13" s="40" t="s">
        <v>373</v>
      </c>
      <c r="U13" s="40" t="s">
        <v>374</v>
      </c>
      <c r="V13" s="40" t="s">
        <v>375</v>
      </c>
      <c r="W13" s="40" t="s">
        <v>376</v>
      </c>
      <c r="Z13" s="103" t="s">
        <v>84</v>
      </c>
    </row>
    <row r="14" spans="1:28" x14ac:dyDescent="0.2">
      <c r="A14" s="1289" t="s">
        <v>986</v>
      </c>
      <c r="B14" s="1289"/>
      <c r="C14" s="18">
        <v>0.2</v>
      </c>
      <c r="D14" s="18">
        <v>0.15</v>
      </c>
      <c r="E14" s="45">
        <v>0.1</v>
      </c>
      <c r="F14" s="45">
        <v>0.05</v>
      </c>
      <c r="G14" s="45">
        <v>0.03</v>
      </c>
      <c r="H14" s="45">
        <v>0.03</v>
      </c>
      <c r="I14" s="45">
        <v>0.03</v>
      </c>
      <c r="J14" s="45">
        <v>0.03</v>
      </c>
      <c r="K14" s="45">
        <v>0.03</v>
      </c>
      <c r="L14" s="45">
        <v>0.03</v>
      </c>
      <c r="M14" s="45">
        <v>0.03</v>
      </c>
      <c r="N14" s="45">
        <v>0.03</v>
      </c>
      <c r="O14" s="45">
        <v>0.03</v>
      </c>
      <c r="P14" s="45">
        <v>0.03</v>
      </c>
      <c r="Q14" s="45">
        <v>0.03</v>
      </c>
      <c r="R14" s="45">
        <v>0.03</v>
      </c>
      <c r="S14" s="45">
        <v>0.03</v>
      </c>
      <c r="T14" s="45">
        <v>0.03</v>
      </c>
      <c r="U14" s="45">
        <v>0.03</v>
      </c>
      <c r="V14" s="45">
        <v>0.03</v>
      </c>
      <c r="W14" s="45">
        <v>0.03</v>
      </c>
      <c r="Z14" t="s">
        <v>85</v>
      </c>
    </row>
    <row r="15" spans="1:28" x14ac:dyDescent="0.2">
      <c r="A15" s="1289" t="s">
        <v>1026</v>
      </c>
      <c r="B15" s="1289"/>
      <c r="C15" s="104">
        <f t="shared" ref="C15:H15" si="2">C16/(C9*(1-C14))</f>
        <v>0.703125</v>
      </c>
      <c r="D15" s="104">
        <f t="shared" si="2"/>
        <v>0.95140664961636834</v>
      </c>
      <c r="E15" s="104">
        <f t="shared" si="2"/>
        <v>0.95410628019323673</v>
      </c>
      <c r="F15" s="104">
        <f t="shared" si="2"/>
        <v>0.96376811594202894</v>
      </c>
      <c r="G15" s="104">
        <f t="shared" si="2"/>
        <v>0.9695844272267401</v>
      </c>
      <c r="H15" s="104">
        <f t="shared" si="2"/>
        <v>0.9695844272267401</v>
      </c>
      <c r="I15" s="104">
        <f>I16/(I9*(1-I14))</f>
        <v>0.9695844272267401</v>
      </c>
      <c r="J15" s="104">
        <f>J16/(J9*(1-J14))</f>
        <v>0.9695844272267401</v>
      </c>
      <c r="K15" s="104">
        <f>K16/(K9*(1-K14))</f>
        <v>0.9695844272267401</v>
      </c>
      <c r="L15" s="104">
        <f>L16/(L9*(1-L14))</f>
        <v>0.9695844272267401</v>
      </c>
      <c r="M15" s="104">
        <f>M16/(M9*(1-M14))</f>
        <v>0.9695844272267401</v>
      </c>
      <c r="N15" s="104">
        <f t="shared" ref="N15:W15" si="3">N16/(N9*(1-N14))</f>
        <v>0.9695844272267401</v>
      </c>
      <c r="O15" s="104">
        <f t="shared" si="3"/>
        <v>0.9695844272267401</v>
      </c>
      <c r="P15" s="104">
        <f t="shared" si="3"/>
        <v>0.9695844272267401</v>
      </c>
      <c r="Q15" s="104">
        <f t="shared" si="3"/>
        <v>0.9695844272267401</v>
      </c>
      <c r="R15" s="104">
        <f t="shared" si="3"/>
        <v>0.9695844272267401</v>
      </c>
      <c r="S15" s="104">
        <f t="shared" si="3"/>
        <v>0.9695844272267401</v>
      </c>
      <c r="T15" s="104">
        <f t="shared" si="3"/>
        <v>0.9695844272267401</v>
      </c>
      <c r="U15" s="104">
        <f t="shared" si="3"/>
        <v>0.9695844272267401</v>
      </c>
      <c r="V15" s="104">
        <f t="shared" si="3"/>
        <v>0.9695844272267401</v>
      </c>
      <c r="W15" s="104">
        <f t="shared" si="3"/>
        <v>0.9695844272267401</v>
      </c>
      <c r="Z15" t="s">
        <v>86</v>
      </c>
      <c r="AA15" s="20">
        <f>8*12+3*4+5*24</f>
        <v>228</v>
      </c>
      <c r="AB15" t="s">
        <v>87</v>
      </c>
    </row>
    <row r="16" spans="1:28" x14ac:dyDescent="0.2">
      <c r="A16" s="1289" t="s">
        <v>994</v>
      </c>
      <c r="B16" s="1289"/>
      <c r="C16" s="21">
        <f t="shared" ref="C16:W16" si="4">C9*(1-C14)-$AA$15</f>
        <v>540</v>
      </c>
      <c r="D16" s="21">
        <f t="shared" si="4"/>
        <v>4464</v>
      </c>
      <c r="E16" s="21">
        <f t="shared" si="4"/>
        <v>4740</v>
      </c>
      <c r="F16" s="21">
        <f t="shared" si="4"/>
        <v>6064.7999999999993</v>
      </c>
      <c r="G16" s="21">
        <f t="shared" si="4"/>
        <v>7268.16</v>
      </c>
      <c r="H16" s="21">
        <f t="shared" si="4"/>
        <v>7268.16</v>
      </c>
      <c r="I16" s="21">
        <f t="shared" si="4"/>
        <v>7268.16</v>
      </c>
      <c r="J16" s="21">
        <f t="shared" si="4"/>
        <v>7268.16</v>
      </c>
      <c r="K16" s="21">
        <f t="shared" si="4"/>
        <v>7268.16</v>
      </c>
      <c r="L16" s="21">
        <f t="shared" si="4"/>
        <v>7268.16</v>
      </c>
      <c r="M16" s="21">
        <f t="shared" si="4"/>
        <v>7268.16</v>
      </c>
      <c r="N16" s="21">
        <f t="shared" si="4"/>
        <v>7268.16</v>
      </c>
      <c r="O16" s="21">
        <f t="shared" si="4"/>
        <v>7268.16</v>
      </c>
      <c r="P16" s="21">
        <f t="shared" si="4"/>
        <v>7268.16</v>
      </c>
      <c r="Q16" s="21">
        <f t="shared" si="4"/>
        <v>7268.16</v>
      </c>
      <c r="R16" s="21">
        <f t="shared" si="4"/>
        <v>7268.16</v>
      </c>
      <c r="S16" s="21">
        <f t="shared" si="4"/>
        <v>7268.16</v>
      </c>
      <c r="T16" s="21">
        <f t="shared" si="4"/>
        <v>7268.16</v>
      </c>
      <c r="U16" s="21">
        <f t="shared" si="4"/>
        <v>7268.16</v>
      </c>
      <c r="V16" s="21">
        <f t="shared" si="4"/>
        <v>7268.16</v>
      </c>
      <c r="W16" s="21">
        <f t="shared" si="4"/>
        <v>7268.16</v>
      </c>
    </row>
    <row r="19" spans="1:23" x14ac:dyDescent="0.2">
      <c r="A19" s="12" t="s">
        <v>958</v>
      </c>
    </row>
    <row r="20" spans="1:23" x14ac:dyDescent="0.2">
      <c r="A20" s="12"/>
      <c r="C20" s="40" t="s">
        <v>835</v>
      </c>
      <c r="D20" s="40" t="s">
        <v>945</v>
      </c>
      <c r="E20" s="40" t="s">
        <v>946</v>
      </c>
      <c r="F20" s="40" t="s">
        <v>947</v>
      </c>
      <c r="G20" s="40" t="s">
        <v>948</v>
      </c>
      <c r="H20" s="40" t="s">
        <v>949</v>
      </c>
      <c r="I20" s="40" t="s">
        <v>846</v>
      </c>
      <c r="J20" s="40" t="s">
        <v>847</v>
      </c>
      <c r="K20" s="40" t="s">
        <v>848</v>
      </c>
      <c r="L20" s="40" t="s">
        <v>849</v>
      </c>
      <c r="M20" s="40" t="s">
        <v>509</v>
      </c>
      <c r="N20" s="40" t="s">
        <v>510</v>
      </c>
      <c r="O20" s="40" t="s">
        <v>368</v>
      </c>
      <c r="P20" s="40" t="s">
        <v>369</v>
      </c>
      <c r="Q20" s="40" t="s">
        <v>370</v>
      </c>
      <c r="R20" s="40" t="s">
        <v>371</v>
      </c>
      <c r="S20" s="40" t="s">
        <v>372</v>
      </c>
      <c r="T20" s="40" t="s">
        <v>373</v>
      </c>
      <c r="U20" s="40" t="s">
        <v>374</v>
      </c>
      <c r="V20" s="40" t="s">
        <v>375</v>
      </c>
      <c r="W20" s="40" t="s">
        <v>376</v>
      </c>
    </row>
    <row r="21" spans="1:23" x14ac:dyDescent="0.2">
      <c r="A21" s="1289" t="s">
        <v>962</v>
      </c>
      <c r="B21" s="1289"/>
      <c r="C21" s="18">
        <v>0.6</v>
      </c>
      <c r="D21" s="18">
        <v>0.6</v>
      </c>
      <c r="E21" s="18">
        <v>0.85</v>
      </c>
      <c r="F21" s="18">
        <v>0.85</v>
      </c>
      <c r="G21" s="18">
        <v>0.85</v>
      </c>
      <c r="H21" s="18">
        <v>0.85</v>
      </c>
      <c r="I21" s="18">
        <v>0.85</v>
      </c>
      <c r="J21" s="18">
        <v>0.85</v>
      </c>
      <c r="K21" s="18">
        <v>0.85</v>
      </c>
      <c r="L21" s="18">
        <v>0.85</v>
      </c>
      <c r="M21" s="18">
        <v>0.85</v>
      </c>
      <c r="N21" s="18">
        <v>0.85</v>
      </c>
      <c r="O21" s="18">
        <v>0.85</v>
      </c>
      <c r="P21" s="18">
        <v>0.85</v>
      </c>
      <c r="Q21" s="18">
        <v>0.85</v>
      </c>
      <c r="R21" s="18">
        <v>0.85</v>
      </c>
      <c r="S21" s="18">
        <v>0.85</v>
      </c>
      <c r="T21" s="18">
        <v>0.85</v>
      </c>
      <c r="U21" s="18">
        <v>0.85</v>
      </c>
      <c r="V21" s="18">
        <v>0.85</v>
      </c>
      <c r="W21" s="18">
        <v>0.85</v>
      </c>
    </row>
    <row r="22" spans="1:23" x14ac:dyDescent="0.2">
      <c r="A22" s="1289" t="s">
        <v>995</v>
      </c>
      <c r="B22" s="1289"/>
      <c r="C22" s="21">
        <f t="shared" ref="C22:H22" si="5">C16*C21</f>
        <v>324</v>
      </c>
      <c r="D22" s="21">
        <f t="shared" si="5"/>
        <v>2678.4</v>
      </c>
      <c r="E22" s="21">
        <f t="shared" si="5"/>
        <v>4029</v>
      </c>
      <c r="F22" s="21">
        <f t="shared" si="5"/>
        <v>5155.079999999999</v>
      </c>
      <c r="G22" s="21">
        <f t="shared" si="5"/>
        <v>6177.9359999999997</v>
      </c>
      <c r="H22" s="21">
        <f t="shared" si="5"/>
        <v>6177.9359999999997</v>
      </c>
      <c r="I22" s="21">
        <f>I16*I21</f>
        <v>6177.9359999999997</v>
      </c>
      <c r="J22" s="21">
        <f>J16*J21</f>
        <v>6177.9359999999997</v>
      </c>
      <c r="K22" s="21">
        <f>K16*K21</f>
        <v>6177.9359999999997</v>
      </c>
      <c r="L22" s="21">
        <f>L16*L21</f>
        <v>6177.9359999999997</v>
      </c>
      <c r="M22" s="21">
        <f t="shared" ref="M22:W22" si="6">M16*M21</f>
        <v>6177.9359999999997</v>
      </c>
      <c r="N22" s="21">
        <f t="shared" si="6"/>
        <v>6177.9359999999997</v>
      </c>
      <c r="O22" s="21">
        <f t="shared" si="6"/>
        <v>6177.9359999999997</v>
      </c>
      <c r="P22" s="21">
        <f t="shared" si="6"/>
        <v>6177.9359999999997</v>
      </c>
      <c r="Q22" s="21">
        <f t="shared" si="6"/>
        <v>6177.9359999999997</v>
      </c>
      <c r="R22" s="21">
        <f t="shared" si="6"/>
        <v>6177.9359999999997</v>
      </c>
      <c r="S22" s="21">
        <f t="shared" si="6"/>
        <v>6177.9359999999997</v>
      </c>
      <c r="T22" s="21">
        <f t="shared" si="6"/>
        <v>6177.9359999999997</v>
      </c>
      <c r="U22" s="21">
        <f t="shared" si="6"/>
        <v>6177.9359999999997</v>
      </c>
      <c r="V22" s="21">
        <f t="shared" si="6"/>
        <v>6177.9359999999997</v>
      </c>
      <c r="W22" s="21">
        <f t="shared" si="6"/>
        <v>6177.9359999999997</v>
      </c>
    </row>
    <row r="23" spans="1:23" x14ac:dyDescent="0.2">
      <c r="E23" t="s">
        <v>95</v>
      </c>
    </row>
    <row r="25" spans="1:23" x14ac:dyDescent="0.2">
      <c r="A25" s="12" t="s">
        <v>1002</v>
      </c>
    </row>
    <row r="26" spans="1:23" x14ac:dyDescent="0.2">
      <c r="C26" s="40" t="s">
        <v>835</v>
      </c>
      <c r="D26" s="40" t="s">
        <v>945</v>
      </c>
      <c r="E26" s="40" t="s">
        <v>946</v>
      </c>
      <c r="F26" s="40" t="s">
        <v>947</v>
      </c>
      <c r="G26" s="40" t="s">
        <v>948</v>
      </c>
      <c r="H26" s="40" t="s">
        <v>949</v>
      </c>
      <c r="I26" s="40" t="s">
        <v>846</v>
      </c>
      <c r="J26" s="40" t="s">
        <v>847</v>
      </c>
      <c r="K26" s="40" t="s">
        <v>848</v>
      </c>
      <c r="L26" s="40" t="s">
        <v>849</v>
      </c>
      <c r="M26" s="40" t="s">
        <v>509</v>
      </c>
      <c r="N26" s="40" t="s">
        <v>510</v>
      </c>
      <c r="O26" s="40" t="s">
        <v>368</v>
      </c>
      <c r="P26" s="40" t="s">
        <v>369</v>
      </c>
      <c r="Q26" s="40" t="s">
        <v>370</v>
      </c>
      <c r="R26" s="40" t="s">
        <v>371</v>
      </c>
      <c r="S26" s="40" t="s">
        <v>372</v>
      </c>
      <c r="T26" s="40" t="s">
        <v>373</v>
      </c>
      <c r="U26" s="40" t="s">
        <v>374</v>
      </c>
      <c r="V26" s="40" t="s">
        <v>375</v>
      </c>
      <c r="W26" s="40" t="s">
        <v>376</v>
      </c>
    </row>
    <row r="27" spans="1:23" x14ac:dyDescent="0.2">
      <c r="A27" s="1266" t="s">
        <v>1003</v>
      </c>
      <c r="B27" s="1266"/>
      <c r="C27" s="58">
        <v>0.9</v>
      </c>
      <c r="D27" s="58">
        <v>0.95</v>
      </c>
      <c r="E27" s="45">
        <v>0.96</v>
      </c>
      <c r="F27" s="45">
        <v>0.97</v>
      </c>
      <c r="G27" s="45">
        <v>0.98</v>
      </c>
      <c r="H27" s="344">
        <v>0.99</v>
      </c>
      <c r="I27" s="45">
        <v>0.99</v>
      </c>
      <c r="J27" s="344">
        <v>0.99</v>
      </c>
      <c r="K27" s="45">
        <v>0.99</v>
      </c>
      <c r="L27" s="344">
        <v>0.99</v>
      </c>
      <c r="M27" s="45">
        <v>0.99</v>
      </c>
      <c r="N27" s="344">
        <v>0.99</v>
      </c>
      <c r="O27" s="45">
        <v>0.99</v>
      </c>
      <c r="P27" s="344">
        <v>0.99</v>
      </c>
      <c r="Q27" s="45">
        <v>0.99</v>
      </c>
      <c r="R27" s="344">
        <v>0.99</v>
      </c>
      <c r="S27" s="45">
        <v>0.99</v>
      </c>
      <c r="T27" s="344">
        <v>0.99</v>
      </c>
      <c r="U27" s="45">
        <v>0.99</v>
      </c>
      <c r="V27" s="344">
        <v>0.99</v>
      </c>
      <c r="W27" s="45">
        <v>0.99</v>
      </c>
    </row>
    <row r="30" spans="1:23" x14ac:dyDescent="0.2">
      <c r="A30" s="13" t="s">
        <v>1010</v>
      </c>
      <c r="B30" s="14"/>
    </row>
    <row r="31" spans="1:23" x14ac:dyDescent="0.2">
      <c r="C31" s="16" t="s">
        <v>982</v>
      </c>
      <c r="D31" s="16" t="s">
        <v>1016</v>
      </c>
      <c r="E31" s="15" t="s">
        <v>120</v>
      </c>
    </row>
    <row r="32" spans="1:23" x14ac:dyDescent="0.2">
      <c r="A32" s="1266" t="s">
        <v>959</v>
      </c>
      <c r="B32" s="1266"/>
      <c r="C32" s="56">
        <f>'Données PAMCHR'!B32</f>
        <v>3150</v>
      </c>
      <c r="D32" s="21">
        <f>D34/(C39*PI()/4*(D33/100)^2)*100</f>
        <v>2514.3769854322063</v>
      </c>
      <c r="E32" s="21">
        <f>D32</f>
        <v>2514.3769854322063</v>
      </c>
    </row>
    <row r="33" spans="1:13" x14ac:dyDescent="0.2">
      <c r="A33" s="1266" t="s">
        <v>963</v>
      </c>
      <c r="B33" s="1266"/>
      <c r="C33" s="52">
        <f>'Données PAMCHR'!B33-2*'Données PAMCHR'!D66</f>
        <v>831</v>
      </c>
      <c r="D33" s="16">
        <f>915+2*D79</f>
        <v>921</v>
      </c>
      <c r="E33" s="20">
        <f>D33-D79*2</f>
        <v>915</v>
      </c>
      <c r="F33" t="s">
        <v>119</v>
      </c>
    </row>
    <row r="34" spans="1:13" x14ac:dyDescent="0.2">
      <c r="A34" s="1266" t="s">
        <v>966</v>
      </c>
      <c r="B34" s="1266"/>
      <c r="C34" s="21">
        <f>C39*PI()/4*(C33/100)^2*(C32/100)</f>
        <v>7551.3526443289047</v>
      </c>
      <c r="D34" s="21">
        <f>C34-D36</f>
        <v>7403.9214736539116</v>
      </c>
      <c r="E34" s="21">
        <f>C39*PI()/4*(E33/100)^2*E32/100</f>
        <v>7307.7676695419068</v>
      </c>
      <c r="F34" t="s">
        <v>291</v>
      </c>
    </row>
    <row r="35" spans="1:13" x14ac:dyDescent="0.2">
      <c r="A35" s="1266" t="s">
        <v>1018</v>
      </c>
      <c r="B35" s="1266"/>
      <c r="C35" s="55"/>
      <c r="D35" s="16">
        <v>61.5</v>
      </c>
      <c r="E35" t="s">
        <v>175</v>
      </c>
      <c r="H35" s="42"/>
    </row>
    <row r="36" spans="1:13" x14ac:dyDescent="0.2">
      <c r="A36" s="1266" t="s">
        <v>1017</v>
      </c>
      <c r="B36" s="1266"/>
      <c r="C36" s="55"/>
      <c r="D36" s="21">
        <f>C39*PI()/4*(C33/100)^2*(D35/100)</f>
        <v>147.4311706749929</v>
      </c>
      <c r="H36" s="42"/>
    </row>
    <row r="37" spans="1:13" x14ac:dyDescent="0.2">
      <c r="A37" s="1266" t="s">
        <v>114</v>
      </c>
      <c r="B37" s="1266"/>
      <c r="C37" s="112">
        <f>D33/(1-2%)</f>
        <v>939.79591836734699</v>
      </c>
      <c r="D37" t="s">
        <v>112</v>
      </c>
    </row>
    <row r="38" spans="1:13" x14ac:dyDescent="0.2">
      <c r="A38" s="1266" t="s">
        <v>113</v>
      </c>
      <c r="B38" s="1266"/>
      <c r="C38" s="112">
        <f>(C37-C33)/2</f>
        <v>54.397959183673493</v>
      </c>
      <c r="D38" t="s">
        <v>115</v>
      </c>
    </row>
    <row r="39" spans="1:13" x14ac:dyDescent="0.2">
      <c r="A39" s="1266" t="s">
        <v>969</v>
      </c>
      <c r="B39" s="1266"/>
      <c r="C39" s="52">
        <f>'Données PAMCHR'!B35</f>
        <v>4.42</v>
      </c>
    </row>
    <row r="40" spans="1:13" x14ac:dyDescent="0.2">
      <c r="A40" s="1266" t="s">
        <v>972</v>
      </c>
      <c r="B40" s="1266"/>
      <c r="C40" s="28">
        <f>C32/C33</f>
        <v>3.7906137184115525</v>
      </c>
      <c r="D40" s="28">
        <f>D32/D33</f>
        <v>2.7300510156701479</v>
      </c>
      <c r="E40" s="28">
        <f>E32/E33</f>
        <v>2.747952989543395</v>
      </c>
    </row>
    <row r="43" spans="1:13" x14ac:dyDescent="0.2">
      <c r="A43" s="12" t="s">
        <v>1001</v>
      </c>
      <c r="H43" s="12" t="s">
        <v>956</v>
      </c>
      <c r="L43">
        <v>13</v>
      </c>
    </row>
    <row r="44" spans="1:13" x14ac:dyDescent="0.2">
      <c r="A44" s="1267" t="s">
        <v>1038</v>
      </c>
      <c r="B44" s="1330"/>
      <c r="C44" s="17">
        <v>10</v>
      </c>
      <c r="D44" t="s">
        <v>978</v>
      </c>
      <c r="H44" s="1359" t="s">
        <v>1025</v>
      </c>
      <c r="I44" s="1359"/>
      <c r="J44" s="1289"/>
      <c r="K44" s="1289"/>
      <c r="L44" s="37">
        <v>15</v>
      </c>
      <c r="M44" t="s">
        <v>1027</v>
      </c>
    </row>
    <row r="45" spans="1:13" x14ac:dyDescent="0.2">
      <c r="A45" s="1267" t="s">
        <v>1039</v>
      </c>
      <c r="B45" s="1330"/>
      <c r="C45" s="17">
        <v>0.5</v>
      </c>
      <c r="D45" t="s">
        <v>978</v>
      </c>
      <c r="H45" s="1359" t="s">
        <v>1024</v>
      </c>
      <c r="I45" s="1359"/>
      <c r="J45" s="1289"/>
      <c r="K45" s="1289"/>
      <c r="L45" s="59">
        <v>0.9</v>
      </c>
      <c r="M45" t="s">
        <v>1023</v>
      </c>
    </row>
    <row r="46" spans="1:13" x14ac:dyDescent="0.2">
      <c r="A46" s="1267" t="s">
        <v>1033</v>
      </c>
      <c r="B46" s="1330"/>
      <c r="C46" s="17">
        <v>1</v>
      </c>
      <c r="D46" t="s">
        <v>978</v>
      </c>
      <c r="H46" s="1359" t="s">
        <v>1022</v>
      </c>
      <c r="I46" s="1359"/>
      <c r="J46" s="1289"/>
      <c r="K46" s="1289"/>
      <c r="L46" s="60">
        <f>L44*L45</f>
        <v>13.5</v>
      </c>
    </row>
    <row r="47" spans="1:13" x14ac:dyDescent="0.2">
      <c r="A47" s="1267" t="s">
        <v>1034</v>
      </c>
      <c r="B47" s="1330"/>
      <c r="C47" s="17">
        <v>0.5</v>
      </c>
      <c r="D47" t="s">
        <v>978</v>
      </c>
      <c r="H47" s="1359" t="s">
        <v>1032</v>
      </c>
      <c r="I47" s="1359"/>
      <c r="J47" s="1289"/>
      <c r="K47" s="1289"/>
      <c r="L47" s="61">
        <f>L46*60/1000</f>
        <v>0.81</v>
      </c>
    </row>
    <row r="48" spans="1:13" x14ac:dyDescent="0.2">
      <c r="A48" s="1267" t="s">
        <v>1035</v>
      </c>
      <c r="B48" s="1330"/>
      <c r="C48" s="17">
        <v>0.5</v>
      </c>
      <c r="D48" s="114">
        <v>0.5</v>
      </c>
      <c r="I48" s="43"/>
    </row>
    <row r="49" spans="1:24" x14ac:dyDescent="0.2">
      <c r="A49" s="1267" t="s">
        <v>1037</v>
      </c>
      <c r="B49" s="1330"/>
      <c r="C49" s="17">
        <v>0.5</v>
      </c>
      <c r="D49" s="114">
        <v>0.5</v>
      </c>
      <c r="E49" s="111" t="s">
        <v>124</v>
      </c>
      <c r="I49" s="43"/>
    </row>
    <row r="50" spans="1:24" x14ac:dyDescent="0.2">
      <c r="A50" s="1267" t="s">
        <v>1036</v>
      </c>
      <c r="B50" s="1330"/>
      <c r="C50" s="17">
        <v>0.5</v>
      </c>
      <c r="D50" s="114">
        <v>0.5</v>
      </c>
      <c r="E50" s="111" t="s">
        <v>168</v>
      </c>
      <c r="I50" s="43"/>
      <c r="L50">
        <f>1000/60</f>
        <v>16.666666666666668</v>
      </c>
    </row>
    <row r="51" spans="1:24" x14ac:dyDescent="0.2">
      <c r="A51" s="1267" t="s">
        <v>1029</v>
      </c>
      <c r="B51" s="1330"/>
      <c r="C51" s="17">
        <v>0.5</v>
      </c>
      <c r="D51" s="114">
        <v>0.5</v>
      </c>
      <c r="E51" s="111" t="s">
        <v>169</v>
      </c>
      <c r="I51" s="43"/>
    </row>
    <row r="52" spans="1:24" x14ac:dyDescent="0.2">
      <c r="A52" s="1267" t="s">
        <v>642</v>
      </c>
      <c r="B52" s="1330"/>
      <c r="C52" s="28">
        <f>C34/1000/L47</f>
        <v>9.322657585591239</v>
      </c>
      <c r="E52" s="97"/>
      <c r="I52" s="62"/>
    </row>
    <row r="53" spans="1:24" x14ac:dyDescent="0.2">
      <c r="A53" s="1267" t="s">
        <v>1030</v>
      </c>
      <c r="B53" s="1330"/>
      <c r="C53" s="17">
        <v>0.5</v>
      </c>
      <c r="I53" s="43"/>
    </row>
    <row r="54" spans="1:24" x14ac:dyDescent="0.2">
      <c r="A54" s="1267" t="s">
        <v>1031</v>
      </c>
      <c r="B54" s="1330"/>
      <c r="C54" s="17">
        <v>0.5</v>
      </c>
      <c r="I54" s="43"/>
    </row>
    <row r="55" spans="1:24" x14ac:dyDescent="0.2">
      <c r="A55" s="1267" t="s">
        <v>170</v>
      </c>
      <c r="B55" s="1330"/>
      <c r="C55" s="28">
        <f>SUM(C48:C54)</f>
        <v>12.322657585591239</v>
      </c>
      <c r="I55" s="47"/>
    </row>
    <row r="58" spans="1:24" x14ac:dyDescent="0.2">
      <c r="A58" s="12" t="s">
        <v>595</v>
      </c>
    </row>
    <row r="60" spans="1:24" x14ac:dyDescent="0.2">
      <c r="D60" s="40" t="s">
        <v>835</v>
      </c>
      <c r="E60" s="40" t="s">
        <v>945</v>
      </c>
      <c r="F60" s="40" t="s">
        <v>946</v>
      </c>
      <c r="G60" s="40" t="s">
        <v>947</v>
      </c>
      <c r="H60" s="40" t="s">
        <v>948</v>
      </c>
      <c r="I60" s="40" t="s">
        <v>949</v>
      </c>
      <c r="J60" s="40" t="s">
        <v>846</v>
      </c>
      <c r="K60" s="40" t="s">
        <v>847</v>
      </c>
      <c r="L60" s="40" t="s">
        <v>848</v>
      </c>
      <c r="M60" s="40" t="s">
        <v>849</v>
      </c>
      <c r="N60" s="40" t="s">
        <v>509</v>
      </c>
      <c r="O60" s="40" t="s">
        <v>510</v>
      </c>
      <c r="P60" s="40" t="s">
        <v>368</v>
      </c>
      <c r="Q60" s="40" t="s">
        <v>369</v>
      </c>
      <c r="R60" s="40" t="s">
        <v>370</v>
      </c>
      <c r="S60" s="40" t="s">
        <v>371</v>
      </c>
      <c r="T60" s="40" t="s">
        <v>372</v>
      </c>
      <c r="U60" s="40" t="s">
        <v>373</v>
      </c>
      <c r="V60" s="40" t="s">
        <v>374</v>
      </c>
      <c r="W60" s="40" t="s">
        <v>375</v>
      </c>
      <c r="X60" s="40" t="s">
        <v>376</v>
      </c>
    </row>
    <row r="61" spans="1:24" x14ac:dyDescent="0.2">
      <c r="A61" s="1266" t="s">
        <v>1059</v>
      </c>
      <c r="B61" s="1266"/>
      <c r="C61" s="1266"/>
      <c r="D61" s="105">
        <f>'Données PAMCHR'!D59</f>
        <v>19</v>
      </c>
      <c r="E61" s="105">
        <f>'Données PAMCHR'!E59</f>
        <v>169</v>
      </c>
      <c r="F61" s="105">
        <f>'Données PAMCHR'!F59</f>
        <v>259</v>
      </c>
      <c r="G61" s="105">
        <f>'Données PAMCHR'!G59</f>
        <v>396</v>
      </c>
      <c r="H61" s="105">
        <f>'Données PAMCHR'!H59</f>
        <v>490</v>
      </c>
      <c r="I61" s="105">
        <f>'Données PAMCHR'!I59</f>
        <v>558</v>
      </c>
      <c r="J61" s="105">
        <f>'Données PAMCHR'!J59</f>
        <v>558</v>
      </c>
      <c r="K61" s="105">
        <f>'Données PAMCHR'!K59</f>
        <v>558</v>
      </c>
      <c r="L61" s="105">
        <f>'Données PAMCHR'!L59</f>
        <v>558</v>
      </c>
      <c r="M61" s="105">
        <f>'Données PAMCHR'!M59</f>
        <v>558</v>
      </c>
      <c r="N61" s="105">
        <f>'Données PAMCHR'!N59</f>
        <v>558</v>
      </c>
      <c r="O61" s="105">
        <f>'Données PAMCHR'!O59</f>
        <v>558</v>
      </c>
      <c r="P61" s="105">
        <f>'Données PAMCHR'!P59</f>
        <v>558</v>
      </c>
      <c r="Q61" s="105">
        <f>'Données PAMCHR'!Q59</f>
        <v>558</v>
      </c>
      <c r="R61" s="105">
        <f>'Données PAMCHR'!R59</f>
        <v>558</v>
      </c>
      <c r="S61" s="105">
        <f>'Données PAMCHR'!S59</f>
        <v>558</v>
      </c>
      <c r="T61" s="105">
        <f>'Données PAMCHR'!T59</f>
        <v>558</v>
      </c>
      <c r="U61" s="105">
        <f>'Données PAMCHR'!U59</f>
        <v>558</v>
      </c>
      <c r="V61" s="105">
        <f>'Données PAMCHR'!V59</f>
        <v>558</v>
      </c>
      <c r="W61" s="105">
        <f>'Données PAMCHR'!W59</f>
        <v>558</v>
      </c>
      <c r="X61" s="105">
        <f>'Données PAMCHR'!X59</f>
        <v>558</v>
      </c>
    </row>
    <row r="62" spans="1:24" x14ac:dyDescent="0.2">
      <c r="A62" s="1266" t="s">
        <v>173</v>
      </c>
      <c r="B62" s="1266"/>
      <c r="C62" s="1266"/>
      <c r="D62" s="20">
        <f t="shared" ref="D62:K62" si="7">IF(C7=5,INT(C22/C6/$C$55)*C6,INT(C22/$C$55))</f>
        <v>24</v>
      </c>
      <c r="E62" s="20">
        <f t="shared" si="7"/>
        <v>184</v>
      </c>
      <c r="F62" s="20">
        <f t="shared" si="7"/>
        <v>322</v>
      </c>
      <c r="G62" s="20">
        <f t="shared" si="7"/>
        <v>418</v>
      </c>
      <c r="H62" s="20">
        <f t="shared" si="7"/>
        <v>501</v>
      </c>
      <c r="I62" s="20">
        <f t="shared" si="7"/>
        <v>501</v>
      </c>
      <c r="J62" s="20">
        <f t="shared" si="7"/>
        <v>501</v>
      </c>
      <c r="K62" s="20">
        <f t="shared" si="7"/>
        <v>501</v>
      </c>
      <c r="L62" s="20">
        <f>IF(K7=5,INT(K22/K6/$C$55)*K6,INT(K22/$C$55))</f>
        <v>501</v>
      </c>
      <c r="M62" s="20">
        <f>IF(L7=5,INT(L22/L6/$C$55)*L6,INT(L22/$C$55))</f>
        <v>501</v>
      </c>
      <c r="N62" s="20">
        <f>IF(M7=5,INT(M22/M6/$C$55)*M6,INT(M22/$C$55))</f>
        <v>501</v>
      </c>
      <c r="O62" s="20">
        <f t="shared" ref="O62:X62" si="8">IF(N7=5,INT(N22/N6/$C$55)*N6,INT(N22/$C$55))</f>
        <v>501</v>
      </c>
      <c r="P62" s="20">
        <f t="shared" si="8"/>
        <v>501</v>
      </c>
      <c r="Q62" s="20">
        <f t="shared" si="8"/>
        <v>501</v>
      </c>
      <c r="R62" s="20">
        <f t="shared" si="8"/>
        <v>501</v>
      </c>
      <c r="S62" s="20">
        <f t="shared" si="8"/>
        <v>501</v>
      </c>
      <c r="T62" s="20">
        <f t="shared" si="8"/>
        <v>501</v>
      </c>
      <c r="U62" s="20">
        <f t="shared" si="8"/>
        <v>501</v>
      </c>
      <c r="V62" s="20">
        <f t="shared" si="8"/>
        <v>501</v>
      </c>
      <c r="W62" s="20">
        <f t="shared" si="8"/>
        <v>501</v>
      </c>
      <c r="X62" s="20">
        <f t="shared" si="8"/>
        <v>501</v>
      </c>
    </row>
    <row r="63" spans="1:24" x14ac:dyDescent="0.2">
      <c r="A63" s="1266" t="s">
        <v>1078</v>
      </c>
      <c r="B63" s="1266"/>
      <c r="C63" s="1266"/>
      <c r="D63" s="20">
        <f t="shared" ref="D63:I63" si="9">IF(D62&lt;D61,2,1)</f>
        <v>1</v>
      </c>
      <c r="E63" s="20">
        <f t="shared" si="9"/>
        <v>1</v>
      </c>
      <c r="F63" s="20">
        <f t="shared" si="9"/>
        <v>1</v>
      </c>
      <c r="G63" s="20">
        <f t="shared" si="9"/>
        <v>1</v>
      </c>
      <c r="H63" s="20">
        <f t="shared" si="9"/>
        <v>1</v>
      </c>
      <c r="I63" s="20">
        <f t="shared" si="9"/>
        <v>2</v>
      </c>
      <c r="J63" s="20">
        <f>IF(J62&lt;J61,2,1)</f>
        <v>2</v>
      </c>
      <c r="K63" s="20">
        <f>IF(K62&lt;K61,2,1)</f>
        <v>2</v>
      </c>
      <c r="L63" s="20">
        <f>IF(L62&lt;L61,2,1)</f>
        <v>2</v>
      </c>
      <c r="M63" s="20">
        <f>IF(M62&lt;M61,2,1)</f>
        <v>2</v>
      </c>
      <c r="N63" s="20">
        <f t="shared" ref="N63:X63" si="10">IF(N62&lt;N61,2,1)</f>
        <v>2</v>
      </c>
      <c r="O63" s="20">
        <f t="shared" si="10"/>
        <v>2</v>
      </c>
      <c r="P63" s="20">
        <f t="shared" si="10"/>
        <v>2</v>
      </c>
      <c r="Q63" s="20">
        <f t="shared" si="10"/>
        <v>2</v>
      </c>
      <c r="R63" s="20">
        <f t="shared" si="10"/>
        <v>2</v>
      </c>
      <c r="S63" s="20">
        <f t="shared" si="10"/>
        <v>2</v>
      </c>
      <c r="T63" s="20">
        <f t="shared" si="10"/>
        <v>2</v>
      </c>
      <c r="U63" s="20">
        <f t="shared" si="10"/>
        <v>2</v>
      </c>
      <c r="V63" s="20">
        <f t="shared" si="10"/>
        <v>2</v>
      </c>
      <c r="W63" s="20">
        <f t="shared" si="10"/>
        <v>2</v>
      </c>
      <c r="X63" s="20">
        <f t="shared" si="10"/>
        <v>2</v>
      </c>
    </row>
    <row r="64" spans="1:24" x14ac:dyDescent="0.2">
      <c r="A64" s="1357" t="s">
        <v>90</v>
      </c>
      <c r="B64" s="1357"/>
      <c r="C64" s="1357"/>
      <c r="D64" s="26">
        <f t="shared" ref="D64:K64" si="11">D61*$D$34/1000</f>
        <v>140.67450799942432</v>
      </c>
      <c r="E64" s="26">
        <f t="shared" si="11"/>
        <v>1251.2627290475109</v>
      </c>
      <c r="F64" s="26">
        <f t="shared" si="11"/>
        <v>1917.6156616763631</v>
      </c>
      <c r="G64" s="26">
        <f t="shared" si="11"/>
        <v>2931.9529035669489</v>
      </c>
      <c r="H64" s="26">
        <f t="shared" si="11"/>
        <v>3627.9215220904171</v>
      </c>
      <c r="I64" s="26">
        <f t="shared" si="11"/>
        <v>4131.3881822988833</v>
      </c>
      <c r="J64" s="26">
        <f t="shared" si="11"/>
        <v>4131.3881822988833</v>
      </c>
      <c r="K64" s="26">
        <f t="shared" si="11"/>
        <v>4131.3881822988833</v>
      </c>
      <c r="L64" s="26">
        <f>L61*$D$34/1000</f>
        <v>4131.3881822988833</v>
      </c>
      <c r="M64" s="26">
        <f>M61*$D$34/1000</f>
        <v>4131.3881822988833</v>
      </c>
      <c r="N64" s="26">
        <f t="shared" ref="N64:X64" si="12">N61*$D$34/1000</f>
        <v>4131.3881822988833</v>
      </c>
      <c r="O64" s="26">
        <f t="shared" si="12"/>
        <v>4131.3881822988833</v>
      </c>
      <c r="P64" s="26">
        <f t="shared" si="12"/>
        <v>4131.3881822988833</v>
      </c>
      <c r="Q64" s="26">
        <f t="shared" si="12"/>
        <v>4131.3881822988833</v>
      </c>
      <c r="R64" s="26">
        <f t="shared" si="12"/>
        <v>4131.3881822988833</v>
      </c>
      <c r="S64" s="26">
        <f t="shared" si="12"/>
        <v>4131.3881822988833</v>
      </c>
      <c r="T64" s="26">
        <f t="shared" si="12"/>
        <v>4131.3881822988833</v>
      </c>
      <c r="U64" s="26">
        <f t="shared" si="12"/>
        <v>4131.3881822988833</v>
      </c>
      <c r="V64" s="26">
        <f t="shared" si="12"/>
        <v>4131.3881822988833</v>
      </c>
      <c r="W64" s="26">
        <f t="shared" si="12"/>
        <v>4131.3881822988833</v>
      </c>
      <c r="X64" s="26">
        <f t="shared" si="12"/>
        <v>4131.3881822988833</v>
      </c>
    </row>
    <row r="65" spans="1:25" ht="13.5" thickBot="1" x14ac:dyDescent="0.25">
      <c r="A65" s="1360" t="s">
        <v>121</v>
      </c>
      <c r="B65" s="1360"/>
      <c r="C65" s="1360"/>
      <c r="D65" s="72">
        <f t="shared" ref="D65:I65" si="13">D64*C27</f>
        <v>126.60705719948189</v>
      </c>
      <c r="E65" s="72">
        <f t="shared" si="13"/>
        <v>1188.6995925951353</v>
      </c>
      <c r="F65" s="72">
        <f t="shared" si="13"/>
        <v>1840.9110352093085</v>
      </c>
      <c r="G65" s="72">
        <f t="shared" si="13"/>
        <v>2843.9943164599404</v>
      </c>
      <c r="H65" s="72">
        <f t="shared" si="13"/>
        <v>3555.3630916486086</v>
      </c>
      <c r="I65" s="72">
        <f t="shared" si="13"/>
        <v>4090.0743004758942</v>
      </c>
      <c r="J65" s="72">
        <f>J64*I27</f>
        <v>4090.0743004758942</v>
      </c>
      <c r="K65" s="72">
        <f>K64*J27</f>
        <v>4090.0743004758942</v>
      </c>
      <c r="L65" s="72">
        <f>L64*K27</f>
        <v>4090.0743004758942</v>
      </c>
      <c r="M65" s="72">
        <f>M64*L27</f>
        <v>4090.0743004758942</v>
      </c>
      <c r="N65" s="72">
        <f t="shared" ref="N65:X65" si="14">N64*M27</f>
        <v>4090.0743004758942</v>
      </c>
      <c r="O65" s="72">
        <f t="shared" si="14"/>
        <v>4090.0743004758942</v>
      </c>
      <c r="P65" s="72">
        <f t="shared" si="14"/>
        <v>4090.0743004758942</v>
      </c>
      <c r="Q65" s="72">
        <f t="shared" si="14"/>
        <v>4090.0743004758942</v>
      </c>
      <c r="R65" s="72">
        <f t="shared" si="14"/>
        <v>4090.0743004758942</v>
      </c>
      <c r="S65" s="72">
        <f t="shared" si="14"/>
        <v>4090.0743004758942</v>
      </c>
      <c r="T65" s="72">
        <f t="shared" si="14"/>
        <v>4090.0743004758942</v>
      </c>
      <c r="U65" s="72">
        <f t="shared" si="14"/>
        <v>4090.0743004758942</v>
      </c>
      <c r="V65" s="72">
        <f t="shared" si="14"/>
        <v>4090.0743004758942</v>
      </c>
      <c r="W65" s="72">
        <f t="shared" si="14"/>
        <v>4090.0743004758942</v>
      </c>
      <c r="X65" s="72">
        <f t="shared" si="14"/>
        <v>4090.0743004758942</v>
      </c>
    </row>
    <row r="66" spans="1:25" x14ac:dyDescent="0.2">
      <c r="A66" s="1362" t="s">
        <v>122</v>
      </c>
      <c r="B66" s="1363"/>
      <c r="C66" s="1363"/>
      <c r="D66" s="71">
        <f t="shared" ref="D66:I66" si="15">D67*$E$34/1000</f>
        <v>124.23205038221242</v>
      </c>
      <c r="E66" s="71">
        <f t="shared" si="15"/>
        <v>1169.2428271267052</v>
      </c>
      <c r="F66" s="71">
        <f t="shared" si="15"/>
        <v>1812.3263820463928</v>
      </c>
      <c r="G66" s="71">
        <f t="shared" si="15"/>
        <v>2806.1827851040921</v>
      </c>
      <c r="H66" s="71">
        <f t="shared" si="15"/>
        <v>3507.7284813801152</v>
      </c>
      <c r="I66" s="428">
        <f t="shared" si="15"/>
        <v>4033.8877535871325</v>
      </c>
      <c r="J66" s="71">
        <f>J67*$E$34/1000</f>
        <v>4033.8877535871325</v>
      </c>
      <c r="K66" s="71">
        <f>K67*$E$34/1000</f>
        <v>4033.8877535871325</v>
      </c>
      <c r="L66" s="71">
        <f>L67*$E$34/1000</f>
        <v>4033.8877535871325</v>
      </c>
      <c r="M66" s="71">
        <f>M67*$E$34/1000</f>
        <v>4033.8877535871325</v>
      </c>
      <c r="N66" s="71">
        <f t="shared" ref="N66:X66" si="16">N67*$E$34/1000</f>
        <v>4033.8877535871325</v>
      </c>
      <c r="O66" s="71">
        <f t="shared" si="16"/>
        <v>4033.8877535871325</v>
      </c>
      <c r="P66" s="71">
        <f t="shared" si="16"/>
        <v>4033.8877535871325</v>
      </c>
      <c r="Q66" s="71">
        <f t="shared" si="16"/>
        <v>4033.8877535871325</v>
      </c>
      <c r="R66" s="71">
        <f t="shared" si="16"/>
        <v>4033.8877535871325</v>
      </c>
      <c r="S66" s="71">
        <f t="shared" si="16"/>
        <v>4033.8877535871325</v>
      </c>
      <c r="T66" s="71">
        <f t="shared" si="16"/>
        <v>4033.8877535871325</v>
      </c>
      <c r="U66" s="71">
        <f t="shared" si="16"/>
        <v>4033.8877535871325</v>
      </c>
      <c r="V66" s="71">
        <f t="shared" si="16"/>
        <v>4033.8877535871325</v>
      </c>
      <c r="W66" s="71">
        <f t="shared" si="16"/>
        <v>4033.8877535871325</v>
      </c>
      <c r="X66" s="446">
        <f t="shared" si="16"/>
        <v>4033.8877535871325</v>
      </c>
    </row>
    <row r="67" spans="1:25" ht="13.5" thickBot="1" x14ac:dyDescent="0.25">
      <c r="A67" s="1361" t="s">
        <v>914</v>
      </c>
      <c r="B67" s="1360"/>
      <c r="C67" s="1360"/>
      <c r="D67" s="72">
        <f t="shared" ref="D67:I67" si="17">INT(D65/$D$34*1000)</f>
        <v>17</v>
      </c>
      <c r="E67" s="72">
        <f t="shared" si="17"/>
        <v>160</v>
      </c>
      <c r="F67" s="72">
        <f t="shared" si="17"/>
        <v>248</v>
      </c>
      <c r="G67" s="72">
        <f t="shared" si="17"/>
        <v>384</v>
      </c>
      <c r="H67" s="72">
        <f t="shared" si="17"/>
        <v>480</v>
      </c>
      <c r="I67" s="429">
        <f t="shared" si="17"/>
        <v>552</v>
      </c>
      <c r="J67" s="72">
        <f>INT(J65/$D$34*1000)</f>
        <v>552</v>
      </c>
      <c r="K67" s="72">
        <f>INT(K65/$D$34*1000)</f>
        <v>552</v>
      </c>
      <c r="L67" s="72">
        <f>INT(L65/$D$34*1000)</f>
        <v>552</v>
      </c>
      <c r="M67" s="72">
        <f>INT(M65/$D$34*1000)</f>
        <v>552</v>
      </c>
      <c r="N67" s="72">
        <f t="shared" ref="N67:X67" si="18">INT(N65/$D$34*1000)</f>
        <v>552</v>
      </c>
      <c r="O67" s="72">
        <f t="shared" si="18"/>
        <v>552</v>
      </c>
      <c r="P67" s="72">
        <f t="shared" si="18"/>
        <v>552</v>
      </c>
      <c r="Q67" s="72">
        <f t="shared" si="18"/>
        <v>552</v>
      </c>
      <c r="R67" s="72">
        <f t="shared" si="18"/>
        <v>552</v>
      </c>
      <c r="S67" s="72">
        <f t="shared" si="18"/>
        <v>552</v>
      </c>
      <c r="T67" s="72">
        <f t="shared" si="18"/>
        <v>552</v>
      </c>
      <c r="U67" s="72">
        <f t="shared" si="18"/>
        <v>552</v>
      </c>
      <c r="V67" s="72">
        <f t="shared" si="18"/>
        <v>552</v>
      </c>
      <c r="W67" s="72">
        <f t="shared" si="18"/>
        <v>552</v>
      </c>
      <c r="X67" s="447">
        <f t="shared" si="18"/>
        <v>552</v>
      </c>
    </row>
    <row r="68" spans="1:25" x14ac:dyDescent="0.2">
      <c r="A68" s="1336" t="s">
        <v>1080</v>
      </c>
      <c r="B68" s="1337"/>
      <c r="C68" s="1337"/>
      <c r="D68" s="34">
        <f t="shared" ref="D68:I68" si="19">D61-D67</f>
        <v>2</v>
      </c>
      <c r="E68" s="34">
        <f t="shared" si="19"/>
        <v>9</v>
      </c>
      <c r="F68" s="34">
        <f t="shared" si="19"/>
        <v>11</v>
      </c>
      <c r="G68" s="34">
        <f t="shared" si="19"/>
        <v>12</v>
      </c>
      <c r="H68" s="34">
        <f t="shared" si="19"/>
        <v>10</v>
      </c>
      <c r="I68" s="34">
        <f t="shared" si="19"/>
        <v>6</v>
      </c>
      <c r="J68" s="34">
        <f>J61-J67</f>
        <v>6</v>
      </c>
      <c r="K68" s="34">
        <f>K61-K67</f>
        <v>6</v>
      </c>
      <c r="L68" s="34">
        <f>L61-L67</f>
        <v>6</v>
      </c>
      <c r="M68" s="34">
        <f>M61-M67</f>
        <v>6</v>
      </c>
      <c r="N68" s="34">
        <f t="shared" ref="N68:X68" si="20">N61-N67</f>
        <v>6</v>
      </c>
      <c r="O68" s="34">
        <f t="shared" si="20"/>
        <v>6</v>
      </c>
      <c r="P68" s="34">
        <f t="shared" si="20"/>
        <v>6</v>
      </c>
      <c r="Q68" s="34">
        <f t="shared" si="20"/>
        <v>6</v>
      </c>
      <c r="R68" s="34">
        <f t="shared" si="20"/>
        <v>6</v>
      </c>
      <c r="S68" s="34">
        <f t="shared" si="20"/>
        <v>6</v>
      </c>
      <c r="T68" s="34">
        <f t="shared" si="20"/>
        <v>6</v>
      </c>
      <c r="U68" s="34">
        <f t="shared" si="20"/>
        <v>6</v>
      </c>
      <c r="V68" s="34">
        <f t="shared" si="20"/>
        <v>6</v>
      </c>
      <c r="W68" s="34">
        <f t="shared" si="20"/>
        <v>6</v>
      </c>
      <c r="X68" s="34">
        <f t="shared" si="20"/>
        <v>6</v>
      </c>
    </row>
    <row r="69" spans="1:25" x14ac:dyDescent="0.2">
      <c r="A69" s="1338" t="s">
        <v>1006</v>
      </c>
      <c r="B69" s="1266"/>
      <c r="C69" s="1266"/>
      <c r="D69" s="21">
        <f t="shared" ref="D69:I69" si="21">D68*$D$34/1000</f>
        <v>14.807842947307822</v>
      </c>
      <c r="E69" s="21">
        <f t="shared" si="21"/>
        <v>66.635293262885199</v>
      </c>
      <c r="F69" s="21">
        <f t="shared" si="21"/>
        <v>81.443136210193032</v>
      </c>
      <c r="G69" s="21">
        <f t="shared" si="21"/>
        <v>88.847057683846941</v>
      </c>
      <c r="H69" s="21">
        <f t="shared" si="21"/>
        <v>74.039214736539108</v>
      </c>
      <c r="I69" s="21">
        <f t="shared" si="21"/>
        <v>44.423528841923471</v>
      </c>
      <c r="J69" s="21">
        <f>J68*$D$34/1000</f>
        <v>44.423528841923471</v>
      </c>
      <c r="K69" s="21">
        <f>K68*$D$34/1000</f>
        <v>44.423528841923471</v>
      </c>
      <c r="L69" s="21">
        <f>L68*$D$34/1000</f>
        <v>44.423528841923471</v>
      </c>
      <c r="M69" s="21">
        <f>M68*$D$34/1000</f>
        <v>44.423528841923471</v>
      </c>
      <c r="N69" s="21">
        <f t="shared" ref="N69:X69" si="22">N68*$D$34/1000</f>
        <v>44.423528841923471</v>
      </c>
      <c r="O69" s="21">
        <f t="shared" si="22"/>
        <v>44.423528841923471</v>
      </c>
      <c r="P69" s="21">
        <f t="shared" si="22"/>
        <v>44.423528841923471</v>
      </c>
      <c r="Q69" s="21">
        <f t="shared" si="22"/>
        <v>44.423528841923471</v>
      </c>
      <c r="R69" s="21">
        <f t="shared" si="22"/>
        <v>44.423528841923471</v>
      </c>
      <c r="S69" s="21">
        <f t="shared" si="22"/>
        <v>44.423528841923471</v>
      </c>
      <c r="T69" s="21">
        <f t="shared" si="22"/>
        <v>44.423528841923471</v>
      </c>
      <c r="U69" s="21">
        <f t="shared" si="22"/>
        <v>44.423528841923471</v>
      </c>
      <c r="V69" s="21">
        <f t="shared" si="22"/>
        <v>44.423528841923471</v>
      </c>
      <c r="W69" s="21">
        <f t="shared" si="22"/>
        <v>44.423528841923471</v>
      </c>
      <c r="X69" s="21">
        <f t="shared" si="22"/>
        <v>44.423528841923471</v>
      </c>
      <c r="Y69" s="31" t="s">
        <v>856</v>
      </c>
    </row>
    <row r="70" spans="1:25" x14ac:dyDescent="0.2">
      <c r="A70" s="1338" t="s">
        <v>77</v>
      </c>
      <c r="B70" s="1266"/>
      <c r="C70" s="1266"/>
      <c r="D70" s="80">
        <f>D69*1000*'Données Matières'!D22</f>
        <v>36679.026980481482</v>
      </c>
      <c r="E70" s="80">
        <f>E69*1000*'Données Matières'!E22</f>
        <v>165055.62141216666</v>
      </c>
      <c r="F70" s="80">
        <f>F69*1000*'Données Matières'!F22</f>
        <v>201734.64839264815</v>
      </c>
      <c r="G70" s="80">
        <f>G69*1000*'Données Matières'!G22</f>
        <v>220074.1618828889</v>
      </c>
      <c r="H70" s="80">
        <f>H69*1000*'Données Matières'!H22</f>
        <v>183395.13490240742</v>
      </c>
      <c r="I70" s="80">
        <f>I69*1000*'Données Matières'!I22</f>
        <v>110037.08094144445</v>
      </c>
      <c r="J70" s="80">
        <f>J69*1000*'Données Matières'!J22</f>
        <v>110037.08094144445</v>
      </c>
      <c r="K70" s="80">
        <f>K69*1000*'Données Matières'!K22</f>
        <v>110037.08094144445</v>
      </c>
      <c r="L70" s="80">
        <f>L69*1000*'Données Matières'!L22</f>
        <v>110037.08094144445</v>
      </c>
      <c r="M70" s="80">
        <f>M69*1000*'Données Matières'!M22</f>
        <v>110037.08094144445</v>
      </c>
      <c r="N70" s="80">
        <f>N69*1000*'Données Matières'!N22</f>
        <v>110037.08094144445</v>
      </c>
      <c r="O70" s="80">
        <f>O69*1000*'Données Matières'!O22</f>
        <v>110037.08094144445</v>
      </c>
      <c r="P70" s="80">
        <f>P69*1000*'Données Matières'!P22</f>
        <v>110037.08094144445</v>
      </c>
      <c r="Q70" s="80">
        <f>Q69*1000*'Données Matières'!Q22</f>
        <v>110037.08094144445</v>
      </c>
      <c r="R70" s="80">
        <f>R69*1000*'Données Matières'!R22</f>
        <v>110037.08094144445</v>
      </c>
      <c r="S70" s="80">
        <f>S69*1000*'Données Matières'!S22</f>
        <v>110037.08094144445</v>
      </c>
      <c r="T70" s="80">
        <f>T69*1000*'Données Matières'!T22</f>
        <v>110037.08094144445</v>
      </c>
      <c r="U70" s="80">
        <f>U69*1000*'Données Matières'!U22</f>
        <v>110037.08094144445</v>
      </c>
      <c r="V70" s="80">
        <f>V69*1000*'Données Matières'!V22</f>
        <v>110037.08094144445</v>
      </c>
      <c r="W70" s="80">
        <f>W69*1000*'Données Matières'!W22</f>
        <v>110037.08094144445</v>
      </c>
      <c r="X70" s="80">
        <f>X69*1000*'Données Matières'!X22</f>
        <v>110037.08094144445</v>
      </c>
    </row>
    <row r="71" spans="1:25" x14ac:dyDescent="0.2">
      <c r="A71" s="1266" t="s">
        <v>1028</v>
      </c>
      <c r="B71" s="1266"/>
      <c r="C71" s="1266"/>
      <c r="D71" s="66">
        <f t="shared" ref="D71:K71" si="23">D61*$D$36/1000</f>
        <v>2.801192242824865</v>
      </c>
      <c r="E71" s="66">
        <f t="shared" si="23"/>
        <v>24.915867844073802</v>
      </c>
      <c r="F71" s="66">
        <f t="shared" si="23"/>
        <v>38.184673204823163</v>
      </c>
      <c r="G71" s="66">
        <f t="shared" si="23"/>
        <v>58.382743587297192</v>
      </c>
      <c r="H71" s="66">
        <f t="shared" si="23"/>
        <v>72.24127363074652</v>
      </c>
      <c r="I71" s="66">
        <f t="shared" si="23"/>
        <v>82.266593236646031</v>
      </c>
      <c r="J71" s="66">
        <f t="shared" si="23"/>
        <v>82.266593236646031</v>
      </c>
      <c r="K71" s="66">
        <f t="shared" si="23"/>
        <v>82.266593236646031</v>
      </c>
      <c r="L71" s="66">
        <f>L61*$D$36/1000</f>
        <v>82.266593236646031</v>
      </c>
      <c r="M71" s="66">
        <f>M61*$D$36/1000</f>
        <v>82.266593236646031</v>
      </c>
      <c r="N71" s="66">
        <f t="shared" ref="N71:X71" si="24">N61*$D$36/1000</f>
        <v>82.266593236646031</v>
      </c>
      <c r="O71" s="66">
        <f t="shared" si="24"/>
        <v>82.266593236646031</v>
      </c>
      <c r="P71" s="66">
        <f t="shared" si="24"/>
        <v>82.266593236646031</v>
      </c>
      <c r="Q71" s="66">
        <f t="shared" si="24"/>
        <v>82.266593236646031</v>
      </c>
      <c r="R71" s="66">
        <f t="shared" si="24"/>
        <v>82.266593236646031</v>
      </c>
      <c r="S71" s="66">
        <f t="shared" si="24"/>
        <v>82.266593236646031</v>
      </c>
      <c r="T71" s="66">
        <f t="shared" si="24"/>
        <v>82.266593236646031</v>
      </c>
      <c r="U71" s="66">
        <f t="shared" si="24"/>
        <v>82.266593236646031</v>
      </c>
      <c r="V71" s="66">
        <f t="shared" si="24"/>
        <v>82.266593236646031</v>
      </c>
      <c r="W71" s="66">
        <f t="shared" si="24"/>
        <v>82.266593236646031</v>
      </c>
      <c r="X71" s="66">
        <f t="shared" si="24"/>
        <v>82.266593236646031</v>
      </c>
      <c r="Y71" t="s">
        <v>855</v>
      </c>
    </row>
    <row r="72" spans="1:25" x14ac:dyDescent="0.2">
      <c r="A72" s="1266" t="s">
        <v>343</v>
      </c>
      <c r="B72" s="1266"/>
      <c r="C72" s="1266"/>
      <c r="D72" s="80">
        <f>D71*1000*'Données Matières'!D22</f>
        <v>6938.5531854771916</v>
      </c>
      <c r="E72" s="80">
        <f>E71*1000*'Données Matières'!E22</f>
        <v>61716.604649770808</v>
      </c>
      <c r="F72" s="80">
        <f>F71*1000*'Données Matières'!F22</f>
        <v>94583.435528346992</v>
      </c>
      <c r="G72" s="80">
        <f>G71*1000*'Données Matières'!G22</f>
        <v>144614.05586573516</v>
      </c>
      <c r="H72" s="80">
        <f>H71*1000*'Données Matières'!H22</f>
        <v>178941.63478335916</v>
      </c>
      <c r="I72" s="80">
        <f>I71*1000*'Données Matières'!I22</f>
        <v>203774.35144717226</v>
      </c>
      <c r="J72" s="80">
        <f>J71*1000*'Données Matières'!J22</f>
        <v>203774.35144717226</v>
      </c>
      <c r="K72" s="80">
        <f>K71*1000*'Données Matières'!K22</f>
        <v>203774.35144717226</v>
      </c>
      <c r="L72" s="80">
        <f>L71*1000*'Données Matières'!L22</f>
        <v>203774.35144717226</v>
      </c>
      <c r="M72" s="80">
        <f>M71*1000*'Données Matières'!M22</f>
        <v>203774.35144717226</v>
      </c>
      <c r="N72" s="80">
        <f>N71*1000*'Données Matières'!N22</f>
        <v>203774.35144717226</v>
      </c>
      <c r="O72" s="80">
        <f>O71*1000*'Données Matières'!O22</f>
        <v>203774.35144717226</v>
      </c>
      <c r="P72" s="80">
        <f>P71*1000*'Données Matières'!P22</f>
        <v>203774.35144717226</v>
      </c>
      <c r="Q72" s="80">
        <f>Q71*1000*'Données Matières'!Q22</f>
        <v>203774.35144717226</v>
      </c>
      <c r="R72" s="80">
        <f>R71*1000*'Données Matières'!R22</f>
        <v>203774.35144717226</v>
      </c>
      <c r="S72" s="80">
        <f>S71*1000*'Données Matières'!S22</f>
        <v>203774.35144717226</v>
      </c>
      <c r="T72" s="80">
        <f>T71*1000*'Données Matières'!T22</f>
        <v>203774.35144717226</v>
      </c>
      <c r="U72" s="80">
        <f>U71*1000*'Données Matières'!U22</f>
        <v>203774.35144717226</v>
      </c>
      <c r="V72" s="80">
        <f>V71*1000*'Données Matières'!V22</f>
        <v>203774.35144717226</v>
      </c>
      <c r="W72" s="80">
        <f>W71*1000*'Données Matières'!W22</f>
        <v>203774.35144717226</v>
      </c>
      <c r="X72" s="80">
        <f>X71*1000*'Données Matières'!X22</f>
        <v>203774.35144717226</v>
      </c>
    </row>
    <row r="73" spans="1:25" x14ac:dyDescent="0.2">
      <c r="A73" s="1266" t="s">
        <v>1009</v>
      </c>
      <c r="B73" s="1266"/>
      <c r="C73" s="1266"/>
      <c r="D73" s="80">
        <f t="shared" ref="D73:K73" si="25">D67*$D$80/1000</f>
        <v>1.6346146699040971</v>
      </c>
      <c r="E73" s="80">
        <f t="shared" si="25"/>
        <v>15.384608657920914</v>
      </c>
      <c r="F73" s="80">
        <f t="shared" si="25"/>
        <v>23.84614341977742</v>
      </c>
      <c r="G73" s="80">
        <f t="shared" si="25"/>
        <v>36.923060779010193</v>
      </c>
      <c r="H73" s="80">
        <f t="shared" si="25"/>
        <v>46.153825973762743</v>
      </c>
      <c r="I73" s="80">
        <f t="shared" si="25"/>
        <v>53.076899869827152</v>
      </c>
      <c r="J73" s="80">
        <f t="shared" si="25"/>
        <v>53.076899869827152</v>
      </c>
      <c r="K73" s="80">
        <f t="shared" si="25"/>
        <v>53.076899869827152</v>
      </c>
      <c r="L73" s="80">
        <f>L67*$D$80/1000</f>
        <v>53.076899869827152</v>
      </c>
      <c r="M73" s="80">
        <f>M67*$D$80/1000</f>
        <v>53.076899869827152</v>
      </c>
      <c r="N73" s="80">
        <f t="shared" ref="N73:X73" si="26">N67*$D$80/1000</f>
        <v>53.076899869827152</v>
      </c>
      <c r="O73" s="80">
        <f t="shared" si="26"/>
        <v>53.076899869827152</v>
      </c>
      <c r="P73" s="80">
        <f t="shared" si="26"/>
        <v>53.076899869827152</v>
      </c>
      <c r="Q73" s="80">
        <f t="shared" si="26"/>
        <v>53.076899869827152</v>
      </c>
      <c r="R73" s="80">
        <f t="shared" si="26"/>
        <v>53.076899869827152</v>
      </c>
      <c r="S73" s="80">
        <f t="shared" si="26"/>
        <v>53.076899869827152</v>
      </c>
      <c r="T73" s="80">
        <f t="shared" si="26"/>
        <v>53.076899869827152</v>
      </c>
      <c r="U73" s="80">
        <f t="shared" si="26"/>
        <v>53.076899869827152</v>
      </c>
      <c r="V73" s="80">
        <f t="shared" si="26"/>
        <v>53.076899869827152</v>
      </c>
      <c r="W73" s="80">
        <f t="shared" si="26"/>
        <v>53.076899869827152</v>
      </c>
      <c r="X73" s="80">
        <f t="shared" si="26"/>
        <v>53.076899869827152</v>
      </c>
      <c r="Y73" t="s">
        <v>855</v>
      </c>
    </row>
    <row r="74" spans="1:25" x14ac:dyDescent="0.2">
      <c r="A74" s="1266" t="s">
        <v>78</v>
      </c>
      <c r="B74" s="1266"/>
      <c r="C74" s="1266"/>
      <c r="D74" s="80">
        <f>D73*1000*'Données Matières'!D23</f>
        <v>5784.2007676463554</v>
      </c>
      <c r="E74" s="80">
        <f>E73*1000*'Données Matières'!E23</f>
        <v>54439.536636671583</v>
      </c>
      <c r="F74" s="80">
        <f>F73*1000*'Données Matières'!F23</f>
        <v>84381.281786840947</v>
      </c>
      <c r="G74" s="80">
        <f>G73*1000*'Données Matières'!G23</f>
        <v>130654.88792801178</v>
      </c>
      <c r="H74" s="80">
        <f>H73*1000*'Données Matières'!H23</f>
        <v>163318.60991001475</v>
      </c>
      <c r="I74" s="80">
        <f>I73*1000*'Données Matières'!I23</f>
        <v>187816.40139651694</v>
      </c>
      <c r="J74" s="80">
        <f>J73*1000*'Données Matières'!J23</f>
        <v>187816.40139651694</v>
      </c>
      <c r="K74" s="80">
        <f>K73*1000*'Données Matières'!K23</f>
        <v>187816.40139651694</v>
      </c>
      <c r="L74" s="80">
        <f>L73*1000*'Données Matières'!L23</f>
        <v>187816.40139651694</v>
      </c>
      <c r="M74" s="80">
        <f>M73*1000*'Données Matières'!M23</f>
        <v>187816.40139651694</v>
      </c>
      <c r="N74" s="80">
        <f>N73*1000*'Données Matières'!N23</f>
        <v>187816.40139651694</v>
      </c>
      <c r="O74" s="80">
        <f>O73*1000*'Données Matières'!O23</f>
        <v>187816.40139651694</v>
      </c>
      <c r="P74" s="80">
        <f>P73*1000*'Données Matières'!P23</f>
        <v>187816.40139651694</v>
      </c>
      <c r="Q74" s="80">
        <f>Q73*1000*'Données Matières'!Q23</f>
        <v>187816.40139651694</v>
      </c>
      <c r="R74" s="80">
        <f>R73*1000*'Données Matières'!R23</f>
        <v>187816.40139651694</v>
      </c>
      <c r="S74" s="80">
        <f>S73*1000*'Données Matières'!S23</f>
        <v>187816.40139651694</v>
      </c>
      <c r="T74" s="80">
        <f>T73*1000*'Données Matières'!T23</f>
        <v>187816.40139651694</v>
      </c>
      <c r="U74" s="80">
        <f>U73*1000*'Données Matières'!U23</f>
        <v>187816.40139651694</v>
      </c>
      <c r="V74" s="80">
        <f>V73*1000*'Données Matières'!V23</f>
        <v>187816.40139651694</v>
      </c>
      <c r="W74" s="80">
        <f>W73*1000*'Données Matières'!W23</f>
        <v>187816.40139651694</v>
      </c>
      <c r="X74" s="80">
        <f>X73*1000*'Données Matières'!X23</f>
        <v>187816.40139651694</v>
      </c>
    </row>
    <row r="75" spans="1:25" x14ac:dyDescent="0.2">
      <c r="A75" s="1266" t="s">
        <v>97</v>
      </c>
      <c r="B75" s="1266"/>
      <c r="C75" s="1266"/>
      <c r="D75" s="80">
        <f t="shared" ref="D75:K75" si="27">D67*$K$81</f>
        <v>10880</v>
      </c>
      <c r="E75" s="80">
        <f t="shared" si="27"/>
        <v>102400</v>
      </c>
      <c r="F75" s="80">
        <f t="shared" si="27"/>
        <v>158720</v>
      </c>
      <c r="G75" s="80">
        <f t="shared" si="27"/>
        <v>245760</v>
      </c>
      <c r="H75" s="80">
        <f t="shared" si="27"/>
        <v>307200</v>
      </c>
      <c r="I75" s="80">
        <f t="shared" si="27"/>
        <v>353280</v>
      </c>
      <c r="J75" s="80">
        <f>J67*$K$81</f>
        <v>353280</v>
      </c>
      <c r="K75" s="80">
        <f t="shared" si="27"/>
        <v>353280</v>
      </c>
      <c r="L75" s="80">
        <f>L67*$K$81</f>
        <v>353280</v>
      </c>
      <c r="M75" s="80">
        <f>M67*$K$81</f>
        <v>353280</v>
      </c>
      <c r="N75" s="80">
        <f t="shared" ref="N75:X75" si="28">N67*$K$81</f>
        <v>353280</v>
      </c>
      <c r="O75" s="80">
        <f t="shared" si="28"/>
        <v>353280</v>
      </c>
      <c r="P75" s="80">
        <f t="shared" si="28"/>
        <v>353280</v>
      </c>
      <c r="Q75" s="80">
        <f t="shared" si="28"/>
        <v>353280</v>
      </c>
      <c r="R75" s="80">
        <f t="shared" si="28"/>
        <v>353280</v>
      </c>
      <c r="S75" s="80">
        <f t="shared" si="28"/>
        <v>353280</v>
      </c>
      <c r="T75" s="80">
        <f t="shared" si="28"/>
        <v>353280</v>
      </c>
      <c r="U75" s="80">
        <f t="shared" si="28"/>
        <v>353280</v>
      </c>
      <c r="V75" s="80">
        <f t="shared" si="28"/>
        <v>353280</v>
      </c>
      <c r="W75" s="80">
        <f t="shared" si="28"/>
        <v>353280</v>
      </c>
      <c r="X75" s="80">
        <f t="shared" si="28"/>
        <v>353280</v>
      </c>
    </row>
    <row r="78" spans="1:25" x14ac:dyDescent="0.2">
      <c r="A78" s="12" t="s">
        <v>118</v>
      </c>
    </row>
    <row r="79" spans="1:25" x14ac:dyDescent="0.2">
      <c r="A79" s="1266" t="s">
        <v>1015</v>
      </c>
      <c r="B79" s="1266"/>
      <c r="C79" s="1266"/>
      <c r="D79" s="113">
        <v>3</v>
      </c>
      <c r="E79" t="s">
        <v>123</v>
      </c>
    </row>
    <row r="80" spans="1:25" x14ac:dyDescent="0.2">
      <c r="A80" s="1266" t="s">
        <v>1008</v>
      </c>
      <c r="B80" s="1266"/>
      <c r="C80" s="1266"/>
      <c r="D80" s="21">
        <f>C39*PI()/4*((D33/100)^2-((D33-D79*2)/100)^2)*D32/100</f>
        <v>96.153804112005716</v>
      </c>
      <c r="E80" t="s">
        <v>96</v>
      </c>
    </row>
    <row r="81" spans="1:25" x14ac:dyDescent="0.2">
      <c r="G81" s="846">
        <v>8</v>
      </c>
      <c r="H81" t="s">
        <v>98</v>
      </c>
      <c r="I81" s="846">
        <v>80</v>
      </c>
      <c r="J81" t="s">
        <v>99</v>
      </c>
      <c r="K81" s="20">
        <f>G81*I81</f>
        <v>640</v>
      </c>
      <c r="L81" t="s">
        <v>100</v>
      </c>
      <c r="R81" t="s">
        <v>186</v>
      </c>
      <c r="X81" t="s">
        <v>198</v>
      </c>
    </row>
    <row r="82" spans="1:25" x14ac:dyDescent="0.2">
      <c r="A82" t="s">
        <v>196</v>
      </c>
      <c r="G82" t="s">
        <v>1177</v>
      </c>
      <c r="I82" t="s">
        <v>901</v>
      </c>
      <c r="Q82" s="830"/>
      <c r="R82" s="831"/>
      <c r="T82" t="s">
        <v>188</v>
      </c>
    </row>
    <row r="83" spans="1:25" x14ac:dyDescent="0.2">
      <c r="G83" t="s">
        <v>1178</v>
      </c>
      <c r="Q83" s="92"/>
      <c r="R83" s="125"/>
      <c r="T83" t="s">
        <v>189</v>
      </c>
    </row>
    <row r="84" spans="1:25" x14ac:dyDescent="0.2">
      <c r="A84" s="12" t="s">
        <v>340</v>
      </c>
      <c r="Q84" s="92"/>
      <c r="R84" s="125"/>
      <c r="T84" t="s">
        <v>193</v>
      </c>
    </row>
    <row r="85" spans="1:25" x14ac:dyDescent="0.2">
      <c r="A85" s="1267" t="s">
        <v>1062</v>
      </c>
      <c r="B85" s="1330"/>
      <c r="C85" s="16" t="s">
        <v>1060</v>
      </c>
      <c r="D85" s="16">
        <v>2</v>
      </c>
      <c r="Q85" s="92"/>
      <c r="R85" s="125"/>
      <c r="S85" t="s">
        <v>186</v>
      </c>
      <c r="T85" t="s">
        <v>190</v>
      </c>
      <c r="X85" t="s">
        <v>197</v>
      </c>
    </row>
    <row r="86" spans="1:25" x14ac:dyDescent="0.2">
      <c r="C86" s="16" t="s">
        <v>1061</v>
      </c>
      <c r="D86" s="16">
        <v>2</v>
      </c>
      <c r="Q86" s="92"/>
      <c r="R86" s="125" t="s">
        <v>187</v>
      </c>
      <c r="T86" t="s">
        <v>191</v>
      </c>
    </row>
    <row r="87" spans="1:25" x14ac:dyDescent="0.2">
      <c r="Q87" s="92"/>
      <c r="R87" s="125"/>
      <c r="T87" t="s">
        <v>192</v>
      </c>
      <c r="Y87" t="s">
        <v>199</v>
      </c>
    </row>
    <row r="88" spans="1:25" x14ac:dyDescent="0.2">
      <c r="Q88" s="92"/>
      <c r="R88" s="125"/>
      <c r="T88" t="s">
        <v>194</v>
      </c>
      <c r="Y88" t="s">
        <v>200</v>
      </c>
    </row>
    <row r="89" spans="1:25" x14ac:dyDescent="0.2">
      <c r="A89" s="15" t="s">
        <v>1053</v>
      </c>
      <c r="B89" s="15"/>
      <c r="C89" s="16">
        <v>3</v>
      </c>
      <c r="D89" s="16" t="s">
        <v>1054</v>
      </c>
      <c r="Q89" s="83"/>
      <c r="R89" s="127"/>
      <c r="T89" t="s">
        <v>195</v>
      </c>
    </row>
    <row r="90" spans="1:25" x14ac:dyDescent="0.2">
      <c r="A90" s="15" t="s">
        <v>1055</v>
      </c>
      <c r="B90" s="15"/>
      <c r="C90" s="16">
        <v>5</v>
      </c>
      <c r="D90" s="16" t="s">
        <v>1054</v>
      </c>
    </row>
    <row r="91" spans="1:25" x14ac:dyDescent="0.2">
      <c r="A91" s="14"/>
      <c r="B91" s="14"/>
      <c r="C91" s="32"/>
      <c r="D91" s="14"/>
    </row>
    <row r="93" spans="1:25" x14ac:dyDescent="0.2">
      <c r="B93" s="65" t="s">
        <v>835</v>
      </c>
      <c r="C93" s="65" t="s">
        <v>945</v>
      </c>
      <c r="D93" s="65" t="s">
        <v>946</v>
      </c>
      <c r="E93" s="65" t="s">
        <v>947</v>
      </c>
      <c r="F93" s="65" t="s">
        <v>948</v>
      </c>
      <c r="G93" s="65" t="s">
        <v>949</v>
      </c>
      <c r="H93" s="65" t="s">
        <v>846</v>
      </c>
      <c r="I93" s="65" t="s">
        <v>847</v>
      </c>
      <c r="J93" s="65" t="s">
        <v>848</v>
      </c>
      <c r="K93" s="65" t="s">
        <v>849</v>
      </c>
      <c r="L93" s="65" t="s">
        <v>509</v>
      </c>
      <c r="M93" s="65" t="s">
        <v>510</v>
      </c>
      <c r="N93" s="65" t="s">
        <v>368</v>
      </c>
      <c r="O93" s="65" t="s">
        <v>369</v>
      </c>
      <c r="P93" s="65" t="s">
        <v>370</v>
      </c>
      <c r="Q93" s="65" t="s">
        <v>371</v>
      </c>
      <c r="R93" s="65" t="s">
        <v>372</v>
      </c>
      <c r="S93" s="65" t="s">
        <v>373</v>
      </c>
      <c r="T93" s="65" t="s">
        <v>374</v>
      </c>
      <c r="U93" s="65" t="s">
        <v>375</v>
      </c>
      <c r="V93" s="65" t="s">
        <v>376</v>
      </c>
    </row>
    <row r="94" spans="1:25" x14ac:dyDescent="0.2">
      <c r="A94" s="50" t="s">
        <v>1050</v>
      </c>
      <c r="B94" s="20">
        <f t="shared" ref="B94:I94" si="29">IF(C7=5,$C$89,$C$90)</f>
        <v>3</v>
      </c>
      <c r="C94" s="20">
        <f t="shared" si="29"/>
        <v>3</v>
      </c>
      <c r="D94" s="20">
        <f t="shared" si="29"/>
        <v>3</v>
      </c>
      <c r="E94" s="20">
        <f t="shared" si="29"/>
        <v>5</v>
      </c>
      <c r="F94" s="20">
        <f>IF(G7=5,$C$89,$C$90)</f>
        <v>5</v>
      </c>
      <c r="G94" s="20">
        <f t="shared" si="29"/>
        <v>5</v>
      </c>
      <c r="H94" s="20">
        <f t="shared" si="29"/>
        <v>5</v>
      </c>
      <c r="I94" s="20">
        <f t="shared" si="29"/>
        <v>5</v>
      </c>
      <c r="J94" s="20">
        <f>IF(K7=5,$C$89,$C$90)</f>
        <v>5</v>
      </c>
      <c r="K94" s="20">
        <f>IF(L7=5,$C$89,$C$90)</f>
        <v>5</v>
      </c>
      <c r="L94" s="20">
        <f>IF(M7=5,$C$89,$C$90)</f>
        <v>5</v>
      </c>
      <c r="M94" s="20">
        <f t="shared" ref="M94:V94" si="30">IF(N7=5,$C$89,$C$90)</f>
        <v>5</v>
      </c>
      <c r="N94" s="20">
        <f t="shared" si="30"/>
        <v>5</v>
      </c>
      <c r="O94" s="20">
        <f t="shared" si="30"/>
        <v>5</v>
      </c>
      <c r="P94" s="20">
        <f t="shared" si="30"/>
        <v>5</v>
      </c>
      <c r="Q94" s="20">
        <f t="shared" si="30"/>
        <v>5</v>
      </c>
      <c r="R94" s="20">
        <f t="shared" si="30"/>
        <v>5</v>
      </c>
      <c r="S94" s="20">
        <f t="shared" si="30"/>
        <v>5</v>
      </c>
      <c r="T94" s="20">
        <f t="shared" si="30"/>
        <v>5</v>
      </c>
      <c r="U94" s="20">
        <f t="shared" si="30"/>
        <v>5</v>
      </c>
      <c r="V94" s="20">
        <f t="shared" si="30"/>
        <v>5</v>
      </c>
    </row>
    <row r="95" spans="1:25" x14ac:dyDescent="0.2">
      <c r="A95" s="50" t="s">
        <v>1051</v>
      </c>
      <c r="B95" s="20">
        <v>0</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row>
    <row r="98" spans="1:23" x14ac:dyDescent="0.2">
      <c r="A98" s="12" t="s">
        <v>1065</v>
      </c>
    </row>
    <row r="100" spans="1:23" x14ac:dyDescent="0.2">
      <c r="A100" s="1289" t="s">
        <v>1067</v>
      </c>
      <c r="B100" s="1289"/>
      <c r="C100" s="1289"/>
      <c r="D100" s="17">
        <v>750</v>
      </c>
      <c r="E100" t="s">
        <v>954</v>
      </c>
    </row>
    <row r="101" spans="1:23" x14ac:dyDescent="0.2">
      <c r="A101" s="1364" t="s">
        <v>233</v>
      </c>
      <c r="B101" s="1364"/>
      <c r="C101" s="1364"/>
      <c r="D101" s="136">
        <v>250</v>
      </c>
      <c r="E101" t="s">
        <v>954</v>
      </c>
    </row>
    <row r="102" spans="1:23" x14ac:dyDescent="0.2">
      <c r="A102" s="1266" t="s">
        <v>242</v>
      </c>
      <c r="B102" s="1266"/>
      <c r="C102" s="1266"/>
      <c r="D102" s="1266"/>
      <c r="E102" s="1266"/>
      <c r="F102" s="37">
        <v>50000</v>
      </c>
      <c r="G102" t="s">
        <v>273</v>
      </c>
    </row>
    <row r="104" spans="1:23" x14ac:dyDescent="0.2">
      <c r="C104" s="40" t="s">
        <v>835</v>
      </c>
      <c r="D104" s="40" t="s">
        <v>945</v>
      </c>
      <c r="E104" s="40" t="s">
        <v>946</v>
      </c>
      <c r="F104" s="40" t="s">
        <v>947</v>
      </c>
      <c r="G104" s="40" t="s">
        <v>948</v>
      </c>
      <c r="H104" s="40" t="s">
        <v>949</v>
      </c>
      <c r="I104" s="40" t="s">
        <v>846</v>
      </c>
      <c r="J104" s="40" t="s">
        <v>847</v>
      </c>
      <c r="K104" s="40" t="s">
        <v>848</v>
      </c>
      <c r="L104" s="40" t="s">
        <v>849</v>
      </c>
      <c r="M104" s="40" t="s">
        <v>509</v>
      </c>
      <c r="N104" s="40" t="s">
        <v>510</v>
      </c>
      <c r="O104" s="40" t="s">
        <v>368</v>
      </c>
      <c r="P104" s="40" t="s">
        <v>369</v>
      </c>
      <c r="Q104" s="40" t="s">
        <v>370</v>
      </c>
      <c r="R104" s="40" t="s">
        <v>371</v>
      </c>
      <c r="S104" s="40" t="s">
        <v>372</v>
      </c>
      <c r="T104" s="40" t="s">
        <v>373</v>
      </c>
      <c r="U104" s="40" t="s">
        <v>374</v>
      </c>
      <c r="V104" s="40" t="s">
        <v>375</v>
      </c>
      <c r="W104" s="40" t="s">
        <v>376</v>
      </c>
    </row>
    <row r="105" spans="1:23" x14ac:dyDescent="0.2">
      <c r="A105" s="1289" t="s">
        <v>104</v>
      </c>
      <c r="B105" s="1289"/>
      <c r="C105" s="21">
        <f t="shared" ref="C105:J105" si="31">$D$100*D64/1000</f>
        <v>105.50588099956823</v>
      </c>
      <c r="D105" s="21">
        <f t="shared" si="31"/>
        <v>938.44704678563323</v>
      </c>
      <c r="E105" s="21">
        <f t="shared" si="31"/>
        <v>1438.2117462572724</v>
      </c>
      <c r="F105" s="21">
        <f t="shared" si="31"/>
        <v>2198.964677675212</v>
      </c>
      <c r="G105" s="21">
        <f t="shared" si="31"/>
        <v>2720.9411415678128</v>
      </c>
      <c r="H105" s="21">
        <f t="shared" si="31"/>
        <v>3098.5411367241622</v>
      </c>
      <c r="I105" s="21">
        <f t="shared" si="31"/>
        <v>3098.5411367241622</v>
      </c>
      <c r="J105" s="21">
        <f t="shared" si="31"/>
        <v>3098.5411367241622</v>
      </c>
      <c r="K105" s="21">
        <f>$D$100*L64/1000</f>
        <v>3098.5411367241622</v>
      </c>
      <c r="L105" s="21">
        <f>$D$100*M64/1000</f>
        <v>3098.5411367241622</v>
      </c>
      <c r="M105" s="21">
        <f>$D$100*N64/1000</f>
        <v>3098.5411367241622</v>
      </c>
      <c r="N105" s="21">
        <f t="shared" ref="N105:W105" si="32">$D$100*O64/1000</f>
        <v>3098.5411367241622</v>
      </c>
      <c r="O105" s="21">
        <f t="shared" si="32"/>
        <v>3098.5411367241622</v>
      </c>
      <c r="P105" s="21">
        <f t="shared" si="32"/>
        <v>3098.5411367241622</v>
      </c>
      <c r="Q105" s="21">
        <f t="shared" si="32"/>
        <v>3098.5411367241622</v>
      </c>
      <c r="R105" s="21">
        <f t="shared" si="32"/>
        <v>3098.5411367241622</v>
      </c>
      <c r="S105" s="21">
        <f t="shared" si="32"/>
        <v>3098.5411367241622</v>
      </c>
      <c r="T105" s="21">
        <f t="shared" si="32"/>
        <v>3098.5411367241622</v>
      </c>
      <c r="U105" s="21">
        <f t="shared" si="32"/>
        <v>3098.5411367241622</v>
      </c>
      <c r="V105" s="21">
        <f t="shared" si="32"/>
        <v>3098.5411367241622</v>
      </c>
      <c r="W105" s="21">
        <f t="shared" si="32"/>
        <v>3098.5411367241622</v>
      </c>
    </row>
    <row r="106" spans="1:23" x14ac:dyDescent="0.2">
      <c r="A106" s="1289" t="s">
        <v>105</v>
      </c>
      <c r="B106" s="1289"/>
      <c r="C106" s="21">
        <f t="shared" ref="C106:H106" si="33">$D$101*D64/1000</f>
        <v>35.16862699985608</v>
      </c>
      <c r="D106" s="21">
        <f t="shared" si="33"/>
        <v>312.81568226187773</v>
      </c>
      <c r="E106" s="21">
        <f t="shared" si="33"/>
        <v>479.40391541909077</v>
      </c>
      <c r="F106" s="21">
        <f t="shared" si="33"/>
        <v>732.98822589173722</v>
      </c>
      <c r="G106" s="21">
        <f t="shared" si="33"/>
        <v>906.98038052260426</v>
      </c>
      <c r="H106" s="21">
        <f t="shared" si="33"/>
        <v>1032.8470455747208</v>
      </c>
      <c r="I106" s="21">
        <f>$D$101*J64/1000</f>
        <v>1032.8470455747208</v>
      </c>
      <c r="J106" s="21">
        <f>$D$101*K64/1000</f>
        <v>1032.8470455747208</v>
      </c>
      <c r="K106" s="21">
        <f>$D$101*L64/1000</f>
        <v>1032.8470455747208</v>
      </c>
      <c r="L106" s="21">
        <f>$D$101*M64/1000</f>
        <v>1032.8470455747208</v>
      </c>
      <c r="M106" s="21">
        <f>$D$101*N64/1000</f>
        <v>1032.8470455747208</v>
      </c>
      <c r="N106" s="21">
        <f t="shared" ref="N106:W106" si="34">$D$101*O64/1000</f>
        <v>1032.8470455747208</v>
      </c>
      <c r="O106" s="21">
        <f t="shared" si="34"/>
        <v>1032.8470455747208</v>
      </c>
      <c r="P106" s="21">
        <f t="shared" si="34"/>
        <v>1032.8470455747208</v>
      </c>
      <c r="Q106" s="21">
        <f t="shared" si="34"/>
        <v>1032.8470455747208</v>
      </c>
      <c r="R106" s="21">
        <f t="shared" si="34"/>
        <v>1032.8470455747208</v>
      </c>
      <c r="S106" s="21">
        <f t="shared" si="34"/>
        <v>1032.8470455747208</v>
      </c>
      <c r="T106" s="21">
        <f t="shared" si="34"/>
        <v>1032.8470455747208</v>
      </c>
      <c r="U106" s="21">
        <f t="shared" si="34"/>
        <v>1032.8470455747208</v>
      </c>
      <c r="V106" s="21">
        <f t="shared" si="34"/>
        <v>1032.8470455747208</v>
      </c>
      <c r="W106" s="21">
        <f t="shared" si="34"/>
        <v>1032.8470455747208</v>
      </c>
    </row>
    <row r="107" spans="1:23" x14ac:dyDescent="0.2">
      <c r="A107" s="1289" t="s">
        <v>274</v>
      </c>
      <c r="B107" s="1289"/>
      <c r="C107" s="21">
        <f t="shared" ref="C107:H107" si="35">$F$102/500*D61/1000</f>
        <v>1.9</v>
      </c>
      <c r="D107" s="21">
        <f t="shared" si="35"/>
        <v>16.899999999999999</v>
      </c>
      <c r="E107" s="21">
        <f t="shared" si="35"/>
        <v>25.9</v>
      </c>
      <c r="F107" s="21">
        <f t="shared" si="35"/>
        <v>39.6</v>
      </c>
      <c r="G107" s="21">
        <f t="shared" si="35"/>
        <v>49</v>
      </c>
      <c r="H107" s="21">
        <f t="shared" si="35"/>
        <v>55.8</v>
      </c>
      <c r="I107" s="21">
        <f>$F$102/500*J61/1000</f>
        <v>55.8</v>
      </c>
      <c r="J107" s="21">
        <f>$F$102/500*K61/1000</f>
        <v>55.8</v>
      </c>
      <c r="K107" s="21">
        <f>$F$102/500*L61/1000</f>
        <v>55.8</v>
      </c>
      <c r="L107" s="21">
        <f>$F$102/500*M61/1000</f>
        <v>55.8</v>
      </c>
      <c r="M107" s="21">
        <f>$F$102/500*N61/1000</f>
        <v>55.8</v>
      </c>
      <c r="N107" s="21">
        <f t="shared" ref="N107:W107" si="36">$F$102/500*O61/1000</f>
        <v>55.8</v>
      </c>
      <c r="O107" s="21">
        <f t="shared" si="36"/>
        <v>55.8</v>
      </c>
      <c r="P107" s="21">
        <f t="shared" si="36"/>
        <v>55.8</v>
      </c>
      <c r="Q107" s="21">
        <f t="shared" si="36"/>
        <v>55.8</v>
      </c>
      <c r="R107" s="21">
        <f t="shared" si="36"/>
        <v>55.8</v>
      </c>
      <c r="S107" s="21">
        <f t="shared" si="36"/>
        <v>55.8</v>
      </c>
      <c r="T107" s="21">
        <f t="shared" si="36"/>
        <v>55.8</v>
      </c>
      <c r="U107" s="21">
        <f t="shared" si="36"/>
        <v>55.8</v>
      </c>
      <c r="V107" s="21">
        <f t="shared" si="36"/>
        <v>55.8</v>
      </c>
      <c r="W107" s="21">
        <f t="shared" si="36"/>
        <v>55.8</v>
      </c>
    </row>
    <row r="108" spans="1:23" x14ac:dyDescent="0.2">
      <c r="A108" s="1289" t="s">
        <v>106</v>
      </c>
      <c r="B108" s="1289"/>
      <c r="C108" s="80">
        <f>(C105+C106+C107)*'Données gestion'!C25</f>
        <v>10357.252557490629</v>
      </c>
      <c r="D108" s="80">
        <f>(D105+D106+D107)*'Données gestion'!D25</f>
        <v>97652.53806046689</v>
      </c>
      <c r="E108" s="80">
        <f>(E105+E106+E107)*'Données gestion'!E25</f>
        <v>158636.25916639401</v>
      </c>
      <c r="F108" s="80">
        <f>(F105+F106+F107)*'Données gestion'!F25</f>
        <v>257100.9889872029</v>
      </c>
      <c r="G108" s="80">
        <f>(G105+G106+G107)*'Données gestion'!G25</f>
        <v>337217.81232311414</v>
      </c>
      <c r="H108" s="80">
        <f>(H105+H106+H107)*'Données gestion'!H25</f>
        <v>407056.30945484812</v>
      </c>
      <c r="I108" s="80">
        <f>(I105+I106+I107)*'Données gestion'!I25</f>
        <v>431479.68802213902</v>
      </c>
      <c r="J108" s="80">
        <f>(J105+J106+J107)*'Données gestion'!J25</f>
        <v>457368.46930346749</v>
      </c>
      <c r="K108" s="80">
        <f>(K105+K106+K107)*'Données gestion'!K25</f>
        <v>484810.57746167545</v>
      </c>
      <c r="L108" s="80">
        <f>(L105+L106+L107)*'Données gestion'!L25</f>
        <v>513899.21210937598</v>
      </c>
      <c r="M108" s="80">
        <f>(M105+M106+M107)*'Données gestion'!M25</f>
        <v>513899.21210937598</v>
      </c>
      <c r="N108" s="80">
        <f>(N105+N106+N107)*'Données gestion'!N25</f>
        <v>513899.21210937598</v>
      </c>
      <c r="O108" s="80">
        <f>(O105+O106+O107)*'Données gestion'!O25</f>
        <v>513899.21210937598</v>
      </c>
      <c r="P108" s="80">
        <f>(P105+P106+P107)*'Données gestion'!P25</f>
        <v>513899.21210937598</v>
      </c>
      <c r="Q108" s="80">
        <f>(Q105+Q106+Q107)*'Données gestion'!Q25</f>
        <v>513899.21210937598</v>
      </c>
      <c r="R108" s="80">
        <f>(R105+R106+R107)*'Données gestion'!R25</f>
        <v>513899.21210937598</v>
      </c>
      <c r="S108" s="80">
        <f>(S105+S106+S107)*'Données gestion'!S25</f>
        <v>513899.21210937598</v>
      </c>
      <c r="T108" s="80">
        <f>(T105+T106+T107)*'Données gestion'!T25</f>
        <v>513899.21210937598</v>
      </c>
      <c r="U108" s="80">
        <f>(U105+U106+U107)*'Données gestion'!U25</f>
        <v>513899.21210937598</v>
      </c>
      <c r="V108" s="80">
        <f>(V105+V106+V107)*'Données gestion'!V25</f>
        <v>513899.21210937598</v>
      </c>
      <c r="W108" s="80">
        <f>(W105+W106+W107)*'Données gestion'!W25</f>
        <v>513899.21210937598</v>
      </c>
    </row>
    <row r="109" spans="1:23" x14ac:dyDescent="0.2">
      <c r="C109" s="80">
        <f>C108/'Données gestion'!C25*'Données gestion'!$C$25</f>
        <v>10357.252557490629</v>
      </c>
      <c r="D109" s="80">
        <f>D108/'Données gestion'!D25*'Données gestion'!$C$25</f>
        <v>92125.035906100835</v>
      </c>
      <c r="E109" s="80">
        <f>E108/'Données gestion'!E25*'Données gestion'!$C$25</f>
        <v>141185.70591526697</v>
      </c>
      <c r="F109" s="80">
        <f>F108/'Données gestion'!F25*'Données gestion'!$C$25</f>
        <v>215866.94804033099</v>
      </c>
      <c r="G109" s="80">
        <f>G108/'Données gestion'!G25*'Données gestion'!$C$25</f>
        <v>267108.09227212676</v>
      </c>
      <c r="H109" s="80">
        <f>H108/'Données gestion'!H25*'Données gestion'!$C$25</f>
        <v>304176.15405683004</v>
      </c>
      <c r="I109" s="80">
        <f>I108/'Données gestion'!I25*'Données gestion'!$C$25</f>
        <v>304176.15405683004</v>
      </c>
      <c r="J109" s="80">
        <f>J108/'Données gestion'!J25*'Données gestion'!$C$25</f>
        <v>304176.15405683004</v>
      </c>
      <c r="K109" s="80">
        <f>K108/'Données gestion'!K25*'Données gestion'!$C$25</f>
        <v>304176.15405683004</v>
      </c>
      <c r="L109" s="80">
        <f>L108/'Données gestion'!L25*'Données gestion'!$C$25</f>
        <v>304176.15405683004</v>
      </c>
      <c r="M109" s="80">
        <f>M108/'Données gestion'!M25*'Données gestion'!$C$25</f>
        <v>304176.15405683004</v>
      </c>
      <c r="N109" s="80">
        <f>N108/'Données gestion'!N25*'Données gestion'!$C$25</f>
        <v>304176.15405683004</v>
      </c>
      <c r="O109" s="80">
        <f>O108/'Données gestion'!O25*'Données gestion'!$C$25</f>
        <v>304176.15405683004</v>
      </c>
      <c r="P109" s="80">
        <f>P108/'Données gestion'!P25*'Données gestion'!$C$25</f>
        <v>304176.15405683004</v>
      </c>
      <c r="Q109" s="80">
        <f>Q108/'Données gestion'!Q25*'Données gestion'!$C$25</f>
        <v>304176.15405683004</v>
      </c>
      <c r="R109" s="80">
        <f>R108/'Données gestion'!R25*'Données gestion'!$C$25</f>
        <v>304176.15405683004</v>
      </c>
      <c r="S109" s="80">
        <f>S108/'Données gestion'!S25*'Données gestion'!$C$25</f>
        <v>304176.15405683004</v>
      </c>
      <c r="T109" s="80">
        <f>T108/'Données gestion'!T25*'Données gestion'!$C$25</f>
        <v>304176.15405683004</v>
      </c>
      <c r="U109" s="80">
        <f>U108/'Données gestion'!U25*'Données gestion'!$C$25</f>
        <v>304176.15405683004</v>
      </c>
      <c r="V109" s="80">
        <f>V108/'Données gestion'!V25*'Données gestion'!$C$25</f>
        <v>304176.15405683004</v>
      </c>
      <c r="W109" s="80">
        <f>W108/'Données gestion'!W25*'Données gestion'!$C$25</f>
        <v>304176.15405683004</v>
      </c>
    </row>
    <row r="110" spans="1:23" x14ac:dyDescent="0.2">
      <c r="C110" s="80">
        <f>C108-C109</f>
        <v>0</v>
      </c>
      <c r="D110" s="80">
        <f t="shared" ref="D110:W110" si="37">D108-D109</f>
        <v>5527.502154366055</v>
      </c>
      <c r="E110" s="80">
        <f t="shared" si="37"/>
        <v>17450.553251127043</v>
      </c>
      <c r="F110" s="80">
        <f t="shared" si="37"/>
        <v>41234.040946871915</v>
      </c>
      <c r="G110" s="80">
        <f t="shared" si="37"/>
        <v>70109.72005098738</v>
      </c>
      <c r="H110" s="80">
        <f t="shared" si="37"/>
        <v>102880.15539801808</v>
      </c>
      <c r="I110" s="80">
        <f t="shared" si="37"/>
        <v>127303.53396530898</v>
      </c>
      <c r="J110" s="80">
        <f t="shared" si="37"/>
        <v>153192.31524663744</v>
      </c>
      <c r="K110" s="80">
        <f t="shared" si="37"/>
        <v>180634.42340484541</v>
      </c>
      <c r="L110" s="80">
        <f t="shared" si="37"/>
        <v>209723.05805254594</v>
      </c>
      <c r="M110" s="80">
        <f t="shared" si="37"/>
        <v>209723.05805254594</v>
      </c>
      <c r="N110" s="80">
        <f t="shared" si="37"/>
        <v>209723.05805254594</v>
      </c>
      <c r="O110" s="80">
        <f t="shared" si="37"/>
        <v>209723.05805254594</v>
      </c>
      <c r="P110" s="80">
        <f t="shared" si="37"/>
        <v>209723.05805254594</v>
      </c>
      <c r="Q110" s="80">
        <f t="shared" si="37"/>
        <v>209723.05805254594</v>
      </c>
      <c r="R110" s="80">
        <f t="shared" si="37"/>
        <v>209723.05805254594</v>
      </c>
      <c r="S110" s="80">
        <f t="shared" si="37"/>
        <v>209723.05805254594</v>
      </c>
      <c r="T110" s="80">
        <f t="shared" si="37"/>
        <v>209723.05805254594</v>
      </c>
      <c r="U110" s="80">
        <f t="shared" si="37"/>
        <v>209723.05805254594</v>
      </c>
      <c r="V110" s="80">
        <f t="shared" si="37"/>
        <v>209723.05805254594</v>
      </c>
      <c r="W110" s="80">
        <f t="shared" si="37"/>
        <v>209723.05805254594</v>
      </c>
    </row>
    <row r="112" spans="1:23" x14ac:dyDescent="0.2">
      <c r="A112" s="12" t="s">
        <v>234</v>
      </c>
    </row>
    <row r="113" spans="1:24" x14ac:dyDescent="0.2">
      <c r="C113" s="40" t="s">
        <v>835</v>
      </c>
      <c r="D113" s="40" t="s">
        <v>945</v>
      </c>
      <c r="E113" s="40" t="s">
        <v>946</v>
      </c>
      <c r="F113" s="40" t="s">
        <v>947</v>
      </c>
      <c r="G113" s="40" t="s">
        <v>948</v>
      </c>
      <c r="H113" s="40" t="s">
        <v>949</v>
      </c>
      <c r="I113" s="40" t="s">
        <v>846</v>
      </c>
      <c r="J113" s="40" t="s">
        <v>847</v>
      </c>
      <c r="K113" s="40" t="s">
        <v>848</v>
      </c>
      <c r="L113" s="40" t="s">
        <v>849</v>
      </c>
      <c r="M113" s="40" t="s">
        <v>509</v>
      </c>
      <c r="N113" s="40" t="s">
        <v>510</v>
      </c>
      <c r="O113" s="40" t="s">
        <v>368</v>
      </c>
      <c r="P113" s="40" t="s">
        <v>369</v>
      </c>
      <c r="Q113" s="40" t="s">
        <v>370</v>
      </c>
      <c r="R113" s="40" t="s">
        <v>371</v>
      </c>
      <c r="S113" s="40" t="s">
        <v>372</v>
      </c>
      <c r="T113" s="40" t="s">
        <v>373</v>
      </c>
      <c r="U113" s="40" t="s">
        <v>374</v>
      </c>
      <c r="V113" s="40" t="s">
        <v>375</v>
      </c>
      <c r="W113" s="40" t="s">
        <v>376</v>
      </c>
    </row>
    <row r="114" spans="1:24" x14ac:dyDescent="0.2">
      <c r="A114" s="1289" t="s">
        <v>107</v>
      </c>
      <c r="B114" s="1289"/>
      <c r="C114" s="80">
        <f>D114*C6/D6</f>
        <v>26086.956521739132</v>
      </c>
      <c r="D114" s="116">
        <v>150000</v>
      </c>
      <c r="E114" s="80">
        <f>$D$114*(1+'Données gestion'!E30)</f>
        <v>156060</v>
      </c>
      <c r="F114" s="80">
        <f>$D$114*(1+'Données gestion'!F30)</f>
        <v>159181.19999999998</v>
      </c>
      <c r="G114" s="80">
        <f>$D$114*(1+'Données gestion'!G30)</f>
        <v>162364.82399999999</v>
      </c>
      <c r="H114" s="80">
        <f>$D$114*(1+'Données gestion'!H30)</f>
        <v>165612.12048000001</v>
      </c>
      <c r="I114" s="80">
        <f>$D$114*(1+'Données gestion'!I30)</f>
        <v>168924.36288960002</v>
      </c>
      <c r="J114" s="80">
        <f>$D$114*(1+'Données gestion'!J30)</f>
        <v>172302.85014739196</v>
      </c>
      <c r="K114" s="80">
        <f>$D$114*(1+'Données gestion'!K30)</f>
        <v>175748.90715033983</v>
      </c>
      <c r="L114" s="80">
        <f>$D$114*(1+'Données gestion'!L30)</f>
        <v>179263.88529334663</v>
      </c>
      <c r="M114" s="80">
        <f>$D$114*(1+'Données gestion'!M30)</f>
        <v>182849.16299921356</v>
      </c>
      <c r="N114" s="80">
        <f>$D$114*(1+'Données gestion'!N30)</f>
        <v>186506.14625919779</v>
      </c>
      <c r="O114" s="80">
        <f>$D$114*(1+'Données gestion'!O30)</f>
        <v>190236.26918438179</v>
      </c>
      <c r="P114" s="80">
        <f>$D$114*(1+'Données gestion'!P30)</f>
        <v>194040.99456806941</v>
      </c>
      <c r="Q114" s="80">
        <f>$D$114*(1+'Données gestion'!Q30)</f>
        <v>197921.81445943081</v>
      </c>
      <c r="R114" s="80">
        <f>$D$114*(1+'Données gestion'!R30)</f>
        <v>201880.25074861938</v>
      </c>
      <c r="S114" s="80">
        <f>$D$114*(1+'Données gestion'!S30)</f>
        <v>205917.8557635918</v>
      </c>
      <c r="T114" s="80">
        <f>$D$114*(1+'Données gestion'!T30)</f>
        <v>210036.21287886365</v>
      </c>
      <c r="U114" s="80">
        <f>$D$114*(1+'Données gestion'!U30)</f>
        <v>214236.93713644092</v>
      </c>
      <c r="V114" s="80">
        <f>$D$114*(1+'Données gestion'!V30)</f>
        <v>218521.67587916972</v>
      </c>
      <c r="W114" s="80">
        <f>$D$114*(1+'Données gestion'!W30)</f>
        <v>222892.10939675313</v>
      </c>
      <c r="X114" t="s">
        <v>496</v>
      </c>
    </row>
    <row r="117" spans="1:24" x14ac:dyDescent="0.2">
      <c r="A117" s="12" t="s">
        <v>1084</v>
      </c>
    </row>
    <row r="118" spans="1:24" x14ac:dyDescent="0.2">
      <c r="C118" s="40" t="s">
        <v>835</v>
      </c>
      <c r="D118" s="40" t="s">
        <v>945</v>
      </c>
      <c r="E118" s="40" t="s">
        <v>946</v>
      </c>
      <c r="F118" s="40" t="s">
        <v>947</v>
      </c>
      <c r="G118" s="40" t="s">
        <v>948</v>
      </c>
      <c r="H118" s="40" t="s">
        <v>949</v>
      </c>
      <c r="I118" s="40" t="s">
        <v>846</v>
      </c>
      <c r="J118" s="40" t="s">
        <v>847</v>
      </c>
      <c r="K118" s="40" t="s">
        <v>848</v>
      </c>
      <c r="L118" s="40" t="s">
        <v>849</v>
      </c>
      <c r="M118" s="40" t="s">
        <v>509</v>
      </c>
      <c r="N118" s="40" t="s">
        <v>510</v>
      </c>
      <c r="O118" s="40" t="s">
        <v>368</v>
      </c>
      <c r="P118" s="40" t="s">
        <v>369</v>
      </c>
      <c r="Q118" s="40" t="s">
        <v>370</v>
      </c>
      <c r="R118" s="40" t="s">
        <v>371</v>
      </c>
      <c r="S118" s="40" t="s">
        <v>372</v>
      </c>
      <c r="T118" s="40" t="s">
        <v>373</v>
      </c>
      <c r="U118" s="40" t="s">
        <v>374</v>
      </c>
      <c r="V118" s="40" t="s">
        <v>375</v>
      </c>
      <c r="W118" s="40" t="s">
        <v>376</v>
      </c>
    </row>
    <row r="119" spans="1:24" x14ac:dyDescent="0.2">
      <c r="A119" s="1266" t="s">
        <v>94</v>
      </c>
      <c r="B119" s="1266"/>
      <c r="C119" s="80">
        <f>D119*C6/D6</f>
        <v>8695.652173913044</v>
      </c>
      <c r="D119" s="110">
        <v>50000</v>
      </c>
      <c r="E119" s="110">
        <v>75000</v>
      </c>
      <c r="F119" s="110">
        <v>100000</v>
      </c>
      <c r="G119" s="110">
        <v>100000</v>
      </c>
      <c r="H119" s="110">
        <v>100000</v>
      </c>
      <c r="I119" s="110">
        <v>100000</v>
      </c>
      <c r="J119" s="110">
        <v>100000</v>
      </c>
      <c r="K119" s="110">
        <v>100000</v>
      </c>
      <c r="L119" s="110">
        <v>100000</v>
      </c>
      <c r="M119" s="110">
        <v>100000</v>
      </c>
      <c r="N119" s="110">
        <v>100000</v>
      </c>
      <c r="O119" s="110">
        <v>100000</v>
      </c>
      <c r="P119" s="110">
        <v>100000</v>
      </c>
      <c r="Q119" s="110">
        <v>100000</v>
      </c>
      <c r="R119" s="110">
        <v>100000</v>
      </c>
      <c r="S119" s="110">
        <v>100000</v>
      </c>
      <c r="T119" s="110">
        <v>100000</v>
      </c>
      <c r="U119" s="110">
        <v>100000</v>
      </c>
      <c r="V119" s="110">
        <v>100000</v>
      </c>
      <c r="W119" s="110">
        <v>100000</v>
      </c>
      <c r="X119" t="s">
        <v>495</v>
      </c>
    </row>
    <row r="120" spans="1:24" x14ac:dyDescent="0.2">
      <c r="A120" s="1266" t="s">
        <v>108</v>
      </c>
      <c r="B120" s="1266"/>
      <c r="C120" s="80">
        <f t="shared" ref="C120:H120" si="38">SUM(C119:C119)</f>
        <v>8695.652173913044</v>
      </c>
      <c r="D120" s="80">
        <f t="shared" si="38"/>
        <v>50000</v>
      </c>
      <c r="E120" s="80">
        <f t="shared" si="38"/>
        <v>75000</v>
      </c>
      <c r="F120" s="80">
        <f t="shared" si="38"/>
        <v>100000</v>
      </c>
      <c r="G120" s="80">
        <f t="shared" si="38"/>
        <v>100000</v>
      </c>
      <c r="H120" s="80">
        <f t="shared" si="38"/>
        <v>100000</v>
      </c>
      <c r="I120" s="80">
        <f>SUM(I119:I119)</f>
        <v>100000</v>
      </c>
      <c r="J120" s="80">
        <f>SUM(J119:J119)</f>
        <v>100000</v>
      </c>
      <c r="K120" s="80">
        <f>SUM(K119:K119)</f>
        <v>100000</v>
      </c>
      <c r="L120" s="80">
        <f>SUM(L119:L119)</f>
        <v>100000</v>
      </c>
      <c r="M120" s="80">
        <f t="shared" ref="M120:W120" si="39">SUM(M119:M119)</f>
        <v>100000</v>
      </c>
      <c r="N120" s="80">
        <f t="shared" si="39"/>
        <v>100000</v>
      </c>
      <c r="O120" s="80">
        <f t="shared" si="39"/>
        <v>100000</v>
      </c>
      <c r="P120" s="80">
        <f t="shared" si="39"/>
        <v>100000</v>
      </c>
      <c r="Q120" s="80">
        <f t="shared" si="39"/>
        <v>100000</v>
      </c>
      <c r="R120" s="80">
        <f t="shared" si="39"/>
        <v>100000</v>
      </c>
      <c r="S120" s="80">
        <f t="shared" si="39"/>
        <v>100000</v>
      </c>
      <c r="T120" s="80">
        <f t="shared" si="39"/>
        <v>100000</v>
      </c>
      <c r="U120" s="80">
        <f t="shared" si="39"/>
        <v>100000</v>
      </c>
      <c r="V120" s="80">
        <f t="shared" si="39"/>
        <v>100000</v>
      </c>
      <c r="W120" s="80">
        <f t="shared" si="39"/>
        <v>100000</v>
      </c>
    </row>
  </sheetData>
  <mergeCells count="63">
    <mergeCell ref="A119:B119"/>
    <mergeCell ref="A120:B120"/>
    <mergeCell ref="A37:B37"/>
    <mergeCell ref="A38:B38"/>
    <mergeCell ref="A79:C79"/>
    <mergeCell ref="A80:C80"/>
    <mergeCell ref="A66:C66"/>
    <mergeCell ref="A100:C100"/>
    <mergeCell ref="A101:C101"/>
    <mergeCell ref="A106:B106"/>
    <mergeCell ref="A108:B108"/>
    <mergeCell ref="A114:B114"/>
    <mergeCell ref="A85:B85"/>
    <mergeCell ref="A107:B107"/>
    <mergeCell ref="A102:E102"/>
    <mergeCell ref="A105:B105"/>
    <mergeCell ref="A74:C74"/>
    <mergeCell ref="A75:C75"/>
    <mergeCell ref="A39:B39"/>
    <mergeCell ref="A40:B40"/>
    <mergeCell ref="A44:B44"/>
    <mergeCell ref="A54:B54"/>
    <mergeCell ref="A55:B55"/>
    <mergeCell ref="A52:B52"/>
    <mergeCell ref="A53:B53"/>
    <mergeCell ref="A64:C64"/>
    <mergeCell ref="A73:C73"/>
    <mergeCell ref="A51:B51"/>
    <mergeCell ref="A72:C72"/>
    <mergeCell ref="A68:C68"/>
    <mergeCell ref="A69:C69"/>
    <mergeCell ref="A61:C61"/>
    <mergeCell ref="A62:C62"/>
    <mergeCell ref="A70:C70"/>
    <mergeCell ref="A65:C65"/>
    <mergeCell ref="A67:C67"/>
    <mergeCell ref="A35:B35"/>
    <mergeCell ref="A50:B50"/>
    <mergeCell ref="A48:B48"/>
    <mergeCell ref="A49:B49"/>
    <mergeCell ref="H47:K47"/>
    <mergeCell ref="A45:B45"/>
    <mergeCell ref="H44:K44"/>
    <mergeCell ref="H46:K46"/>
    <mergeCell ref="A46:B46"/>
    <mergeCell ref="A47:B47"/>
    <mergeCell ref="H45:K45"/>
    <mergeCell ref="A71:C71"/>
    <mergeCell ref="A6:B6"/>
    <mergeCell ref="A7:B7"/>
    <mergeCell ref="A8:B8"/>
    <mergeCell ref="A9:B9"/>
    <mergeCell ref="A14:B14"/>
    <mergeCell ref="A15:B15"/>
    <mergeCell ref="A16:B16"/>
    <mergeCell ref="A63:C63"/>
    <mergeCell ref="A21:B21"/>
    <mergeCell ref="A22:B22"/>
    <mergeCell ref="A27:B27"/>
    <mergeCell ref="A32:B32"/>
    <mergeCell ref="A33:B33"/>
    <mergeCell ref="A34:B34"/>
    <mergeCell ref="A36:B36"/>
  </mergeCells>
  <phoneticPr fontId="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U46"/>
  <sheetViews>
    <sheetView workbookViewId="0">
      <pane ySplit="1" topLeftCell="A2" activePane="bottomLeft" state="frozenSplit"/>
      <selection pane="bottomLeft" activeCell="G50" sqref="G50"/>
    </sheetView>
  </sheetViews>
  <sheetFormatPr baseColWidth="10" defaultRowHeight="15" x14ac:dyDescent="0.25"/>
  <cols>
    <col min="1" max="1" width="45" style="588" customWidth="1"/>
    <col min="2" max="2" width="11.85546875" style="588" bestFit="1" customWidth="1"/>
    <col min="3" max="9" width="11.42578125" style="588"/>
    <col min="10" max="10" width="13" style="588" bestFit="1" customWidth="1"/>
    <col min="11" max="16384" width="11.42578125" style="588"/>
  </cols>
  <sheetData>
    <row r="1" spans="1:21" ht="15.75" thickBot="1" x14ac:dyDescent="0.3">
      <c r="A1" s="608"/>
      <c r="B1" s="818">
        <v>2018</v>
      </c>
      <c r="C1" s="819">
        <v>2019</v>
      </c>
      <c r="D1" s="818">
        <v>2020</v>
      </c>
      <c r="E1" s="819">
        <v>2021</v>
      </c>
      <c r="F1" s="818">
        <v>2022</v>
      </c>
      <c r="G1" s="819">
        <v>2023</v>
      </c>
      <c r="H1" s="818">
        <v>2024</v>
      </c>
      <c r="I1" s="819">
        <v>2025</v>
      </c>
      <c r="J1" s="818">
        <v>2026</v>
      </c>
      <c r="K1" s="819">
        <v>2027</v>
      </c>
      <c r="L1" s="818">
        <v>2028</v>
      </c>
      <c r="M1" s="819">
        <v>2029</v>
      </c>
      <c r="N1" s="818">
        <v>2030</v>
      </c>
      <c r="O1" s="819">
        <v>2031</v>
      </c>
      <c r="P1" s="818">
        <v>2032</v>
      </c>
      <c r="Q1" s="819">
        <v>2033</v>
      </c>
      <c r="R1" s="818">
        <v>2034</v>
      </c>
      <c r="S1" s="819">
        <v>2035</v>
      </c>
      <c r="T1" s="818">
        <v>2036</v>
      </c>
      <c r="U1" s="819">
        <v>2037</v>
      </c>
    </row>
    <row r="2" spans="1:21" x14ac:dyDescent="0.25">
      <c r="A2" s="609" t="s">
        <v>545</v>
      </c>
      <c r="B2" s="610">
        <v>21782.0117765</v>
      </c>
      <c r="C2" s="610">
        <v>34182.895321012496</v>
      </c>
      <c r="D2" s="610">
        <v>52704.103879374998</v>
      </c>
      <c r="E2" s="610">
        <v>66449.675415299993</v>
      </c>
      <c r="F2" s="610">
        <v>77694.530746399992</v>
      </c>
      <c r="G2" s="610">
        <v>78153.311484999998</v>
      </c>
      <c r="H2" s="610">
        <v>78387.731913950003</v>
      </c>
      <c r="I2" s="610">
        <v>78205.069533250004</v>
      </c>
      <c r="J2" s="610">
        <v>78377.019533250001</v>
      </c>
      <c r="K2" s="610">
        <v>78377.019533250001</v>
      </c>
      <c r="L2" s="610">
        <v>78377.019533250001</v>
      </c>
      <c r="M2" s="610">
        <v>78377.019533250001</v>
      </c>
      <c r="N2" s="610">
        <v>78377.019533250001</v>
      </c>
      <c r="O2" s="610">
        <v>78377.019533250001</v>
      </c>
      <c r="P2" s="610">
        <v>78377.019533250001</v>
      </c>
      <c r="Q2" s="610">
        <v>78377.019533250001</v>
      </c>
      <c r="R2" s="610">
        <v>78377.019533250001</v>
      </c>
      <c r="S2" s="610">
        <v>78377.019533250001</v>
      </c>
      <c r="T2" s="610">
        <v>78377.019533250001</v>
      </c>
      <c r="U2" s="832">
        <v>78377.019533250001</v>
      </c>
    </row>
    <row r="3" spans="1:21" x14ac:dyDescent="0.25">
      <c r="A3" s="611" t="s">
        <v>546</v>
      </c>
      <c r="B3" s="592">
        <v>1159.97</v>
      </c>
      <c r="C3" s="592">
        <v>1814.35</v>
      </c>
      <c r="D3" s="592">
        <v>2804.9850000000001</v>
      </c>
      <c r="E3" s="592">
        <v>3506.2550000000001</v>
      </c>
      <c r="F3" s="592">
        <v>4032.2049999999999</v>
      </c>
      <c r="G3" s="592">
        <v>4031.7350000000001</v>
      </c>
      <c r="H3" s="592">
        <v>4030.7299999999996</v>
      </c>
      <c r="I3" s="592">
        <v>4029.7250000000004</v>
      </c>
      <c r="J3" s="592">
        <v>4033.7849999999999</v>
      </c>
      <c r="K3" s="592">
        <v>4033.7849999999999</v>
      </c>
      <c r="L3" s="592">
        <v>4033.7849999999999</v>
      </c>
      <c r="M3" s="592">
        <v>4033.7849999999999</v>
      </c>
      <c r="N3" s="592">
        <v>4033.7849999999999</v>
      </c>
      <c r="O3" s="592">
        <v>4033.7849999999999</v>
      </c>
      <c r="P3" s="592">
        <v>4033.7849999999999</v>
      </c>
      <c r="Q3" s="592">
        <v>4033.7849999999999</v>
      </c>
      <c r="R3" s="592">
        <v>4033.7849999999999</v>
      </c>
      <c r="S3" s="592">
        <v>4033.7849999999999</v>
      </c>
      <c r="T3" s="592">
        <v>4033.7849999999999</v>
      </c>
      <c r="U3" s="833">
        <v>4033.7849999999999</v>
      </c>
    </row>
    <row r="4" spans="1:21" ht="15.75" thickBot="1" x14ac:dyDescent="0.3">
      <c r="A4" s="612" t="s">
        <v>547</v>
      </c>
      <c r="B4" s="593">
        <v>925</v>
      </c>
      <c r="C4" s="593">
        <v>1455</v>
      </c>
      <c r="D4" s="593">
        <v>2255</v>
      </c>
      <c r="E4" s="593">
        <v>2820</v>
      </c>
      <c r="F4" s="593">
        <v>3265</v>
      </c>
      <c r="G4" s="593">
        <v>3270</v>
      </c>
      <c r="H4" s="593">
        <v>3270</v>
      </c>
      <c r="I4" s="593">
        <v>3270</v>
      </c>
      <c r="J4" s="593">
        <v>3280</v>
      </c>
      <c r="K4" s="593">
        <v>3280</v>
      </c>
      <c r="L4" s="593">
        <v>3280</v>
      </c>
      <c r="M4" s="593">
        <v>3280</v>
      </c>
      <c r="N4" s="593">
        <v>3280</v>
      </c>
      <c r="O4" s="593">
        <v>3280</v>
      </c>
      <c r="P4" s="593">
        <v>3280</v>
      </c>
      <c r="Q4" s="593">
        <v>3280</v>
      </c>
      <c r="R4" s="593">
        <v>3280</v>
      </c>
      <c r="S4" s="593">
        <v>3280</v>
      </c>
      <c r="T4" s="593">
        <v>3280</v>
      </c>
      <c r="U4" s="834">
        <v>3280</v>
      </c>
    </row>
    <row r="5" spans="1:21" x14ac:dyDescent="0.25">
      <c r="A5" s="613" t="s">
        <v>548</v>
      </c>
      <c r="B5" s="594">
        <v>101.35</v>
      </c>
      <c r="C5" s="594">
        <v>153.25</v>
      </c>
      <c r="D5" s="594">
        <v>226.50624999999999</v>
      </c>
      <c r="E5" s="594">
        <v>330.98124999999999</v>
      </c>
      <c r="F5" s="594">
        <v>468.30124999999998</v>
      </c>
      <c r="G5" s="594">
        <v>481.56624999999997</v>
      </c>
      <c r="H5" s="594">
        <v>492.30499999999995</v>
      </c>
      <c r="I5" s="594">
        <v>494.39874999999995</v>
      </c>
      <c r="J5" s="594">
        <v>495.04874999999998</v>
      </c>
      <c r="K5" s="594">
        <v>495.04874999999998</v>
      </c>
      <c r="L5" s="594">
        <v>495.04874999999998</v>
      </c>
      <c r="M5" s="594">
        <v>495.04874999999998</v>
      </c>
      <c r="N5" s="594">
        <v>495.04874999999998</v>
      </c>
      <c r="O5" s="594">
        <v>495.04874999999998</v>
      </c>
      <c r="P5" s="594">
        <v>495.04874999999998</v>
      </c>
      <c r="Q5" s="594">
        <v>495.04874999999998</v>
      </c>
      <c r="R5" s="594">
        <v>495.04874999999998</v>
      </c>
      <c r="S5" s="594">
        <v>495.04874999999998</v>
      </c>
      <c r="T5" s="594">
        <v>495.04874999999998</v>
      </c>
      <c r="U5" s="835">
        <v>495.04874999999998</v>
      </c>
    </row>
    <row r="6" spans="1:21" x14ac:dyDescent="0.25">
      <c r="A6" s="611" t="s">
        <v>549</v>
      </c>
      <c r="B6" s="595">
        <v>299.19150000000002</v>
      </c>
      <c r="C6" s="595">
        <v>314.94150000000002</v>
      </c>
      <c r="D6" s="595">
        <v>395.86649999999997</v>
      </c>
      <c r="E6" s="595">
        <v>414.87899999999991</v>
      </c>
      <c r="F6" s="595">
        <v>414.87899999999996</v>
      </c>
      <c r="G6" s="595">
        <v>414.60468006175057</v>
      </c>
      <c r="H6" s="595">
        <v>414.87189925315738</v>
      </c>
      <c r="I6" s="595">
        <v>414.87900000000002</v>
      </c>
      <c r="J6" s="595">
        <v>414.87900000000002</v>
      </c>
      <c r="K6" s="595">
        <v>414.87900000000002</v>
      </c>
      <c r="L6" s="595">
        <v>414.87900000000002</v>
      </c>
      <c r="M6" s="595">
        <v>414.87900000000002</v>
      </c>
      <c r="N6" s="595">
        <v>414.87900000000002</v>
      </c>
      <c r="O6" s="595">
        <v>414.87900000000002</v>
      </c>
      <c r="P6" s="595">
        <v>414.87900000000002</v>
      </c>
      <c r="Q6" s="595">
        <v>414.87900000000002</v>
      </c>
      <c r="R6" s="595">
        <v>414.87900000000002</v>
      </c>
      <c r="S6" s="595">
        <v>414.87900000000002</v>
      </c>
      <c r="T6" s="595">
        <v>414.87900000000002</v>
      </c>
      <c r="U6" s="836">
        <v>414.87900000000002</v>
      </c>
    </row>
    <row r="7" spans="1:21" x14ac:dyDescent="0.25">
      <c r="A7" s="611" t="s">
        <v>550</v>
      </c>
      <c r="B7" s="596">
        <v>400.54150000000004</v>
      </c>
      <c r="C7" s="596">
        <v>468.19150000000002</v>
      </c>
      <c r="D7" s="596">
        <v>622.37275</v>
      </c>
      <c r="E7" s="596">
        <v>745.86024999999995</v>
      </c>
      <c r="F7" s="596">
        <v>883.18024999999989</v>
      </c>
      <c r="G7" s="596">
        <v>896.1709300617506</v>
      </c>
      <c r="H7" s="596">
        <v>907.17689925315733</v>
      </c>
      <c r="I7" s="596">
        <v>909.27774999999997</v>
      </c>
      <c r="J7" s="596">
        <v>909.92775000000006</v>
      </c>
      <c r="K7" s="596">
        <v>909.92775000000006</v>
      </c>
      <c r="L7" s="596">
        <v>909.92775000000006</v>
      </c>
      <c r="M7" s="596">
        <v>909.92775000000006</v>
      </c>
      <c r="N7" s="596">
        <v>909.92775000000006</v>
      </c>
      <c r="O7" s="596">
        <v>909.92775000000006</v>
      </c>
      <c r="P7" s="596">
        <v>909.92775000000006</v>
      </c>
      <c r="Q7" s="596">
        <v>909.92775000000006</v>
      </c>
      <c r="R7" s="596">
        <v>909.92775000000006</v>
      </c>
      <c r="S7" s="596">
        <v>909.92775000000006</v>
      </c>
      <c r="T7" s="596">
        <v>909.92775000000006</v>
      </c>
      <c r="U7" s="837">
        <v>909.92775000000006</v>
      </c>
    </row>
    <row r="8" spans="1:21" x14ac:dyDescent="0.25">
      <c r="A8" s="611" t="s">
        <v>551</v>
      </c>
      <c r="B8" s="595">
        <v>167.59125</v>
      </c>
      <c r="C8" s="595">
        <v>263.83375000000001</v>
      </c>
      <c r="D8" s="595">
        <v>370.76</v>
      </c>
      <c r="E8" s="595">
        <v>577.07124999999996</v>
      </c>
      <c r="F8" s="595">
        <v>892.22050000000002</v>
      </c>
      <c r="G8" s="595">
        <v>936.07275000000004</v>
      </c>
      <c r="H8" s="595">
        <v>1002.1295</v>
      </c>
      <c r="I8" s="595">
        <v>1020.4182499999999</v>
      </c>
      <c r="J8" s="595">
        <v>1041.30575</v>
      </c>
      <c r="K8" s="595">
        <v>1041.30575</v>
      </c>
      <c r="L8" s="595">
        <v>1041.30575</v>
      </c>
      <c r="M8" s="595">
        <v>1041.30575</v>
      </c>
      <c r="N8" s="595">
        <v>1041.30575</v>
      </c>
      <c r="O8" s="595">
        <v>1041.30575</v>
      </c>
      <c r="P8" s="595">
        <v>1041.30575</v>
      </c>
      <c r="Q8" s="595">
        <v>1041.30575</v>
      </c>
      <c r="R8" s="595">
        <v>1041.30575</v>
      </c>
      <c r="S8" s="595">
        <v>1041.30575</v>
      </c>
      <c r="T8" s="595">
        <v>1041.30575</v>
      </c>
      <c r="U8" s="836">
        <v>1041.30575</v>
      </c>
    </row>
    <row r="9" spans="1:21" x14ac:dyDescent="0.25">
      <c r="A9" s="611" t="s">
        <v>552</v>
      </c>
      <c r="B9" s="595">
        <v>222.04875000000001</v>
      </c>
      <c r="C9" s="595">
        <v>239.37375</v>
      </c>
      <c r="D9" s="595">
        <v>325.99874999999997</v>
      </c>
      <c r="E9" s="595">
        <v>343.32374999999996</v>
      </c>
      <c r="F9" s="595">
        <v>343.32374999999996</v>
      </c>
      <c r="G9" s="595">
        <v>343.096481665157</v>
      </c>
      <c r="H9" s="595">
        <v>343.317936478197</v>
      </c>
      <c r="I9" s="595">
        <v>343.32374999999996</v>
      </c>
      <c r="J9" s="595">
        <v>343.32374999999996</v>
      </c>
      <c r="K9" s="595">
        <v>343.32374999999996</v>
      </c>
      <c r="L9" s="595">
        <v>343.32374999999996</v>
      </c>
      <c r="M9" s="595">
        <v>343.32374999999996</v>
      </c>
      <c r="N9" s="595">
        <v>343.32374999999996</v>
      </c>
      <c r="O9" s="595">
        <v>343.32374999999996</v>
      </c>
      <c r="P9" s="595">
        <v>343.32374999999996</v>
      </c>
      <c r="Q9" s="595">
        <v>343.32374999999996</v>
      </c>
      <c r="R9" s="595">
        <v>343.32374999999996</v>
      </c>
      <c r="S9" s="595">
        <v>343.32374999999996</v>
      </c>
      <c r="T9" s="595">
        <v>343.32374999999996</v>
      </c>
      <c r="U9" s="836">
        <v>343.32374999999996</v>
      </c>
    </row>
    <row r="10" spans="1:21" ht="15.75" thickBot="1" x14ac:dyDescent="0.3">
      <c r="A10" s="612" t="s">
        <v>553</v>
      </c>
      <c r="B10" s="597">
        <v>389.64</v>
      </c>
      <c r="C10" s="597">
        <v>503.20749999999998</v>
      </c>
      <c r="D10" s="597">
        <v>696.75874999999996</v>
      </c>
      <c r="E10" s="597">
        <v>920.39499999999998</v>
      </c>
      <c r="F10" s="597">
        <v>1235.5442499999999</v>
      </c>
      <c r="G10" s="597">
        <v>1279.169231665157</v>
      </c>
      <c r="H10" s="597">
        <v>1345.447436478197</v>
      </c>
      <c r="I10" s="597">
        <v>1363.742</v>
      </c>
      <c r="J10" s="597">
        <v>1384.6295</v>
      </c>
      <c r="K10" s="597">
        <v>1384.6295</v>
      </c>
      <c r="L10" s="597">
        <v>1384.6295</v>
      </c>
      <c r="M10" s="597">
        <v>1384.6295</v>
      </c>
      <c r="N10" s="597">
        <v>1384.6295</v>
      </c>
      <c r="O10" s="597">
        <v>1384.6295</v>
      </c>
      <c r="P10" s="597">
        <v>1384.6295</v>
      </c>
      <c r="Q10" s="597">
        <v>1384.6295</v>
      </c>
      <c r="R10" s="597">
        <v>1384.6295</v>
      </c>
      <c r="S10" s="597">
        <v>1384.6295</v>
      </c>
      <c r="T10" s="597">
        <v>1384.6295</v>
      </c>
      <c r="U10" s="838">
        <v>1384.6295</v>
      </c>
    </row>
    <row r="11" spans="1:21" x14ac:dyDescent="0.25">
      <c r="A11" s="613" t="s">
        <v>554</v>
      </c>
      <c r="B11" s="598">
        <v>226.82813125000001</v>
      </c>
      <c r="C11" s="594">
        <v>362.77492125000003</v>
      </c>
      <c r="D11" s="594">
        <v>538.47991500000001</v>
      </c>
      <c r="E11" s="594">
        <v>842.97125874999983</v>
      </c>
      <c r="F11" s="594">
        <v>1269.65203825</v>
      </c>
      <c r="G11" s="594">
        <v>1321.40727225</v>
      </c>
      <c r="H11" s="594">
        <v>1389.9242555000001</v>
      </c>
      <c r="I11" s="594">
        <v>1407.6406917499999</v>
      </c>
      <c r="J11" s="594">
        <v>1426.1168292500001</v>
      </c>
      <c r="K11" s="594">
        <v>1426.1168292500001</v>
      </c>
      <c r="L11" s="594">
        <v>1426.1168292500001</v>
      </c>
      <c r="M11" s="594">
        <v>1426.1168292500001</v>
      </c>
      <c r="N11" s="594">
        <v>1426.1168292500001</v>
      </c>
      <c r="O11" s="594">
        <v>1426.1168292500001</v>
      </c>
      <c r="P11" s="594">
        <v>1426.1168292500001</v>
      </c>
      <c r="Q11" s="594">
        <v>1426.1168292500001</v>
      </c>
      <c r="R11" s="594">
        <v>1426.1168292500001</v>
      </c>
      <c r="S11" s="594">
        <v>1426.1168292500001</v>
      </c>
      <c r="T11" s="594">
        <v>1426.1168292500001</v>
      </c>
      <c r="U11" s="835">
        <v>1426.1168292500001</v>
      </c>
    </row>
    <row r="12" spans="1:21" x14ac:dyDescent="0.25">
      <c r="A12" s="611" t="s">
        <v>555</v>
      </c>
      <c r="B12" s="599">
        <v>455.54827875000001</v>
      </c>
      <c r="C12" s="595">
        <v>499.94030774999999</v>
      </c>
      <c r="D12" s="595">
        <v>670.96291724999992</v>
      </c>
      <c r="E12" s="595">
        <v>727.54789049999988</v>
      </c>
      <c r="F12" s="595">
        <v>734.44327049999993</v>
      </c>
      <c r="G12" s="595">
        <v>733.95742500000006</v>
      </c>
      <c r="H12" s="595">
        <v>734.43075499999986</v>
      </c>
      <c r="I12" s="595">
        <v>734.44327049999993</v>
      </c>
      <c r="J12" s="595">
        <v>734.44327049999993</v>
      </c>
      <c r="K12" s="595">
        <v>734.44327049999993</v>
      </c>
      <c r="L12" s="595">
        <v>734.44327049999993</v>
      </c>
      <c r="M12" s="595">
        <v>734.44327049999993</v>
      </c>
      <c r="N12" s="595">
        <v>734.44327049999993</v>
      </c>
      <c r="O12" s="595">
        <v>734.44327049999993</v>
      </c>
      <c r="P12" s="595">
        <v>734.44327049999993</v>
      </c>
      <c r="Q12" s="595">
        <v>734.44327049999993</v>
      </c>
      <c r="R12" s="595">
        <v>734.44327049999993</v>
      </c>
      <c r="S12" s="595">
        <v>734.44327049999993</v>
      </c>
      <c r="T12" s="595">
        <v>734.44327049999993</v>
      </c>
      <c r="U12" s="836">
        <v>734.44327049999993</v>
      </c>
    </row>
    <row r="13" spans="1:21" x14ac:dyDescent="0.25">
      <c r="A13" s="614" t="s">
        <v>556</v>
      </c>
      <c r="B13" s="599">
        <v>0</v>
      </c>
      <c r="C13" s="595">
        <v>0</v>
      </c>
      <c r="D13" s="595">
        <v>0</v>
      </c>
      <c r="E13" s="595">
        <v>0</v>
      </c>
      <c r="F13" s="595">
        <v>0</v>
      </c>
      <c r="G13" s="595">
        <v>0.48584549999986848</v>
      </c>
      <c r="H13" s="595">
        <v>1.2515500000063184E-2</v>
      </c>
      <c r="I13" s="595">
        <v>0</v>
      </c>
      <c r="J13" s="595">
        <v>0</v>
      </c>
      <c r="K13" s="595">
        <v>0</v>
      </c>
      <c r="L13" s="595">
        <v>0</v>
      </c>
      <c r="M13" s="595">
        <v>0</v>
      </c>
      <c r="N13" s="595">
        <v>0</v>
      </c>
      <c r="O13" s="595">
        <v>0</v>
      </c>
      <c r="P13" s="595">
        <v>0</v>
      </c>
      <c r="Q13" s="595">
        <v>0</v>
      </c>
      <c r="R13" s="595">
        <v>0</v>
      </c>
      <c r="S13" s="595">
        <v>0</v>
      </c>
      <c r="T13" s="595">
        <v>0</v>
      </c>
      <c r="U13" s="836">
        <v>0</v>
      </c>
    </row>
    <row r="14" spans="1:21" ht="15.75" thickBot="1" x14ac:dyDescent="0.3">
      <c r="A14" s="615" t="s">
        <v>557</v>
      </c>
      <c r="B14" s="600">
        <v>477.59358999999995</v>
      </c>
      <c r="C14" s="601">
        <v>951.63477099999989</v>
      </c>
      <c r="D14" s="601">
        <v>1595.5421677500003</v>
      </c>
      <c r="E14" s="601">
        <v>1935.7358507500003</v>
      </c>
      <c r="F14" s="601">
        <v>2028.1096912499997</v>
      </c>
      <c r="G14" s="601">
        <v>1975.8844572500002</v>
      </c>
      <c r="H14" s="601">
        <v>1906.3624739999996</v>
      </c>
      <c r="I14" s="601">
        <v>1887.6410377500006</v>
      </c>
      <c r="J14" s="601">
        <v>1873.2249002499998</v>
      </c>
      <c r="K14" s="601">
        <v>1873.2249002499998</v>
      </c>
      <c r="L14" s="601">
        <v>1873.2249002499998</v>
      </c>
      <c r="M14" s="601">
        <v>1873.2249002499998</v>
      </c>
      <c r="N14" s="601">
        <v>1873.2249002499998</v>
      </c>
      <c r="O14" s="601">
        <v>1873.2249002499998</v>
      </c>
      <c r="P14" s="601">
        <v>1873.2249002499998</v>
      </c>
      <c r="Q14" s="601">
        <v>1873.2249002499998</v>
      </c>
      <c r="R14" s="601">
        <v>1873.2249002499998</v>
      </c>
      <c r="S14" s="601">
        <v>1873.2249002499998</v>
      </c>
      <c r="T14" s="601">
        <v>1873.2249002499998</v>
      </c>
      <c r="U14" s="839">
        <v>1873.2249002499998</v>
      </c>
    </row>
    <row r="15" spans="1:21" x14ac:dyDescent="0.25">
      <c r="A15" s="613" t="s">
        <v>558</v>
      </c>
      <c r="B15" s="589">
        <v>0.4</v>
      </c>
      <c r="C15" s="589">
        <v>0.4</v>
      </c>
      <c r="D15" s="589">
        <v>0.4</v>
      </c>
      <c r="E15" s="589">
        <v>0.4</v>
      </c>
      <c r="F15" s="589">
        <v>0.4</v>
      </c>
      <c r="G15" s="589">
        <v>0.4</v>
      </c>
      <c r="H15" s="589">
        <v>0.4</v>
      </c>
      <c r="I15" s="589">
        <v>0.4</v>
      </c>
      <c r="J15" s="589">
        <v>0.4</v>
      </c>
      <c r="K15" s="589">
        <v>0.4</v>
      </c>
      <c r="L15" s="589">
        <v>0.4</v>
      </c>
      <c r="M15" s="589">
        <v>0.4</v>
      </c>
      <c r="N15" s="589">
        <v>0.4</v>
      </c>
      <c r="O15" s="589">
        <v>0.4</v>
      </c>
      <c r="P15" s="589">
        <v>0.4</v>
      </c>
      <c r="Q15" s="589">
        <v>0.4</v>
      </c>
      <c r="R15" s="589">
        <v>0.4</v>
      </c>
      <c r="S15" s="589">
        <v>0.4</v>
      </c>
      <c r="T15" s="589">
        <v>0.4</v>
      </c>
      <c r="U15" s="840">
        <v>0.4</v>
      </c>
    </row>
    <row r="16" spans="1:21" x14ac:dyDescent="0.25">
      <c r="A16" s="611" t="s">
        <v>559</v>
      </c>
      <c r="B16" s="595">
        <v>225.54596930342385</v>
      </c>
      <c r="C16" s="595">
        <v>435.03303817142853</v>
      </c>
      <c r="D16" s="595">
        <v>705.21200784530413</v>
      </c>
      <c r="E16" s="595">
        <v>828.65404569777434</v>
      </c>
      <c r="F16" s="595">
        <v>860.09740935114507</v>
      </c>
      <c r="G16" s="595">
        <v>837.94930332909269</v>
      </c>
      <c r="H16" s="595">
        <v>808.46584987277345</v>
      </c>
      <c r="I16" s="595">
        <v>800.5263094783719</v>
      </c>
      <c r="J16" s="595">
        <v>794.41259552586939</v>
      </c>
      <c r="K16" s="595">
        <v>794.41259552586939</v>
      </c>
      <c r="L16" s="595">
        <v>794.41259552586939</v>
      </c>
      <c r="M16" s="595">
        <v>794.41259552586939</v>
      </c>
      <c r="N16" s="595">
        <v>794.41259552586939</v>
      </c>
      <c r="O16" s="595">
        <v>794.41259552586939</v>
      </c>
      <c r="P16" s="595">
        <v>794.41259552586939</v>
      </c>
      <c r="Q16" s="595">
        <v>794.41259552586939</v>
      </c>
      <c r="R16" s="595">
        <v>794.41259552586939</v>
      </c>
      <c r="S16" s="595">
        <v>794.41259552586939</v>
      </c>
      <c r="T16" s="595">
        <v>794.41259552586939</v>
      </c>
      <c r="U16" s="836">
        <v>794.41259552586939</v>
      </c>
    </row>
    <row r="17" spans="1:21" ht="15.75" thickBot="1" x14ac:dyDescent="0.3">
      <c r="A17" s="612" t="s">
        <v>560</v>
      </c>
      <c r="B17" s="593">
        <v>338.31895395513573</v>
      </c>
      <c r="C17" s="593">
        <v>652.54955725714274</v>
      </c>
      <c r="D17" s="593">
        <v>1057.818011767956</v>
      </c>
      <c r="E17" s="593">
        <v>1242.9810685466612</v>
      </c>
      <c r="F17" s="593">
        <v>1290.1461140267174</v>
      </c>
      <c r="G17" s="593">
        <v>1256.9239549936387</v>
      </c>
      <c r="H17" s="593">
        <v>1212.6987748091599</v>
      </c>
      <c r="I17" s="593">
        <v>1200.7894642175577</v>
      </c>
      <c r="J17" s="593">
        <v>1191.618893288804</v>
      </c>
      <c r="K17" s="593">
        <v>1191.618893288804</v>
      </c>
      <c r="L17" s="593">
        <v>1191.618893288804</v>
      </c>
      <c r="M17" s="593">
        <v>1191.618893288804</v>
      </c>
      <c r="N17" s="593">
        <v>1191.618893288804</v>
      </c>
      <c r="O17" s="593">
        <v>1191.618893288804</v>
      </c>
      <c r="P17" s="593">
        <v>1191.618893288804</v>
      </c>
      <c r="Q17" s="593">
        <v>1191.618893288804</v>
      </c>
      <c r="R17" s="593">
        <v>1191.618893288804</v>
      </c>
      <c r="S17" s="593">
        <v>1191.618893288804</v>
      </c>
      <c r="T17" s="593">
        <v>1191.618893288804</v>
      </c>
      <c r="U17" s="834">
        <v>1191.618893288804</v>
      </c>
    </row>
    <row r="18" spans="1:21" x14ac:dyDescent="0.25">
      <c r="A18" s="613" t="s">
        <v>561</v>
      </c>
      <c r="B18" s="594">
        <v>101.35</v>
      </c>
      <c r="C18" s="594">
        <v>153.25</v>
      </c>
      <c r="D18" s="594">
        <v>226.50624999999999</v>
      </c>
      <c r="E18" s="594">
        <v>330.98124999999999</v>
      </c>
      <c r="F18" s="594">
        <v>468.30124999999998</v>
      </c>
      <c r="G18" s="594">
        <v>481.56624999999997</v>
      </c>
      <c r="H18" s="594">
        <v>492.30499999999995</v>
      </c>
      <c r="I18" s="594">
        <v>494.39874999999995</v>
      </c>
      <c r="J18" s="594">
        <v>495.04874999999998</v>
      </c>
      <c r="K18" s="594">
        <v>495.04874999999998</v>
      </c>
      <c r="L18" s="594">
        <v>495.04874999999998</v>
      </c>
      <c r="M18" s="594">
        <v>495.04874999999998</v>
      </c>
      <c r="N18" s="594">
        <v>495.04874999999998</v>
      </c>
      <c r="O18" s="594">
        <v>495.04874999999998</v>
      </c>
      <c r="P18" s="594">
        <v>495.04874999999998</v>
      </c>
      <c r="Q18" s="594">
        <v>495.04874999999998</v>
      </c>
      <c r="R18" s="594">
        <v>495.04874999999998</v>
      </c>
      <c r="S18" s="594">
        <v>495.04874999999998</v>
      </c>
      <c r="T18" s="594">
        <v>495.04874999999998</v>
      </c>
      <c r="U18" s="835">
        <v>495.04874999999998</v>
      </c>
    </row>
    <row r="19" spans="1:21" x14ac:dyDescent="0.25">
      <c r="A19" s="611" t="s">
        <v>562</v>
      </c>
      <c r="B19" s="595">
        <v>299.19150000000002</v>
      </c>
      <c r="C19" s="595">
        <v>314.94150000000002</v>
      </c>
      <c r="D19" s="595">
        <v>395.86649999999997</v>
      </c>
      <c r="E19" s="595">
        <v>414.87899999999991</v>
      </c>
      <c r="F19" s="595">
        <v>414.87899999999996</v>
      </c>
      <c r="G19" s="595">
        <v>414.60468006175057</v>
      </c>
      <c r="H19" s="595">
        <v>414.87189925315738</v>
      </c>
      <c r="I19" s="595">
        <v>414.87900000000002</v>
      </c>
      <c r="J19" s="595">
        <v>414.87900000000002</v>
      </c>
      <c r="K19" s="595">
        <v>414.87900000000002</v>
      </c>
      <c r="L19" s="595">
        <v>414.87900000000002</v>
      </c>
      <c r="M19" s="595">
        <v>414.87900000000002</v>
      </c>
      <c r="N19" s="595">
        <v>414.87900000000002</v>
      </c>
      <c r="O19" s="595">
        <v>414.87900000000002</v>
      </c>
      <c r="P19" s="595">
        <v>414.87900000000002</v>
      </c>
      <c r="Q19" s="595">
        <v>414.87900000000002</v>
      </c>
      <c r="R19" s="595">
        <v>414.87900000000002</v>
      </c>
      <c r="S19" s="595">
        <v>414.87900000000002</v>
      </c>
      <c r="T19" s="595">
        <v>414.87900000000002</v>
      </c>
      <c r="U19" s="836">
        <v>414.87900000000002</v>
      </c>
    </row>
    <row r="20" spans="1:21" x14ac:dyDescent="0.25">
      <c r="A20" s="611" t="s">
        <v>563</v>
      </c>
      <c r="B20" s="592">
        <v>400.54150000000004</v>
      </c>
      <c r="C20" s="592">
        <v>468.19150000000002</v>
      </c>
      <c r="D20" s="592">
        <v>622.37275</v>
      </c>
      <c r="E20" s="592">
        <v>745.86024999999995</v>
      </c>
      <c r="F20" s="592">
        <v>883.18024999999989</v>
      </c>
      <c r="G20" s="592">
        <v>896.1709300617506</v>
      </c>
      <c r="H20" s="592">
        <v>907.17689925315733</v>
      </c>
      <c r="I20" s="592">
        <v>909.27774999999997</v>
      </c>
      <c r="J20" s="592">
        <v>909.92775000000006</v>
      </c>
      <c r="K20" s="592">
        <v>909.92775000000006</v>
      </c>
      <c r="L20" s="592">
        <v>909.92775000000006</v>
      </c>
      <c r="M20" s="592">
        <v>909.92775000000006</v>
      </c>
      <c r="N20" s="592">
        <v>909.92775000000006</v>
      </c>
      <c r="O20" s="592">
        <v>909.92775000000006</v>
      </c>
      <c r="P20" s="592">
        <v>909.92775000000006</v>
      </c>
      <c r="Q20" s="592">
        <v>909.92775000000006</v>
      </c>
      <c r="R20" s="592">
        <v>909.92775000000006</v>
      </c>
      <c r="S20" s="592">
        <v>909.92775000000006</v>
      </c>
      <c r="T20" s="592">
        <v>909.92775000000006</v>
      </c>
      <c r="U20" s="833">
        <v>909.92775000000006</v>
      </c>
    </row>
    <row r="21" spans="1:21" x14ac:dyDescent="0.25">
      <c r="A21" s="611" t="s">
        <v>564</v>
      </c>
      <c r="B21" s="595">
        <v>100.55475</v>
      </c>
      <c r="C21" s="595">
        <v>158.30025000000001</v>
      </c>
      <c r="D21" s="595">
        <v>222.45599999999996</v>
      </c>
      <c r="E21" s="595">
        <v>346.24275</v>
      </c>
      <c r="F21" s="595">
        <v>535.33230000000003</v>
      </c>
      <c r="G21" s="595">
        <v>561.64364999999998</v>
      </c>
      <c r="H21" s="595">
        <v>601.27769999999998</v>
      </c>
      <c r="I21" s="595">
        <v>612.25094999999999</v>
      </c>
      <c r="J21" s="595">
        <v>624.78345000000002</v>
      </c>
      <c r="K21" s="595">
        <v>624.78345000000002</v>
      </c>
      <c r="L21" s="595">
        <v>624.78345000000002</v>
      </c>
      <c r="M21" s="595">
        <v>624.78345000000002</v>
      </c>
      <c r="N21" s="595">
        <v>624.78345000000002</v>
      </c>
      <c r="O21" s="595">
        <v>624.78345000000002</v>
      </c>
      <c r="P21" s="595">
        <v>624.78345000000002</v>
      </c>
      <c r="Q21" s="595">
        <v>624.78345000000002</v>
      </c>
      <c r="R21" s="595">
        <v>624.78345000000002</v>
      </c>
      <c r="S21" s="595">
        <v>624.78345000000002</v>
      </c>
      <c r="T21" s="595">
        <v>624.78345000000002</v>
      </c>
      <c r="U21" s="836">
        <v>624.78345000000002</v>
      </c>
    </row>
    <row r="22" spans="1:21" x14ac:dyDescent="0.25">
      <c r="A22" s="611" t="s">
        <v>565</v>
      </c>
      <c r="B22" s="595">
        <v>133.22925000000001</v>
      </c>
      <c r="C22" s="595">
        <v>143.62424999999999</v>
      </c>
      <c r="D22" s="595">
        <v>195.59924999999998</v>
      </c>
      <c r="E22" s="595">
        <v>205.99424999999997</v>
      </c>
      <c r="F22" s="595">
        <v>205.99424999999997</v>
      </c>
      <c r="G22" s="595">
        <v>205.8578889990942</v>
      </c>
      <c r="H22" s="595">
        <v>205.99076188691819</v>
      </c>
      <c r="I22" s="595">
        <v>205.99424999999997</v>
      </c>
      <c r="J22" s="595">
        <v>205.99424999999997</v>
      </c>
      <c r="K22" s="595">
        <v>205.99424999999997</v>
      </c>
      <c r="L22" s="595">
        <v>205.99424999999997</v>
      </c>
      <c r="M22" s="595">
        <v>205.99424999999997</v>
      </c>
      <c r="N22" s="595">
        <v>205.99424999999997</v>
      </c>
      <c r="O22" s="595">
        <v>205.99424999999997</v>
      </c>
      <c r="P22" s="595">
        <v>205.99424999999997</v>
      </c>
      <c r="Q22" s="595">
        <v>205.99424999999997</v>
      </c>
      <c r="R22" s="595">
        <v>205.99424999999997</v>
      </c>
      <c r="S22" s="595">
        <v>205.99424999999997</v>
      </c>
      <c r="T22" s="595">
        <v>205.99424999999997</v>
      </c>
      <c r="U22" s="836">
        <v>205.99424999999997</v>
      </c>
    </row>
    <row r="23" spans="1:21" x14ac:dyDescent="0.25">
      <c r="A23" s="611" t="s">
        <v>566</v>
      </c>
      <c r="B23" s="592">
        <v>233.78399999999999</v>
      </c>
      <c r="C23" s="592">
        <v>301.92449999999997</v>
      </c>
      <c r="D23" s="592">
        <v>418.05524999999994</v>
      </c>
      <c r="E23" s="592">
        <v>552.23699999999997</v>
      </c>
      <c r="F23" s="592">
        <v>741.32655</v>
      </c>
      <c r="G23" s="592">
        <v>767.50153899909424</v>
      </c>
      <c r="H23" s="592">
        <v>807.2684618869182</v>
      </c>
      <c r="I23" s="592">
        <v>818.24519999999995</v>
      </c>
      <c r="J23" s="592">
        <v>830.77769999999998</v>
      </c>
      <c r="K23" s="592">
        <v>830.77769999999998</v>
      </c>
      <c r="L23" s="592">
        <v>830.77769999999998</v>
      </c>
      <c r="M23" s="592">
        <v>830.77769999999998</v>
      </c>
      <c r="N23" s="592">
        <v>830.77769999999998</v>
      </c>
      <c r="O23" s="592">
        <v>830.77769999999998</v>
      </c>
      <c r="P23" s="592">
        <v>830.77769999999998</v>
      </c>
      <c r="Q23" s="592">
        <v>830.77769999999998</v>
      </c>
      <c r="R23" s="592">
        <v>830.77769999999998</v>
      </c>
      <c r="S23" s="592">
        <v>830.77769999999998</v>
      </c>
      <c r="T23" s="592">
        <v>830.77769999999998</v>
      </c>
      <c r="U23" s="833">
        <v>830.77769999999998</v>
      </c>
    </row>
    <row r="24" spans="1:21" ht="15.75" thickBot="1" x14ac:dyDescent="0.3">
      <c r="A24" s="612" t="s">
        <v>567</v>
      </c>
      <c r="B24" s="597">
        <v>634.32550000000003</v>
      </c>
      <c r="C24" s="597">
        <v>770.11599999999999</v>
      </c>
      <c r="D24" s="597">
        <v>1040.4279999999999</v>
      </c>
      <c r="E24" s="597">
        <v>1298.0972499999998</v>
      </c>
      <c r="F24" s="597">
        <v>1624.5067999999999</v>
      </c>
      <c r="G24" s="597">
        <v>1663.6724690608448</v>
      </c>
      <c r="H24" s="597">
        <v>1714.4453611400754</v>
      </c>
      <c r="I24" s="597">
        <v>1727.52295</v>
      </c>
      <c r="J24" s="597">
        <v>1740.7054499999999</v>
      </c>
      <c r="K24" s="597">
        <v>1740.7054499999999</v>
      </c>
      <c r="L24" s="597">
        <v>1740.7054499999999</v>
      </c>
      <c r="M24" s="597">
        <v>1740.7054499999999</v>
      </c>
      <c r="N24" s="597">
        <v>1740.7054499999999</v>
      </c>
      <c r="O24" s="597">
        <v>1740.7054499999999</v>
      </c>
      <c r="P24" s="597">
        <v>1740.7054499999999</v>
      </c>
      <c r="Q24" s="597">
        <v>1740.7054499999999</v>
      </c>
      <c r="R24" s="597">
        <v>1740.7054499999999</v>
      </c>
      <c r="S24" s="597">
        <v>1740.7054499999999</v>
      </c>
      <c r="T24" s="597">
        <v>1740.7054499999999</v>
      </c>
      <c r="U24" s="838">
        <v>1740.7054499999999</v>
      </c>
    </row>
    <row r="25" spans="1:21" x14ac:dyDescent="0.25">
      <c r="A25" s="613" t="s">
        <v>568</v>
      </c>
      <c r="B25" s="602">
        <v>2122.9739906654072</v>
      </c>
      <c r="C25" s="602">
        <v>4094.7919750923879</v>
      </c>
      <c r="D25" s="602">
        <v>6637.8785450447094</v>
      </c>
      <c r="E25" s="602">
        <v>7799.78907053487</v>
      </c>
      <c r="F25" s="602">
        <v>8095.7528752585877</v>
      </c>
      <c r="G25" s="602">
        <v>7887.2816125154177</v>
      </c>
      <c r="H25" s="602">
        <v>7609.7656585124669</v>
      </c>
      <c r="I25" s="602">
        <v>7535.0339405961231</v>
      </c>
      <c r="J25" s="602">
        <v>7477.4879966467979</v>
      </c>
      <c r="K25" s="602">
        <v>7477.4879966467979</v>
      </c>
      <c r="L25" s="602">
        <v>7477.4879966467979</v>
      </c>
      <c r="M25" s="602">
        <v>7477.4879966467979</v>
      </c>
      <c r="N25" s="602">
        <v>7477.4879966467979</v>
      </c>
      <c r="O25" s="602">
        <v>7477.4879966467979</v>
      </c>
      <c r="P25" s="602">
        <v>7477.4879966467979</v>
      </c>
      <c r="Q25" s="602">
        <v>7477.4879966467979</v>
      </c>
      <c r="R25" s="602">
        <v>7477.4879966467979</v>
      </c>
      <c r="S25" s="602">
        <v>7477.4879966467979</v>
      </c>
      <c r="T25" s="602">
        <v>7477.4879966467979</v>
      </c>
      <c r="U25" s="841">
        <v>7477.4879966467979</v>
      </c>
    </row>
    <row r="26" spans="1:21" x14ac:dyDescent="0.25">
      <c r="A26" s="611" t="s">
        <v>569</v>
      </c>
      <c r="B26" s="603">
        <v>1676.0320978937425</v>
      </c>
      <c r="C26" s="603">
        <v>3232.7305066518857</v>
      </c>
      <c r="D26" s="603">
        <v>5240.4304302984547</v>
      </c>
      <c r="E26" s="603">
        <v>6157.7282135801606</v>
      </c>
      <c r="F26" s="603">
        <v>6391.3838488883594</v>
      </c>
      <c r="G26" s="603">
        <v>6226.8012730384871</v>
      </c>
      <c r="H26" s="603">
        <v>6007.7097304045792</v>
      </c>
      <c r="I26" s="603">
        <v>5948.7110057337813</v>
      </c>
      <c r="J26" s="603">
        <v>5903.2799973527353</v>
      </c>
      <c r="K26" s="603">
        <v>5903.2799973527353</v>
      </c>
      <c r="L26" s="603">
        <v>5903.2799973527353</v>
      </c>
      <c r="M26" s="603">
        <v>5903.2799973527353</v>
      </c>
      <c r="N26" s="603">
        <v>5903.2799973527353</v>
      </c>
      <c r="O26" s="603">
        <v>5903.2799973527353</v>
      </c>
      <c r="P26" s="603">
        <v>5903.2799973527353</v>
      </c>
      <c r="Q26" s="603">
        <v>5903.2799973527353</v>
      </c>
      <c r="R26" s="603">
        <v>5903.2799973527353</v>
      </c>
      <c r="S26" s="603">
        <v>5903.2799973527353</v>
      </c>
      <c r="T26" s="603">
        <v>5903.2799973527353</v>
      </c>
      <c r="U26" s="842">
        <v>5903.2799973527353</v>
      </c>
    </row>
    <row r="27" spans="1:21" ht="15.75" thickBot="1" x14ac:dyDescent="0.3">
      <c r="A27" s="612" t="s">
        <v>570</v>
      </c>
      <c r="B27" s="597">
        <v>3799.0060885591497</v>
      </c>
      <c r="C27" s="597">
        <v>7327.522481744274</v>
      </c>
      <c r="D27" s="597">
        <v>11878.308975343163</v>
      </c>
      <c r="E27" s="597">
        <v>13957.517284115031</v>
      </c>
      <c r="F27" s="597">
        <v>14487.136724146947</v>
      </c>
      <c r="G27" s="597">
        <v>14114.082885553904</v>
      </c>
      <c r="H27" s="597">
        <v>13617.475388917046</v>
      </c>
      <c r="I27" s="597">
        <v>13483.744946329905</v>
      </c>
      <c r="J27" s="597">
        <v>13380.767993999532</v>
      </c>
      <c r="K27" s="597">
        <v>13380.767993999532</v>
      </c>
      <c r="L27" s="597">
        <v>13380.767993999532</v>
      </c>
      <c r="M27" s="597">
        <v>13380.767993999532</v>
      </c>
      <c r="N27" s="597">
        <v>13380.767993999532</v>
      </c>
      <c r="O27" s="597">
        <v>13380.767993999532</v>
      </c>
      <c r="P27" s="597">
        <v>13380.767993999532</v>
      </c>
      <c r="Q27" s="597">
        <v>13380.767993999532</v>
      </c>
      <c r="R27" s="597">
        <v>13380.767993999532</v>
      </c>
      <c r="S27" s="597">
        <v>13380.767993999532</v>
      </c>
      <c r="T27" s="597">
        <v>13380.767993999532</v>
      </c>
      <c r="U27" s="838">
        <v>13380.767993999532</v>
      </c>
    </row>
    <row r="28" spans="1:21" ht="15.75" thickBot="1" x14ac:dyDescent="0.3">
      <c r="A28" s="616" t="s">
        <v>571</v>
      </c>
      <c r="B28" s="617">
        <v>4433.3315885591501</v>
      </c>
      <c r="C28" s="617">
        <v>8097.638481744274</v>
      </c>
      <c r="D28" s="617">
        <v>12918.736975343163</v>
      </c>
      <c r="E28" s="617">
        <v>15255.61453411503</v>
      </c>
      <c r="F28" s="617">
        <v>16111.643524146946</v>
      </c>
      <c r="G28" s="617">
        <v>15777.755354614748</v>
      </c>
      <c r="H28" s="617">
        <v>15331.920750057121</v>
      </c>
      <c r="I28" s="617">
        <v>15211.267896329906</v>
      </c>
      <c r="J28" s="617">
        <v>15121.473443999532</v>
      </c>
      <c r="K28" s="617">
        <v>15121.473443999532</v>
      </c>
      <c r="L28" s="617">
        <v>15121.473443999532</v>
      </c>
      <c r="M28" s="617">
        <v>15121.473443999532</v>
      </c>
      <c r="N28" s="617">
        <v>15121.473443999532</v>
      </c>
      <c r="O28" s="617">
        <v>15121.473443999532</v>
      </c>
      <c r="P28" s="617">
        <v>15121.473443999532</v>
      </c>
      <c r="Q28" s="617">
        <v>15121.473443999532</v>
      </c>
      <c r="R28" s="617">
        <v>15121.473443999532</v>
      </c>
      <c r="S28" s="617">
        <v>15121.473443999532</v>
      </c>
      <c r="T28" s="617">
        <v>15121.473443999532</v>
      </c>
      <c r="U28" s="843">
        <v>15121.473443999532</v>
      </c>
    </row>
    <row r="31" spans="1:21" x14ac:dyDescent="0.25">
      <c r="A31" s="605" t="s">
        <v>572</v>
      </c>
      <c r="B31" s="606">
        <f t="shared" ref="B31:J31" si="0">B7+B16</f>
        <v>626.08746930342386</v>
      </c>
      <c r="C31" s="606">
        <f t="shared" si="0"/>
        <v>903.22453817142855</v>
      </c>
      <c r="D31" s="606">
        <f t="shared" si="0"/>
        <v>1327.584757845304</v>
      </c>
      <c r="E31" s="606">
        <f t="shared" si="0"/>
        <v>1574.5142956977743</v>
      </c>
      <c r="F31" s="606">
        <f t="shared" si="0"/>
        <v>1743.2776593511448</v>
      </c>
      <c r="G31" s="606">
        <f t="shared" si="0"/>
        <v>1734.1202333908432</v>
      </c>
      <c r="H31" s="606">
        <f t="shared" si="0"/>
        <v>1715.6427491259308</v>
      </c>
      <c r="I31" s="606">
        <f t="shared" si="0"/>
        <v>1709.804059478372</v>
      </c>
      <c r="J31" s="606">
        <f t="shared" si="0"/>
        <v>1704.3403455258695</v>
      </c>
      <c r="K31" s="606">
        <f t="shared" ref="K31:U31" si="1">K7+K16</f>
        <v>1704.3403455258695</v>
      </c>
      <c r="L31" s="606">
        <f t="shared" si="1"/>
        <v>1704.3403455258695</v>
      </c>
      <c r="M31" s="606">
        <f t="shared" si="1"/>
        <v>1704.3403455258695</v>
      </c>
      <c r="N31" s="606">
        <f t="shared" si="1"/>
        <v>1704.3403455258695</v>
      </c>
      <c r="O31" s="606">
        <f t="shared" si="1"/>
        <v>1704.3403455258695</v>
      </c>
      <c r="P31" s="606">
        <f t="shared" si="1"/>
        <v>1704.3403455258695</v>
      </c>
      <c r="Q31" s="606">
        <f t="shared" si="1"/>
        <v>1704.3403455258695</v>
      </c>
      <c r="R31" s="606">
        <f t="shared" si="1"/>
        <v>1704.3403455258695</v>
      </c>
      <c r="S31" s="606">
        <f t="shared" si="1"/>
        <v>1704.3403455258695</v>
      </c>
      <c r="T31" s="606">
        <f t="shared" si="1"/>
        <v>1704.3403455258695</v>
      </c>
      <c r="U31" s="606">
        <f t="shared" si="1"/>
        <v>1704.3403455258695</v>
      </c>
    </row>
    <row r="32" spans="1:21" x14ac:dyDescent="0.25">
      <c r="A32" s="605" t="s">
        <v>573</v>
      </c>
      <c r="B32" s="606">
        <f t="shared" ref="B32:J32" si="2">B10+B17</f>
        <v>727.95895395513571</v>
      </c>
      <c r="C32" s="606">
        <f t="shared" si="2"/>
        <v>1155.7570572571426</v>
      </c>
      <c r="D32" s="606">
        <f t="shared" si="2"/>
        <v>1754.576761767956</v>
      </c>
      <c r="E32" s="606">
        <f t="shared" si="2"/>
        <v>2163.3760685466614</v>
      </c>
      <c r="F32" s="606">
        <f t="shared" si="2"/>
        <v>2525.6903640267174</v>
      </c>
      <c r="G32" s="606">
        <f t="shared" si="2"/>
        <v>2536.0931866587957</v>
      </c>
      <c r="H32" s="606">
        <f t="shared" si="2"/>
        <v>2558.1462112873569</v>
      </c>
      <c r="I32" s="606">
        <f t="shared" si="2"/>
        <v>2564.5314642175576</v>
      </c>
      <c r="J32" s="606">
        <f t="shared" si="2"/>
        <v>2576.248393288804</v>
      </c>
      <c r="K32" s="606">
        <f t="shared" ref="K32:U32" si="3">K10+K17</f>
        <v>2576.248393288804</v>
      </c>
      <c r="L32" s="606">
        <f t="shared" si="3"/>
        <v>2576.248393288804</v>
      </c>
      <c r="M32" s="606">
        <f t="shared" si="3"/>
        <v>2576.248393288804</v>
      </c>
      <c r="N32" s="606">
        <f t="shared" si="3"/>
        <v>2576.248393288804</v>
      </c>
      <c r="O32" s="606">
        <f t="shared" si="3"/>
        <v>2576.248393288804</v>
      </c>
      <c r="P32" s="606">
        <f t="shared" si="3"/>
        <v>2576.248393288804</v>
      </c>
      <c r="Q32" s="606">
        <f t="shared" si="3"/>
        <v>2576.248393288804</v>
      </c>
      <c r="R32" s="606">
        <f t="shared" si="3"/>
        <v>2576.248393288804</v>
      </c>
      <c r="S32" s="606">
        <f t="shared" si="3"/>
        <v>2576.248393288804</v>
      </c>
      <c r="T32" s="606">
        <f t="shared" si="3"/>
        <v>2576.248393288804</v>
      </c>
      <c r="U32" s="606">
        <f t="shared" si="3"/>
        <v>2576.248393288804</v>
      </c>
    </row>
    <row r="33" spans="1:21" x14ac:dyDescent="0.25">
      <c r="A33" s="605" t="s">
        <v>574</v>
      </c>
      <c r="B33" s="606">
        <f>B7+B10+B16+B17</f>
        <v>1354.0464232585596</v>
      </c>
      <c r="C33" s="606">
        <f t="shared" ref="C33:J33" si="4">C7+C10+C16+C17</f>
        <v>2058.9815954285714</v>
      </c>
      <c r="D33" s="606">
        <f t="shared" si="4"/>
        <v>3082.1615196132598</v>
      </c>
      <c r="E33" s="606">
        <f t="shared" si="4"/>
        <v>3737.8903642444357</v>
      </c>
      <c r="F33" s="606">
        <f t="shared" si="4"/>
        <v>4268.9680233778618</v>
      </c>
      <c r="G33" s="606">
        <f t="shared" si="4"/>
        <v>4270.2134200496384</v>
      </c>
      <c r="H33" s="606">
        <f t="shared" si="4"/>
        <v>4273.7889604132879</v>
      </c>
      <c r="I33" s="606">
        <f t="shared" si="4"/>
        <v>4274.3355236959296</v>
      </c>
      <c r="J33" s="606">
        <f t="shared" si="4"/>
        <v>4280.588738814673</v>
      </c>
      <c r="K33" s="606">
        <f t="shared" ref="K33:U33" si="5">K7+K10+K16+K17</f>
        <v>4280.588738814673</v>
      </c>
      <c r="L33" s="606">
        <f t="shared" si="5"/>
        <v>4280.588738814673</v>
      </c>
      <c r="M33" s="606">
        <f t="shared" si="5"/>
        <v>4280.588738814673</v>
      </c>
      <c r="N33" s="606">
        <f t="shared" si="5"/>
        <v>4280.588738814673</v>
      </c>
      <c r="O33" s="606">
        <f t="shared" si="5"/>
        <v>4280.588738814673</v>
      </c>
      <c r="P33" s="606">
        <f t="shared" si="5"/>
        <v>4280.588738814673</v>
      </c>
      <c r="Q33" s="606">
        <f t="shared" si="5"/>
        <v>4280.588738814673</v>
      </c>
      <c r="R33" s="606">
        <f t="shared" si="5"/>
        <v>4280.588738814673</v>
      </c>
      <c r="S33" s="606">
        <f t="shared" si="5"/>
        <v>4280.588738814673</v>
      </c>
      <c r="T33" s="606">
        <f t="shared" si="5"/>
        <v>4280.588738814673</v>
      </c>
      <c r="U33" s="606">
        <f t="shared" si="5"/>
        <v>4280.588738814673</v>
      </c>
    </row>
    <row r="34" spans="1:21" x14ac:dyDescent="0.25">
      <c r="B34" s="590"/>
      <c r="C34" s="590"/>
      <c r="D34" s="590"/>
      <c r="E34" s="590"/>
      <c r="F34" s="590"/>
      <c r="G34" s="590"/>
      <c r="H34" s="590"/>
      <c r="I34" s="590"/>
      <c r="J34" s="590"/>
      <c r="K34" s="590"/>
      <c r="L34" s="590"/>
      <c r="M34" s="590"/>
      <c r="N34" s="590"/>
      <c r="O34" s="590"/>
      <c r="P34" s="590"/>
      <c r="Q34" s="590"/>
      <c r="R34" s="590"/>
      <c r="S34" s="590"/>
      <c r="T34" s="590"/>
      <c r="U34" s="590"/>
    </row>
    <row r="35" spans="1:21" x14ac:dyDescent="0.25">
      <c r="A35" s="605" t="s">
        <v>575</v>
      </c>
      <c r="B35" s="607">
        <f>B31*(1-'Données PAMCHR'!D83)</f>
        <v>563.4787223730815</v>
      </c>
      <c r="C35" s="607">
        <f>C31*(1-'Données PAMCHR'!D83)</f>
        <v>812.90208435428576</v>
      </c>
      <c r="D35" s="607">
        <f>D31*(1-'Données PAMCHR'!E83)</f>
        <v>1194.8262820607736</v>
      </c>
      <c r="E35" s="607">
        <f>E31*(1-'Données PAMCHR'!F83)</f>
        <v>1417.0628661279968</v>
      </c>
      <c r="F35" s="607">
        <f>F31*(1-'Données PAMCHR'!G83)</f>
        <v>1568.9498934160304</v>
      </c>
      <c r="G35" s="607">
        <f>G31*(1-'Données PAMCHR'!H83)</f>
        <v>1560.7082100517589</v>
      </c>
      <c r="H35" s="607">
        <f>H31*(1-'Données PAMCHR'!I83)</f>
        <v>1544.0784742133378</v>
      </c>
      <c r="I35" s="607">
        <f>I31*(1-'Données PAMCHR'!J83)</f>
        <v>1538.8236535305348</v>
      </c>
      <c r="J35" s="607">
        <f>J31*(1-'Données PAMCHR'!K83)</f>
        <v>1533.9063109732826</v>
      </c>
      <c r="K35" s="607">
        <f>K31*(1-'Données PAMCHR'!L83)</f>
        <v>1533.9063109732826</v>
      </c>
      <c r="L35" s="607">
        <f>L31*(1-'Données PAMCHR'!M83)</f>
        <v>1533.9063109732826</v>
      </c>
      <c r="M35" s="607">
        <f>M31*(1-'Données PAMCHR'!N83)</f>
        <v>1533.9063109732826</v>
      </c>
      <c r="N35" s="607">
        <f>N31*(1-'Données PAMCHR'!O83)</f>
        <v>1533.9063109732826</v>
      </c>
      <c r="O35" s="607">
        <f>O31*(1-'Données PAMCHR'!P83)</f>
        <v>1533.9063109732826</v>
      </c>
      <c r="P35" s="607">
        <f>P31*(1-'Données PAMCHR'!Q83)</f>
        <v>1533.9063109732826</v>
      </c>
      <c r="Q35" s="607">
        <f>Q31*(1-'Données PAMCHR'!R83)</f>
        <v>1533.9063109732826</v>
      </c>
      <c r="R35" s="607">
        <f>R31*(1-'Données PAMCHR'!S83)</f>
        <v>1533.9063109732826</v>
      </c>
      <c r="S35" s="607">
        <f>S31*(1-'Données PAMCHR'!T83)</f>
        <v>1533.9063109732826</v>
      </c>
      <c r="T35" s="607">
        <f>T31*(1-'Données PAMCHR'!U83)</f>
        <v>1533.9063109732826</v>
      </c>
      <c r="U35" s="607">
        <f>U31*(1-'Données PAMCHR'!V83)</f>
        <v>1533.9063109732826</v>
      </c>
    </row>
    <row r="36" spans="1:21" x14ac:dyDescent="0.25">
      <c r="A36" s="605" t="s">
        <v>576</v>
      </c>
      <c r="B36" s="607">
        <f>B32*(1-'Données PAMCHR'!D84)</f>
        <v>545.96921546635178</v>
      </c>
      <c r="C36" s="607">
        <f>C32*(1-'Données PAMCHR'!E84)</f>
        <v>866.81779294285695</v>
      </c>
      <c r="D36" s="607">
        <f>D32*(1-'Données PAMCHR'!F84)</f>
        <v>1315.932571325967</v>
      </c>
      <c r="E36" s="607">
        <f>E32*(1-'Données PAMCHR'!G84)</f>
        <v>1622.532051409996</v>
      </c>
      <c r="F36" s="607">
        <f>F32*(1-'Données PAMCHR'!H84)</f>
        <v>1894.267773020038</v>
      </c>
      <c r="G36" s="607">
        <f>G32*(1-'Données PAMCHR'!I84)</f>
        <v>1902.0698899940967</v>
      </c>
      <c r="H36" s="607">
        <f>H32*(1-'Données PAMCHR'!J84)</f>
        <v>1918.6096584655177</v>
      </c>
      <c r="I36" s="607">
        <f>I32*(1-'Données PAMCHR'!K84)</f>
        <v>1923.3985981631681</v>
      </c>
      <c r="J36" s="607">
        <f>J32*(1-'Données PAMCHR'!L84)</f>
        <v>1932.1862949666029</v>
      </c>
      <c r="K36" s="607">
        <f>K32*(1-'Données PAMCHR'!M84)</f>
        <v>1932.1862949666029</v>
      </c>
      <c r="L36" s="607">
        <f>L32*(1-'Données PAMCHR'!N84)</f>
        <v>1932.1862949666029</v>
      </c>
      <c r="M36" s="607">
        <f>M32*(1-'Données PAMCHR'!O84)</f>
        <v>1932.1862949666029</v>
      </c>
      <c r="N36" s="607">
        <f>N32*(1-'Données PAMCHR'!P84)</f>
        <v>1932.1862949666029</v>
      </c>
      <c r="O36" s="607">
        <f>O32*(1-'Données PAMCHR'!Q84)</f>
        <v>1932.1862949666029</v>
      </c>
      <c r="P36" s="607">
        <f>P32*(1-'Données PAMCHR'!R84)</f>
        <v>1932.1862949666029</v>
      </c>
      <c r="Q36" s="607">
        <f>Q32*(1-'Données PAMCHR'!S84)</f>
        <v>1932.1862949666029</v>
      </c>
      <c r="R36" s="607">
        <f>R32*(1-'Données PAMCHR'!T84)</f>
        <v>1932.1862949666029</v>
      </c>
      <c r="S36" s="607">
        <f>S32*(1-'Données PAMCHR'!U84)</f>
        <v>1932.1862949666029</v>
      </c>
      <c r="T36" s="607">
        <f>T32*(1-'Données PAMCHR'!V84)</f>
        <v>1932.1862949666029</v>
      </c>
      <c r="U36" s="607">
        <f>U32*(1-'Données PAMCHR'!W84)</f>
        <v>1932.1862949666029</v>
      </c>
    </row>
    <row r="37" spans="1:21" x14ac:dyDescent="0.25">
      <c r="A37" s="605" t="s">
        <v>577</v>
      </c>
      <c r="B37" s="607">
        <f t="shared" ref="B37:J37" si="6">B35+B36</f>
        <v>1109.4479378394333</v>
      </c>
      <c r="C37" s="607">
        <f t="shared" si="6"/>
        <v>1679.7198772971428</v>
      </c>
      <c r="D37" s="607">
        <f t="shared" si="6"/>
        <v>2510.7588533867406</v>
      </c>
      <c r="E37" s="607">
        <f t="shared" si="6"/>
        <v>3039.5949175379928</v>
      </c>
      <c r="F37" s="607">
        <f t="shared" si="6"/>
        <v>3463.2176664360686</v>
      </c>
      <c r="G37" s="607">
        <f t="shared" si="6"/>
        <v>3462.7781000458554</v>
      </c>
      <c r="H37" s="607">
        <f t="shared" si="6"/>
        <v>3462.6881326788553</v>
      </c>
      <c r="I37" s="607">
        <f t="shared" si="6"/>
        <v>3462.2222516937027</v>
      </c>
      <c r="J37" s="607">
        <f t="shared" si="6"/>
        <v>3466.0926059398853</v>
      </c>
      <c r="K37" s="607">
        <f t="shared" ref="K37:U37" si="7">K35+K36</f>
        <v>3466.0926059398853</v>
      </c>
      <c r="L37" s="607">
        <f t="shared" si="7"/>
        <v>3466.0926059398853</v>
      </c>
      <c r="M37" s="607">
        <f t="shared" si="7"/>
        <v>3466.0926059398853</v>
      </c>
      <c r="N37" s="607">
        <f t="shared" si="7"/>
        <v>3466.0926059398853</v>
      </c>
      <c r="O37" s="607">
        <f t="shared" si="7"/>
        <v>3466.0926059398853</v>
      </c>
      <c r="P37" s="607">
        <f t="shared" si="7"/>
        <v>3466.0926059398853</v>
      </c>
      <c r="Q37" s="607">
        <f t="shared" si="7"/>
        <v>3466.0926059398853</v>
      </c>
      <c r="R37" s="607">
        <f t="shared" si="7"/>
        <v>3466.0926059398853</v>
      </c>
      <c r="S37" s="607">
        <f t="shared" si="7"/>
        <v>3466.0926059398853</v>
      </c>
      <c r="T37" s="607">
        <f t="shared" si="7"/>
        <v>3466.0926059398853</v>
      </c>
      <c r="U37" s="607">
        <f t="shared" si="7"/>
        <v>3466.0926059398853</v>
      </c>
    </row>
    <row r="38" spans="1:21" x14ac:dyDescent="0.25">
      <c r="B38" s="591"/>
      <c r="C38" s="591"/>
      <c r="D38" s="591"/>
      <c r="E38" s="591"/>
      <c r="F38" s="591"/>
      <c r="G38" s="591"/>
      <c r="H38" s="591"/>
      <c r="I38" s="591"/>
      <c r="J38" s="591"/>
      <c r="K38" s="591"/>
      <c r="L38" s="591"/>
      <c r="M38" s="591"/>
      <c r="N38" s="591"/>
      <c r="O38" s="591"/>
      <c r="P38" s="591"/>
      <c r="Q38" s="591"/>
      <c r="R38" s="591"/>
      <c r="S38" s="591"/>
      <c r="T38" s="591"/>
      <c r="U38" s="591"/>
    </row>
    <row r="39" spans="1:21" x14ac:dyDescent="0.25">
      <c r="A39" s="605" t="s">
        <v>580</v>
      </c>
      <c r="B39" s="607">
        <f>B37*'Données PAMCHR'!D79/(1-'Données PAMCHR'!C79)</f>
        <v>277.36198445985832</v>
      </c>
      <c r="C39" s="607">
        <f>C37*'Données PAMCHR'!E79/(1-'Données PAMCHR'!D79)</f>
        <v>419.92996932428571</v>
      </c>
      <c r="D39" s="607">
        <f>D37*'Données PAMCHR'!F79/(1-'Données PAMCHR'!E79)</f>
        <v>627.68971334668515</v>
      </c>
      <c r="E39" s="607">
        <f>E37*'Données PAMCHR'!G79/(1-'Données PAMCHR'!F79)</f>
        <v>759.89872938449821</v>
      </c>
      <c r="F39" s="607">
        <f>F37*'Données PAMCHR'!H79/(1-'Données PAMCHR'!G79)</f>
        <v>865.80441660901727</v>
      </c>
      <c r="G39" s="607">
        <f>G37*'Données PAMCHR'!I79/(1-'Données PAMCHR'!H79)</f>
        <v>865.69452501146384</v>
      </c>
      <c r="H39" s="607">
        <f>H37*'Données PAMCHR'!J79/(1-'Données PAMCHR'!I79)</f>
        <v>865.67203316971381</v>
      </c>
      <c r="I39" s="607">
        <f>I37*'Données PAMCHR'!K79/(1-'Données PAMCHR'!J79)</f>
        <v>865.55556292342567</v>
      </c>
      <c r="J39" s="607">
        <f>J37*'Données PAMCHR'!L79/(1-'Données PAMCHR'!K79)</f>
        <v>866.52315148497132</v>
      </c>
      <c r="K39" s="607">
        <f>K37*'Données PAMCHR'!M79/(1-'Données PAMCHR'!L79)</f>
        <v>866.52315148497132</v>
      </c>
      <c r="L39" s="607">
        <f>L37*'Données PAMCHR'!N79/(1-'Données PAMCHR'!M79)</f>
        <v>866.52315148497132</v>
      </c>
      <c r="M39" s="607">
        <f>M37*'Données PAMCHR'!O79/(1-'Données PAMCHR'!N79)</f>
        <v>866.52315148497132</v>
      </c>
      <c r="N39" s="607">
        <f>N37*'Données PAMCHR'!P79/(1-'Données PAMCHR'!O79)</f>
        <v>866.52315148497132</v>
      </c>
      <c r="O39" s="607">
        <f>O37*'Données PAMCHR'!Q79/(1-'Données PAMCHR'!P79)</f>
        <v>866.52315148497132</v>
      </c>
      <c r="P39" s="607">
        <f>P37*'Données PAMCHR'!R79/(1-'Données PAMCHR'!Q79)</f>
        <v>866.52315148497132</v>
      </c>
      <c r="Q39" s="607">
        <f>Q37*'Données PAMCHR'!S79/(1-'Données PAMCHR'!R79)</f>
        <v>866.52315148497132</v>
      </c>
      <c r="R39" s="607">
        <f>R37*'Données PAMCHR'!T79/(1-'Données PAMCHR'!S79)</f>
        <v>866.52315148497132</v>
      </c>
      <c r="S39" s="607">
        <f>S37*'Données PAMCHR'!U79/(1-'Données PAMCHR'!T79)</f>
        <v>866.52315148497132</v>
      </c>
      <c r="T39" s="607">
        <f>T37*'Données PAMCHR'!V79/(1-'Données PAMCHR'!U79)</f>
        <v>866.52315148497132</v>
      </c>
      <c r="U39" s="607">
        <f>U37*'Données PAMCHR'!W79/(1-'Données PAMCHR'!V79)</f>
        <v>866.52315148497132</v>
      </c>
    </row>
    <row r="40" spans="1:21" x14ac:dyDescent="0.25">
      <c r="B40" s="590"/>
      <c r="C40" s="590"/>
      <c r="D40" s="590"/>
      <c r="E40" s="590"/>
      <c r="F40" s="590"/>
      <c r="G40" s="590"/>
      <c r="H40" s="590"/>
      <c r="I40" s="590"/>
      <c r="J40" s="590"/>
      <c r="K40" s="590"/>
      <c r="L40" s="590"/>
      <c r="M40" s="590"/>
      <c r="N40" s="590"/>
      <c r="O40" s="590"/>
      <c r="P40" s="590"/>
      <c r="Q40" s="590"/>
      <c r="R40" s="590"/>
      <c r="S40" s="590"/>
      <c r="T40" s="590"/>
      <c r="U40" s="590"/>
    </row>
    <row r="41" spans="1:21" x14ac:dyDescent="0.25">
      <c r="A41" s="605" t="s">
        <v>578</v>
      </c>
      <c r="B41" s="607">
        <f t="shared" ref="B41:J41" si="8">B37+B39</f>
        <v>1386.8099222992917</v>
      </c>
      <c r="C41" s="607">
        <f t="shared" si="8"/>
        <v>2099.6498466214284</v>
      </c>
      <c r="D41" s="607">
        <f t="shared" si="8"/>
        <v>3138.4485667334257</v>
      </c>
      <c r="E41" s="607">
        <f t="shared" si="8"/>
        <v>3799.4936469224913</v>
      </c>
      <c r="F41" s="607">
        <f t="shared" si="8"/>
        <v>4329.0220830450862</v>
      </c>
      <c r="G41" s="607">
        <f t="shared" si="8"/>
        <v>4328.4726250573194</v>
      </c>
      <c r="H41" s="607">
        <f t="shared" si="8"/>
        <v>4328.3601658485695</v>
      </c>
      <c r="I41" s="607">
        <f t="shared" si="8"/>
        <v>4327.7778146171286</v>
      </c>
      <c r="J41" s="607">
        <f t="shared" si="8"/>
        <v>4332.6157574248564</v>
      </c>
      <c r="K41" s="607">
        <f t="shared" ref="K41:U41" si="9">K37+K39</f>
        <v>4332.6157574248564</v>
      </c>
      <c r="L41" s="607">
        <f t="shared" si="9"/>
        <v>4332.6157574248564</v>
      </c>
      <c r="M41" s="607">
        <f t="shared" si="9"/>
        <v>4332.6157574248564</v>
      </c>
      <c r="N41" s="607">
        <f t="shared" si="9"/>
        <v>4332.6157574248564</v>
      </c>
      <c r="O41" s="607">
        <f t="shared" si="9"/>
        <v>4332.6157574248564</v>
      </c>
      <c r="P41" s="607">
        <f t="shared" si="9"/>
        <v>4332.6157574248564</v>
      </c>
      <c r="Q41" s="607">
        <f t="shared" si="9"/>
        <v>4332.6157574248564</v>
      </c>
      <c r="R41" s="607">
        <f t="shared" si="9"/>
        <v>4332.6157574248564</v>
      </c>
      <c r="S41" s="607">
        <f t="shared" si="9"/>
        <v>4332.6157574248564</v>
      </c>
      <c r="T41" s="607">
        <f t="shared" si="9"/>
        <v>4332.6157574248564</v>
      </c>
      <c r="U41" s="607">
        <f t="shared" si="9"/>
        <v>4332.6157574248564</v>
      </c>
    </row>
    <row r="43" spans="1:21" x14ac:dyDescent="0.25">
      <c r="A43" s="619" t="s">
        <v>472</v>
      </c>
      <c r="B43" s="591">
        <f>'Données PAMCHR'!D78</f>
        <v>1396.4310417653453</v>
      </c>
      <c r="C43" s="591">
        <f>'Données PAMCHR'!E78</f>
        <v>2094.6465626480176</v>
      </c>
      <c r="D43" s="591">
        <f>'Données PAMCHR'!F78</f>
        <v>3134.3805448319981</v>
      </c>
      <c r="E43" s="591">
        <f>'Données PAMCHR'!G78</f>
        <v>3794.6495700145251</v>
      </c>
      <c r="F43" s="591">
        <f>'Données PAMCHR'!H78</f>
        <v>4325.900509816559</v>
      </c>
      <c r="G43" s="591">
        <f>'Données PAMCHR'!I78</f>
        <v>4325.900509816559</v>
      </c>
      <c r="H43" s="591">
        <f>'Données PAMCHR'!J78</f>
        <v>4325.900509816559</v>
      </c>
      <c r="I43" s="591">
        <f>'Données PAMCHR'!K78</f>
        <v>4325.900509816559</v>
      </c>
      <c r="J43" s="591">
        <f>'Données PAMCHR'!L78</f>
        <v>4325.900509816559</v>
      </c>
      <c r="K43" s="591">
        <f>'Données PAMCHR'!M78</f>
        <v>4325.900509816559</v>
      </c>
      <c r="L43" s="591">
        <f>'Données PAMCHR'!N78</f>
        <v>4325.900509816559</v>
      </c>
      <c r="M43" s="591">
        <f>'Données PAMCHR'!O78</f>
        <v>4325.900509816559</v>
      </c>
      <c r="N43" s="591">
        <f>'Données PAMCHR'!P78</f>
        <v>4325.900509816559</v>
      </c>
      <c r="O43" s="591">
        <f>'Données PAMCHR'!Q78</f>
        <v>4325.900509816559</v>
      </c>
      <c r="P43" s="591">
        <f>'Données PAMCHR'!R78</f>
        <v>4325.900509816559</v>
      </c>
      <c r="Q43" s="591">
        <f>'Données PAMCHR'!S78</f>
        <v>4325.900509816559</v>
      </c>
      <c r="R43" s="591">
        <f>'Données PAMCHR'!T78</f>
        <v>4325.900509816559</v>
      </c>
      <c r="S43" s="591">
        <f>'Données PAMCHR'!U78</f>
        <v>4325.900509816559</v>
      </c>
      <c r="T43" s="591">
        <f>'Données PAMCHR'!V78</f>
        <v>4325.900509816559</v>
      </c>
      <c r="U43" s="591">
        <f>'Données PAMCHR'!W78</f>
        <v>4325.900509816559</v>
      </c>
    </row>
    <row r="44" spans="1:21" x14ac:dyDescent="0.25">
      <c r="A44" s="619" t="s">
        <v>471</v>
      </c>
      <c r="B44" s="591">
        <f>B43-B41</f>
        <v>9.6211194660536421</v>
      </c>
      <c r="C44" s="591">
        <f t="shared" ref="C44:J44" si="10">C43-C41</f>
        <v>-5.0032839734108165</v>
      </c>
      <c r="D44" s="591">
        <f t="shared" si="10"/>
        <v>-4.0680219014275281</v>
      </c>
      <c r="E44" s="591">
        <f t="shared" si="10"/>
        <v>-4.844076907966155</v>
      </c>
      <c r="F44" s="591">
        <f t="shared" si="10"/>
        <v>-3.1215732285272679</v>
      </c>
      <c r="G44" s="591">
        <f t="shared" si="10"/>
        <v>-2.5721152407604677</v>
      </c>
      <c r="H44" s="591">
        <f t="shared" si="10"/>
        <v>-2.4596560320105709</v>
      </c>
      <c r="I44" s="591">
        <f t="shared" si="10"/>
        <v>-1.8773048005696182</v>
      </c>
      <c r="J44" s="591">
        <f t="shared" si="10"/>
        <v>-6.7152476082974317</v>
      </c>
      <c r="K44" s="591">
        <f t="shared" ref="K44:U44" si="11">K43-K41</f>
        <v>-6.7152476082974317</v>
      </c>
      <c r="L44" s="591">
        <f t="shared" si="11"/>
        <v>-6.7152476082974317</v>
      </c>
      <c r="M44" s="591">
        <f t="shared" si="11"/>
        <v>-6.7152476082974317</v>
      </c>
      <c r="N44" s="591">
        <f t="shared" si="11"/>
        <v>-6.7152476082974317</v>
      </c>
      <c r="O44" s="591">
        <f t="shared" si="11"/>
        <v>-6.7152476082974317</v>
      </c>
      <c r="P44" s="591">
        <f t="shared" si="11"/>
        <v>-6.7152476082974317</v>
      </c>
      <c r="Q44" s="591">
        <f t="shared" si="11"/>
        <v>-6.7152476082974317</v>
      </c>
      <c r="R44" s="591">
        <f t="shared" si="11"/>
        <v>-6.7152476082974317</v>
      </c>
      <c r="S44" s="591">
        <f t="shared" si="11"/>
        <v>-6.7152476082974317</v>
      </c>
      <c r="T44" s="591">
        <f t="shared" si="11"/>
        <v>-6.7152476082974317</v>
      </c>
      <c r="U44" s="591">
        <f t="shared" si="11"/>
        <v>-6.7152476082974317</v>
      </c>
    </row>
    <row r="46" spans="1:21" x14ac:dyDescent="0.25">
      <c r="A46" s="619" t="s">
        <v>473</v>
      </c>
      <c r="B46" s="591">
        <f>'Données VAR'!E66-Scénario!B3</f>
        <v>9.2728271267051241</v>
      </c>
      <c r="C46" s="591">
        <f>'Données VAR'!F66-Scénario!C3</f>
        <v>-2.0236179536070722</v>
      </c>
      <c r="D46" s="591">
        <f>'Données VAR'!G66-Scénario!D3</f>
        <v>1.1977851040919631</v>
      </c>
      <c r="E46" s="591">
        <f>'Données VAR'!H66-Scénario!E3</f>
        <v>1.4734813801151176</v>
      </c>
      <c r="F46" s="591">
        <f>'Données VAR'!I66-Scénario!F3</f>
        <v>1.6827535871325381</v>
      </c>
      <c r="G46" s="591">
        <f>'Données VAR'!J66-Scénario!G3</f>
        <v>2.152753587132338</v>
      </c>
      <c r="H46" s="591">
        <f>'Données VAR'!K66-Scénario!H3</f>
        <v>3.1577535871329019</v>
      </c>
      <c r="I46" s="591">
        <f>'Données VAR'!L66-Scénario!I3</f>
        <v>4.1627535871321015</v>
      </c>
      <c r="J46" s="591">
        <f>'Données VAR'!M66-Scénario!J3</f>
        <v>0.10275358713261085</v>
      </c>
      <c r="K46" s="591">
        <f>'Données VAR'!N66-Scénario!K3</f>
        <v>0.10275358713261085</v>
      </c>
      <c r="L46" s="591">
        <f>'Données VAR'!O66-Scénario!L3</f>
        <v>0.10275358713261085</v>
      </c>
      <c r="M46" s="591">
        <f>'Données VAR'!P66-Scénario!M3</f>
        <v>0.10275358713261085</v>
      </c>
      <c r="N46" s="591">
        <f>'Données VAR'!Q66-Scénario!N3</f>
        <v>0.10275358713261085</v>
      </c>
      <c r="O46" s="591">
        <f>'Données VAR'!R66-Scénario!O3</f>
        <v>0.10275358713261085</v>
      </c>
      <c r="P46" s="591">
        <f>'Données VAR'!S66-Scénario!P3</f>
        <v>0.10275358713261085</v>
      </c>
      <c r="Q46" s="591">
        <f>'Données VAR'!T66-Scénario!Q3</f>
        <v>0.10275358713261085</v>
      </c>
      <c r="R46" s="591">
        <f>'Données VAR'!U66-Scénario!R3</f>
        <v>0.10275358713261085</v>
      </c>
      <c r="S46" s="591">
        <f>'Données VAR'!V66-Scénario!S3</f>
        <v>0.10275358713261085</v>
      </c>
      <c r="T46" s="591">
        <f>'Données VAR'!W66-Scénario!T3</f>
        <v>0.10275358713261085</v>
      </c>
      <c r="U46" s="591">
        <f>'Données VAR'!X66-Scénario!U3</f>
        <v>0.10275358713261085</v>
      </c>
    </row>
  </sheetData>
  <phoneticPr fontId="75" type="noConversion"/>
  <pageMargins left="0.7" right="0.7" top="0.75" bottom="0.75" header="0.3" footer="0.3"/>
  <pageSetup paperSize="9" scale="8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AG76"/>
  <sheetViews>
    <sheetView zoomScale="125" workbookViewId="0">
      <selection activeCell="E65" sqref="E65"/>
    </sheetView>
  </sheetViews>
  <sheetFormatPr baseColWidth="10" defaultRowHeight="12.75" x14ac:dyDescent="0.2"/>
  <cols>
    <col min="1" max="1" width="13.42578125" customWidth="1"/>
    <col min="2" max="2" width="13.28515625" customWidth="1"/>
    <col min="3" max="3" width="12.7109375" customWidth="1"/>
    <col min="4" max="4" width="12.5703125" bestFit="1" customWidth="1"/>
    <col min="5" max="7" width="12.140625" bestFit="1" customWidth="1"/>
    <col min="17" max="17" width="10.5703125" customWidth="1"/>
  </cols>
  <sheetData>
    <row r="1" spans="1:23" ht="26.25" x14ac:dyDescent="0.4">
      <c r="A1" s="9" t="s">
        <v>1085</v>
      </c>
    </row>
    <row r="4" spans="1:23" x14ac:dyDescent="0.2">
      <c r="A4" s="12" t="s">
        <v>1109</v>
      </c>
    </row>
    <row r="5" spans="1:23" x14ac:dyDescent="0.2">
      <c r="A5" s="1348" t="s">
        <v>1088</v>
      </c>
      <c r="B5" s="1348"/>
      <c r="C5" t="s">
        <v>1089</v>
      </c>
    </row>
    <row r="7" spans="1:23" ht="13.5" thickBot="1" x14ac:dyDescent="0.25">
      <c r="C7" s="65" t="s">
        <v>835</v>
      </c>
      <c r="D7" s="65" t="s">
        <v>945</v>
      </c>
      <c r="E7" s="65" t="s">
        <v>946</v>
      </c>
      <c r="F7" s="65" t="s">
        <v>947</v>
      </c>
      <c r="G7" s="65" t="s">
        <v>948</v>
      </c>
      <c r="H7" s="65" t="s">
        <v>949</v>
      </c>
      <c r="I7" s="65" t="s">
        <v>846</v>
      </c>
      <c r="J7" s="65" t="s">
        <v>847</v>
      </c>
      <c r="K7" s="65" t="s">
        <v>848</v>
      </c>
      <c r="L7" s="65" t="s">
        <v>849</v>
      </c>
      <c r="M7" s="65" t="s">
        <v>509</v>
      </c>
      <c r="N7" s="65" t="s">
        <v>510</v>
      </c>
      <c r="O7" s="65" t="s">
        <v>368</v>
      </c>
      <c r="P7" s="65" t="s">
        <v>369</v>
      </c>
      <c r="Q7" s="65" t="s">
        <v>370</v>
      </c>
      <c r="R7" s="65" t="s">
        <v>371</v>
      </c>
      <c r="S7" s="65" t="s">
        <v>372</v>
      </c>
      <c r="T7" s="65" t="s">
        <v>373</v>
      </c>
      <c r="U7" s="65" t="s">
        <v>374</v>
      </c>
      <c r="V7" s="65" t="s">
        <v>375</v>
      </c>
      <c r="W7" s="65" t="s">
        <v>376</v>
      </c>
    </row>
    <row r="8" spans="1:23" ht="14.25" thickTop="1" thickBot="1" x14ac:dyDescent="0.25">
      <c r="A8" s="1266" t="s">
        <v>1102</v>
      </c>
      <c r="B8" s="1267"/>
      <c r="C8" s="413">
        <f>D8</f>
        <v>24.77</v>
      </c>
      <c r="D8" s="408">
        <v>24.77</v>
      </c>
      <c r="E8" s="412">
        <f>$D$8</f>
        <v>24.77</v>
      </c>
      <c r="F8" s="412">
        <f>$D$8</f>
        <v>24.77</v>
      </c>
      <c r="G8" s="412">
        <f t="shared" ref="G8:W8" si="0">$D$8</f>
        <v>24.77</v>
      </c>
      <c r="H8" s="412">
        <f t="shared" si="0"/>
        <v>24.77</v>
      </c>
      <c r="I8" s="412">
        <f t="shared" si="0"/>
        <v>24.77</v>
      </c>
      <c r="J8" s="412">
        <f t="shared" si="0"/>
        <v>24.77</v>
      </c>
      <c r="K8" s="412">
        <f t="shared" si="0"/>
        <v>24.77</v>
      </c>
      <c r="L8" s="412">
        <f t="shared" si="0"/>
        <v>24.77</v>
      </c>
      <c r="M8" s="412">
        <f t="shared" si="0"/>
        <v>24.77</v>
      </c>
      <c r="N8" s="412">
        <f t="shared" si="0"/>
        <v>24.77</v>
      </c>
      <c r="O8" s="412">
        <f t="shared" si="0"/>
        <v>24.77</v>
      </c>
      <c r="P8" s="412">
        <f t="shared" si="0"/>
        <v>24.77</v>
      </c>
      <c r="Q8" s="412">
        <f t="shared" si="0"/>
        <v>24.77</v>
      </c>
      <c r="R8" s="412">
        <f t="shared" si="0"/>
        <v>24.77</v>
      </c>
      <c r="S8" s="412">
        <f t="shared" si="0"/>
        <v>24.77</v>
      </c>
      <c r="T8" s="412">
        <f t="shared" si="0"/>
        <v>24.77</v>
      </c>
      <c r="U8" s="412">
        <f t="shared" si="0"/>
        <v>24.77</v>
      </c>
      <c r="V8" s="412">
        <f t="shared" si="0"/>
        <v>24.77</v>
      </c>
      <c r="W8" s="412">
        <f t="shared" si="0"/>
        <v>24.77</v>
      </c>
    </row>
    <row r="9" spans="1:23" ht="13.5" thickTop="1" x14ac:dyDescent="0.2">
      <c r="A9" s="1266" t="s">
        <v>1087</v>
      </c>
      <c r="B9" s="1266"/>
      <c r="C9" s="56">
        <f>'Données gestion'!C9</f>
        <v>1.4</v>
      </c>
      <c r="D9" s="56">
        <f>'Données gestion'!D9</f>
        <v>1.4</v>
      </c>
      <c r="E9" s="52">
        <f>'Données gestion'!E9</f>
        <v>1.4</v>
      </c>
      <c r="F9" s="52">
        <f>'Données gestion'!F9</f>
        <v>1.4</v>
      </c>
      <c r="G9" s="52">
        <f>'Données gestion'!G9</f>
        <v>1.4</v>
      </c>
      <c r="H9" s="52">
        <f>'Données gestion'!H9</f>
        <v>1.4</v>
      </c>
      <c r="I9" s="52">
        <f>'Données gestion'!I9</f>
        <v>1.4</v>
      </c>
      <c r="J9" s="52">
        <f>'Données gestion'!J9</f>
        <v>1.4</v>
      </c>
      <c r="K9" s="52">
        <f>'Données gestion'!K9</f>
        <v>1.4</v>
      </c>
      <c r="L9" s="52">
        <f>'Données gestion'!L9</f>
        <v>1.4</v>
      </c>
      <c r="M9" s="52">
        <f>'Données gestion'!M9</f>
        <v>1.4</v>
      </c>
      <c r="N9" s="52">
        <f>'Données gestion'!N9</f>
        <v>1.4</v>
      </c>
      <c r="O9" s="52">
        <f>'Données gestion'!O9</f>
        <v>1.4</v>
      </c>
      <c r="P9" s="52">
        <f>'Données gestion'!P9</f>
        <v>1.4</v>
      </c>
      <c r="Q9" s="52">
        <f>'Données gestion'!Q9</f>
        <v>1.4</v>
      </c>
      <c r="R9" s="52">
        <f>'Données gestion'!R9</f>
        <v>1.4</v>
      </c>
      <c r="S9" s="52">
        <f>'Données gestion'!S9</f>
        <v>1.4</v>
      </c>
      <c r="T9" s="52">
        <f>'Données gestion'!T9</f>
        <v>1.4</v>
      </c>
      <c r="U9" s="52">
        <f>'Données gestion'!U9</f>
        <v>1.4</v>
      </c>
      <c r="V9" s="52">
        <f>'Données gestion'!V9</f>
        <v>1.4</v>
      </c>
      <c r="W9" s="52">
        <f>'Données gestion'!W9</f>
        <v>1.4</v>
      </c>
    </row>
    <row r="10" spans="1:23" x14ac:dyDescent="0.2">
      <c r="A10" s="1266" t="s">
        <v>1086</v>
      </c>
      <c r="B10" s="1266"/>
      <c r="C10" s="28">
        <f t="shared" ref="C10:J10" si="1">C8/C9</f>
        <v>17.692857142857143</v>
      </c>
      <c r="D10" s="28">
        <f t="shared" si="1"/>
        <v>17.692857142857143</v>
      </c>
      <c r="E10" s="28">
        <f t="shared" si="1"/>
        <v>17.692857142857143</v>
      </c>
      <c r="F10" s="28">
        <f t="shared" si="1"/>
        <v>17.692857142857143</v>
      </c>
      <c r="G10" s="28">
        <f t="shared" si="1"/>
        <v>17.692857142857143</v>
      </c>
      <c r="H10" s="28">
        <f t="shared" si="1"/>
        <v>17.692857142857143</v>
      </c>
      <c r="I10" s="28">
        <f t="shared" si="1"/>
        <v>17.692857142857143</v>
      </c>
      <c r="J10" s="28">
        <f t="shared" si="1"/>
        <v>17.692857142857143</v>
      </c>
      <c r="K10" s="28">
        <f>K8/K9</f>
        <v>17.692857142857143</v>
      </c>
      <c r="L10" s="28">
        <f>L8/L9</f>
        <v>17.692857142857143</v>
      </c>
      <c r="M10" s="28">
        <f t="shared" ref="M10:W10" si="2">M8/M9</f>
        <v>17.692857142857143</v>
      </c>
      <c r="N10" s="28">
        <f t="shared" si="2"/>
        <v>17.692857142857143</v>
      </c>
      <c r="O10" s="28">
        <f t="shared" si="2"/>
        <v>17.692857142857143</v>
      </c>
      <c r="P10" s="28">
        <f t="shared" si="2"/>
        <v>17.692857142857143</v>
      </c>
      <c r="Q10" s="28">
        <f t="shared" si="2"/>
        <v>17.692857142857143</v>
      </c>
      <c r="R10" s="28">
        <f t="shared" si="2"/>
        <v>17.692857142857143</v>
      </c>
      <c r="S10" s="28">
        <f t="shared" si="2"/>
        <v>17.692857142857143</v>
      </c>
      <c r="T10" s="28">
        <f t="shared" si="2"/>
        <v>17.692857142857143</v>
      </c>
      <c r="U10" s="28">
        <f t="shared" si="2"/>
        <v>17.692857142857143</v>
      </c>
      <c r="V10" s="28">
        <f t="shared" si="2"/>
        <v>17.692857142857143</v>
      </c>
      <c r="W10" s="28">
        <f t="shared" si="2"/>
        <v>17.692857142857143</v>
      </c>
    </row>
    <row r="13" spans="1:23" x14ac:dyDescent="0.2">
      <c r="A13" s="12" t="s">
        <v>19</v>
      </c>
    </row>
    <row r="14" spans="1:23" x14ac:dyDescent="0.2">
      <c r="C14" s="65" t="s">
        <v>835</v>
      </c>
      <c r="D14" s="65" t="s">
        <v>945</v>
      </c>
      <c r="E14" s="65" t="s">
        <v>946</v>
      </c>
      <c r="F14" s="65" t="s">
        <v>947</v>
      </c>
      <c r="G14" s="65" t="s">
        <v>948</v>
      </c>
      <c r="H14" s="65" t="s">
        <v>949</v>
      </c>
      <c r="I14" s="65" t="s">
        <v>846</v>
      </c>
      <c r="J14" s="65" t="s">
        <v>847</v>
      </c>
      <c r="K14" s="65" t="s">
        <v>848</v>
      </c>
      <c r="L14" s="65" t="s">
        <v>849</v>
      </c>
      <c r="M14" s="65" t="s">
        <v>509</v>
      </c>
      <c r="N14" s="65" t="s">
        <v>510</v>
      </c>
      <c r="O14" s="65" t="s">
        <v>368</v>
      </c>
      <c r="P14" s="65" t="s">
        <v>369</v>
      </c>
      <c r="Q14" s="65" t="s">
        <v>370</v>
      </c>
      <c r="R14" s="65" t="s">
        <v>371</v>
      </c>
      <c r="S14" s="65" t="s">
        <v>372</v>
      </c>
      <c r="T14" s="65" t="s">
        <v>373</v>
      </c>
      <c r="U14" s="65" t="s">
        <v>374</v>
      </c>
      <c r="V14" s="65" t="s">
        <v>375</v>
      </c>
      <c r="W14" s="65" t="s">
        <v>376</v>
      </c>
    </row>
    <row r="15" spans="1:23" x14ac:dyDescent="0.2">
      <c r="A15" s="1266" t="s">
        <v>1086</v>
      </c>
      <c r="B15" s="1266"/>
      <c r="C15" s="28">
        <f>C10</f>
        <v>17.692857142857143</v>
      </c>
      <c r="D15" s="28">
        <f t="shared" ref="D15:W15" si="3">D10</f>
        <v>17.692857142857143</v>
      </c>
      <c r="E15" s="28">
        <f t="shared" si="3"/>
        <v>17.692857142857143</v>
      </c>
      <c r="F15" s="28">
        <f t="shared" si="3"/>
        <v>17.692857142857143</v>
      </c>
      <c r="G15" s="28">
        <f t="shared" si="3"/>
        <v>17.692857142857143</v>
      </c>
      <c r="H15" s="28">
        <f t="shared" si="3"/>
        <v>17.692857142857143</v>
      </c>
      <c r="I15" s="28">
        <f t="shared" si="3"/>
        <v>17.692857142857143</v>
      </c>
      <c r="J15" s="28">
        <f t="shared" si="3"/>
        <v>17.692857142857143</v>
      </c>
      <c r="K15" s="28">
        <f t="shared" si="3"/>
        <v>17.692857142857143</v>
      </c>
      <c r="L15" s="28">
        <f t="shared" si="3"/>
        <v>17.692857142857143</v>
      </c>
      <c r="M15" s="28">
        <f t="shared" si="3"/>
        <v>17.692857142857143</v>
      </c>
      <c r="N15" s="28">
        <f t="shared" si="3"/>
        <v>17.692857142857143</v>
      </c>
      <c r="O15" s="28">
        <f t="shared" si="3"/>
        <v>17.692857142857143</v>
      </c>
      <c r="P15" s="28">
        <f t="shared" si="3"/>
        <v>17.692857142857143</v>
      </c>
      <c r="Q15" s="28">
        <f t="shared" si="3"/>
        <v>17.692857142857143</v>
      </c>
      <c r="R15" s="28">
        <f t="shared" si="3"/>
        <v>17.692857142857143</v>
      </c>
      <c r="S15" s="28">
        <f t="shared" si="3"/>
        <v>17.692857142857143</v>
      </c>
      <c r="T15" s="28">
        <f t="shared" si="3"/>
        <v>17.692857142857143</v>
      </c>
      <c r="U15" s="28">
        <f t="shared" si="3"/>
        <v>17.692857142857143</v>
      </c>
      <c r="V15" s="28">
        <f t="shared" si="3"/>
        <v>17.692857142857143</v>
      </c>
      <c r="W15" s="28">
        <f t="shared" si="3"/>
        <v>17.692857142857143</v>
      </c>
    </row>
    <row r="16" spans="1:23" x14ac:dyDescent="0.2">
      <c r="D16" s="364">
        <f>D15*D9</f>
        <v>24.77</v>
      </c>
    </row>
    <row r="19" spans="1:25" x14ac:dyDescent="0.2">
      <c r="A19" s="12" t="s">
        <v>20</v>
      </c>
    </row>
    <row r="20" spans="1:25" x14ac:dyDescent="0.2">
      <c r="D20" s="65" t="s">
        <v>835</v>
      </c>
      <c r="E20" s="65" t="s">
        <v>945</v>
      </c>
      <c r="F20" s="65" t="s">
        <v>946</v>
      </c>
      <c r="G20" s="65" t="s">
        <v>947</v>
      </c>
      <c r="H20" s="65" t="s">
        <v>948</v>
      </c>
      <c r="I20" s="65" t="s">
        <v>949</v>
      </c>
      <c r="J20" s="65" t="s">
        <v>846</v>
      </c>
      <c r="K20" s="65" t="s">
        <v>847</v>
      </c>
      <c r="L20" s="65" t="s">
        <v>848</v>
      </c>
      <c r="M20" s="65" t="s">
        <v>849</v>
      </c>
      <c r="N20" s="65" t="s">
        <v>509</v>
      </c>
      <c r="O20" s="65" t="s">
        <v>510</v>
      </c>
      <c r="P20" s="65" t="s">
        <v>368</v>
      </c>
      <c r="Q20" s="65" t="s">
        <v>369</v>
      </c>
      <c r="R20" s="65" t="s">
        <v>370</v>
      </c>
      <c r="S20" s="65" t="s">
        <v>371</v>
      </c>
      <c r="T20" s="65" t="s">
        <v>372</v>
      </c>
      <c r="U20" s="65" t="s">
        <v>373</v>
      </c>
      <c r="V20" s="65" t="s">
        <v>374</v>
      </c>
      <c r="W20" s="65" t="s">
        <v>375</v>
      </c>
      <c r="X20" s="65" t="s">
        <v>376</v>
      </c>
    </row>
    <row r="21" spans="1:25" x14ac:dyDescent="0.2">
      <c r="A21" s="1266" t="s">
        <v>71</v>
      </c>
      <c r="B21" s="1266"/>
      <c r="C21" s="1266"/>
      <c r="D21" s="18">
        <v>0.14000000000000001</v>
      </c>
      <c r="E21" s="18">
        <v>0.14000000000000001</v>
      </c>
      <c r="F21" s="18">
        <v>0.14000000000000001</v>
      </c>
      <c r="G21" s="18">
        <v>0.14000000000000001</v>
      </c>
      <c r="H21" s="18">
        <v>0.14000000000000001</v>
      </c>
      <c r="I21" s="18">
        <v>0.14000000000000001</v>
      </c>
      <c r="J21" s="18">
        <v>0.14000000000000001</v>
      </c>
      <c r="K21" s="18">
        <v>0.14000000000000001</v>
      </c>
      <c r="L21" s="18">
        <v>0.14000000000000001</v>
      </c>
      <c r="M21" s="18">
        <v>0.14000000000000001</v>
      </c>
      <c r="N21" s="18">
        <v>0.14000000000000001</v>
      </c>
      <c r="O21" s="18">
        <v>0.14000000000000001</v>
      </c>
      <c r="P21" s="18">
        <v>0.14000000000000001</v>
      </c>
      <c r="Q21" s="18">
        <v>0.14000000000000001</v>
      </c>
      <c r="R21" s="18">
        <v>0.14000000000000001</v>
      </c>
      <c r="S21" s="18">
        <v>0.14000000000000001</v>
      </c>
      <c r="T21" s="18">
        <v>0.14000000000000001</v>
      </c>
      <c r="U21" s="18">
        <v>0.14000000000000001</v>
      </c>
      <c r="V21" s="18">
        <v>0.14000000000000001</v>
      </c>
      <c r="W21" s="18">
        <v>0.14000000000000001</v>
      </c>
      <c r="X21" s="18">
        <v>0.14000000000000001</v>
      </c>
      <c r="Y21" t="s">
        <v>72</v>
      </c>
    </row>
    <row r="22" spans="1:25" x14ac:dyDescent="0.2">
      <c r="A22" s="1266" t="s">
        <v>73</v>
      </c>
      <c r="B22" s="1266"/>
      <c r="C22" s="1266"/>
      <c r="D22" s="28">
        <f t="shared" ref="D22:M22" si="4">C10*D21</f>
        <v>2.4770000000000003</v>
      </c>
      <c r="E22" s="28">
        <f t="shared" si="4"/>
        <v>2.4770000000000003</v>
      </c>
      <c r="F22" s="28">
        <f t="shared" si="4"/>
        <v>2.4770000000000003</v>
      </c>
      <c r="G22" s="28">
        <f t="shared" si="4"/>
        <v>2.4770000000000003</v>
      </c>
      <c r="H22" s="28">
        <f t="shared" si="4"/>
        <v>2.4770000000000003</v>
      </c>
      <c r="I22" s="28">
        <f t="shared" si="4"/>
        <v>2.4770000000000003</v>
      </c>
      <c r="J22" s="28">
        <f t="shared" si="4"/>
        <v>2.4770000000000003</v>
      </c>
      <c r="K22" s="28">
        <f t="shared" si="4"/>
        <v>2.4770000000000003</v>
      </c>
      <c r="L22" s="28">
        <f t="shared" si="4"/>
        <v>2.4770000000000003</v>
      </c>
      <c r="M22" s="28">
        <f t="shared" si="4"/>
        <v>2.4770000000000003</v>
      </c>
      <c r="N22" s="28">
        <f t="shared" ref="N22:X22" si="5">M10*N21</f>
        <v>2.4770000000000003</v>
      </c>
      <c r="O22" s="28">
        <f t="shared" si="5"/>
        <v>2.4770000000000003</v>
      </c>
      <c r="P22" s="28">
        <f t="shared" si="5"/>
        <v>2.4770000000000003</v>
      </c>
      <c r="Q22" s="28">
        <f t="shared" si="5"/>
        <v>2.4770000000000003</v>
      </c>
      <c r="R22" s="28">
        <f t="shared" si="5"/>
        <v>2.4770000000000003</v>
      </c>
      <c r="S22" s="28">
        <f t="shared" si="5"/>
        <v>2.4770000000000003</v>
      </c>
      <c r="T22" s="28">
        <f t="shared" si="5"/>
        <v>2.4770000000000003</v>
      </c>
      <c r="U22" s="28">
        <f t="shared" si="5"/>
        <v>2.4770000000000003</v>
      </c>
      <c r="V22" s="28">
        <f t="shared" si="5"/>
        <v>2.4770000000000003</v>
      </c>
      <c r="W22" s="28">
        <f t="shared" si="5"/>
        <v>2.4770000000000003</v>
      </c>
      <c r="X22" s="28">
        <f t="shared" si="5"/>
        <v>2.4770000000000003</v>
      </c>
      <c r="Y22" s="97" t="s">
        <v>76</v>
      </c>
    </row>
    <row r="23" spans="1:25" x14ac:dyDescent="0.2">
      <c r="A23" s="1266" t="s">
        <v>74</v>
      </c>
      <c r="B23" s="1266"/>
      <c r="C23" s="1266"/>
      <c r="D23" s="28">
        <f t="shared" ref="D23:M23" si="6">C10*D33</f>
        <v>3.5385714285714287</v>
      </c>
      <c r="E23" s="28">
        <f t="shared" si="6"/>
        <v>3.5385714285714287</v>
      </c>
      <c r="F23" s="28">
        <f t="shared" si="6"/>
        <v>3.5385714285714287</v>
      </c>
      <c r="G23" s="28">
        <f t="shared" si="6"/>
        <v>3.5385714285714287</v>
      </c>
      <c r="H23" s="28">
        <f t="shared" si="6"/>
        <v>3.5385714285714287</v>
      </c>
      <c r="I23" s="28">
        <f t="shared" si="6"/>
        <v>3.5385714285714287</v>
      </c>
      <c r="J23" s="28">
        <f t="shared" si="6"/>
        <v>3.5385714285714287</v>
      </c>
      <c r="K23" s="28">
        <f t="shared" si="6"/>
        <v>3.5385714285714287</v>
      </c>
      <c r="L23" s="28">
        <f t="shared" si="6"/>
        <v>3.5385714285714287</v>
      </c>
      <c r="M23" s="28">
        <f t="shared" si="6"/>
        <v>3.5385714285714287</v>
      </c>
      <c r="N23" s="28">
        <f t="shared" ref="N23:X23" si="7">M10*N33</f>
        <v>3.5385714285714287</v>
      </c>
      <c r="O23" s="28">
        <f t="shared" si="7"/>
        <v>3.5385714285714287</v>
      </c>
      <c r="P23" s="28">
        <f t="shared" si="7"/>
        <v>3.5385714285714287</v>
      </c>
      <c r="Q23" s="28">
        <f t="shared" si="7"/>
        <v>3.5385714285714287</v>
      </c>
      <c r="R23" s="28">
        <f t="shared" si="7"/>
        <v>3.5385714285714287</v>
      </c>
      <c r="S23" s="28">
        <f t="shared" si="7"/>
        <v>3.5385714285714287</v>
      </c>
      <c r="T23" s="28">
        <f t="shared" si="7"/>
        <v>3.5385714285714287</v>
      </c>
      <c r="U23" s="28">
        <f t="shared" si="7"/>
        <v>3.5385714285714287</v>
      </c>
      <c r="V23" s="28">
        <f t="shared" si="7"/>
        <v>3.5385714285714287</v>
      </c>
      <c r="W23" s="28">
        <f t="shared" si="7"/>
        <v>3.5385714285714287</v>
      </c>
      <c r="X23" s="28">
        <f t="shared" si="7"/>
        <v>3.5385714285714287</v>
      </c>
    </row>
    <row r="24" spans="1:25" x14ac:dyDescent="0.2">
      <c r="A24" s="1266" t="s">
        <v>75</v>
      </c>
      <c r="B24" s="1266"/>
      <c r="C24" s="1266"/>
      <c r="D24" s="28">
        <f t="shared" ref="D24:M24" si="8">C10*D32</f>
        <v>6.7232857142857148</v>
      </c>
      <c r="E24" s="28">
        <f t="shared" si="8"/>
        <v>6.7232857142857148</v>
      </c>
      <c r="F24" s="28">
        <f t="shared" si="8"/>
        <v>6.7232857142857148</v>
      </c>
      <c r="G24" s="28">
        <f t="shared" si="8"/>
        <v>6.7232857142857148</v>
      </c>
      <c r="H24" s="28">
        <f t="shared" si="8"/>
        <v>6.7232857142857148</v>
      </c>
      <c r="I24" s="28">
        <f t="shared" si="8"/>
        <v>6.7232857142857148</v>
      </c>
      <c r="J24" s="28">
        <f t="shared" si="8"/>
        <v>6.7232857142857148</v>
      </c>
      <c r="K24" s="28">
        <f t="shared" si="8"/>
        <v>6.7232857142857148</v>
      </c>
      <c r="L24" s="28">
        <f t="shared" si="8"/>
        <v>6.7232857142857148</v>
      </c>
      <c r="M24" s="28">
        <f t="shared" si="8"/>
        <v>6.7232857142857148</v>
      </c>
      <c r="N24" s="28">
        <f t="shared" ref="N24:X24" si="9">M10*N32</f>
        <v>6.7232857142857148</v>
      </c>
      <c r="O24" s="28">
        <f t="shared" si="9"/>
        <v>6.7232857142857148</v>
      </c>
      <c r="P24" s="28">
        <f t="shared" si="9"/>
        <v>6.7232857142857148</v>
      </c>
      <c r="Q24" s="28">
        <f t="shared" si="9"/>
        <v>6.7232857142857148</v>
      </c>
      <c r="R24" s="28">
        <f t="shared" si="9"/>
        <v>6.7232857142857148</v>
      </c>
      <c r="S24" s="28">
        <f t="shared" si="9"/>
        <v>6.7232857142857148</v>
      </c>
      <c r="T24" s="28">
        <f t="shared" si="9"/>
        <v>6.7232857142857148</v>
      </c>
      <c r="U24" s="28">
        <f t="shared" si="9"/>
        <v>6.7232857142857148</v>
      </c>
      <c r="V24" s="28">
        <f t="shared" si="9"/>
        <v>6.7232857142857148</v>
      </c>
      <c r="W24" s="28">
        <f t="shared" si="9"/>
        <v>6.7232857142857148</v>
      </c>
      <c r="X24" s="28">
        <f t="shared" si="9"/>
        <v>6.7232857142857148</v>
      </c>
    </row>
    <row r="29" spans="1:25" x14ac:dyDescent="0.2">
      <c r="A29" s="12" t="s">
        <v>323</v>
      </c>
    </row>
    <row r="30" spans="1:25" x14ac:dyDescent="0.2">
      <c r="A30" t="s">
        <v>1089</v>
      </c>
    </row>
    <row r="31" spans="1:25" x14ac:dyDescent="0.2">
      <c r="D31" s="65" t="s">
        <v>835</v>
      </c>
      <c r="E31" s="65" t="s">
        <v>945</v>
      </c>
      <c r="F31" s="65" t="s">
        <v>946</v>
      </c>
      <c r="G31" s="65" t="s">
        <v>947</v>
      </c>
      <c r="H31" s="65" t="s">
        <v>948</v>
      </c>
      <c r="I31" s="65" t="s">
        <v>949</v>
      </c>
      <c r="J31" s="65" t="s">
        <v>846</v>
      </c>
      <c r="K31" s="65" t="s">
        <v>847</v>
      </c>
      <c r="L31" s="65" t="s">
        <v>848</v>
      </c>
      <c r="M31" s="65" t="s">
        <v>849</v>
      </c>
      <c r="N31" s="65" t="s">
        <v>509</v>
      </c>
      <c r="O31" s="65" t="s">
        <v>510</v>
      </c>
      <c r="P31" s="65" t="s">
        <v>368</v>
      </c>
      <c r="Q31" s="65" t="s">
        <v>369</v>
      </c>
      <c r="R31" s="65" t="s">
        <v>370</v>
      </c>
      <c r="S31" s="65" t="s">
        <v>371</v>
      </c>
      <c r="T31" s="65" t="s">
        <v>372</v>
      </c>
      <c r="U31" s="65" t="s">
        <v>373</v>
      </c>
      <c r="V31" s="65" t="s">
        <v>374</v>
      </c>
      <c r="W31" s="65" t="s">
        <v>375</v>
      </c>
      <c r="X31" s="65" t="s">
        <v>376</v>
      </c>
    </row>
    <row r="32" spans="1:25" x14ac:dyDescent="0.2">
      <c r="A32" s="1266" t="s">
        <v>1152</v>
      </c>
      <c r="B32" s="1266"/>
      <c r="C32" s="1266"/>
      <c r="D32" s="18">
        <v>0.38</v>
      </c>
      <c r="E32" s="18">
        <v>0.38</v>
      </c>
      <c r="F32" s="18">
        <v>0.38</v>
      </c>
      <c r="G32" s="18">
        <v>0.38</v>
      </c>
      <c r="H32" s="18">
        <v>0.38</v>
      </c>
      <c r="I32" s="18">
        <v>0.38</v>
      </c>
      <c r="J32" s="18">
        <v>0.38</v>
      </c>
      <c r="K32" s="18">
        <v>0.38</v>
      </c>
      <c r="L32" s="18">
        <v>0.38</v>
      </c>
      <c r="M32" s="18">
        <v>0.38</v>
      </c>
      <c r="N32" s="18">
        <v>0.38</v>
      </c>
      <c r="O32" s="18">
        <v>0.38</v>
      </c>
      <c r="P32" s="18">
        <v>0.38</v>
      </c>
      <c r="Q32" s="18">
        <v>0.38</v>
      </c>
      <c r="R32" s="18">
        <v>0.38</v>
      </c>
      <c r="S32" s="18">
        <v>0.38</v>
      </c>
      <c r="T32" s="18">
        <v>0.38</v>
      </c>
      <c r="U32" s="18">
        <v>0.38</v>
      </c>
      <c r="V32" s="18">
        <v>0.38</v>
      </c>
      <c r="W32" s="18">
        <v>0.38</v>
      </c>
      <c r="X32" s="18">
        <v>0.38</v>
      </c>
    </row>
    <row r="33" spans="1:25" x14ac:dyDescent="0.2">
      <c r="A33" s="1266" t="s">
        <v>1151</v>
      </c>
      <c r="B33" s="1266"/>
      <c r="C33" s="1266"/>
      <c r="D33" s="18">
        <v>0.2</v>
      </c>
      <c r="E33" s="18">
        <v>0.2</v>
      </c>
      <c r="F33" s="18">
        <v>0.2</v>
      </c>
      <c r="G33" s="18">
        <v>0.2</v>
      </c>
      <c r="H33" s="18">
        <v>0.2</v>
      </c>
      <c r="I33" s="18">
        <v>0.2</v>
      </c>
      <c r="J33" s="18">
        <v>0.2</v>
      </c>
      <c r="K33" s="18">
        <v>0.2</v>
      </c>
      <c r="L33" s="18">
        <v>0.2</v>
      </c>
      <c r="M33" s="18">
        <v>0.2</v>
      </c>
      <c r="N33" s="18">
        <v>0.2</v>
      </c>
      <c r="O33" s="18">
        <v>0.2</v>
      </c>
      <c r="P33" s="18">
        <v>0.2</v>
      </c>
      <c r="Q33" s="18">
        <v>0.2</v>
      </c>
      <c r="R33" s="18">
        <v>0.2</v>
      </c>
      <c r="S33" s="18">
        <v>0.2</v>
      </c>
      <c r="T33" s="18">
        <v>0.2</v>
      </c>
      <c r="U33" s="18">
        <v>0.2</v>
      </c>
      <c r="V33" s="18">
        <v>0.2</v>
      </c>
      <c r="W33" s="18">
        <v>0.2</v>
      </c>
      <c r="X33" s="18">
        <v>0.2</v>
      </c>
    </row>
    <row r="34" spans="1:25" x14ac:dyDescent="0.2">
      <c r="A34" s="1266" t="s">
        <v>1153</v>
      </c>
      <c r="B34" s="1266"/>
      <c r="C34" s="1266"/>
      <c r="D34" s="28">
        <f t="shared" ref="D34:N34" si="10">C10*D32</f>
        <v>6.7232857142857148</v>
      </c>
      <c r="E34" s="28">
        <f t="shared" si="10"/>
        <v>6.7232857142857148</v>
      </c>
      <c r="F34" s="28">
        <f t="shared" si="10"/>
        <v>6.7232857142857148</v>
      </c>
      <c r="G34" s="28">
        <f t="shared" si="10"/>
        <v>6.7232857142857148</v>
      </c>
      <c r="H34" s="28">
        <f t="shared" si="10"/>
        <v>6.7232857142857148</v>
      </c>
      <c r="I34" s="28">
        <f t="shared" si="10"/>
        <v>6.7232857142857148</v>
      </c>
      <c r="J34" s="28">
        <f t="shared" si="10"/>
        <v>6.7232857142857148</v>
      </c>
      <c r="K34" s="28">
        <f t="shared" si="10"/>
        <v>6.7232857142857148</v>
      </c>
      <c r="L34" s="28">
        <f t="shared" si="10"/>
        <v>6.7232857142857148</v>
      </c>
      <c r="M34" s="28">
        <f t="shared" si="10"/>
        <v>6.7232857142857148</v>
      </c>
      <c r="N34" s="28">
        <f t="shared" si="10"/>
        <v>6.7232857142857148</v>
      </c>
      <c r="O34" s="28">
        <f t="shared" ref="O34:X34" si="11">N10*O32</f>
        <v>6.7232857142857148</v>
      </c>
      <c r="P34" s="28">
        <f t="shared" si="11"/>
        <v>6.7232857142857148</v>
      </c>
      <c r="Q34" s="28">
        <f t="shared" si="11"/>
        <v>6.7232857142857148</v>
      </c>
      <c r="R34" s="28">
        <f t="shared" si="11"/>
        <v>6.7232857142857148</v>
      </c>
      <c r="S34" s="28">
        <f t="shared" si="11"/>
        <v>6.7232857142857148</v>
      </c>
      <c r="T34" s="28">
        <f t="shared" si="11"/>
        <v>6.7232857142857148</v>
      </c>
      <c r="U34" s="28">
        <f t="shared" si="11"/>
        <v>6.7232857142857148</v>
      </c>
      <c r="V34" s="28">
        <f t="shared" si="11"/>
        <v>6.7232857142857148</v>
      </c>
      <c r="W34" s="28">
        <f t="shared" si="11"/>
        <v>6.7232857142857148</v>
      </c>
      <c r="X34" s="28">
        <f t="shared" si="11"/>
        <v>6.7232857142857148</v>
      </c>
    </row>
    <row r="35" spans="1:25" x14ac:dyDescent="0.2">
      <c r="A35" s="1266" t="s">
        <v>1154</v>
      </c>
      <c r="B35" s="1266"/>
      <c r="C35" s="1266"/>
      <c r="D35" s="28">
        <f t="shared" ref="D35:N35" si="12">C10*D33</f>
        <v>3.5385714285714287</v>
      </c>
      <c r="E35" s="28">
        <f t="shared" si="12"/>
        <v>3.5385714285714287</v>
      </c>
      <c r="F35" s="28">
        <f t="shared" si="12"/>
        <v>3.5385714285714287</v>
      </c>
      <c r="G35" s="28">
        <f t="shared" si="12"/>
        <v>3.5385714285714287</v>
      </c>
      <c r="H35" s="28">
        <f t="shared" si="12"/>
        <v>3.5385714285714287</v>
      </c>
      <c r="I35" s="28">
        <f t="shared" si="12"/>
        <v>3.5385714285714287</v>
      </c>
      <c r="J35" s="28">
        <f t="shared" si="12"/>
        <v>3.5385714285714287</v>
      </c>
      <c r="K35" s="28">
        <f t="shared" si="12"/>
        <v>3.5385714285714287</v>
      </c>
      <c r="L35" s="28">
        <f t="shared" si="12"/>
        <v>3.5385714285714287</v>
      </c>
      <c r="M35" s="28">
        <f t="shared" si="12"/>
        <v>3.5385714285714287</v>
      </c>
      <c r="N35" s="28">
        <f t="shared" si="12"/>
        <v>3.5385714285714287</v>
      </c>
      <c r="O35" s="28">
        <f t="shared" ref="O35:X35" si="13">N10*O33</f>
        <v>3.5385714285714287</v>
      </c>
      <c r="P35" s="28">
        <f t="shared" si="13"/>
        <v>3.5385714285714287</v>
      </c>
      <c r="Q35" s="28">
        <f t="shared" si="13"/>
        <v>3.5385714285714287</v>
      </c>
      <c r="R35" s="28">
        <f t="shared" si="13"/>
        <v>3.5385714285714287</v>
      </c>
      <c r="S35" s="28">
        <f t="shared" si="13"/>
        <v>3.5385714285714287</v>
      </c>
      <c r="T35" s="28">
        <f t="shared" si="13"/>
        <v>3.5385714285714287</v>
      </c>
      <c r="U35" s="28">
        <f t="shared" si="13"/>
        <v>3.5385714285714287</v>
      </c>
      <c r="V35" s="28">
        <f t="shared" si="13"/>
        <v>3.5385714285714287</v>
      </c>
      <c r="W35" s="28">
        <f t="shared" si="13"/>
        <v>3.5385714285714287</v>
      </c>
      <c r="X35" s="28">
        <f t="shared" si="13"/>
        <v>3.5385714285714287</v>
      </c>
    </row>
    <row r="36" spans="1:25" x14ac:dyDescent="0.2">
      <c r="A36" s="1266" t="s">
        <v>10</v>
      </c>
      <c r="B36" s="1266"/>
      <c r="C36" s="1266"/>
      <c r="D36" s="28">
        <f t="shared" ref="D36:K36" si="14">D34+D60</f>
        <v>7.7232857142857148</v>
      </c>
      <c r="E36" s="28">
        <f t="shared" si="14"/>
        <v>7.753285714285715</v>
      </c>
      <c r="F36" s="28">
        <f t="shared" si="14"/>
        <v>7.7841857142857149</v>
      </c>
      <c r="G36" s="28">
        <f t="shared" si="14"/>
        <v>7.8160127142857148</v>
      </c>
      <c r="H36" s="28">
        <f t="shared" si="14"/>
        <v>7.8487945242857151</v>
      </c>
      <c r="I36" s="28">
        <f t="shared" si="14"/>
        <v>7.8825597885857146</v>
      </c>
      <c r="J36" s="28">
        <f t="shared" si="14"/>
        <v>7.9173380108147144</v>
      </c>
      <c r="K36" s="28">
        <f t="shared" si="14"/>
        <v>7.9531595797105847</v>
      </c>
      <c r="L36" s="28">
        <f>L34+L60</f>
        <v>7.9900557956733307</v>
      </c>
      <c r="M36" s="28">
        <f>M34+M60</f>
        <v>8.0280588981149599</v>
      </c>
      <c r="N36" s="28">
        <f>N34+N60</f>
        <v>8.0672020936298363</v>
      </c>
      <c r="O36" s="28">
        <f t="shared" ref="O36:X36" si="15">O34+O60</f>
        <v>8.1075195850101593</v>
      </c>
      <c r="P36" s="28">
        <f t="shared" si="15"/>
        <v>8.1490466011318929</v>
      </c>
      <c r="Q36" s="28">
        <f t="shared" si="15"/>
        <v>8.1918194277372791</v>
      </c>
      <c r="R36" s="28">
        <f t="shared" si="15"/>
        <v>8.2358754391408251</v>
      </c>
      <c r="S36" s="28">
        <f t="shared" si="15"/>
        <v>8.2812531308864799</v>
      </c>
      <c r="T36" s="28">
        <f t="shared" si="15"/>
        <v>8.3279921533845016</v>
      </c>
      <c r="U36" s="28">
        <f t="shared" si="15"/>
        <v>8.3761333465574648</v>
      </c>
      <c r="V36" s="28">
        <f t="shared" si="15"/>
        <v>8.4257187755256187</v>
      </c>
      <c r="W36" s="28">
        <f t="shared" si="15"/>
        <v>8.4767917673628155</v>
      </c>
      <c r="X36" s="28">
        <f t="shared" si="15"/>
        <v>8.529396948955128</v>
      </c>
      <c r="Y36" t="s">
        <v>12</v>
      </c>
    </row>
    <row r="37" spans="1:25" x14ac:dyDescent="0.2">
      <c r="A37" s="1266" t="s">
        <v>11</v>
      </c>
      <c r="B37" s="1266"/>
      <c r="C37" s="1266"/>
      <c r="D37" s="28">
        <f t="shared" ref="D37:K37" si="16">D35+D59</f>
        <v>5.0493678167155114</v>
      </c>
      <c r="E37" s="28">
        <f t="shared" si="16"/>
        <v>5.094691708359834</v>
      </c>
      <c r="F37" s="28">
        <f t="shared" si="16"/>
        <v>5.1413753167534857</v>
      </c>
      <c r="G37" s="28">
        <f t="shared" si="16"/>
        <v>5.1894594333989472</v>
      </c>
      <c r="H37" s="28">
        <f t="shared" si="16"/>
        <v>5.2389860735437725</v>
      </c>
      <c r="I37" s="28">
        <f t="shared" si="16"/>
        <v>5.289998512892943</v>
      </c>
      <c r="J37" s="28">
        <f t="shared" si="16"/>
        <v>5.3425413254225882</v>
      </c>
      <c r="K37" s="28">
        <f t="shared" si="16"/>
        <v>5.3966604223281234</v>
      </c>
      <c r="L37" s="28">
        <f>L35+L59</f>
        <v>5.4524030921408242</v>
      </c>
      <c r="M37" s="28">
        <f>M35+M59</f>
        <v>5.5098180420479057</v>
      </c>
      <c r="N37" s="28">
        <f>N35+N59</f>
        <v>5.5689554404521999</v>
      </c>
      <c r="O37" s="28">
        <f t="shared" ref="O37:X37" si="17">O35+O59</f>
        <v>5.6298669608086236</v>
      </c>
      <c r="P37" s="28">
        <f t="shared" si="17"/>
        <v>5.6926058267757389</v>
      </c>
      <c r="Q37" s="28">
        <f t="shared" si="17"/>
        <v>5.757226858721868</v>
      </c>
      <c r="R37" s="28">
        <f t="shared" si="17"/>
        <v>5.8237865216263813</v>
      </c>
      <c r="S37" s="28">
        <f t="shared" si="17"/>
        <v>5.89234297441803</v>
      </c>
      <c r="T37" s="28">
        <f t="shared" si="17"/>
        <v>5.9629561207934278</v>
      </c>
      <c r="U37" s="28">
        <f t="shared" si="17"/>
        <v>6.0356876615600878</v>
      </c>
      <c r="V37" s="28">
        <f t="shared" si="17"/>
        <v>6.1106011485497476</v>
      </c>
      <c r="W37" s="28">
        <f t="shared" si="17"/>
        <v>6.1877620401490976</v>
      </c>
      <c r="X37" s="28">
        <f t="shared" si="17"/>
        <v>6.2672377584964272</v>
      </c>
      <c r="Y37" t="s">
        <v>12</v>
      </c>
    </row>
    <row r="38" spans="1:25" x14ac:dyDescent="0.2">
      <c r="D38" s="36"/>
    </row>
    <row r="40" spans="1:25" x14ac:dyDescent="0.2">
      <c r="A40" s="12" t="s">
        <v>324</v>
      </c>
    </row>
    <row r="41" spans="1:25" x14ac:dyDescent="0.2">
      <c r="A41" t="s">
        <v>1089</v>
      </c>
    </row>
    <row r="42" spans="1:25" x14ac:dyDescent="0.2">
      <c r="C42" s="40" t="s">
        <v>835</v>
      </c>
      <c r="D42" s="40" t="s">
        <v>945</v>
      </c>
      <c r="E42" s="40" t="s">
        <v>946</v>
      </c>
      <c r="F42" s="40" t="s">
        <v>947</v>
      </c>
      <c r="G42" s="40" t="s">
        <v>948</v>
      </c>
      <c r="H42" s="40" t="s">
        <v>949</v>
      </c>
      <c r="I42" s="40" t="s">
        <v>846</v>
      </c>
      <c r="J42" s="40" t="s">
        <v>847</v>
      </c>
      <c r="K42" s="40" t="s">
        <v>848</v>
      </c>
      <c r="L42" s="40" t="s">
        <v>849</v>
      </c>
      <c r="M42" s="40" t="s">
        <v>509</v>
      </c>
      <c r="N42" s="40" t="s">
        <v>510</v>
      </c>
      <c r="O42" s="40" t="s">
        <v>368</v>
      </c>
      <c r="P42" s="40" t="s">
        <v>369</v>
      </c>
      <c r="Q42" s="40" t="s">
        <v>370</v>
      </c>
      <c r="R42" s="40" t="s">
        <v>371</v>
      </c>
      <c r="S42" s="40" t="s">
        <v>372</v>
      </c>
      <c r="T42" s="40" t="s">
        <v>373</v>
      </c>
      <c r="U42" s="40" t="s">
        <v>374</v>
      </c>
      <c r="V42" s="40" t="s">
        <v>375</v>
      </c>
      <c r="W42" s="40" t="s">
        <v>376</v>
      </c>
    </row>
    <row r="43" spans="1:25" x14ac:dyDescent="0.2">
      <c r="A43" s="1266" t="s">
        <v>640</v>
      </c>
      <c r="B43" s="1266"/>
      <c r="C43" s="16">
        <v>13</v>
      </c>
      <c r="D43" s="16">
        <v>13</v>
      </c>
      <c r="E43" s="16">
        <v>13</v>
      </c>
      <c r="F43" s="16">
        <v>13</v>
      </c>
      <c r="G43" s="16">
        <v>13</v>
      </c>
      <c r="H43" s="16">
        <v>13</v>
      </c>
      <c r="I43" s="16">
        <v>13</v>
      </c>
      <c r="J43" s="16">
        <v>13</v>
      </c>
      <c r="K43" s="16">
        <v>13</v>
      </c>
      <c r="L43" s="16">
        <v>13</v>
      </c>
      <c r="M43" s="16">
        <v>13</v>
      </c>
      <c r="N43" s="16">
        <v>13</v>
      </c>
      <c r="O43" s="16">
        <v>13</v>
      </c>
      <c r="P43" s="16">
        <v>13</v>
      </c>
      <c r="Q43" s="16">
        <v>13</v>
      </c>
      <c r="R43" s="16">
        <v>13</v>
      </c>
      <c r="S43" s="16">
        <v>13</v>
      </c>
      <c r="T43" s="16">
        <v>13</v>
      </c>
      <c r="U43" s="16">
        <v>13</v>
      </c>
      <c r="V43" s="16">
        <v>13</v>
      </c>
      <c r="W43" s="16">
        <v>13</v>
      </c>
      <c r="X43" t="s">
        <v>627</v>
      </c>
    </row>
    <row r="44" spans="1:25" x14ac:dyDescent="0.2">
      <c r="A44" s="1266" t="s">
        <v>641</v>
      </c>
      <c r="B44" s="1266"/>
      <c r="C44" s="28">
        <f t="shared" ref="C44:J44" si="18">C43/$D$9</f>
        <v>9.2857142857142865</v>
      </c>
      <c r="D44" s="28">
        <f t="shared" si="18"/>
        <v>9.2857142857142865</v>
      </c>
      <c r="E44" s="28">
        <f t="shared" si="18"/>
        <v>9.2857142857142865</v>
      </c>
      <c r="F44" s="28">
        <f t="shared" si="18"/>
        <v>9.2857142857142865</v>
      </c>
      <c r="G44" s="28">
        <f t="shared" si="18"/>
        <v>9.2857142857142865</v>
      </c>
      <c r="H44" s="28">
        <f t="shared" si="18"/>
        <v>9.2857142857142865</v>
      </c>
      <c r="I44" s="28">
        <f t="shared" si="18"/>
        <v>9.2857142857142865</v>
      </c>
      <c r="J44" s="28">
        <f t="shared" si="18"/>
        <v>9.2857142857142865</v>
      </c>
      <c r="K44" s="28">
        <f>K43/$D$9</f>
        <v>9.2857142857142865</v>
      </c>
      <c r="L44" s="28">
        <f>L43/$D$9</f>
        <v>9.2857142857142865</v>
      </c>
      <c r="M44" s="28">
        <f t="shared" ref="M44:W44" si="19">M43/$D$9</f>
        <v>9.2857142857142865</v>
      </c>
      <c r="N44" s="28">
        <f t="shared" si="19"/>
        <v>9.2857142857142865</v>
      </c>
      <c r="O44" s="28">
        <f t="shared" si="19"/>
        <v>9.2857142857142865</v>
      </c>
      <c r="P44" s="28">
        <f t="shared" si="19"/>
        <v>9.2857142857142865</v>
      </c>
      <c r="Q44" s="28">
        <f t="shared" si="19"/>
        <v>9.2857142857142865</v>
      </c>
      <c r="R44" s="28">
        <f t="shared" si="19"/>
        <v>9.2857142857142865</v>
      </c>
      <c r="S44" s="28">
        <f t="shared" si="19"/>
        <v>9.2857142857142865</v>
      </c>
      <c r="T44" s="28">
        <f t="shared" si="19"/>
        <v>9.2857142857142865</v>
      </c>
      <c r="U44" s="28">
        <f t="shared" si="19"/>
        <v>9.2857142857142865</v>
      </c>
      <c r="V44" s="28">
        <f t="shared" si="19"/>
        <v>9.2857142857142865</v>
      </c>
      <c r="W44" s="28">
        <f t="shared" si="19"/>
        <v>9.2857142857142865</v>
      </c>
    </row>
    <row r="45" spans="1:25" x14ac:dyDescent="0.2">
      <c r="A45" s="1266" t="s">
        <v>1134</v>
      </c>
      <c r="B45" s="1266"/>
      <c r="C45" s="38">
        <v>20</v>
      </c>
      <c r="D45" s="38">
        <v>20</v>
      </c>
      <c r="E45" s="38">
        <v>20</v>
      </c>
      <c r="F45" s="38">
        <v>20</v>
      </c>
      <c r="G45" s="38">
        <v>20</v>
      </c>
      <c r="H45" s="38">
        <v>20</v>
      </c>
      <c r="I45" s="38">
        <v>20</v>
      </c>
      <c r="J45" s="38">
        <v>20</v>
      </c>
      <c r="K45" s="38">
        <v>20</v>
      </c>
      <c r="L45" s="38">
        <v>20</v>
      </c>
      <c r="M45" s="38">
        <v>20</v>
      </c>
      <c r="N45" s="38">
        <v>20</v>
      </c>
      <c r="O45" s="38">
        <v>20</v>
      </c>
      <c r="P45" s="38">
        <v>20</v>
      </c>
      <c r="Q45" s="38">
        <v>20</v>
      </c>
      <c r="R45" s="38">
        <v>20</v>
      </c>
      <c r="S45" s="38">
        <v>20</v>
      </c>
      <c r="T45" s="38">
        <v>20</v>
      </c>
      <c r="U45" s="38">
        <v>20</v>
      </c>
      <c r="V45" s="38">
        <v>20</v>
      </c>
      <c r="W45" s="38">
        <v>20</v>
      </c>
      <c r="X45" t="s">
        <v>628</v>
      </c>
    </row>
    <row r="46" spans="1:25" x14ac:dyDescent="0.2">
      <c r="A46" s="1266" t="s">
        <v>1135</v>
      </c>
      <c r="B46" s="1266"/>
      <c r="C46" s="38">
        <v>20</v>
      </c>
      <c r="D46" s="38">
        <v>20</v>
      </c>
      <c r="E46" s="38">
        <v>20</v>
      </c>
      <c r="F46" s="38">
        <v>20</v>
      </c>
      <c r="G46" s="38">
        <v>20</v>
      </c>
      <c r="H46" s="38">
        <v>20</v>
      </c>
      <c r="I46" s="38">
        <v>20</v>
      </c>
      <c r="J46" s="38">
        <v>20</v>
      </c>
      <c r="K46" s="38">
        <v>20</v>
      </c>
      <c r="L46" s="38">
        <v>20</v>
      </c>
      <c r="M46" s="38">
        <v>20</v>
      </c>
      <c r="N46" s="38">
        <v>20</v>
      </c>
      <c r="O46" s="38">
        <v>20</v>
      </c>
      <c r="P46" s="38">
        <v>20</v>
      </c>
      <c r="Q46" s="38">
        <v>20</v>
      </c>
      <c r="R46" s="38">
        <v>20</v>
      </c>
      <c r="S46" s="38">
        <v>20</v>
      </c>
      <c r="T46" s="38">
        <v>20</v>
      </c>
      <c r="U46" s="38">
        <v>20</v>
      </c>
      <c r="V46" s="38">
        <v>20</v>
      </c>
      <c r="W46" s="38">
        <v>20</v>
      </c>
      <c r="X46" t="s">
        <v>628</v>
      </c>
    </row>
    <row r="49" spans="1:33" x14ac:dyDescent="0.2">
      <c r="A49" s="12" t="s">
        <v>325</v>
      </c>
    </row>
    <row r="50" spans="1:33" x14ac:dyDescent="0.2">
      <c r="Z50" t="s">
        <v>831</v>
      </c>
      <c r="AA50" t="s">
        <v>830</v>
      </c>
    </row>
    <row r="51" spans="1:33" x14ac:dyDescent="0.2">
      <c r="D51" s="40" t="s">
        <v>835</v>
      </c>
      <c r="E51" s="40" t="s">
        <v>945</v>
      </c>
      <c r="F51" s="40" t="s">
        <v>946</v>
      </c>
      <c r="G51" s="40" t="s">
        <v>947</v>
      </c>
      <c r="H51" s="40" t="s">
        <v>948</v>
      </c>
      <c r="I51" s="40" t="s">
        <v>949</v>
      </c>
      <c r="J51" s="40" t="s">
        <v>846</v>
      </c>
      <c r="K51" s="40" t="s">
        <v>847</v>
      </c>
      <c r="L51" s="40" t="s">
        <v>848</v>
      </c>
      <c r="M51" s="40" t="s">
        <v>849</v>
      </c>
      <c r="N51" s="40" t="s">
        <v>509</v>
      </c>
      <c r="O51" s="40" t="s">
        <v>510</v>
      </c>
      <c r="P51" s="40" t="s">
        <v>368</v>
      </c>
      <c r="Q51" s="40" t="s">
        <v>369</v>
      </c>
      <c r="R51" s="40" t="s">
        <v>370</v>
      </c>
      <c r="S51" s="40" t="s">
        <v>371</v>
      </c>
      <c r="T51" s="40" t="s">
        <v>372</v>
      </c>
      <c r="U51" s="40" t="s">
        <v>373</v>
      </c>
      <c r="V51" s="40" t="s">
        <v>374</v>
      </c>
      <c r="W51" s="40" t="s">
        <v>375</v>
      </c>
      <c r="X51" s="40" t="s">
        <v>376</v>
      </c>
    </row>
    <row r="52" spans="1:33" x14ac:dyDescent="0.2">
      <c r="A52" s="1266" t="s">
        <v>1149</v>
      </c>
      <c r="B52" s="1266"/>
      <c r="C52" s="1266"/>
      <c r="D52" s="28">
        <f t="shared" ref="D52:K52" si="20">$AC$52/C9</f>
        <v>7.1428571428571432</v>
      </c>
      <c r="E52" s="28">
        <f t="shared" si="20"/>
        <v>7.1428571428571432</v>
      </c>
      <c r="F52" s="28">
        <f t="shared" si="20"/>
        <v>7.1428571428571432</v>
      </c>
      <c r="G52" s="28">
        <f t="shared" si="20"/>
        <v>7.1428571428571432</v>
      </c>
      <c r="H52" s="28">
        <f t="shared" si="20"/>
        <v>7.1428571428571432</v>
      </c>
      <c r="I52" s="28">
        <f t="shared" si="20"/>
        <v>7.1428571428571432</v>
      </c>
      <c r="J52" s="28">
        <f t="shared" si="20"/>
        <v>7.1428571428571432</v>
      </c>
      <c r="K52" s="28">
        <f t="shared" si="20"/>
        <v>7.1428571428571432</v>
      </c>
      <c r="L52" s="28">
        <f>$AC$52/K9</f>
        <v>7.1428571428571432</v>
      </c>
      <c r="M52" s="28">
        <f>$AC$52/L9</f>
        <v>7.1428571428571432</v>
      </c>
      <c r="N52" s="28">
        <f t="shared" ref="N52:X52" si="21">$AC$52/M9</f>
        <v>7.1428571428571432</v>
      </c>
      <c r="O52" s="28">
        <f t="shared" si="21"/>
        <v>7.1428571428571432</v>
      </c>
      <c r="P52" s="28">
        <f t="shared" si="21"/>
        <v>7.1428571428571432</v>
      </c>
      <c r="Q52" s="28">
        <f t="shared" si="21"/>
        <v>7.1428571428571432</v>
      </c>
      <c r="R52" s="28">
        <f t="shared" si="21"/>
        <v>7.1428571428571432</v>
      </c>
      <c r="S52" s="28">
        <f t="shared" si="21"/>
        <v>7.1428571428571432</v>
      </c>
      <c r="T52" s="28">
        <f t="shared" si="21"/>
        <v>7.1428571428571432</v>
      </c>
      <c r="U52" s="28">
        <f t="shared" si="21"/>
        <v>7.1428571428571432</v>
      </c>
      <c r="V52" s="28">
        <f t="shared" si="21"/>
        <v>7.1428571428571432</v>
      </c>
      <c r="W52" s="28">
        <f t="shared" si="21"/>
        <v>7.1428571428571432</v>
      </c>
      <c r="X52" s="28">
        <f t="shared" si="21"/>
        <v>7.1428571428571432</v>
      </c>
      <c r="Y52" t="s">
        <v>15</v>
      </c>
      <c r="AC52" s="16">
        <v>10</v>
      </c>
    </row>
    <row r="53" spans="1:33" x14ac:dyDescent="0.2">
      <c r="A53" s="1266" t="s">
        <v>9</v>
      </c>
      <c r="B53" s="1266"/>
      <c r="C53" s="1266"/>
      <c r="D53" s="16">
        <f>AD55</f>
        <v>22</v>
      </c>
      <c r="E53" s="16">
        <f>D53</f>
        <v>22</v>
      </c>
      <c r="F53" s="16">
        <f t="shared" ref="F53:X53" si="22">E53</f>
        <v>22</v>
      </c>
      <c r="G53" s="16">
        <f t="shared" si="22"/>
        <v>22</v>
      </c>
      <c r="H53" s="16">
        <f t="shared" si="22"/>
        <v>22</v>
      </c>
      <c r="I53" s="16">
        <f t="shared" si="22"/>
        <v>22</v>
      </c>
      <c r="J53" s="16">
        <f t="shared" si="22"/>
        <v>22</v>
      </c>
      <c r="K53" s="16">
        <f t="shared" si="22"/>
        <v>22</v>
      </c>
      <c r="L53" s="16">
        <f t="shared" si="22"/>
        <v>22</v>
      </c>
      <c r="M53" s="16">
        <f t="shared" si="22"/>
        <v>22</v>
      </c>
      <c r="N53" s="16">
        <f t="shared" si="22"/>
        <v>22</v>
      </c>
      <c r="O53" s="16">
        <f t="shared" si="22"/>
        <v>22</v>
      </c>
      <c r="P53" s="16">
        <f t="shared" si="22"/>
        <v>22</v>
      </c>
      <c r="Q53" s="16">
        <f t="shared" si="22"/>
        <v>22</v>
      </c>
      <c r="R53" s="16">
        <f t="shared" si="22"/>
        <v>22</v>
      </c>
      <c r="S53" s="16">
        <f t="shared" si="22"/>
        <v>22</v>
      </c>
      <c r="T53" s="16">
        <f t="shared" si="22"/>
        <v>22</v>
      </c>
      <c r="U53" s="16">
        <f t="shared" si="22"/>
        <v>22</v>
      </c>
      <c r="V53" s="16">
        <f t="shared" si="22"/>
        <v>22</v>
      </c>
      <c r="W53" s="16">
        <f t="shared" si="22"/>
        <v>22</v>
      </c>
      <c r="X53" s="16">
        <f t="shared" si="22"/>
        <v>22</v>
      </c>
      <c r="Y53" t="s">
        <v>626</v>
      </c>
    </row>
    <row r="54" spans="1:33" x14ac:dyDescent="0.2">
      <c r="A54" s="1266" t="s">
        <v>579</v>
      </c>
      <c r="B54" s="1266"/>
      <c r="C54" s="1266"/>
      <c r="D54" s="16">
        <v>43</v>
      </c>
      <c r="E54" s="16">
        <v>43</v>
      </c>
      <c r="F54" s="16">
        <v>43</v>
      </c>
      <c r="G54" s="16">
        <v>43</v>
      </c>
      <c r="H54" s="16">
        <v>43</v>
      </c>
      <c r="I54" s="16">
        <v>43</v>
      </c>
      <c r="J54" s="16">
        <v>43</v>
      </c>
      <c r="K54" s="16">
        <v>43</v>
      </c>
      <c r="L54" s="16">
        <v>43</v>
      </c>
      <c r="M54" s="16">
        <v>43</v>
      </c>
      <c r="N54" s="16">
        <v>43</v>
      </c>
      <c r="O54" s="16">
        <v>43</v>
      </c>
      <c r="P54" s="16">
        <v>43</v>
      </c>
      <c r="Q54" s="16">
        <v>43</v>
      </c>
      <c r="R54" s="16">
        <v>43</v>
      </c>
      <c r="S54" s="16">
        <v>43</v>
      </c>
      <c r="T54" s="16">
        <v>43</v>
      </c>
      <c r="U54" s="16">
        <v>43</v>
      </c>
      <c r="V54" s="16">
        <v>43</v>
      </c>
      <c r="W54" s="16">
        <v>43</v>
      </c>
      <c r="X54" s="16">
        <v>43</v>
      </c>
      <c r="Z54" s="141" t="s">
        <v>988</v>
      </c>
    </row>
    <row r="55" spans="1:33" x14ac:dyDescent="0.2">
      <c r="A55" s="1266" t="s">
        <v>1173</v>
      </c>
      <c r="B55" s="1266"/>
      <c r="C55" s="1266"/>
      <c r="D55" s="16">
        <v>5.57</v>
      </c>
      <c r="E55" s="16">
        <f>D55</f>
        <v>5.57</v>
      </c>
      <c r="F55" s="16">
        <f t="shared" ref="F55:X55" si="23">E55</f>
        <v>5.57</v>
      </c>
      <c r="G55" s="16">
        <f t="shared" si="23"/>
        <v>5.57</v>
      </c>
      <c r="H55" s="16">
        <f t="shared" si="23"/>
        <v>5.57</v>
      </c>
      <c r="I55" s="16">
        <f t="shared" si="23"/>
        <v>5.57</v>
      </c>
      <c r="J55" s="16">
        <f t="shared" si="23"/>
        <v>5.57</v>
      </c>
      <c r="K55" s="16">
        <f t="shared" si="23"/>
        <v>5.57</v>
      </c>
      <c r="L55" s="16">
        <f t="shared" si="23"/>
        <v>5.57</v>
      </c>
      <c r="M55" s="16">
        <f t="shared" si="23"/>
        <v>5.57</v>
      </c>
      <c r="N55" s="16">
        <f t="shared" si="23"/>
        <v>5.57</v>
      </c>
      <c r="O55" s="16">
        <f t="shared" si="23"/>
        <v>5.57</v>
      </c>
      <c r="P55" s="16">
        <f t="shared" si="23"/>
        <v>5.57</v>
      </c>
      <c r="Q55" s="16">
        <f t="shared" si="23"/>
        <v>5.57</v>
      </c>
      <c r="R55" s="16">
        <f t="shared" si="23"/>
        <v>5.57</v>
      </c>
      <c r="S55" s="16">
        <f t="shared" si="23"/>
        <v>5.57</v>
      </c>
      <c r="T55" s="16">
        <f t="shared" si="23"/>
        <v>5.57</v>
      </c>
      <c r="U55" s="16">
        <f t="shared" si="23"/>
        <v>5.57</v>
      </c>
      <c r="V55" s="16">
        <f t="shared" si="23"/>
        <v>5.57</v>
      </c>
      <c r="W55" s="16">
        <f t="shared" si="23"/>
        <v>5.57</v>
      </c>
      <c r="X55" s="16">
        <f t="shared" si="23"/>
        <v>5.57</v>
      </c>
      <c r="Z55" s="141" t="s">
        <v>1174</v>
      </c>
      <c r="AD55" s="846">
        <v>22</v>
      </c>
    </row>
    <row r="56" spans="1:33" x14ac:dyDescent="0.2">
      <c r="AA56" s="92" t="s">
        <v>180</v>
      </c>
      <c r="AD56" t="s">
        <v>201</v>
      </c>
      <c r="AF56" s="16">
        <v>0.82</v>
      </c>
      <c r="AG56" t="s">
        <v>1159</v>
      </c>
    </row>
    <row r="57" spans="1:33" x14ac:dyDescent="0.2">
      <c r="A57" s="12" t="s">
        <v>1156</v>
      </c>
      <c r="AA57" s="92"/>
      <c r="AE57" t="s">
        <v>1160</v>
      </c>
      <c r="AF57" s="91">
        <f>AF56/0.45359237/D9</f>
        <v>1.2912789642257114</v>
      </c>
      <c r="AG57" t="s">
        <v>981</v>
      </c>
    </row>
    <row r="58" spans="1:33" x14ac:dyDescent="0.2">
      <c r="D58" s="40" t="s">
        <v>835</v>
      </c>
      <c r="E58" s="40" t="s">
        <v>945</v>
      </c>
      <c r="F58" s="40" t="s">
        <v>946</v>
      </c>
      <c r="G58" s="40" t="s">
        <v>947</v>
      </c>
      <c r="H58" s="40" t="s">
        <v>948</v>
      </c>
      <c r="I58" s="40" t="s">
        <v>949</v>
      </c>
      <c r="J58" s="40" t="s">
        <v>846</v>
      </c>
      <c r="K58" s="40" t="s">
        <v>847</v>
      </c>
      <c r="L58" s="40" t="s">
        <v>848</v>
      </c>
      <c r="M58" s="40" t="s">
        <v>849</v>
      </c>
      <c r="N58" s="40" t="s">
        <v>509</v>
      </c>
      <c r="O58" s="40" t="s">
        <v>510</v>
      </c>
      <c r="P58" s="40" t="s">
        <v>368</v>
      </c>
      <c r="Q58" s="40" t="s">
        <v>369</v>
      </c>
      <c r="R58" s="40" t="s">
        <v>370</v>
      </c>
      <c r="S58" s="40" t="s">
        <v>371</v>
      </c>
      <c r="T58" s="40" t="s">
        <v>372</v>
      </c>
      <c r="U58" s="40" t="s">
        <v>373</v>
      </c>
      <c r="V58" s="40" t="s">
        <v>374</v>
      </c>
      <c r="W58" s="40" t="s">
        <v>375</v>
      </c>
      <c r="X58" s="40" t="s">
        <v>376</v>
      </c>
      <c r="AA58" s="92"/>
      <c r="AD58" t="s">
        <v>202</v>
      </c>
      <c r="AF58" s="16">
        <v>0.95</v>
      </c>
      <c r="AG58" t="s">
        <v>1159</v>
      </c>
    </row>
    <row r="59" spans="1:33" x14ac:dyDescent="0.2">
      <c r="A59" s="1266" t="s">
        <v>1158</v>
      </c>
      <c r="B59" s="1266"/>
      <c r="C59" s="1266"/>
      <c r="D59" s="28">
        <f>$AF$57*(1+$AE$61)*(1+'Données gestion'!C35)</f>
        <v>1.5107963881440822</v>
      </c>
      <c r="E59" s="28">
        <f>$AF$57*(1+$AE$61)*(1+'Données gestion'!D35)</f>
        <v>1.5561202797884048</v>
      </c>
      <c r="F59" s="28">
        <f>$AF$57*(1+$AE$61)*(1+'Données gestion'!E35)</f>
        <v>1.6028038881820568</v>
      </c>
      <c r="G59" s="28">
        <f>$AF$57*(1+$AE$61)*(1+'Données gestion'!F35)</f>
        <v>1.6508880048275185</v>
      </c>
      <c r="H59" s="28">
        <f>$AF$57*(1+$AE$61)*(1+'Données gestion'!G35)</f>
        <v>1.7004146449723441</v>
      </c>
      <c r="I59" s="28">
        <f>$AF$57*(1+$AE$61)*(1+'Données gestion'!H35)</f>
        <v>1.7514270843215143</v>
      </c>
      <c r="J59" s="28">
        <f>$AF$57*(1+$AE$61)*(1+'Données gestion'!I35)</f>
        <v>1.8039698968511597</v>
      </c>
      <c r="K59" s="28">
        <f>$AF$57*(1+$AE$61)*(1+'Données gestion'!J35)</f>
        <v>1.8580889937566947</v>
      </c>
      <c r="L59" s="28">
        <f>$AF$57*(1+$AE$61)*(1+'Données gestion'!K35)</f>
        <v>1.9138316635693953</v>
      </c>
      <c r="M59" s="28">
        <f>$AF$57*(1+$AE$61)*(1+'Données gestion'!L35)</f>
        <v>1.9712466134764772</v>
      </c>
      <c r="N59" s="28">
        <f>$AF$57*(1+$AE$61)*(1+'Données gestion'!M35)</f>
        <v>2.0303840118807717</v>
      </c>
      <c r="O59" s="28">
        <f>$AF$57*(1+$AE$61)*(1+'Données gestion'!N35)</f>
        <v>2.0912955322371949</v>
      </c>
      <c r="P59" s="28">
        <f>$AF$57*(1+$AE$61)*(1+'Données gestion'!O35)</f>
        <v>2.1540343982043102</v>
      </c>
      <c r="Q59" s="28">
        <f>$AF$57*(1+$AE$61)*(1+'Données gestion'!P35)</f>
        <v>2.2186554301504393</v>
      </c>
      <c r="R59" s="28">
        <f>$AF$57*(1+$AE$61)*(1+'Données gestion'!Q35)</f>
        <v>2.2852150930549526</v>
      </c>
      <c r="S59" s="28">
        <f>$AF$57*(1+$AE$61)*(1+'Données gestion'!R35)</f>
        <v>2.3537715458466018</v>
      </c>
      <c r="T59" s="28">
        <f>$AF$57*(1+$AE$61)*(1+'Données gestion'!S35)</f>
        <v>2.4243846922219991</v>
      </c>
      <c r="U59" s="28">
        <f>$AF$57*(1+$AE$61)*(1+'Données gestion'!T35)</f>
        <v>2.4971162329886591</v>
      </c>
      <c r="V59" s="28">
        <f>$AF$57*(1+$AE$61)*(1+'Données gestion'!U35)</f>
        <v>2.5720297199783189</v>
      </c>
      <c r="W59" s="28">
        <f>$AF$57*(1+$AE$61)*(1+'Données gestion'!V35)</f>
        <v>2.6491906115776684</v>
      </c>
      <c r="X59" s="28">
        <f>$AF$57*(1+$AE$61)*(1+'Données gestion'!W35)</f>
        <v>2.7286663299249985</v>
      </c>
      <c r="AA59" s="92"/>
    </row>
    <row r="60" spans="1:33" x14ac:dyDescent="0.2">
      <c r="A60" s="1266" t="s">
        <v>1161</v>
      </c>
      <c r="B60" s="1266"/>
      <c r="C60" s="1266"/>
      <c r="D60" s="28">
        <f>$AE$63*(1+$AE$65)*(1+'Données gestion'!C35)</f>
        <v>1</v>
      </c>
      <c r="E60" s="28">
        <f>$AE$63*(1+$AE$65)*(1+'Données gestion'!D35)</f>
        <v>1.03</v>
      </c>
      <c r="F60" s="28">
        <f>$AE$63*(1+$AE$65)*(1+'Données gestion'!E35)</f>
        <v>1.0609</v>
      </c>
      <c r="G60" s="28">
        <f>$AE$63*(1+$AE$65)*(1+'Données gestion'!F35)</f>
        <v>1.092727</v>
      </c>
      <c r="H60" s="28">
        <f>$AE$63*(1+$AE$65)*(1+'Données gestion'!G35)</f>
        <v>1.1255088099999999</v>
      </c>
      <c r="I60" s="28">
        <f>$AE$63*(1+$AE$65)*(1+'Données gestion'!H35)</f>
        <v>1.1592740742999998</v>
      </c>
      <c r="J60" s="28">
        <f>$AE$63*(1+$AE$65)*(1+'Données gestion'!I35)</f>
        <v>1.1940522965289999</v>
      </c>
      <c r="K60" s="28">
        <f>$AE$63*(1+$AE$65)*(1+'Données gestion'!J35)</f>
        <v>1.22987386542487</v>
      </c>
      <c r="L60" s="28">
        <f>$AE$63*(1+$AE$65)*(1+'Données gestion'!K35)</f>
        <v>1.2667700813876159</v>
      </c>
      <c r="M60" s="28">
        <f>$AE$63*(1+$AE$65)*(1+'Données gestion'!L35)</f>
        <v>1.3047731838292445</v>
      </c>
      <c r="N60" s="28">
        <f>$AE$63*(1+$AE$65)*(1+'Données gestion'!M35)</f>
        <v>1.3439163793441218</v>
      </c>
      <c r="O60" s="28">
        <f>$AE$63*(1+$AE$65)*(1+'Données gestion'!N35)</f>
        <v>1.3842338707244455</v>
      </c>
      <c r="P60" s="28">
        <f>$AE$63*(1+$AE$65)*(1+'Données gestion'!O35)</f>
        <v>1.4257608868461786</v>
      </c>
      <c r="Q60" s="28">
        <f>$AE$63*(1+$AE$65)*(1+'Données gestion'!P35)</f>
        <v>1.4685337134515639</v>
      </c>
      <c r="R60" s="28">
        <f>$AE$63*(1+$AE$65)*(1+'Données gestion'!Q35)</f>
        <v>1.512589724855111</v>
      </c>
      <c r="S60" s="28">
        <f>$AE$63*(1+$AE$65)*(1+'Données gestion'!R35)</f>
        <v>1.5579674166007644</v>
      </c>
      <c r="T60" s="28">
        <f>$AE$63*(1+$AE$65)*(1+'Données gestion'!S35)</f>
        <v>1.6047064390987871</v>
      </c>
      <c r="U60" s="28">
        <f>$AE$63*(1+$AE$65)*(1+'Données gestion'!T35)</f>
        <v>1.6528476322717507</v>
      </c>
      <c r="V60" s="28">
        <f>$AE$63*(1+$AE$65)*(1+'Données gestion'!U35)</f>
        <v>1.7024330612399032</v>
      </c>
      <c r="W60" s="28">
        <f>$AE$63*(1+$AE$65)*(1+'Données gestion'!V35)</f>
        <v>1.7535060530771003</v>
      </c>
      <c r="X60" s="28">
        <f>$AE$63*(1+$AE$65)*(1+'Données gestion'!W35)</f>
        <v>1.8061112346694133</v>
      </c>
      <c r="AA60" s="92" t="s">
        <v>1162</v>
      </c>
    </row>
    <row r="61" spans="1:33" x14ac:dyDescent="0.2">
      <c r="A61" s="1266" t="s">
        <v>5</v>
      </c>
      <c r="B61" s="1266"/>
      <c r="C61" s="1266"/>
      <c r="D61" s="91">
        <f>$AF$72/$AF$74/1000*(1+'Données gestion'!C36)</f>
        <v>0.1</v>
      </c>
      <c r="E61" s="91">
        <f>$AF$72/$AF$74/1000*(1+'Données gestion'!D36)</f>
        <v>0.10100000000000001</v>
      </c>
      <c r="F61" s="91">
        <f>$AF$72/$AF$74/1000*(1+'Données gestion'!E36)</f>
        <v>0.10201</v>
      </c>
      <c r="G61" s="91">
        <f>$AF$72/$AF$74/1000*(1+'Données gestion'!F36)</f>
        <v>0.1030301</v>
      </c>
      <c r="H61" s="91">
        <f>$AF$72/$AF$74/1000*(1+'Données gestion'!G36)</f>
        <v>0.10406040100000001</v>
      </c>
      <c r="I61" s="91">
        <f>$AF$72/$AF$74/1000*(1+'Données gestion'!H36)</f>
        <v>0.10510100501</v>
      </c>
      <c r="J61" s="91">
        <f>$AF$72/$AF$74/1000*(1+'Données gestion'!I36)</f>
        <v>0.10615201506010002</v>
      </c>
      <c r="K61" s="91">
        <f>$AF$72/$AF$74/1000*(1+'Données gestion'!J36)</f>
        <v>0.10721353521070098</v>
      </c>
      <c r="L61" s="91">
        <f>$AF$72/$AF$74/1000*(1+'Données gestion'!K36)</f>
        <v>0.10828567056280802</v>
      </c>
      <c r="M61" s="91">
        <f>$AF$72/$AF$74/1000*(1+'Données gestion'!L36)</f>
        <v>0.10936852726843611</v>
      </c>
      <c r="N61" s="91">
        <f>$AF$72/$AF$74/1000*(1+'Données gestion'!M36)</f>
        <v>0.11046221254112049</v>
      </c>
      <c r="O61" s="91">
        <f>$AF$72/$AF$74/1000*(1+'Données gestion'!N36)</f>
        <v>0.11156683466653167</v>
      </c>
      <c r="P61" s="91">
        <f>$AF$72/$AF$74/1000*(1+'Données gestion'!O36)</f>
        <v>0.11268250301319699</v>
      </c>
      <c r="Q61" s="91">
        <f>$AF$72/$AF$74/1000*(1+'Données gestion'!P36)</f>
        <v>0.11380932804332895</v>
      </c>
      <c r="R61" s="91">
        <f>$AF$72/$AF$74/1000*(1+'Données gestion'!Q36)</f>
        <v>0.11494742132376226</v>
      </c>
      <c r="S61" s="91">
        <f>$AF$72/$AF$74/1000*(1+'Données gestion'!R36)</f>
        <v>0.11609689553699985</v>
      </c>
      <c r="T61" s="91">
        <f>$AF$72/$AF$74/1000*(1+'Données gestion'!S36)</f>
        <v>0.11725786449236988</v>
      </c>
      <c r="U61" s="91">
        <f>$AF$72/$AF$74/1000*(1+'Données gestion'!T36)</f>
        <v>0.11843044313729359</v>
      </c>
      <c r="V61" s="91">
        <f>$AF$72/$AF$74/1000*(1+'Données gestion'!U36)</f>
        <v>0.11961474756866652</v>
      </c>
      <c r="W61" s="91">
        <f>$AF$72/$AF$74/1000*(1+'Données gestion'!V36)</f>
        <v>0.12081089504435316</v>
      </c>
      <c r="X61" s="91">
        <f>$AF$72/$AF$74/1000*(1+'Données gestion'!W36)</f>
        <v>0.1220190039947967</v>
      </c>
      <c r="AA61" s="93" t="s">
        <v>3</v>
      </c>
      <c r="AE61" s="45">
        <v>0.17</v>
      </c>
    </row>
    <row r="62" spans="1:33" x14ac:dyDescent="0.2">
      <c r="A62" s="1266" t="s">
        <v>6</v>
      </c>
      <c r="B62" s="1266"/>
      <c r="C62" s="1266"/>
      <c r="D62" s="91">
        <f>$AF$72/$AF$75/1000*(1+'Données gestion'!C36)</f>
        <v>7.4999999999999997E-2</v>
      </c>
      <c r="E62" s="91">
        <f>$AF$72/$AF$75/1000*(1+'Données gestion'!D36)</f>
        <v>7.5749999999999998E-2</v>
      </c>
      <c r="F62" s="91">
        <f>$AF$72/$AF$75/1000*(1+'Données gestion'!E36)</f>
        <v>7.6507499999999992E-2</v>
      </c>
      <c r="G62" s="91">
        <f>$AF$72/$AF$75/1000*(1+'Données gestion'!F36)</f>
        <v>7.7272574999999996E-2</v>
      </c>
      <c r="H62" s="91">
        <f>$AF$72/$AF$75/1000*(1+'Données gestion'!G36)</f>
        <v>7.8045300750000005E-2</v>
      </c>
      <c r="I62" s="91">
        <f>$AF$72/$AF$75/1000*(1+'Données gestion'!H36)</f>
        <v>7.8825753757499992E-2</v>
      </c>
      <c r="J62" s="91">
        <f>$AF$72/$AF$75/1000*(1+'Données gestion'!I36)</f>
        <v>7.9614011295075005E-2</v>
      </c>
      <c r="K62" s="91">
        <f>$AF$72/$AF$75/1000*(1+'Données gestion'!J36)</f>
        <v>8.0410151408025737E-2</v>
      </c>
      <c r="L62" s="91">
        <f>$AF$72/$AF$75/1000*(1+'Données gestion'!K36)</f>
        <v>8.1214252922106017E-2</v>
      </c>
      <c r="M62" s="91">
        <f>$AF$72/$AF$75/1000*(1+'Données gestion'!L36)</f>
        <v>8.2026395451327075E-2</v>
      </c>
      <c r="N62" s="91">
        <f>$AF$72/$AF$75/1000*(1+'Données gestion'!M36)</f>
        <v>8.284665940584035E-2</v>
      </c>
      <c r="O62" s="91">
        <f>$AF$72/$AF$75/1000*(1+'Données gestion'!N36)</f>
        <v>8.3675125999898736E-2</v>
      </c>
      <c r="P62" s="91">
        <f>$AF$72/$AF$75/1000*(1+'Données gestion'!O36)</f>
        <v>8.4511877259897727E-2</v>
      </c>
      <c r="Q62" s="91">
        <f>$AF$72/$AF$75/1000*(1+'Données gestion'!P36)</f>
        <v>8.5356996032496704E-2</v>
      </c>
      <c r="R62" s="91">
        <f>$AF$72/$AF$75/1000*(1+'Données gestion'!Q36)</f>
        <v>8.6210565992821689E-2</v>
      </c>
      <c r="S62" s="91">
        <f>$AF$72/$AF$75/1000*(1+'Données gestion'!R36)</f>
        <v>8.7072671652749886E-2</v>
      </c>
      <c r="T62" s="91">
        <f>$AF$72/$AF$75/1000*(1+'Données gestion'!S36)</f>
        <v>8.7943398369277406E-2</v>
      </c>
      <c r="U62" s="91">
        <f>$AF$72/$AF$75/1000*(1+'Données gestion'!T36)</f>
        <v>8.8822832352970185E-2</v>
      </c>
      <c r="V62" s="91">
        <f>$AF$72/$AF$75/1000*(1+'Données gestion'!U36)</f>
        <v>8.9711060676499893E-2</v>
      </c>
      <c r="W62" s="91">
        <f>$AF$72/$AF$75/1000*(1+'Données gestion'!V36)</f>
        <v>9.0608171283264871E-2</v>
      </c>
      <c r="X62" s="91">
        <f>$AF$72/$AF$75/1000*(1+'Données gestion'!W36)</f>
        <v>9.1514252996097528E-2</v>
      </c>
    </row>
    <row r="63" spans="1:33" x14ac:dyDescent="0.2">
      <c r="A63" s="1266" t="s">
        <v>7</v>
      </c>
      <c r="B63" s="1266"/>
      <c r="C63" s="1266"/>
      <c r="D63" s="91">
        <f>$AF$73/$AF$76/1000*(1+'Données gestion'!C36)</f>
        <v>0.16666666666666666</v>
      </c>
      <c r="E63" s="91">
        <f>$AF$73/$AF$76/1000*(1+'Données gestion'!D36)</f>
        <v>0.16833333333333333</v>
      </c>
      <c r="F63" s="91">
        <f>$AF$73/$AF$76/1000*(1+'Données gestion'!E36)</f>
        <v>0.17001666666666665</v>
      </c>
      <c r="G63" s="91">
        <f>$AF$73/$AF$76/1000*(1+'Données gestion'!F36)</f>
        <v>0.17171683333333332</v>
      </c>
      <c r="H63" s="91">
        <f>$AF$73/$AF$76/1000*(1+'Données gestion'!G36)</f>
        <v>0.17343400166666667</v>
      </c>
      <c r="I63" s="91">
        <f>$AF$73/$AF$76/1000*(1+'Données gestion'!H36)</f>
        <v>0.17516834168333331</v>
      </c>
      <c r="J63" s="91">
        <f>$AF$73/$AF$76/1000*(1+'Données gestion'!I36)</f>
        <v>0.17692002510016669</v>
      </c>
      <c r="K63" s="91">
        <f>$AF$73/$AF$76/1000*(1+'Données gestion'!J36)</f>
        <v>0.1786892253511683</v>
      </c>
      <c r="L63" s="91">
        <f>$AF$73/$AF$76/1000*(1+'Données gestion'!K36)</f>
        <v>0.18047611760468002</v>
      </c>
      <c r="M63" s="91">
        <f>$AF$73/$AF$76/1000*(1+'Données gestion'!L36)</f>
        <v>0.18228087878072685</v>
      </c>
      <c r="N63" s="91">
        <f>$AF$73/$AF$76/1000*(1+'Données gestion'!M36)</f>
        <v>0.18410368756853412</v>
      </c>
      <c r="O63" s="91">
        <f>$AF$73/$AF$76/1000*(1+'Données gestion'!N36)</f>
        <v>0.18594472444421942</v>
      </c>
      <c r="P63" s="91">
        <f>$AF$73/$AF$76/1000*(1+'Données gestion'!O36)</f>
        <v>0.18780417168866162</v>
      </c>
      <c r="Q63" s="91">
        <f>$AF$73/$AF$76/1000*(1+'Données gestion'!P36)</f>
        <v>0.18968221340554825</v>
      </c>
      <c r="R63" s="91">
        <f>$AF$73/$AF$76/1000*(1+'Données gestion'!Q36)</f>
        <v>0.19157903553960376</v>
      </c>
      <c r="S63" s="91">
        <f>$AF$73/$AF$76/1000*(1+'Données gestion'!R36)</f>
        <v>0.19349482589499972</v>
      </c>
      <c r="T63" s="91">
        <f>$AF$73/$AF$76/1000*(1+'Données gestion'!S36)</f>
        <v>0.1954297741539498</v>
      </c>
      <c r="U63" s="91">
        <f>$AF$73/$AF$76/1000*(1+'Données gestion'!T36)</f>
        <v>0.19738407189548929</v>
      </c>
      <c r="V63" s="91">
        <f>$AF$73/$AF$76/1000*(1+'Données gestion'!U36)</f>
        <v>0.19935791261444419</v>
      </c>
      <c r="W63" s="91">
        <f>$AF$73/$AF$76/1000*(1+'Données gestion'!V36)</f>
        <v>0.20135149174058858</v>
      </c>
      <c r="X63" s="91">
        <f>$AF$73/$AF$76/1000*(1+'Données gestion'!W36)</f>
        <v>0.20336500665799451</v>
      </c>
      <c r="AA63" s="92" t="s">
        <v>203</v>
      </c>
      <c r="AE63" s="16">
        <v>0.5</v>
      </c>
    </row>
    <row r="64" spans="1:33" x14ac:dyDescent="0.2">
      <c r="A64" s="1266" t="s">
        <v>8</v>
      </c>
      <c r="B64" s="1266"/>
      <c r="C64" s="1266"/>
      <c r="D64" s="91">
        <f>$AF$73/$AF$75/1000*(1+'Données gestion'!C36)</f>
        <v>0.05</v>
      </c>
      <c r="E64" s="91">
        <f>$AF$73/$AF$75/1000*(1+'Données gestion'!D36)</f>
        <v>5.0500000000000003E-2</v>
      </c>
      <c r="F64" s="91">
        <f>$AF$73/$AF$75/1000*(1+'Données gestion'!E36)</f>
        <v>5.1005000000000002E-2</v>
      </c>
      <c r="G64" s="91">
        <f>$AF$73/$AF$75/1000*(1+'Données gestion'!F36)</f>
        <v>5.151505E-2</v>
      </c>
      <c r="H64" s="91">
        <f>$AF$73/$AF$75/1000*(1+'Données gestion'!G36)</f>
        <v>5.2030200500000005E-2</v>
      </c>
      <c r="I64" s="91">
        <f>$AF$73/$AF$75/1000*(1+'Données gestion'!H36)</f>
        <v>5.2550502504999999E-2</v>
      </c>
      <c r="J64" s="91">
        <f>$AF$73/$AF$75/1000*(1+'Données gestion'!I36)</f>
        <v>5.3076007530050012E-2</v>
      </c>
      <c r="K64" s="91">
        <f>$AF$73/$AF$75/1000*(1+'Données gestion'!J36)</f>
        <v>5.3606767605350492E-2</v>
      </c>
      <c r="L64" s="91">
        <f>$AF$73/$AF$75/1000*(1+'Données gestion'!K36)</f>
        <v>5.4142835281404011E-2</v>
      </c>
      <c r="M64" s="91">
        <f>$AF$73/$AF$75/1000*(1+'Données gestion'!L36)</f>
        <v>5.4684263634218057E-2</v>
      </c>
      <c r="N64" s="91">
        <f>$AF$73/$AF$75/1000*(1+'Données gestion'!M36)</f>
        <v>5.5231106270560243E-2</v>
      </c>
      <c r="O64" s="91">
        <f>$AF$73/$AF$75/1000*(1+'Données gestion'!N36)</f>
        <v>5.5783417333265833E-2</v>
      </c>
      <c r="P64" s="91">
        <f>$AF$73/$AF$75/1000*(1+'Données gestion'!O36)</f>
        <v>5.6341251506598494E-2</v>
      </c>
      <c r="Q64" s="91">
        <f>$AF$73/$AF$75/1000*(1+'Données gestion'!P36)</f>
        <v>5.6904664021664476E-2</v>
      </c>
      <c r="R64" s="91">
        <f>$AF$73/$AF$75/1000*(1+'Données gestion'!Q36)</f>
        <v>5.7473710661881131E-2</v>
      </c>
      <c r="S64" s="91">
        <f>$AF$73/$AF$75/1000*(1+'Données gestion'!R36)</f>
        <v>5.8048447768499926E-2</v>
      </c>
      <c r="T64" s="91">
        <f>$AF$73/$AF$75/1000*(1+'Données gestion'!S36)</f>
        <v>5.8628932246184942E-2</v>
      </c>
      <c r="U64" s="91">
        <f>$AF$73/$AF$75/1000*(1+'Données gestion'!T36)</f>
        <v>5.9215221568646795E-2</v>
      </c>
      <c r="V64" s="91">
        <f>$AF$73/$AF$75/1000*(1+'Données gestion'!U36)</f>
        <v>5.9807373784333262E-2</v>
      </c>
      <c r="W64" s="91">
        <f>$AF$73/$AF$75/1000*(1+'Données gestion'!V36)</f>
        <v>6.0405447522176581E-2</v>
      </c>
      <c r="X64" s="91">
        <f>$AF$73/$AF$75/1000*(1+'Données gestion'!W36)</f>
        <v>6.1009501997398352E-2</v>
      </c>
      <c r="AA64" s="93" t="s">
        <v>629</v>
      </c>
    </row>
    <row r="65" spans="27:33" x14ac:dyDescent="0.2">
      <c r="AA65" s="92"/>
      <c r="AB65" t="s">
        <v>4</v>
      </c>
      <c r="AE65" s="45">
        <v>1</v>
      </c>
    </row>
    <row r="66" spans="27:33" x14ac:dyDescent="0.2">
      <c r="AB66" t="s">
        <v>599</v>
      </c>
    </row>
    <row r="67" spans="27:33" x14ac:dyDescent="0.2">
      <c r="AA67" s="93" t="s">
        <v>1164</v>
      </c>
      <c r="AB67" s="14"/>
      <c r="AC67" s="14"/>
      <c r="AD67" s="14"/>
      <c r="AE67" s="14"/>
    </row>
    <row r="68" spans="27:33" x14ac:dyDescent="0.2">
      <c r="AA68" s="94" t="s">
        <v>1163</v>
      </c>
      <c r="AB68" s="14"/>
      <c r="AC68" s="14"/>
      <c r="AD68" s="14"/>
      <c r="AE68" s="14"/>
    </row>
    <row r="69" spans="27:33" x14ac:dyDescent="0.2">
      <c r="AA69" s="92" t="s">
        <v>1165</v>
      </c>
      <c r="AB69" s="14"/>
      <c r="AC69" s="14"/>
      <c r="AD69" s="14"/>
      <c r="AE69" s="14"/>
    </row>
    <row r="70" spans="27:33" x14ac:dyDescent="0.2">
      <c r="AA70" s="92" t="s">
        <v>1170</v>
      </c>
      <c r="AB70" s="14"/>
      <c r="AC70" s="14"/>
      <c r="AD70" s="14"/>
      <c r="AE70" s="14"/>
    </row>
    <row r="71" spans="27:33" x14ac:dyDescent="0.2">
      <c r="AA71" s="92" t="s">
        <v>1167</v>
      </c>
      <c r="AB71" s="14"/>
      <c r="AC71" s="14"/>
      <c r="AD71" s="14"/>
      <c r="AE71" s="14"/>
    </row>
    <row r="72" spans="27:33" x14ac:dyDescent="0.2">
      <c r="AA72" s="92"/>
      <c r="AB72" s="1365" t="s">
        <v>1166</v>
      </c>
      <c r="AC72" s="1365"/>
      <c r="AD72" s="1365"/>
      <c r="AE72" s="1349"/>
      <c r="AF72" s="16">
        <v>1500</v>
      </c>
    </row>
    <row r="73" spans="27:33" x14ac:dyDescent="0.2">
      <c r="AA73" s="92"/>
      <c r="AB73" s="1365" t="s">
        <v>1168</v>
      </c>
      <c r="AC73" s="1365"/>
      <c r="AD73" s="1365"/>
      <c r="AE73" s="1349"/>
      <c r="AF73" s="16">
        <v>1000</v>
      </c>
    </row>
    <row r="74" spans="27:33" x14ac:dyDescent="0.2">
      <c r="AA74" s="1366" t="s">
        <v>82</v>
      </c>
      <c r="AB74" s="1365"/>
      <c r="AC74" s="1365"/>
      <c r="AD74" s="1365"/>
      <c r="AE74" s="1349"/>
      <c r="AF74" s="16">
        <v>15</v>
      </c>
      <c r="AG74" t="s">
        <v>79</v>
      </c>
    </row>
    <row r="75" spans="27:33" x14ac:dyDescent="0.2">
      <c r="AA75" s="1366" t="s">
        <v>1169</v>
      </c>
      <c r="AB75" s="1365"/>
      <c r="AC75" s="1365"/>
      <c r="AD75" s="1365"/>
      <c r="AE75" s="1349"/>
      <c r="AF75" s="16">
        <v>20</v>
      </c>
      <c r="AG75" t="s">
        <v>79</v>
      </c>
    </row>
    <row r="76" spans="27:33" x14ac:dyDescent="0.2">
      <c r="AA76" s="1366" t="s">
        <v>0</v>
      </c>
      <c r="AB76" s="1365"/>
      <c r="AC76" s="1365"/>
      <c r="AD76" s="1365"/>
      <c r="AE76" s="1349"/>
      <c r="AF76" s="16">
        <v>6</v>
      </c>
      <c r="AG76" t="s">
        <v>83</v>
      </c>
    </row>
  </sheetData>
  <mergeCells count="34">
    <mergeCell ref="A22:C22"/>
    <mergeCell ref="A5:B5"/>
    <mergeCell ref="A8:B8"/>
    <mergeCell ref="A9:B9"/>
    <mergeCell ref="A10:B10"/>
    <mergeCell ref="A15:B15"/>
    <mergeCell ref="A21:C21"/>
    <mergeCell ref="AA76:AE76"/>
    <mergeCell ref="A60:C60"/>
    <mergeCell ref="A61:C61"/>
    <mergeCell ref="A43:B43"/>
    <mergeCell ref="A52:C52"/>
    <mergeCell ref="A53:C53"/>
    <mergeCell ref="AA74:AE74"/>
    <mergeCell ref="AA75:AE75"/>
    <mergeCell ref="A62:C62"/>
    <mergeCell ref="A55:C55"/>
    <mergeCell ref="A44:B44"/>
    <mergeCell ref="A45:B45"/>
    <mergeCell ref="A23:C23"/>
    <mergeCell ref="AB72:AE72"/>
    <mergeCell ref="AB73:AE73"/>
    <mergeCell ref="A46:B46"/>
    <mergeCell ref="A34:C34"/>
    <mergeCell ref="A35:C35"/>
    <mergeCell ref="A36:C36"/>
    <mergeCell ref="A63:C63"/>
    <mergeCell ref="A64:C64"/>
    <mergeCell ref="A59:C59"/>
    <mergeCell ref="A54:C54"/>
    <mergeCell ref="A37:C37"/>
    <mergeCell ref="A32:C32"/>
    <mergeCell ref="A33:C33"/>
    <mergeCell ref="A24:C24"/>
  </mergeCells>
  <phoneticPr fontId="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AA30"/>
  <sheetViews>
    <sheetView zoomScale="125" workbookViewId="0">
      <selection activeCell="Z17" sqref="Z17"/>
    </sheetView>
  </sheetViews>
  <sheetFormatPr baseColWidth="10" defaultRowHeight="12.75" x14ac:dyDescent="0.2"/>
  <cols>
    <col min="1" max="3" width="11.85546875" customWidth="1"/>
    <col min="9" max="9" width="12.28515625" customWidth="1"/>
    <col min="10" max="10" width="14.140625" customWidth="1"/>
  </cols>
  <sheetData>
    <row r="1" spans="1:27" ht="26.25" x14ac:dyDescent="0.4">
      <c r="A1" s="9" t="s">
        <v>326</v>
      </c>
    </row>
    <row r="4" spans="1:27" x14ac:dyDescent="0.2">
      <c r="A4" s="12" t="s">
        <v>327</v>
      </c>
    </row>
    <row r="5" spans="1:27" x14ac:dyDescent="0.2">
      <c r="D5" s="65" t="s">
        <v>835</v>
      </c>
      <c r="E5" s="65" t="s">
        <v>945</v>
      </c>
      <c r="F5" s="65" t="s">
        <v>946</v>
      </c>
      <c r="G5" s="65" t="s">
        <v>947</v>
      </c>
      <c r="H5" s="65" t="s">
        <v>948</v>
      </c>
      <c r="I5" s="65" t="s">
        <v>949</v>
      </c>
      <c r="J5" s="65" t="s">
        <v>846</v>
      </c>
      <c r="K5" s="65" t="s">
        <v>847</v>
      </c>
      <c r="L5" s="65" t="s">
        <v>848</v>
      </c>
      <c r="M5" s="65" t="s">
        <v>849</v>
      </c>
      <c r="N5" s="65" t="s">
        <v>509</v>
      </c>
      <c r="O5" s="65" t="s">
        <v>510</v>
      </c>
      <c r="P5" s="65" t="s">
        <v>368</v>
      </c>
      <c r="Q5" s="65" t="s">
        <v>369</v>
      </c>
      <c r="R5" s="65" t="s">
        <v>370</v>
      </c>
      <c r="S5" s="65" t="s">
        <v>371</v>
      </c>
      <c r="T5" s="65" t="s">
        <v>372</v>
      </c>
      <c r="U5" s="65" t="s">
        <v>373</v>
      </c>
      <c r="V5" s="65" t="s">
        <v>374</v>
      </c>
      <c r="W5" s="65" t="s">
        <v>375</v>
      </c>
      <c r="X5" s="65" t="s">
        <v>376</v>
      </c>
    </row>
    <row r="6" spans="1:27" x14ac:dyDescent="0.2">
      <c r="A6" s="1266" t="s">
        <v>328</v>
      </c>
      <c r="B6" s="1266"/>
      <c r="C6" s="1266"/>
      <c r="D6" s="105">
        <f>'Données VAR'!D66</f>
        <v>124.23205038221242</v>
      </c>
      <c r="E6" s="105">
        <f>'Données VAR'!E66</f>
        <v>1169.2428271267052</v>
      </c>
      <c r="F6" s="105">
        <f>'Données VAR'!F66</f>
        <v>1812.3263820463928</v>
      </c>
      <c r="G6" s="105">
        <f>'Données VAR'!G66</f>
        <v>2806.1827851040921</v>
      </c>
      <c r="H6" s="105">
        <f>'Données VAR'!H66</f>
        <v>3507.7284813801152</v>
      </c>
      <c r="I6" s="105">
        <f>'Données VAR'!I66</f>
        <v>4033.8877535871325</v>
      </c>
      <c r="J6" s="105">
        <f>'Données VAR'!J66</f>
        <v>4033.8877535871325</v>
      </c>
      <c r="K6" s="105">
        <f>'Données VAR'!K66</f>
        <v>4033.8877535871325</v>
      </c>
      <c r="L6" s="105">
        <f>'Données VAR'!L66</f>
        <v>4033.8877535871325</v>
      </c>
      <c r="M6" s="105">
        <f>'Données VAR'!M66</f>
        <v>4033.8877535871325</v>
      </c>
      <c r="N6" s="105">
        <f>'Données VAR'!N66</f>
        <v>4033.8877535871325</v>
      </c>
      <c r="O6" s="105">
        <f>'Données VAR'!O66</f>
        <v>4033.8877535871325</v>
      </c>
      <c r="P6" s="105">
        <f>'Données VAR'!P66</f>
        <v>4033.8877535871325</v>
      </c>
      <c r="Q6" s="105">
        <f>'Données VAR'!Q66</f>
        <v>4033.8877535871325</v>
      </c>
      <c r="R6" s="105">
        <f>'Données VAR'!R66</f>
        <v>4033.8877535871325</v>
      </c>
      <c r="S6" s="105">
        <f>'Données VAR'!S66</f>
        <v>4033.8877535871325</v>
      </c>
      <c r="T6" s="105">
        <f>'Données VAR'!T66</f>
        <v>4033.8877535871325</v>
      </c>
      <c r="U6" s="105">
        <f>'Données VAR'!U66</f>
        <v>4033.8877535871325</v>
      </c>
      <c r="V6" s="105">
        <f>'Données VAR'!V66</f>
        <v>4033.8877535871325</v>
      </c>
      <c r="W6" s="105">
        <f>'Données VAR'!W66</f>
        <v>4033.8877535871325</v>
      </c>
      <c r="X6" s="105">
        <f>'Données VAR'!X66</f>
        <v>4033.8877535871325</v>
      </c>
    </row>
    <row r="7" spans="1:27" x14ac:dyDescent="0.2">
      <c r="A7" s="1266" t="s">
        <v>329</v>
      </c>
      <c r="B7" s="1266"/>
      <c r="C7" s="1266"/>
      <c r="D7" s="112">
        <f>'Données PAMCHR'!C113</f>
        <v>124.23205038221242</v>
      </c>
      <c r="E7" s="112">
        <f>'Données PAMCHR'!D113</f>
        <v>31.791536613468608</v>
      </c>
      <c r="F7" s="112">
        <f>'Données PAMCHR'!E113</f>
        <v>175.20669066978257</v>
      </c>
      <c r="G7" s="112">
        <f>'Données PAMCHR'!F113</f>
        <v>543.88930047487588</v>
      </c>
      <c r="H7" s="112">
        <f>'Données PAMCHR'!G113</f>
        <v>748.75427032041273</v>
      </c>
      <c r="I7" s="112">
        <f>'Données PAMCHR'!H113</f>
        <v>1400.1437268995171</v>
      </c>
      <c r="J7" s="112">
        <f>'Données PAMCHR'!I113</f>
        <v>1400.1437268995171</v>
      </c>
      <c r="K7" s="112">
        <f>'Données PAMCHR'!J113</f>
        <v>1400.1437268995171</v>
      </c>
      <c r="L7" s="112">
        <f>'Données PAMCHR'!K113</f>
        <v>1400.1437268995171</v>
      </c>
      <c r="M7" s="112">
        <f>'Données PAMCHR'!L113</f>
        <v>1400.1437268995171</v>
      </c>
      <c r="N7" s="112">
        <f>'Données PAMCHR'!M113</f>
        <v>1400.1437268995171</v>
      </c>
      <c r="O7" s="112">
        <f>'Données PAMCHR'!N113</f>
        <v>1400.1437268995171</v>
      </c>
      <c r="P7" s="112">
        <f>'Données PAMCHR'!O113</f>
        <v>1400.1437268995171</v>
      </c>
      <c r="Q7" s="112">
        <f>'Données PAMCHR'!P113</f>
        <v>1400.1437268995171</v>
      </c>
      <c r="R7" s="112">
        <f>'Données PAMCHR'!Q113</f>
        <v>1400.1437268995171</v>
      </c>
      <c r="S7" s="112">
        <f>'Données PAMCHR'!R113</f>
        <v>1400.1437268995171</v>
      </c>
      <c r="T7" s="112">
        <f>'Données PAMCHR'!S113</f>
        <v>1400.1437268995171</v>
      </c>
      <c r="U7" s="112">
        <f>'Données PAMCHR'!T113</f>
        <v>1400.1437268995171</v>
      </c>
      <c r="V7" s="112">
        <f>'Données PAMCHR'!U113</f>
        <v>1400.1437268995171</v>
      </c>
      <c r="W7" s="112">
        <f>'Données PAMCHR'!V113</f>
        <v>1400.1437268995171</v>
      </c>
      <c r="X7" s="112">
        <f>'Données PAMCHR'!W113</f>
        <v>1400.1437268995171</v>
      </c>
      <c r="Y7" t="s">
        <v>908</v>
      </c>
      <c r="Z7" s="374"/>
    </row>
    <row r="8" spans="1:27" x14ac:dyDescent="0.2">
      <c r="A8" s="1266" t="s">
        <v>906</v>
      </c>
      <c r="B8" s="1266"/>
      <c r="C8" s="1266"/>
      <c r="D8" s="21">
        <f t="shared" ref="D8:K8" si="0">D9-D7</f>
        <v>0</v>
      </c>
      <c r="E8" s="21">
        <f t="shared" si="0"/>
        <v>0</v>
      </c>
      <c r="F8" s="21">
        <f t="shared" si="0"/>
        <v>0</v>
      </c>
      <c r="G8" s="21">
        <f t="shared" si="0"/>
        <v>0</v>
      </c>
      <c r="H8" s="21">
        <f t="shared" si="0"/>
        <v>0</v>
      </c>
      <c r="I8" s="21">
        <f t="shared" si="0"/>
        <v>0</v>
      </c>
      <c r="J8" s="21">
        <f t="shared" si="0"/>
        <v>0</v>
      </c>
      <c r="K8" s="21">
        <f t="shared" si="0"/>
        <v>0</v>
      </c>
      <c r="L8" s="21">
        <f>L9-L7</f>
        <v>0</v>
      </c>
      <c r="M8" s="21">
        <f>M9-M7</f>
        <v>0</v>
      </c>
      <c r="N8" s="21">
        <f>N9-N7</f>
        <v>0</v>
      </c>
      <c r="O8" s="21">
        <f t="shared" ref="O8:X8" si="1">O9-O7</f>
        <v>0</v>
      </c>
      <c r="P8" s="21">
        <f t="shared" si="1"/>
        <v>0</v>
      </c>
      <c r="Q8" s="21">
        <f t="shared" si="1"/>
        <v>0</v>
      </c>
      <c r="R8" s="21">
        <f t="shared" si="1"/>
        <v>0</v>
      </c>
      <c r="S8" s="21">
        <f t="shared" si="1"/>
        <v>0</v>
      </c>
      <c r="T8" s="21">
        <f t="shared" si="1"/>
        <v>0</v>
      </c>
      <c r="U8" s="21">
        <f t="shared" si="1"/>
        <v>0</v>
      </c>
      <c r="V8" s="21">
        <f t="shared" si="1"/>
        <v>0</v>
      </c>
      <c r="W8" s="21">
        <f t="shared" si="1"/>
        <v>0</v>
      </c>
      <c r="X8" s="21">
        <f t="shared" si="1"/>
        <v>0</v>
      </c>
      <c r="Y8" s="1367" t="s">
        <v>909</v>
      </c>
      <c r="Z8" s="1368"/>
      <c r="AA8" s="29">
        <v>25</v>
      </c>
    </row>
    <row r="9" spans="1:27" x14ac:dyDescent="0.2">
      <c r="A9" s="1266" t="s">
        <v>907</v>
      </c>
      <c r="B9" s="1266"/>
      <c r="C9" s="1266"/>
      <c r="D9" s="112">
        <f>D7</f>
        <v>124.23205038221242</v>
      </c>
      <c r="E9" s="112">
        <f t="shared" ref="E9:K9" si="2">E7</f>
        <v>31.791536613468608</v>
      </c>
      <c r="F9" s="112">
        <f t="shared" si="2"/>
        <v>175.20669066978257</v>
      </c>
      <c r="G9" s="112">
        <f t="shared" si="2"/>
        <v>543.88930047487588</v>
      </c>
      <c r="H9" s="112">
        <f t="shared" si="2"/>
        <v>748.75427032041273</v>
      </c>
      <c r="I9" s="112">
        <f t="shared" si="2"/>
        <v>1400.1437268995171</v>
      </c>
      <c r="J9" s="112">
        <f t="shared" si="2"/>
        <v>1400.1437268995171</v>
      </c>
      <c r="K9" s="112">
        <f t="shared" si="2"/>
        <v>1400.1437268995171</v>
      </c>
      <c r="L9" s="112">
        <f>L7</f>
        <v>1400.1437268995171</v>
      </c>
      <c r="M9" s="112">
        <f>M7</f>
        <v>1400.1437268995171</v>
      </c>
      <c r="N9" s="112">
        <f t="shared" ref="N9:X9" si="3">N7</f>
        <v>1400.1437268995171</v>
      </c>
      <c r="O9" s="112">
        <f t="shared" si="3"/>
        <v>1400.1437268995171</v>
      </c>
      <c r="P9" s="112">
        <f t="shared" si="3"/>
        <v>1400.1437268995171</v>
      </c>
      <c r="Q9" s="112">
        <f t="shared" si="3"/>
        <v>1400.1437268995171</v>
      </c>
      <c r="R9" s="112">
        <f t="shared" si="3"/>
        <v>1400.1437268995171</v>
      </c>
      <c r="S9" s="112">
        <f t="shared" si="3"/>
        <v>1400.1437268995171</v>
      </c>
      <c r="T9" s="112">
        <f t="shared" si="3"/>
        <v>1400.1437268995171</v>
      </c>
      <c r="U9" s="112">
        <f t="shared" si="3"/>
        <v>1400.1437268995171</v>
      </c>
      <c r="V9" s="112">
        <f t="shared" si="3"/>
        <v>1400.1437268995171</v>
      </c>
      <c r="W9" s="112">
        <f t="shared" si="3"/>
        <v>1400.1437268995171</v>
      </c>
      <c r="X9" s="112">
        <f t="shared" si="3"/>
        <v>1400.1437268995171</v>
      </c>
      <c r="Y9" s="1367" t="s">
        <v>910</v>
      </c>
      <c r="Z9" s="1368"/>
      <c r="AA9" s="28">
        <f>AA8/'Données Matières'!D9</f>
        <v>17.857142857142858</v>
      </c>
    </row>
    <row r="10" spans="1:27" x14ac:dyDescent="0.2">
      <c r="A10" s="1266" t="s">
        <v>330</v>
      </c>
      <c r="B10" s="1266"/>
      <c r="C10" s="1266"/>
      <c r="D10" s="21">
        <f t="shared" ref="D10:M10" si="4">D6-D9</f>
        <v>0</v>
      </c>
      <c r="E10" s="21">
        <f t="shared" si="4"/>
        <v>1137.4512905132365</v>
      </c>
      <c r="F10" s="21">
        <f t="shared" si="4"/>
        <v>1637.1196913766103</v>
      </c>
      <c r="G10" s="21">
        <f t="shared" si="4"/>
        <v>2262.2934846292164</v>
      </c>
      <c r="H10" s="21">
        <f t="shared" si="4"/>
        <v>2758.9742110597026</v>
      </c>
      <c r="I10" s="21">
        <f t="shared" si="4"/>
        <v>2633.7440266876156</v>
      </c>
      <c r="J10" s="21">
        <f t="shared" si="4"/>
        <v>2633.7440266876156</v>
      </c>
      <c r="K10" s="21">
        <f t="shared" si="4"/>
        <v>2633.7440266876156</v>
      </c>
      <c r="L10" s="21">
        <f t="shared" si="4"/>
        <v>2633.7440266876156</v>
      </c>
      <c r="M10" s="21">
        <f t="shared" si="4"/>
        <v>2633.7440266876156</v>
      </c>
      <c r="N10" s="21">
        <f t="shared" ref="N10:X10" si="5">N6-N9</f>
        <v>2633.7440266876156</v>
      </c>
      <c r="O10" s="21">
        <f t="shared" si="5"/>
        <v>2633.7440266876156</v>
      </c>
      <c r="P10" s="21">
        <f t="shared" si="5"/>
        <v>2633.7440266876156</v>
      </c>
      <c r="Q10" s="21">
        <f t="shared" si="5"/>
        <v>2633.7440266876156</v>
      </c>
      <c r="R10" s="21">
        <f t="shared" si="5"/>
        <v>2633.7440266876156</v>
      </c>
      <c r="S10" s="21">
        <f t="shared" si="5"/>
        <v>2633.7440266876156</v>
      </c>
      <c r="T10" s="21">
        <f t="shared" si="5"/>
        <v>2633.7440266876156</v>
      </c>
      <c r="U10" s="21">
        <f t="shared" si="5"/>
        <v>2633.7440266876156</v>
      </c>
      <c r="V10" s="21">
        <f t="shared" si="5"/>
        <v>2633.7440266876156</v>
      </c>
      <c r="W10" s="21">
        <f t="shared" si="5"/>
        <v>2633.7440266876156</v>
      </c>
      <c r="X10" s="21">
        <f t="shared" si="5"/>
        <v>2633.7440266876156</v>
      </c>
    </row>
    <row r="11" spans="1:27" x14ac:dyDescent="0.2">
      <c r="A11" s="53"/>
      <c r="B11" s="53"/>
      <c r="C11" s="53"/>
      <c r="D11" s="53"/>
      <c r="E11" s="179"/>
      <c r="F11" s="179"/>
      <c r="G11" s="179"/>
      <c r="H11" s="179"/>
      <c r="I11" s="410">
        <f>I7/I6</f>
        <v>0.34709536120692502</v>
      </c>
      <c r="J11" t="s">
        <v>345</v>
      </c>
      <c r="N11" s="42"/>
      <c r="O11" s="36"/>
    </row>
    <row r="12" spans="1:27" x14ac:dyDescent="0.2">
      <c r="A12" s="53"/>
      <c r="B12" s="53"/>
      <c r="C12" s="53"/>
      <c r="D12" s="179"/>
      <c r="E12" s="179"/>
      <c r="F12" s="179"/>
      <c r="G12" s="179"/>
      <c r="H12" s="179"/>
      <c r="M12" s="42"/>
      <c r="N12" s="36"/>
    </row>
    <row r="14" spans="1:27" x14ac:dyDescent="0.2">
      <c r="A14" s="12" t="s">
        <v>631</v>
      </c>
      <c r="K14" s="35"/>
    </row>
    <row r="15" spans="1:27" x14ac:dyDescent="0.2">
      <c r="E15" s="65" t="s">
        <v>835</v>
      </c>
      <c r="F15" s="65" t="s">
        <v>945</v>
      </c>
      <c r="G15" s="65" t="s">
        <v>946</v>
      </c>
      <c r="H15" s="65" t="s">
        <v>947</v>
      </c>
      <c r="I15" s="65" t="s">
        <v>948</v>
      </c>
      <c r="J15" s="65" t="s">
        <v>949</v>
      </c>
      <c r="K15" s="65" t="s">
        <v>846</v>
      </c>
      <c r="L15" s="65" t="s">
        <v>847</v>
      </c>
      <c r="M15" s="65" t="s">
        <v>848</v>
      </c>
      <c r="N15" s="65" t="s">
        <v>849</v>
      </c>
      <c r="O15" s="65" t="s">
        <v>509</v>
      </c>
      <c r="P15" s="65" t="s">
        <v>510</v>
      </c>
      <c r="Q15" s="65" t="s">
        <v>368</v>
      </c>
      <c r="R15" s="65" t="s">
        <v>369</v>
      </c>
      <c r="S15" s="65" t="s">
        <v>370</v>
      </c>
      <c r="T15" s="65" t="s">
        <v>371</v>
      </c>
      <c r="U15" s="65" t="s">
        <v>372</v>
      </c>
      <c r="V15" s="65" t="s">
        <v>373</v>
      </c>
      <c r="W15" s="65" t="s">
        <v>374</v>
      </c>
      <c r="X15" s="65" t="s">
        <v>375</v>
      </c>
      <c r="Y15" s="65" t="s">
        <v>376</v>
      </c>
    </row>
    <row r="16" spans="1:27" ht="13.5" thickBot="1" x14ac:dyDescent="0.25">
      <c r="A16" s="1266" t="s">
        <v>334</v>
      </c>
      <c r="B16" s="1266"/>
      <c r="C16" s="1266"/>
      <c r="D16" s="1266"/>
      <c r="E16" s="421">
        <f>'Données Matières'!C10</f>
        <v>17.692857142857143</v>
      </c>
      <c r="F16" s="421">
        <f>'Données Matières'!D10</f>
        <v>17.692857142857143</v>
      </c>
      <c r="G16" s="78">
        <f>'Données Matières'!E10</f>
        <v>17.692857142857143</v>
      </c>
      <c r="H16" s="78">
        <f>'Données Matières'!F10</f>
        <v>17.692857142857143</v>
      </c>
      <c r="I16" s="78">
        <f>'Données Matières'!G10</f>
        <v>17.692857142857143</v>
      </c>
      <c r="J16" s="78">
        <f>'Données Matières'!H10</f>
        <v>17.692857142857143</v>
      </c>
      <c r="K16" s="78">
        <f>'Données Matières'!I10</f>
        <v>17.692857142857143</v>
      </c>
      <c r="L16" s="78">
        <f>'Données Matières'!J10</f>
        <v>17.692857142857143</v>
      </c>
      <c r="M16" s="78">
        <f>'Données Matières'!K10</f>
        <v>17.692857142857143</v>
      </c>
      <c r="N16" s="78">
        <f>'Données Matières'!L10</f>
        <v>17.692857142857143</v>
      </c>
      <c r="O16" s="78">
        <f>'Données Matières'!M10</f>
        <v>17.692857142857143</v>
      </c>
      <c r="P16" s="78">
        <f>'Données Matières'!N10</f>
        <v>17.692857142857143</v>
      </c>
      <c r="Q16" s="78">
        <f>'Données Matières'!O10</f>
        <v>17.692857142857143</v>
      </c>
      <c r="R16" s="78">
        <f>'Données Matières'!P10</f>
        <v>17.692857142857143</v>
      </c>
      <c r="S16" s="78">
        <f>'Données Matières'!Q10</f>
        <v>17.692857142857143</v>
      </c>
      <c r="T16" s="78">
        <f>'Données Matières'!R10</f>
        <v>17.692857142857143</v>
      </c>
      <c r="U16" s="78">
        <f>'Données Matières'!S10</f>
        <v>17.692857142857143</v>
      </c>
      <c r="V16" s="78">
        <f>'Données Matières'!T10</f>
        <v>17.692857142857143</v>
      </c>
      <c r="W16" s="78">
        <f>'Données Matières'!U10</f>
        <v>17.692857142857143</v>
      </c>
      <c r="X16" s="78">
        <f>'Données Matières'!V10</f>
        <v>17.692857142857143</v>
      </c>
      <c r="Y16" s="78">
        <f>'Données Matières'!W10</f>
        <v>17.692857142857143</v>
      </c>
    </row>
    <row r="17" spans="1:27" ht="13.5" thickBot="1" x14ac:dyDescent="0.25">
      <c r="A17" s="1266" t="s">
        <v>335</v>
      </c>
      <c r="B17" s="1266"/>
      <c r="C17" s="1266"/>
      <c r="D17" s="1267"/>
      <c r="E17" s="618">
        <v>12.14</v>
      </c>
      <c r="F17" s="423">
        <v>11.1</v>
      </c>
      <c r="G17" s="420">
        <f>F17</f>
        <v>11.1</v>
      </c>
      <c r="H17" s="38">
        <f>F17</f>
        <v>11.1</v>
      </c>
      <c r="I17" s="38">
        <f>F17</f>
        <v>11.1</v>
      </c>
      <c r="J17" s="38">
        <f>F17</f>
        <v>11.1</v>
      </c>
      <c r="K17" s="38">
        <f>F17</f>
        <v>11.1</v>
      </c>
      <c r="L17" s="38">
        <f>F17</f>
        <v>11.1</v>
      </c>
      <c r="M17" s="38">
        <f>F17</f>
        <v>11.1</v>
      </c>
      <c r="N17" s="38">
        <f>F17</f>
        <v>11.1</v>
      </c>
      <c r="O17" s="38">
        <f>F17</f>
        <v>11.1</v>
      </c>
      <c r="P17" s="38">
        <f>F17</f>
        <v>11.1</v>
      </c>
      <c r="Q17" s="38">
        <f>F17</f>
        <v>11.1</v>
      </c>
      <c r="R17" s="38">
        <f>F17</f>
        <v>11.1</v>
      </c>
      <c r="S17" s="38">
        <f>F17</f>
        <v>11.1</v>
      </c>
      <c r="T17" s="38">
        <f>F17</f>
        <v>11.1</v>
      </c>
      <c r="U17" s="38">
        <f>F17</f>
        <v>11.1</v>
      </c>
      <c r="V17" s="38">
        <f>F17</f>
        <v>11.1</v>
      </c>
      <c r="W17" s="38">
        <f>F17</f>
        <v>11.1</v>
      </c>
      <c r="X17" s="38">
        <f>F17</f>
        <v>11.1</v>
      </c>
      <c r="Y17" s="38">
        <f>F17</f>
        <v>11.1</v>
      </c>
      <c r="Z17" s="579">
        <f>Exploitation!W31-Exploitation!W32</f>
        <v>-619579.9750385657</v>
      </c>
    </row>
    <row r="18" spans="1:27" x14ac:dyDescent="0.2">
      <c r="A18" s="1266" t="s">
        <v>902</v>
      </c>
      <c r="B18" s="1266"/>
      <c r="C18" s="1266"/>
      <c r="D18" s="1266"/>
      <c r="E18" s="422">
        <f t="shared" ref="E18:L18" si="6">(E16-E17)/E16</f>
        <v>0.31384739604360112</v>
      </c>
      <c r="F18" s="422">
        <f t="shared" si="6"/>
        <v>0.3726281792490917</v>
      </c>
      <c r="G18" s="104">
        <f t="shared" si="6"/>
        <v>0.3726281792490917</v>
      </c>
      <c r="H18" s="104">
        <f t="shared" si="6"/>
        <v>0.3726281792490917</v>
      </c>
      <c r="I18" s="104">
        <f t="shared" si="6"/>
        <v>0.3726281792490917</v>
      </c>
      <c r="J18" s="104">
        <f t="shared" si="6"/>
        <v>0.3726281792490917</v>
      </c>
      <c r="K18" s="104">
        <f t="shared" si="6"/>
        <v>0.3726281792490917</v>
      </c>
      <c r="L18" s="104">
        <f t="shared" si="6"/>
        <v>0.3726281792490917</v>
      </c>
      <c r="M18" s="104">
        <f>(M16-M17)/M16</f>
        <v>0.3726281792490917</v>
      </c>
      <c r="N18" s="104">
        <f>(N16-N17)/N16</f>
        <v>0.3726281792490917</v>
      </c>
      <c r="O18" s="104">
        <f>(O16-O17)/O16</f>
        <v>0.3726281792490917</v>
      </c>
      <c r="P18" s="104">
        <f t="shared" ref="P18:Y18" si="7">(P16-P17)/P16</f>
        <v>0.3726281792490917</v>
      </c>
      <c r="Q18" s="104">
        <f t="shared" si="7"/>
        <v>0.3726281792490917</v>
      </c>
      <c r="R18" s="104">
        <f t="shared" si="7"/>
        <v>0.3726281792490917</v>
      </c>
      <c r="S18" s="104">
        <f t="shared" si="7"/>
        <v>0.3726281792490917</v>
      </c>
      <c r="T18" s="104">
        <f t="shared" si="7"/>
        <v>0.3726281792490917</v>
      </c>
      <c r="U18" s="104">
        <f t="shared" si="7"/>
        <v>0.3726281792490917</v>
      </c>
      <c r="V18" s="104">
        <f t="shared" si="7"/>
        <v>0.3726281792490917</v>
      </c>
      <c r="W18" s="104">
        <f t="shared" si="7"/>
        <v>0.3726281792490917</v>
      </c>
      <c r="X18" s="104">
        <f t="shared" si="7"/>
        <v>0.3726281792490917</v>
      </c>
      <c r="Y18" s="104">
        <f t="shared" si="7"/>
        <v>0.3726281792490917</v>
      </c>
      <c r="Z18" s="383">
        <f>Exploitation!G31-Exploitation!W35</f>
        <v>2957870.2250744905</v>
      </c>
    </row>
    <row r="19" spans="1:27" x14ac:dyDescent="0.2">
      <c r="A19" s="1266" t="s">
        <v>873</v>
      </c>
      <c r="B19" s="1266"/>
      <c r="C19" s="1266"/>
      <c r="D19" s="1266"/>
      <c r="E19" s="28">
        <f>E17*'Données gestion'!C9</f>
        <v>16.995999999999999</v>
      </c>
      <c r="F19" s="28">
        <f>F17*'Données gestion'!D9</f>
        <v>15.54</v>
      </c>
      <c r="G19" s="28">
        <f>G17*'Données gestion'!E9</f>
        <v>15.54</v>
      </c>
      <c r="H19" s="28">
        <f>H17*'Données gestion'!F9</f>
        <v>15.54</v>
      </c>
      <c r="I19" s="28">
        <f>I17*'Données gestion'!G9</f>
        <v>15.54</v>
      </c>
      <c r="J19" s="28">
        <f>J17*'Données gestion'!H9</f>
        <v>15.54</v>
      </c>
      <c r="K19" s="28">
        <f>K17*'Données gestion'!I9</f>
        <v>15.54</v>
      </c>
      <c r="L19" s="28">
        <f>L17*'Données gestion'!J9</f>
        <v>15.54</v>
      </c>
      <c r="M19" s="28">
        <f>M17*'Données gestion'!K9</f>
        <v>15.54</v>
      </c>
      <c r="N19" s="28">
        <f>N17*'Données gestion'!L9</f>
        <v>15.54</v>
      </c>
      <c r="O19" s="28">
        <f>O17*'Données gestion'!M9</f>
        <v>15.54</v>
      </c>
      <c r="P19" s="28">
        <f>P17*'Données gestion'!N9</f>
        <v>15.54</v>
      </c>
      <c r="Q19" s="28">
        <f>Q17*'Données gestion'!O9</f>
        <v>15.54</v>
      </c>
      <c r="R19" s="28">
        <f>R17*'Données gestion'!P9</f>
        <v>15.54</v>
      </c>
      <c r="S19" s="28">
        <f>S17*'Données gestion'!Q9</f>
        <v>15.54</v>
      </c>
      <c r="T19" s="28">
        <f>T17*'Données gestion'!R9</f>
        <v>15.54</v>
      </c>
      <c r="U19" s="28">
        <f>U17*'Données gestion'!S9</f>
        <v>15.54</v>
      </c>
      <c r="V19" s="28">
        <f>V17*'Données gestion'!T9</f>
        <v>15.54</v>
      </c>
      <c r="W19" s="28">
        <f>W17*'Données gestion'!U9</f>
        <v>15.54</v>
      </c>
      <c r="X19" s="28">
        <f>X17*'Données gestion'!V9</f>
        <v>15.54</v>
      </c>
      <c r="Y19" s="28">
        <f>Y17*'Données gestion'!W9</f>
        <v>15.54</v>
      </c>
    </row>
    <row r="20" spans="1:27" x14ac:dyDescent="0.2">
      <c r="A20" s="53"/>
      <c r="B20" s="53"/>
      <c r="C20" s="53"/>
      <c r="D20" s="53"/>
      <c r="E20" s="341" t="s">
        <v>530</v>
      </c>
      <c r="F20" s="341"/>
      <c r="G20" s="341"/>
      <c r="H20" s="341"/>
      <c r="I20" s="341"/>
    </row>
    <row r="22" spans="1:27" x14ac:dyDescent="0.2">
      <c r="A22" s="12" t="s">
        <v>333</v>
      </c>
    </row>
    <row r="23" spans="1:27" x14ac:dyDescent="0.2">
      <c r="A23" t="s">
        <v>504</v>
      </c>
      <c r="F23" s="65" t="s">
        <v>835</v>
      </c>
      <c r="G23" s="65" t="s">
        <v>945</v>
      </c>
      <c r="H23" s="65" t="s">
        <v>946</v>
      </c>
      <c r="I23" s="65" t="s">
        <v>947</v>
      </c>
      <c r="J23" s="65" t="s">
        <v>948</v>
      </c>
      <c r="K23" s="65" t="s">
        <v>949</v>
      </c>
      <c r="L23" s="65" t="s">
        <v>846</v>
      </c>
      <c r="M23" s="65" t="s">
        <v>847</v>
      </c>
      <c r="N23" s="65" t="s">
        <v>848</v>
      </c>
      <c r="O23" s="65" t="s">
        <v>849</v>
      </c>
      <c r="P23" s="65" t="s">
        <v>509</v>
      </c>
      <c r="Q23" s="65" t="s">
        <v>510</v>
      </c>
      <c r="R23" s="65" t="s">
        <v>368</v>
      </c>
      <c r="S23" s="65" t="s">
        <v>369</v>
      </c>
      <c r="T23" s="65" t="s">
        <v>370</v>
      </c>
      <c r="U23" s="65" t="s">
        <v>371</v>
      </c>
      <c r="V23" s="65" t="s">
        <v>372</v>
      </c>
      <c r="W23" s="65" t="s">
        <v>373</v>
      </c>
      <c r="X23" s="65" t="s">
        <v>374</v>
      </c>
      <c r="Y23" s="65" t="s">
        <v>375</v>
      </c>
      <c r="Z23" s="65" t="s">
        <v>376</v>
      </c>
    </row>
    <row r="24" spans="1:27" x14ac:dyDescent="0.2">
      <c r="A24" s="1266" t="s">
        <v>871</v>
      </c>
      <c r="B24" s="1266"/>
      <c r="C24" s="1266"/>
      <c r="D24" s="1266"/>
      <c r="E24" s="1266"/>
      <c r="F24" s="38">
        <f>G24</f>
        <v>1</v>
      </c>
      <c r="G24" s="345">
        <v>1</v>
      </c>
      <c r="H24" s="38">
        <f>G24</f>
        <v>1</v>
      </c>
      <c r="I24" s="38">
        <f>G24</f>
        <v>1</v>
      </c>
      <c r="J24" s="38">
        <f>G24</f>
        <v>1</v>
      </c>
      <c r="K24" s="38">
        <f>G24</f>
        <v>1</v>
      </c>
      <c r="L24" s="38">
        <f>G24</f>
        <v>1</v>
      </c>
      <c r="M24" s="38">
        <f>G24</f>
        <v>1</v>
      </c>
      <c r="N24" s="38">
        <f>G24</f>
        <v>1</v>
      </c>
      <c r="O24" s="38">
        <f>$G$24</f>
        <v>1</v>
      </c>
      <c r="P24" s="38">
        <f t="shared" ref="P24:Z24" si="8">$G$24</f>
        <v>1</v>
      </c>
      <c r="Q24" s="38">
        <f t="shared" si="8"/>
        <v>1</v>
      </c>
      <c r="R24" s="38">
        <f t="shared" si="8"/>
        <v>1</v>
      </c>
      <c r="S24" s="38">
        <f t="shared" si="8"/>
        <v>1</v>
      </c>
      <c r="T24" s="38">
        <f t="shared" si="8"/>
        <v>1</v>
      </c>
      <c r="U24" s="38">
        <f t="shared" si="8"/>
        <v>1</v>
      </c>
      <c r="V24" s="38">
        <f t="shared" si="8"/>
        <v>1</v>
      </c>
      <c r="W24" s="38">
        <f t="shared" si="8"/>
        <v>1</v>
      </c>
      <c r="X24" s="38">
        <f t="shared" si="8"/>
        <v>1</v>
      </c>
      <c r="Y24" s="38">
        <f t="shared" si="8"/>
        <v>1</v>
      </c>
      <c r="Z24" s="38">
        <f t="shared" si="8"/>
        <v>1</v>
      </c>
    </row>
    <row r="25" spans="1:27" x14ac:dyDescent="0.2">
      <c r="A25" s="1266" t="s">
        <v>872</v>
      </c>
      <c r="B25" s="1266"/>
      <c r="C25" s="1266"/>
      <c r="D25" s="1266"/>
      <c r="E25" s="1266"/>
      <c r="F25" s="38">
        <f>G25</f>
        <v>0.60000000000000009</v>
      </c>
      <c r="G25" s="38">
        <f>G24/5*3</f>
        <v>0.60000000000000009</v>
      </c>
      <c r="H25" s="38">
        <f>G25</f>
        <v>0.60000000000000009</v>
      </c>
      <c r="I25" s="38">
        <f>G25</f>
        <v>0.60000000000000009</v>
      </c>
      <c r="J25" s="38">
        <f>G25</f>
        <v>0.60000000000000009</v>
      </c>
      <c r="K25" s="38">
        <f>G25</f>
        <v>0.60000000000000009</v>
      </c>
      <c r="L25" s="38">
        <f>G25</f>
        <v>0.60000000000000009</v>
      </c>
      <c r="M25" s="38">
        <f>G25</f>
        <v>0.60000000000000009</v>
      </c>
      <c r="N25" s="38">
        <f>G25</f>
        <v>0.60000000000000009</v>
      </c>
      <c r="O25" s="38">
        <f>$G$25</f>
        <v>0.60000000000000009</v>
      </c>
      <c r="P25" s="38">
        <f t="shared" ref="P25:Z25" si="9">$G$25</f>
        <v>0.60000000000000009</v>
      </c>
      <c r="Q25" s="38">
        <f t="shared" si="9"/>
        <v>0.60000000000000009</v>
      </c>
      <c r="R25" s="38">
        <f t="shared" si="9"/>
        <v>0.60000000000000009</v>
      </c>
      <c r="S25" s="38">
        <f t="shared" si="9"/>
        <v>0.60000000000000009</v>
      </c>
      <c r="T25" s="38">
        <f t="shared" si="9"/>
        <v>0.60000000000000009</v>
      </c>
      <c r="U25" s="38">
        <f t="shared" si="9"/>
        <v>0.60000000000000009</v>
      </c>
      <c r="V25" s="38">
        <f t="shared" si="9"/>
        <v>0.60000000000000009</v>
      </c>
      <c r="W25" s="38">
        <f t="shared" si="9"/>
        <v>0.60000000000000009</v>
      </c>
      <c r="X25" s="38">
        <f t="shared" si="9"/>
        <v>0.60000000000000009</v>
      </c>
      <c r="Y25" s="38">
        <f t="shared" si="9"/>
        <v>0.60000000000000009</v>
      </c>
      <c r="Z25" s="38">
        <f t="shared" si="9"/>
        <v>0.60000000000000009</v>
      </c>
      <c r="AA25" s="371" t="s">
        <v>899</v>
      </c>
    </row>
    <row r="26" spans="1:27" x14ac:dyDescent="0.2">
      <c r="A26" s="1266" t="s">
        <v>336</v>
      </c>
      <c r="B26" s="1266"/>
      <c r="C26" s="1266"/>
      <c r="D26" s="1266"/>
      <c r="E26" s="1266"/>
      <c r="F26" s="28">
        <f>F24/'Données gestion'!C9</f>
        <v>0.7142857142857143</v>
      </c>
      <c r="G26" s="28">
        <f>G24/'Données gestion'!D9</f>
        <v>0.7142857142857143</v>
      </c>
      <c r="H26" s="28">
        <f>H24/'Données gestion'!E9</f>
        <v>0.7142857142857143</v>
      </c>
      <c r="I26" s="28">
        <f>I24/'Données gestion'!F9</f>
        <v>0.7142857142857143</v>
      </c>
      <c r="J26" s="28">
        <f>J24/'Données gestion'!G9</f>
        <v>0.7142857142857143</v>
      </c>
      <c r="K26" s="28">
        <f>K24/'Données gestion'!H9</f>
        <v>0.7142857142857143</v>
      </c>
      <c r="L26" s="28">
        <f>L24/'Données gestion'!I9</f>
        <v>0.7142857142857143</v>
      </c>
      <c r="M26" s="28">
        <f>M24/'Données gestion'!J9</f>
        <v>0.7142857142857143</v>
      </c>
      <c r="N26" s="28">
        <f>N24/'Données gestion'!K9</f>
        <v>0.7142857142857143</v>
      </c>
      <c r="O26" s="28">
        <f>O24/'Données gestion'!L9</f>
        <v>0.7142857142857143</v>
      </c>
      <c r="P26" s="28">
        <f>P24/'Données gestion'!M9</f>
        <v>0.7142857142857143</v>
      </c>
      <c r="Q26" s="28">
        <f>Q24/'Données gestion'!N9</f>
        <v>0.7142857142857143</v>
      </c>
      <c r="R26" s="28">
        <f>R24/'Données gestion'!O9</f>
        <v>0.7142857142857143</v>
      </c>
      <c r="S26" s="28">
        <f>S24/'Données gestion'!P9</f>
        <v>0.7142857142857143</v>
      </c>
      <c r="T26" s="28">
        <f>T24/'Données gestion'!Q9</f>
        <v>0.7142857142857143</v>
      </c>
      <c r="U26" s="28">
        <f>U24/'Données gestion'!R9</f>
        <v>0.7142857142857143</v>
      </c>
      <c r="V26" s="28">
        <f>V24/'Données gestion'!S9</f>
        <v>0.7142857142857143</v>
      </c>
      <c r="W26" s="28">
        <f>W24/'Données gestion'!T9</f>
        <v>0.7142857142857143</v>
      </c>
      <c r="X26" s="28">
        <f>X24/'Données gestion'!U9</f>
        <v>0.7142857142857143</v>
      </c>
      <c r="Y26" s="28">
        <f>Y24/'Données gestion'!V9</f>
        <v>0.7142857142857143</v>
      </c>
      <c r="Z26" s="28">
        <f>Z24/'Données gestion'!W9</f>
        <v>0.7142857142857143</v>
      </c>
    </row>
    <row r="27" spans="1:27" x14ac:dyDescent="0.2">
      <c r="A27" s="1266" t="s">
        <v>337</v>
      </c>
      <c r="B27" s="1266"/>
      <c r="C27" s="1266"/>
      <c r="D27" s="1266"/>
      <c r="E27" s="1266"/>
      <c r="F27" s="28">
        <f>F25/'Données gestion'!C9</f>
        <v>0.42857142857142866</v>
      </c>
      <c r="G27" s="28">
        <f>G25/'Données gestion'!D9</f>
        <v>0.42857142857142866</v>
      </c>
      <c r="H27" s="28">
        <f>H25/'Données gestion'!E9</f>
        <v>0.42857142857142866</v>
      </c>
      <c r="I27" s="28">
        <f>I25/'Données gestion'!F9</f>
        <v>0.42857142857142866</v>
      </c>
      <c r="J27" s="28">
        <f>J25/'Données gestion'!G9</f>
        <v>0.42857142857142866</v>
      </c>
      <c r="K27" s="28">
        <f>K25/'Données gestion'!H9</f>
        <v>0.42857142857142866</v>
      </c>
      <c r="L27" s="28">
        <f>L25/'Données gestion'!I9</f>
        <v>0.42857142857142866</v>
      </c>
      <c r="M27" s="28">
        <f>M25/'Données gestion'!J9</f>
        <v>0.42857142857142866</v>
      </c>
      <c r="N27" s="28">
        <f>N25/'Données gestion'!K9</f>
        <v>0.42857142857142866</v>
      </c>
      <c r="O27" s="28">
        <f>O25/'Données gestion'!L9</f>
        <v>0.42857142857142866</v>
      </c>
      <c r="P27" s="28">
        <f>P25/'Données gestion'!M9</f>
        <v>0.42857142857142866</v>
      </c>
      <c r="Q27" s="28">
        <f>Q25/'Données gestion'!N9</f>
        <v>0.42857142857142866</v>
      </c>
      <c r="R27" s="28">
        <f>R25/'Données gestion'!O9</f>
        <v>0.42857142857142866</v>
      </c>
      <c r="S27" s="28">
        <f>S25/'Données gestion'!P9</f>
        <v>0.42857142857142866</v>
      </c>
      <c r="T27" s="28">
        <f>T25/'Données gestion'!Q9</f>
        <v>0.42857142857142866</v>
      </c>
      <c r="U27" s="28">
        <f>U25/'Données gestion'!R9</f>
        <v>0.42857142857142866</v>
      </c>
      <c r="V27" s="28">
        <f>V25/'Données gestion'!S9</f>
        <v>0.42857142857142866</v>
      </c>
      <c r="W27" s="28">
        <f>W25/'Données gestion'!T9</f>
        <v>0.42857142857142866</v>
      </c>
      <c r="X27" s="28">
        <f>X25/'Données gestion'!U9</f>
        <v>0.42857142857142866</v>
      </c>
      <c r="Y27" s="28">
        <f>Y25/'Données gestion'!V9</f>
        <v>0.42857142857142866</v>
      </c>
      <c r="Z27" s="28">
        <f>Z25/'Données gestion'!W9</f>
        <v>0.42857142857142866</v>
      </c>
    </row>
    <row r="28" spans="1:27" x14ac:dyDescent="0.2">
      <c r="A28" s="1266" t="s">
        <v>632</v>
      </c>
      <c r="B28" s="1266"/>
      <c r="C28" s="1266"/>
      <c r="D28" s="1266"/>
      <c r="E28" s="1266"/>
      <c r="F28" s="28">
        <f>F26+'Données Matières'!D60</f>
        <v>1.7142857142857144</v>
      </c>
      <c r="G28" s="28">
        <f>G26+'Données Matières'!E60</f>
        <v>1.7442857142857142</v>
      </c>
      <c r="H28" s="28">
        <f>H26+'Données Matières'!F60</f>
        <v>1.7751857142857141</v>
      </c>
      <c r="I28" s="28">
        <f>I26+'Données Matières'!G60</f>
        <v>1.8070127142857144</v>
      </c>
      <c r="J28" s="28">
        <f>J26+'Données Matières'!H60</f>
        <v>1.8397945242857143</v>
      </c>
      <c r="K28" s="28">
        <f>K26+'Données Matières'!I60</f>
        <v>1.8735597885857143</v>
      </c>
      <c r="L28" s="28">
        <f>L26+'Données Matières'!J60</f>
        <v>1.9083380108147141</v>
      </c>
      <c r="M28" s="28">
        <f>M26+'Données Matières'!K60</f>
        <v>1.9441595797105844</v>
      </c>
      <c r="N28" s="28">
        <f>N26+'Données Matières'!L60</f>
        <v>1.9810557956733303</v>
      </c>
      <c r="O28" s="28">
        <f>O26+'Données Matières'!M60</f>
        <v>2.0190588981149586</v>
      </c>
      <c r="P28" s="28">
        <f>P26+'Données Matières'!N60</f>
        <v>2.058202093629836</v>
      </c>
      <c r="Q28" s="28">
        <f>Q26+'Données Matières'!O60</f>
        <v>2.0985195850101599</v>
      </c>
      <c r="R28" s="28">
        <f>R26+'Données Matières'!P60</f>
        <v>2.140046601131893</v>
      </c>
      <c r="S28" s="28">
        <f>S26+'Données Matières'!Q60</f>
        <v>2.1828194277372783</v>
      </c>
      <c r="T28" s="28">
        <f>T26+'Données Matières'!R60</f>
        <v>2.2268754391408252</v>
      </c>
      <c r="U28" s="28">
        <f>U26+'Données Matières'!S60</f>
        <v>2.2722531308864786</v>
      </c>
      <c r="V28" s="28">
        <f>V26+'Données Matières'!T60</f>
        <v>2.3189921533845013</v>
      </c>
      <c r="W28" s="28">
        <f>W26+'Données Matières'!U60</f>
        <v>2.3671333465574649</v>
      </c>
      <c r="X28" s="28">
        <f>X26+'Données Matières'!V60</f>
        <v>2.4167187755256174</v>
      </c>
      <c r="Y28" s="28">
        <f>Y26+'Données Matières'!W60</f>
        <v>2.4677917673628147</v>
      </c>
      <c r="Z28" s="28">
        <f>Z26+'Données Matières'!X60</f>
        <v>2.5203969489551277</v>
      </c>
    </row>
    <row r="29" spans="1:27" x14ac:dyDescent="0.2">
      <c r="A29" s="1266" t="s">
        <v>633</v>
      </c>
      <c r="B29" s="1266"/>
      <c r="C29" s="1266"/>
      <c r="D29" s="1266"/>
      <c r="E29" s="1266"/>
      <c r="F29" s="28">
        <f>F27+'Données Matières'!D59</f>
        <v>1.9393678167155108</v>
      </c>
      <c r="G29" s="28">
        <f>G27+'Données Matières'!E59</f>
        <v>1.9846917083598334</v>
      </c>
      <c r="H29" s="28">
        <f>H27+'Données Matières'!F59</f>
        <v>2.0313753167534854</v>
      </c>
      <c r="I29" s="28">
        <f>I27+'Données Matières'!G59</f>
        <v>2.0794594333989473</v>
      </c>
      <c r="J29" s="28">
        <f>J27+'Données Matières'!H59</f>
        <v>2.1289860735437727</v>
      </c>
      <c r="K29" s="28">
        <f>K27+'Données Matières'!I59</f>
        <v>2.1799985128929431</v>
      </c>
      <c r="L29" s="28">
        <f>L27+'Données Matières'!J59</f>
        <v>2.2325413254225883</v>
      </c>
      <c r="M29" s="28">
        <f>M27+'Données Matières'!K59</f>
        <v>2.2866604223281235</v>
      </c>
      <c r="N29" s="28">
        <f>N27+'Données Matières'!L59</f>
        <v>2.3424030921408239</v>
      </c>
      <c r="O29" s="28">
        <f>O27+'Données Matières'!M59</f>
        <v>2.3998180420479058</v>
      </c>
      <c r="P29" s="28">
        <f>P27+'Données Matières'!N59</f>
        <v>2.4589554404522005</v>
      </c>
      <c r="Q29" s="28">
        <f>Q27+'Données Matières'!O59</f>
        <v>2.5198669608086237</v>
      </c>
      <c r="R29" s="28">
        <f>R27+'Données Matières'!P59</f>
        <v>2.582605826775739</v>
      </c>
      <c r="S29" s="28">
        <f>S27+'Données Matières'!Q59</f>
        <v>2.6472268587218681</v>
      </c>
      <c r="T29" s="28">
        <f>T27+'Données Matières'!R59</f>
        <v>2.7137865216263815</v>
      </c>
      <c r="U29" s="28">
        <f>U27+'Données Matières'!S59</f>
        <v>2.7823429744180306</v>
      </c>
      <c r="V29" s="28">
        <f>V27+'Données Matières'!T59</f>
        <v>2.852956120793428</v>
      </c>
      <c r="W29" s="28">
        <f>W27+'Données Matières'!U59</f>
        <v>2.925687661560088</v>
      </c>
      <c r="X29" s="28">
        <f>X27+'Données Matières'!V59</f>
        <v>3.0006011485497477</v>
      </c>
      <c r="Y29" s="28">
        <f>Y27+'Données Matières'!W59</f>
        <v>3.0777620401490973</v>
      </c>
      <c r="Z29" s="28">
        <f>Z27+'Données Matières'!X59</f>
        <v>3.1572377584964273</v>
      </c>
    </row>
    <row r="30" spans="1:27" x14ac:dyDescent="0.2">
      <c r="F30" s="47"/>
    </row>
  </sheetData>
  <mergeCells count="17">
    <mergeCell ref="A28:E28"/>
    <mergeCell ref="A29:E29"/>
    <mergeCell ref="A18:D18"/>
    <mergeCell ref="A16:D16"/>
    <mergeCell ref="A17:D17"/>
    <mergeCell ref="A26:E26"/>
    <mergeCell ref="A27:E27"/>
    <mergeCell ref="A19:D19"/>
    <mergeCell ref="A24:E24"/>
    <mergeCell ref="A25:E25"/>
    <mergeCell ref="Y8:Z8"/>
    <mergeCell ref="Y9:Z9"/>
    <mergeCell ref="A6:C6"/>
    <mergeCell ref="A7:C7"/>
    <mergeCell ref="A10:C10"/>
    <mergeCell ref="A8:C8"/>
    <mergeCell ref="A9:C9"/>
  </mergeCells>
  <phoneticPr fontId="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N72"/>
  <sheetViews>
    <sheetView zoomScale="125" workbookViewId="0">
      <selection activeCell="G23" sqref="G23"/>
    </sheetView>
  </sheetViews>
  <sheetFormatPr baseColWidth="10" defaultRowHeight="12.75" x14ac:dyDescent="0.2"/>
  <sheetData>
    <row r="1" spans="1:12" ht="26.25" x14ac:dyDescent="0.4">
      <c r="A1" s="9" t="s">
        <v>314</v>
      </c>
    </row>
    <row r="3" spans="1:12" x14ac:dyDescent="0.2">
      <c r="F3" s="1311" t="s">
        <v>303</v>
      </c>
      <c r="G3" s="1311"/>
      <c r="H3" s="1311"/>
    </row>
    <row r="4" spans="1:12" x14ac:dyDescent="0.2">
      <c r="H4" s="141" t="s">
        <v>231</v>
      </c>
    </row>
    <row r="5" spans="1:12" ht="13.5" thickBot="1" x14ac:dyDescent="0.25"/>
    <row r="6" spans="1:12" x14ac:dyDescent="0.2">
      <c r="A6" s="165" t="s">
        <v>863</v>
      </c>
      <c r="C6" t="s">
        <v>278</v>
      </c>
      <c r="F6" s="142"/>
      <c r="G6" s="143"/>
      <c r="H6" s="144"/>
    </row>
    <row r="7" spans="1:12" x14ac:dyDescent="0.2">
      <c r="F7" s="145"/>
      <c r="G7" s="14"/>
      <c r="H7" s="146"/>
    </row>
    <row r="8" spans="1:12" ht="13.5" thickBot="1" x14ac:dyDescent="0.25">
      <c r="A8" s="165" t="s">
        <v>870</v>
      </c>
      <c r="C8" t="s">
        <v>278</v>
      </c>
      <c r="F8" s="145"/>
      <c r="G8" s="14"/>
      <c r="H8" s="146"/>
    </row>
    <row r="9" spans="1:12" x14ac:dyDescent="0.2">
      <c r="F9" s="145"/>
      <c r="G9" s="128" t="s">
        <v>230</v>
      </c>
      <c r="H9" s="146"/>
      <c r="J9" s="166"/>
      <c r="K9" s="167"/>
      <c r="L9" s="168"/>
    </row>
    <row r="10" spans="1:12" x14ac:dyDescent="0.2">
      <c r="A10" s="165" t="s">
        <v>232</v>
      </c>
      <c r="C10" t="s">
        <v>277</v>
      </c>
      <c r="F10" s="1369" t="s">
        <v>299</v>
      </c>
      <c r="G10" s="1370"/>
      <c r="H10" s="1371"/>
      <c r="J10" s="169"/>
      <c r="K10" s="32" t="s">
        <v>280</v>
      </c>
      <c r="L10" s="170"/>
    </row>
    <row r="11" spans="1:12" x14ac:dyDescent="0.2">
      <c r="F11" s="145"/>
      <c r="G11" s="14"/>
      <c r="H11" s="146"/>
      <c r="J11" s="169"/>
      <c r="K11" s="32" t="s">
        <v>281</v>
      </c>
      <c r="L11" s="170"/>
    </row>
    <row r="12" spans="1:12" ht="13.5" thickBot="1" x14ac:dyDescent="0.25">
      <c r="A12" s="165" t="s">
        <v>276</v>
      </c>
      <c r="C12" t="s">
        <v>294</v>
      </c>
      <c r="F12" s="145"/>
      <c r="G12" s="14"/>
      <c r="H12" s="146"/>
      <c r="J12" s="171"/>
      <c r="K12" s="172"/>
      <c r="L12" s="173"/>
    </row>
    <row r="13" spans="1:12" ht="13.5" thickBot="1" x14ac:dyDescent="0.25">
      <c r="F13" s="147"/>
      <c r="G13" s="148"/>
      <c r="H13" s="149"/>
    </row>
    <row r="14" spans="1:12" x14ac:dyDescent="0.2">
      <c r="K14" t="s">
        <v>322</v>
      </c>
    </row>
    <row r="15" spans="1:12" x14ac:dyDescent="0.2">
      <c r="C15" s="1372" t="s">
        <v>301</v>
      </c>
      <c r="D15" s="1372"/>
      <c r="F15" t="s">
        <v>282</v>
      </c>
    </row>
    <row r="17" spans="5:14" ht="13.5" thickBot="1" x14ac:dyDescent="0.25"/>
    <row r="18" spans="5:14" ht="13.5" thickTop="1" x14ac:dyDescent="0.2">
      <c r="E18" s="150"/>
      <c r="F18" s="151"/>
      <c r="G18" s="151"/>
      <c r="H18" s="152"/>
      <c r="I18" s="153"/>
      <c r="J18" s="151"/>
      <c r="K18" s="154"/>
    </row>
    <row r="19" spans="5:14" x14ac:dyDescent="0.2">
      <c r="E19" s="174" t="s">
        <v>316</v>
      </c>
      <c r="F19" s="14" t="s">
        <v>285</v>
      </c>
      <c r="G19" s="14"/>
      <c r="H19" s="125"/>
      <c r="I19" s="92"/>
      <c r="J19" s="14"/>
      <c r="K19" s="156"/>
    </row>
    <row r="20" spans="5:14" x14ac:dyDescent="0.2">
      <c r="E20" s="155"/>
      <c r="F20" s="14"/>
      <c r="G20" s="14"/>
      <c r="H20" s="125"/>
      <c r="I20" s="92"/>
      <c r="J20" s="14" t="s">
        <v>286</v>
      </c>
      <c r="K20" s="156"/>
    </row>
    <row r="21" spans="5:14" x14ac:dyDescent="0.2">
      <c r="E21" s="155"/>
      <c r="F21" s="14" t="s">
        <v>283</v>
      </c>
      <c r="G21" s="14"/>
      <c r="H21" s="125"/>
      <c r="I21" s="92"/>
      <c r="J21" s="175" t="s">
        <v>317</v>
      </c>
      <c r="K21" s="156"/>
    </row>
    <row r="22" spans="5:14" x14ac:dyDescent="0.2">
      <c r="E22" s="174" t="s">
        <v>231</v>
      </c>
      <c r="F22" s="14"/>
      <c r="G22" s="14"/>
      <c r="H22" s="125"/>
      <c r="I22" s="92"/>
      <c r="J22" s="14"/>
      <c r="K22" s="156"/>
    </row>
    <row r="23" spans="5:14" ht="12.75" customHeight="1" x14ac:dyDescent="0.25">
      <c r="E23" s="155"/>
      <c r="F23" s="14" t="s">
        <v>284</v>
      </c>
      <c r="G23" s="14"/>
      <c r="H23" s="125"/>
      <c r="I23" s="92"/>
      <c r="J23" s="14"/>
      <c r="K23" s="156"/>
      <c r="N23" s="176" t="s">
        <v>318</v>
      </c>
    </row>
    <row r="24" spans="5:14" x14ac:dyDescent="0.2">
      <c r="E24" s="157"/>
      <c r="F24" s="126"/>
      <c r="G24" s="126"/>
      <c r="H24" s="127"/>
      <c r="I24" s="83"/>
      <c r="J24" s="126"/>
      <c r="K24" s="158"/>
    </row>
    <row r="25" spans="5:14" x14ac:dyDescent="0.2">
      <c r="E25" s="155"/>
      <c r="F25" s="14"/>
      <c r="G25" s="14"/>
      <c r="H25" s="14"/>
      <c r="I25" s="14"/>
      <c r="J25" s="14"/>
      <c r="K25" s="156"/>
    </row>
    <row r="26" spans="5:14" x14ac:dyDescent="0.2">
      <c r="E26" s="155"/>
      <c r="F26" s="14"/>
      <c r="G26" s="14"/>
      <c r="H26" s="14"/>
      <c r="I26" s="14"/>
      <c r="J26" s="14"/>
      <c r="K26" s="156"/>
    </row>
    <row r="27" spans="5:14" x14ac:dyDescent="0.2">
      <c r="E27" s="155"/>
      <c r="F27" s="14"/>
      <c r="G27" s="14" t="s">
        <v>287</v>
      </c>
      <c r="H27" s="14"/>
      <c r="I27" s="14" t="s">
        <v>288</v>
      </c>
      <c r="J27" s="14"/>
      <c r="K27" s="156"/>
    </row>
    <row r="28" spans="5:14" x14ac:dyDescent="0.2">
      <c r="E28" s="155"/>
      <c r="F28" s="14"/>
      <c r="G28" s="14"/>
      <c r="H28" s="14"/>
      <c r="I28" s="14"/>
      <c r="J28" s="14"/>
      <c r="K28" s="156"/>
    </row>
    <row r="29" spans="5:14" x14ac:dyDescent="0.2">
      <c r="E29" s="155"/>
      <c r="F29" s="14"/>
      <c r="G29" s="14"/>
      <c r="H29" s="14"/>
      <c r="I29" s="14"/>
      <c r="J29" s="14"/>
      <c r="K29" s="156"/>
    </row>
    <row r="30" spans="5:14" x14ac:dyDescent="0.2">
      <c r="E30" s="155"/>
      <c r="F30" s="14"/>
      <c r="G30" s="14"/>
      <c r="H30" s="14"/>
      <c r="I30" s="14"/>
      <c r="J30" s="14"/>
      <c r="K30" s="156"/>
    </row>
    <row r="31" spans="5:14" x14ac:dyDescent="0.2">
      <c r="E31" s="155"/>
      <c r="F31" s="14"/>
      <c r="G31" s="14"/>
      <c r="H31" s="14"/>
      <c r="I31" s="14"/>
      <c r="J31" s="14"/>
      <c r="K31" s="156"/>
    </row>
    <row r="32" spans="5:14" x14ac:dyDescent="0.2">
      <c r="E32" s="155"/>
      <c r="F32" s="14"/>
      <c r="G32" s="14" t="s">
        <v>983</v>
      </c>
      <c r="H32" s="14"/>
      <c r="I32" s="14" t="s">
        <v>289</v>
      </c>
      <c r="J32" s="14"/>
      <c r="K32" s="164" t="s">
        <v>231</v>
      </c>
    </row>
    <row r="33" spans="1:11" x14ac:dyDescent="0.2">
      <c r="E33" s="155"/>
      <c r="F33" s="14"/>
      <c r="G33" s="14"/>
      <c r="H33" s="14"/>
      <c r="I33" s="14"/>
      <c r="J33" s="14"/>
      <c r="K33" s="156"/>
    </row>
    <row r="34" spans="1:11" x14ac:dyDescent="0.2">
      <c r="E34" s="155"/>
      <c r="F34" s="14"/>
      <c r="G34" s="14"/>
      <c r="H34" s="14"/>
      <c r="I34" s="14"/>
      <c r="J34" s="14"/>
      <c r="K34" s="156"/>
    </row>
    <row r="35" spans="1:11" x14ac:dyDescent="0.2">
      <c r="E35" s="155"/>
      <c r="F35" s="14"/>
      <c r="G35" s="14"/>
      <c r="H35" s="14"/>
      <c r="I35" s="14"/>
      <c r="J35" s="14"/>
      <c r="K35" s="156"/>
    </row>
    <row r="36" spans="1:11" x14ac:dyDescent="0.2">
      <c r="E36" s="155"/>
      <c r="F36" s="14"/>
      <c r="G36" s="14"/>
      <c r="H36" s="14"/>
      <c r="I36" s="14"/>
      <c r="J36" s="14"/>
      <c r="K36" s="164"/>
    </row>
    <row r="37" spans="1:11" x14ac:dyDescent="0.2">
      <c r="E37" s="155"/>
      <c r="F37" s="14"/>
      <c r="G37" s="202" t="s">
        <v>290</v>
      </c>
      <c r="H37" s="14"/>
      <c r="I37" s="14" t="s">
        <v>292</v>
      </c>
      <c r="J37" s="14"/>
      <c r="K37" s="156"/>
    </row>
    <row r="38" spans="1:11" x14ac:dyDescent="0.2">
      <c r="E38" s="155"/>
      <c r="F38" s="14"/>
      <c r="G38" s="14"/>
      <c r="H38" s="14"/>
      <c r="I38" s="14"/>
      <c r="J38" s="14"/>
      <c r="K38" s="156"/>
    </row>
    <row r="39" spans="1:11" x14ac:dyDescent="0.2">
      <c r="E39" s="155"/>
      <c r="F39" s="14"/>
      <c r="G39" s="14"/>
      <c r="H39" s="14"/>
      <c r="I39" s="14"/>
      <c r="J39" s="14"/>
      <c r="K39" s="156"/>
    </row>
    <row r="40" spans="1:11" x14ac:dyDescent="0.2">
      <c r="E40" s="159"/>
      <c r="F40" s="27"/>
      <c r="G40" s="27"/>
      <c r="H40" s="27"/>
      <c r="I40" s="27"/>
      <c r="J40" s="27"/>
      <c r="K40" s="160"/>
    </row>
    <row r="41" spans="1:11" x14ac:dyDescent="0.2">
      <c r="E41" s="155"/>
      <c r="F41" s="14"/>
      <c r="G41" s="14"/>
      <c r="H41" s="14"/>
      <c r="I41" s="14"/>
      <c r="J41" s="14"/>
      <c r="K41" s="156"/>
    </row>
    <row r="42" spans="1:11" x14ac:dyDescent="0.2">
      <c r="E42" s="155"/>
      <c r="F42" s="14"/>
      <c r="G42" s="14" t="s">
        <v>293</v>
      </c>
      <c r="H42" s="14"/>
      <c r="I42" s="14"/>
      <c r="J42" s="128" t="s">
        <v>231</v>
      </c>
      <c r="K42" s="156"/>
    </row>
    <row r="43" spans="1:11" x14ac:dyDescent="0.2">
      <c r="E43" s="155"/>
      <c r="F43" s="14"/>
      <c r="G43" s="14"/>
      <c r="H43" s="14"/>
      <c r="I43" s="14"/>
      <c r="J43" s="14"/>
      <c r="K43" s="156"/>
    </row>
    <row r="44" spans="1:11" x14ac:dyDescent="0.2">
      <c r="E44" s="155"/>
      <c r="F44" s="14"/>
      <c r="G44" s="14"/>
      <c r="H44" s="14"/>
      <c r="I44" s="14"/>
      <c r="J44" s="14"/>
      <c r="K44" s="156"/>
    </row>
    <row r="45" spans="1:11" ht="13.5" thickBot="1" x14ac:dyDescent="0.25">
      <c r="E45" s="161"/>
      <c r="F45" s="162"/>
      <c r="G45" s="162"/>
      <c r="H45" s="162"/>
      <c r="I45" s="162"/>
      <c r="J45" s="162"/>
      <c r="K45" s="163"/>
    </row>
    <row r="46" spans="1:11" ht="13.5" thickTop="1" x14ac:dyDescent="0.2"/>
    <row r="48" spans="1:11" x14ac:dyDescent="0.2">
      <c r="A48" s="12" t="s">
        <v>295</v>
      </c>
    </row>
    <row r="49" spans="1:6" x14ac:dyDescent="0.2">
      <c r="D49" s="40" t="s">
        <v>298</v>
      </c>
    </row>
    <row r="50" spans="1:6" x14ac:dyDescent="0.2">
      <c r="A50" s="1266" t="s">
        <v>296</v>
      </c>
      <c r="B50" s="1266"/>
      <c r="C50" s="1266"/>
      <c r="D50" s="16">
        <v>1</v>
      </c>
    </row>
    <row r="51" spans="1:6" x14ac:dyDescent="0.2">
      <c r="A51" s="1266" t="s">
        <v>310</v>
      </c>
      <c r="B51" s="1266"/>
      <c r="C51" s="1266"/>
      <c r="D51" s="16">
        <v>1</v>
      </c>
    </row>
    <row r="52" spans="1:6" x14ac:dyDescent="0.2">
      <c r="A52" s="1266" t="s">
        <v>297</v>
      </c>
      <c r="B52" s="1266"/>
      <c r="C52" s="1266"/>
      <c r="D52" s="16">
        <v>1</v>
      </c>
    </row>
    <row r="53" spans="1:6" x14ac:dyDescent="0.2">
      <c r="D53" s="20">
        <f>SUM(D50:D52)</f>
        <v>3</v>
      </c>
    </row>
    <row r="56" spans="1:6" x14ac:dyDescent="0.2">
      <c r="A56" s="12" t="s">
        <v>300</v>
      </c>
    </row>
    <row r="57" spans="1:6" x14ac:dyDescent="0.2">
      <c r="F57" s="40" t="s">
        <v>298</v>
      </c>
    </row>
    <row r="58" spans="1:6" x14ac:dyDescent="0.2">
      <c r="A58" s="1266" t="s">
        <v>302</v>
      </c>
      <c r="B58" s="1266"/>
      <c r="C58" s="1266"/>
      <c r="D58" s="1266"/>
      <c r="E58" s="1266"/>
      <c r="F58" s="16">
        <v>1</v>
      </c>
    </row>
    <row r="59" spans="1:6" x14ac:dyDescent="0.2">
      <c r="A59" s="1266" t="s">
        <v>304</v>
      </c>
      <c r="B59" s="1266"/>
      <c r="C59" s="1266"/>
      <c r="D59" s="1266"/>
      <c r="E59" s="1266"/>
      <c r="F59" s="16">
        <v>1</v>
      </c>
    </row>
    <row r="60" spans="1:6" x14ac:dyDescent="0.2">
      <c r="A60" s="1266" t="s">
        <v>305</v>
      </c>
      <c r="B60" s="1266"/>
      <c r="C60" s="1266"/>
      <c r="D60" s="1266"/>
      <c r="E60" s="1266"/>
      <c r="F60" s="16">
        <v>3</v>
      </c>
    </row>
    <row r="61" spans="1:6" x14ac:dyDescent="0.2">
      <c r="A61" s="1266" t="s">
        <v>306</v>
      </c>
      <c r="B61" s="1266"/>
      <c r="C61" s="1266"/>
      <c r="D61" s="1266"/>
      <c r="E61" s="1266"/>
      <c r="F61" s="16">
        <v>2</v>
      </c>
    </row>
    <row r="62" spans="1:6" x14ac:dyDescent="0.2">
      <c r="A62" s="1266" t="s">
        <v>313</v>
      </c>
      <c r="B62" s="1266"/>
      <c r="C62" s="1266"/>
      <c r="D62" s="1266"/>
      <c r="E62" s="1266"/>
      <c r="F62" s="16">
        <v>3</v>
      </c>
    </row>
    <row r="63" spans="1:6" x14ac:dyDescent="0.2">
      <c r="A63" s="1266" t="s">
        <v>309</v>
      </c>
      <c r="B63" s="1266"/>
      <c r="C63" s="1266"/>
      <c r="D63" s="1266"/>
      <c r="E63" s="1266"/>
      <c r="F63" s="16">
        <v>1</v>
      </c>
    </row>
    <row r="64" spans="1:6" x14ac:dyDescent="0.2">
      <c r="A64" s="1266" t="s">
        <v>311</v>
      </c>
      <c r="B64" s="1266"/>
      <c r="C64" s="1266"/>
      <c r="D64" s="1266"/>
      <c r="E64" s="1266"/>
      <c r="F64" s="16">
        <v>1</v>
      </c>
    </row>
    <row r="65" spans="1:9" x14ac:dyDescent="0.2">
      <c r="A65" s="1266" t="s">
        <v>312</v>
      </c>
      <c r="B65" s="1266"/>
      <c r="C65" s="1266"/>
      <c r="D65" s="1266"/>
      <c r="E65" s="1266"/>
      <c r="F65" s="16">
        <v>1</v>
      </c>
    </row>
    <row r="67" spans="1:9" x14ac:dyDescent="0.2">
      <c r="A67" s="1266" t="s">
        <v>864</v>
      </c>
      <c r="B67" s="1266"/>
      <c r="C67" s="1266"/>
      <c r="D67" s="1266"/>
      <c r="E67" s="1266"/>
      <c r="F67" s="1266"/>
      <c r="G67" s="1266"/>
      <c r="H67" s="1266"/>
      <c r="I67" s="16">
        <v>9</v>
      </c>
    </row>
    <row r="68" spans="1:9" x14ac:dyDescent="0.2">
      <c r="A68" s="1266" t="s">
        <v>868</v>
      </c>
      <c r="B68" s="1266"/>
      <c r="C68" s="1266"/>
      <c r="D68" s="1266"/>
      <c r="E68" s="1266"/>
      <c r="F68" s="1266"/>
      <c r="G68" s="1266"/>
      <c r="H68" s="1266"/>
      <c r="I68" s="16">
        <v>5</v>
      </c>
    </row>
    <row r="69" spans="1:9" x14ac:dyDescent="0.2">
      <c r="A69" s="1266" t="s">
        <v>320</v>
      </c>
      <c r="B69" s="1266"/>
      <c r="C69" s="1266"/>
      <c r="D69" s="1266"/>
      <c r="E69" s="1266"/>
      <c r="F69" s="1289"/>
      <c r="G69" s="1289"/>
      <c r="H69" s="1289"/>
      <c r="I69" s="16">
        <v>5</v>
      </c>
    </row>
    <row r="70" spans="1:9" x14ac:dyDescent="0.2">
      <c r="A70" s="1266" t="s">
        <v>869</v>
      </c>
      <c r="B70" s="1266"/>
      <c r="C70" s="1266"/>
      <c r="D70" s="1266"/>
      <c r="E70" s="1266"/>
      <c r="F70" s="1289"/>
      <c r="G70" s="1289"/>
      <c r="H70" s="1289"/>
      <c r="I70" s="16">
        <v>7</v>
      </c>
    </row>
    <row r="72" spans="1:9" x14ac:dyDescent="0.2">
      <c r="A72" s="1266" t="s">
        <v>321</v>
      </c>
      <c r="B72" s="1266"/>
      <c r="C72" s="1266"/>
      <c r="D72" s="1266"/>
      <c r="E72" s="1266"/>
      <c r="F72" s="16">
        <v>45</v>
      </c>
    </row>
  </sheetData>
  <mergeCells count="19">
    <mergeCell ref="F3:H3"/>
    <mergeCell ref="A58:E58"/>
    <mergeCell ref="A59:E59"/>
    <mergeCell ref="A60:E60"/>
    <mergeCell ref="F10:H10"/>
    <mergeCell ref="A50:C50"/>
    <mergeCell ref="A51:C51"/>
    <mergeCell ref="A52:C52"/>
    <mergeCell ref="C15:D15"/>
    <mergeCell ref="A61:E61"/>
    <mergeCell ref="A62:E62"/>
    <mergeCell ref="A63:E63"/>
    <mergeCell ref="A64:E64"/>
    <mergeCell ref="A65:E65"/>
    <mergeCell ref="A72:E72"/>
    <mergeCell ref="A67:H67"/>
    <mergeCell ref="A68:H68"/>
    <mergeCell ref="A69:H69"/>
    <mergeCell ref="A70:H70"/>
  </mergeCells>
  <phoneticPr fontId="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9">
    <pageSetUpPr fitToPage="1"/>
  </sheetPr>
  <dimension ref="A1:AC108"/>
  <sheetViews>
    <sheetView showGridLines="0" showZeros="0" topLeftCell="A7" workbookViewId="0">
      <selection activeCell="K33" sqref="K33"/>
    </sheetView>
  </sheetViews>
  <sheetFormatPr baseColWidth="10" defaultColWidth="10.28515625" defaultRowHeight="11.25" x14ac:dyDescent="0.2"/>
  <cols>
    <col min="1" max="1" width="16.140625" style="681" customWidth="1"/>
    <col min="2" max="2" width="3.28515625" style="681" customWidth="1"/>
    <col min="3" max="3" width="32.42578125" style="681" customWidth="1"/>
    <col min="4" max="4" width="9.7109375" style="681" customWidth="1"/>
    <col min="5" max="13" width="8" style="681" customWidth="1"/>
    <col min="14" max="14" width="9.85546875" style="681" bestFit="1" customWidth="1"/>
    <col min="15" max="17" width="8" style="681" customWidth="1"/>
    <col min="18" max="18" width="8.42578125" style="681" customWidth="1"/>
    <col min="19" max="19" width="8" style="681" customWidth="1"/>
    <col min="20" max="20" width="8" style="682" customWidth="1"/>
    <col min="21" max="25" width="8" style="681" customWidth="1"/>
    <col min="26" max="16384" width="10.28515625" style="681"/>
  </cols>
  <sheetData>
    <row r="1" spans="1:29" ht="22.5" customHeight="1" x14ac:dyDescent="0.2">
      <c r="A1" s="1384" t="s">
        <v>243</v>
      </c>
      <c r="B1" s="1384"/>
      <c r="C1" s="1384"/>
      <c r="D1" s="1384"/>
      <c r="E1" s="1384"/>
      <c r="F1" s="1384"/>
      <c r="G1" s="1384"/>
      <c r="H1" s="1384"/>
      <c r="I1" s="1384"/>
      <c r="J1" s="1384"/>
      <c r="K1" s="1384"/>
      <c r="L1" s="1384"/>
      <c r="M1" s="1384"/>
      <c r="N1" s="1384"/>
      <c r="O1" s="1384"/>
      <c r="P1" s="1384"/>
    </row>
    <row r="2" spans="1:29" ht="14.25" customHeight="1" x14ac:dyDescent="0.2">
      <c r="B2" s="683"/>
    </row>
    <row r="3" spans="1:29" ht="14.25" customHeight="1" x14ac:dyDescent="0.2">
      <c r="A3" s="682" t="s">
        <v>244</v>
      </c>
      <c r="B3" s="207" t="s">
        <v>646</v>
      </c>
      <c r="C3" s="207"/>
      <c r="D3" s="207"/>
      <c r="E3" s="207"/>
      <c r="F3" s="207"/>
      <c r="G3" s="207"/>
      <c r="T3" s="681"/>
      <c r="U3" s="1377" t="s">
        <v>647</v>
      </c>
      <c r="V3" s="1378"/>
      <c r="W3" s="1378"/>
      <c r="X3" s="208">
        <f>'Données Investissement'!F5*1000+'Données gestion'!E75/1000</f>
        <v>56660</v>
      </c>
      <c r="Y3" s="684" t="str">
        <f>B7</f>
        <v>k€</v>
      </c>
      <c r="AC3" s="682"/>
    </row>
    <row r="4" spans="1:29" ht="14.25" customHeight="1" x14ac:dyDescent="0.2">
      <c r="A4" s="682" t="s">
        <v>245</v>
      </c>
      <c r="B4" s="1379" t="s">
        <v>655</v>
      </c>
      <c r="C4" s="1379"/>
      <c r="D4" s="1379"/>
      <c r="E4" s="1379"/>
      <c r="F4" s="1379"/>
      <c r="G4" s="1379"/>
      <c r="T4" s="681"/>
      <c r="U4" s="1380" t="s">
        <v>246</v>
      </c>
      <c r="V4" s="1381"/>
      <c r="W4" s="1381"/>
      <c r="X4" s="210">
        <f>X3-'Données gestion'!E75/1000</f>
        <v>56660</v>
      </c>
      <c r="Y4" s="685" t="str">
        <f>B7</f>
        <v>k€</v>
      </c>
      <c r="AC4" s="682"/>
    </row>
    <row r="5" spans="1:29" ht="14.25" customHeight="1" x14ac:dyDescent="0.2">
      <c r="A5" s="682" t="s">
        <v>247</v>
      </c>
      <c r="B5" s="1382" t="s">
        <v>832</v>
      </c>
      <c r="C5" s="1379"/>
      <c r="D5" s="1379"/>
      <c r="E5" s="1379"/>
      <c r="F5" s="1379"/>
      <c r="G5" s="1379"/>
      <c r="T5" s="681"/>
      <c r="U5" s="1373" t="s">
        <v>658</v>
      </c>
      <c r="V5" s="1374"/>
      <c r="W5" s="1374"/>
      <c r="X5" s="1375" t="s">
        <v>1127</v>
      </c>
      <c r="Y5" s="1376"/>
      <c r="AC5" s="682"/>
    </row>
    <row r="6" spans="1:29" ht="14.25" customHeight="1" x14ac:dyDescent="0.2">
      <c r="A6" s="682" t="s">
        <v>248</v>
      </c>
      <c r="B6" s="327" t="s">
        <v>272</v>
      </c>
      <c r="C6" s="212"/>
      <c r="D6" s="212"/>
      <c r="E6" s="212"/>
      <c r="F6" s="212"/>
      <c r="G6" s="212"/>
      <c r="T6" s="681"/>
      <c r="U6" s="1405" t="s">
        <v>660</v>
      </c>
      <c r="V6" s="1406"/>
      <c r="W6" s="1406"/>
      <c r="X6" s="1401" t="s">
        <v>1128</v>
      </c>
      <c r="Y6" s="1402"/>
      <c r="AC6" s="682"/>
    </row>
    <row r="7" spans="1:29" ht="14.25" customHeight="1" x14ac:dyDescent="0.2">
      <c r="A7" s="682" t="s">
        <v>661</v>
      </c>
      <c r="B7" s="1397" t="s">
        <v>984</v>
      </c>
      <c r="C7" s="1398"/>
      <c r="D7" s="1398"/>
      <c r="E7" s="1398"/>
      <c r="F7" s="1398"/>
      <c r="G7" s="1398"/>
      <c r="T7" s="681"/>
      <c r="AC7" s="682"/>
    </row>
    <row r="8" spans="1:29" ht="14.25" customHeight="1" x14ac:dyDescent="0.2">
      <c r="B8" s="683"/>
      <c r="E8" s="744" t="s">
        <v>349</v>
      </c>
      <c r="F8" s="745" t="s">
        <v>834</v>
      </c>
      <c r="G8" s="745" t="s">
        <v>835</v>
      </c>
      <c r="H8" s="745" t="s">
        <v>945</v>
      </c>
      <c r="I8" s="745" t="s">
        <v>946</v>
      </c>
      <c r="J8" s="745" t="s">
        <v>947</v>
      </c>
      <c r="K8" s="745" t="s">
        <v>948</v>
      </c>
      <c r="L8" s="745" t="s">
        <v>949</v>
      </c>
      <c r="M8" s="745" t="s">
        <v>846</v>
      </c>
      <c r="N8" s="745" t="s">
        <v>847</v>
      </c>
      <c r="O8" s="745" t="s">
        <v>848</v>
      </c>
      <c r="P8" s="745" t="s">
        <v>849</v>
      </c>
      <c r="Q8" s="745" t="s">
        <v>509</v>
      </c>
      <c r="R8" s="745" t="s">
        <v>510</v>
      </c>
      <c r="S8" s="745" t="s">
        <v>368</v>
      </c>
      <c r="T8" s="745" t="s">
        <v>369</v>
      </c>
      <c r="U8" s="745" t="s">
        <v>370</v>
      </c>
      <c r="V8" s="745" t="s">
        <v>371</v>
      </c>
      <c r="W8" s="746" t="s">
        <v>372</v>
      </c>
      <c r="X8" s="745" t="s">
        <v>373</v>
      </c>
      <c r="Y8" s="745" t="s">
        <v>374</v>
      </c>
    </row>
    <row r="9" spans="1:29" ht="14.25" customHeight="1" x14ac:dyDescent="0.2">
      <c r="B9" s="683"/>
      <c r="C9" s="686" t="s">
        <v>662</v>
      </c>
      <c r="D9" s="687"/>
      <c r="E9" s="688">
        <v>2013</v>
      </c>
      <c r="F9" s="689">
        <f t="shared" ref="F9:Y9" si="0">E9+1</f>
        <v>2014</v>
      </c>
      <c r="G9" s="689">
        <f t="shared" si="0"/>
        <v>2015</v>
      </c>
      <c r="H9" s="689">
        <f t="shared" si="0"/>
        <v>2016</v>
      </c>
      <c r="I9" s="689">
        <f t="shared" si="0"/>
        <v>2017</v>
      </c>
      <c r="J9" s="689">
        <f t="shared" si="0"/>
        <v>2018</v>
      </c>
      <c r="K9" s="689">
        <f t="shared" si="0"/>
        <v>2019</v>
      </c>
      <c r="L9" s="689">
        <f t="shared" si="0"/>
        <v>2020</v>
      </c>
      <c r="M9" s="689">
        <f t="shared" si="0"/>
        <v>2021</v>
      </c>
      <c r="N9" s="689">
        <f t="shared" si="0"/>
        <v>2022</v>
      </c>
      <c r="O9" s="689">
        <f t="shared" si="0"/>
        <v>2023</v>
      </c>
      <c r="P9" s="689">
        <f t="shared" si="0"/>
        <v>2024</v>
      </c>
      <c r="Q9" s="689">
        <f t="shared" si="0"/>
        <v>2025</v>
      </c>
      <c r="R9" s="689">
        <f t="shared" si="0"/>
        <v>2026</v>
      </c>
      <c r="S9" s="689">
        <f t="shared" si="0"/>
        <v>2027</v>
      </c>
      <c r="T9" s="689">
        <f t="shared" si="0"/>
        <v>2028</v>
      </c>
      <c r="U9" s="689">
        <f t="shared" si="0"/>
        <v>2029</v>
      </c>
      <c r="V9" s="689">
        <f t="shared" si="0"/>
        <v>2030</v>
      </c>
      <c r="W9" s="689">
        <f t="shared" si="0"/>
        <v>2031</v>
      </c>
      <c r="X9" s="689">
        <f t="shared" si="0"/>
        <v>2032</v>
      </c>
      <c r="Y9" s="689">
        <f t="shared" si="0"/>
        <v>2033</v>
      </c>
      <c r="AB9" s="682"/>
    </row>
    <row r="10" spans="1:29" ht="14.25" customHeight="1" x14ac:dyDescent="0.2">
      <c r="B10" s="683"/>
      <c r="T10" s="681"/>
      <c r="AB10" s="682"/>
    </row>
    <row r="11" spans="1:29" ht="14.25" customHeight="1" x14ac:dyDescent="0.2">
      <c r="B11" s="683"/>
      <c r="C11" s="686" t="s">
        <v>665</v>
      </c>
      <c r="D11" s="690"/>
      <c r="E11" s="691"/>
      <c r="F11" s="691"/>
      <c r="G11" s="691"/>
      <c r="H11" s="691"/>
      <c r="I11" s="691"/>
      <c r="J11" s="691"/>
      <c r="K11" s="691"/>
      <c r="L11" s="691"/>
      <c r="M11" s="691"/>
      <c r="N11" s="691"/>
      <c r="O11" s="691"/>
      <c r="P11" s="691"/>
      <c r="Q11" s="691"/>
      <c r="R11" s="691"/>
      <c r="S11" s="691"/>
      <c r="T11" s="691"/>
      <c r="U11" s="691"/>
      <c r="V11" s="691"/>
      <c r="W11" s="691"/>
      <c r="X11" s="691"/>
      <c r="Y11" s="691"/>
      <c r="Z11" s="328" t="s">
        <v>536</v>
      </c>
      <c r="AB11" s="682"/>
    </row>
    <row r="12" spans="1:29" ht="14.25" customHeight="1" x14ac:dyDescent="0.2">
      <c r="A12" s="1383" t="s">
        <v>249</v>
      </c>
      <c r="B12" s="692" t="s">
        <v>668</v>
      </c>
      <c r="C12" s="693" t="s">
        <v>669</v>
      </c>
      <c r="D12" s="232">
        <f>SUM(E12:Y12)</f>
        <v>299544.18564448599</v>
      </c>
      <c r="E12" s="233">
        <f>-'Données gestion'!B75/1000</f>
        <v>0</v>
      </c>
      <c r="F12" s="233">
        <f>-'Données gestion'!C75/1000</f>
        <v>0</v>
      </c>
      <c r="G12" s="233">
        <f>Exploitation!B31/1000+Exploitation!B28/1000</f>
        <v>-1938.6364306869389</v>
      </c>
      <c r="H12" s="233">
        <f>Exploitation!C31/1000+Exploitation!C28/1000</f>
        <v>2716.76037174057</v>
      </c>
      <c r="I12" s="233">
        <f>Exploitation!D31/1000+Exploitation!D28/1000</f>
        <v>5415.8583143945953</v>
      </c>
      <c r="J12" s="233">
        <f>Exploitation!E31/1000+Exploitation!E28/1000</f>
        <v>10090.947409256076</v>
      </c>
      <c r="K12" s="233">
        <f>Exploitation!F31/1000+Exploitation!F28/1000</f>
        <v>14871.532974677637</v>
      </c>
      <c r="L12" s="233">
        <f>Exploitation!G31/1000+Exploitation!G28/1000</f>
        <v>19905.381558407822</v>
      </c>
      <c r="M12" s="233">
        <f>Exploitation!H31/1000+Exploitation!H28/1000</f>
        <v>20375.386963298184</v>
      </c>
      <c r="N12" s="233">
        <f>Exploitation!I31/1000+Exploitation!I28/1000</f>
        <v>20609.717987224161</v>
      </c>
      <c r="O12" s="233">
        <f>Exploitation!J31/1000+Exploitation!J28/1000</f>
        <v>20325.36373408289</v>
      </c>
      <c r="P12" s="233">
        <f>Exploitation!K31/1000+Exploitation!K28/1000</f>
        <v>20198.933666029945</v>
      </c>
      <c r="Q12" s="233">
        <f>Exploitation!L31/1000+Exploitation!L28/1000</f>
        <v>19904.842760037882</v>
      </c>
      <c r="R12" s="233">
        <f>Exploitation!M31/1000+Exploitation!M28/1000</f>
        <v>19603.712526382009</v>
      </c>
      <c r="S12" s="233">
        <f>Exploitation!N31/1000+Exploitation!N28/1000</f>
        <v>19295.35626408015</v>
      </c>
      <c r="T12" s="233">
        <f>Exploitation!O31/1000+Exploitation!O28/1000</f>
        <v>18929.313287118584</v>
      </c>
      <c r="U12" s="233">
        <f>Exploitation!P31/1000+Exploitation!P28/1000</f>
        <v>18604.918061064502</v>
      </c>
      <c r="V12" s="233">
        <f>Exploitation!Q31/1000+Exploitation!Q28/1000</f>
        <v>18220.384530204927</v>
      </c>
      <c r="W12" s="233">
        <f>Exploitation!R31/1000+Exploitation!R28/1000</f>
        <v>17879.056404514929</v>
      </c>
      <c r="X12" s="233">
        <f>Exploitation!S31/1000+Exploitation!S28/1000</f>
        <v>17475.031483212908</v>
      </c>
      <c r="Y12" s="233">
        <f>Exploitation!T31/1000+Exploitation!T28/1000</f>
        <v>17060.323779445116</v>
      </c>
      <c r="AB12" s="682"/>
    </row>
    <row r="13" spans="1:29" ht="14.25" customHeight="1" x14ac:dyDescent="0.2">
      <c r="A13" s="1383"/>
      <c r="B13" s="695" t="s">
        <v>671</v>
      </c>
      <c r="C13" s="693" t="s">
        <v>673</v>
      </c>
      <c r="D13" s="693"/>
      <c r="E13" s="696"/>
      <c r="F13" s="696"/>
      <c r="G13" s="696"/>
      <c r="H13" s="696"/>
      <c r="I13" s="696"/>
      <c r="J13" s="696"/>
      <c r="K13" s="696"/>
      <c r="L13" s="696"/>
      <c r="M13" s="696"/>
      <c r="N13" s="696"/>
      <c r="O13" s="696"/>
      <c r="P13" s="696"/>
      <c r="Q13" s="696"/>
      <c r="R13" s="696"/>
      <c r="S13" s="696"/>
      <c r="T13" s="696"/>
      <c r="U13" s="696"/>
      <c r="V13" s="696"/>
      <c r="W13" s="696"/>
      <c r="X13" s="696"/>
      <c r="Y13" s="696"/>
      <c r="AB13" s="682"/>
    </row>
    <row r="14" spans="1:29" ht="14.25" customHeight="1" x14ac:dyDescent="0.2">
      <c r="A14" s="1383"/>
      <c r="B14" s="697" t="s">
        <v>674</v>
      </c>
      <c r="C14" s="698" t="s">
        <v>675</v>
      </c>
      <c r="D14" s="698"/>
      <c r="E14" s="699"/>
      <c r="F14" s="699"/>
      <c r="G14" s="699"/>
      <c r="H14" s="699"/>
      <c r="I14" s="699"/>
      <c r="J14" s="699"/>
      <c r="K14" s="699"/>
      <c r="L14" s="699"/>
      <c r="M14" s="699"/>
      <c r="N14" s="699"/>
      <c r="O14" s="699"/>
      <c r="P14" s="699"/>
      <c r="Q14" s="699"/>
      <c r="R14" s="699"/>
      <c r="S14" s="699"/>
      <c r="T14" s="699"/>
      <c r="U14" s="699"/>
      <c r="V14" s="699"/>
      <c r="W14" s="699"/>
      <c r="X14" s="699"/>
      <c r="Y14" s="699"/>
      <c r="AB14" s="682"/>
    </row>
    <row r="15" spans="1:29" ht="14.25" customHeight="1" x14ac:dyDescent="0.2">
      <c r="A15" s="1383" t="s">
        <v>250</v>
      </c>
      <c r="B15" s="692">
        <v>1</v>
      </c>
      <c r="C15" s="700" t="s">
        <v>669</v>
      </c>
      <c r="D15" s="700"/>
      <c r="E15" s="701">
        <f t="shared" ref="E15:Y15" si="1">E12*E$52</f>
        <v>0</v>
      </c>
      <c r="F15" s="701">
        <f t="shared" si="1"/>
        <v>0</v>
      </c>
      <c r="G15" s="701">
        <f t="shared" si="1"/>
        <v>-2016.9573424866912</v>
      </c>
      <c r="H15" s="701">
        <f t="shared" si="1"/>
        <v>2883.0478405740664</v>
      </c>
      <c r="I15" s="701">
        <f t="shared" si="1"/>
        <v>5862.2992135041004</v>
      </c>
      <c r="J15" s="701">
        <f t="shared" si="1"/>
        <v>11141.221320660408</v>
      </c>
      <c r="K15" s="701">
        <f t="shared" si="1"/>
        <v>16747.761552927321</v>
      </c>
      <c r="L15" s="701">
        <f t="shared" si="1"/>
        <v>22865.026505233356</v>
      </c>
      <c r="M15" s="701">
        <f t="shared" si="1"/>
        <v>23873.013277099584</v>
      </c>
      <c r="N15" s="701">
        <f t="shared" si="1"/>
        <v>24630.520807933168</v>
      </c>
      <c r="O15" s="701">
        <f t="shared" si="1"/>
        <v>24776.504976210847</v>
      </c>
      <c r="P15" s="701">
        <f t="shared" si="1"/>
        <v>25114.835177309444</v>
      </c>
      <c r="Q15" s="701">
        <f t="shared" si="1"/>
        <v>25244.153502475736</v>
      </c>
      <c r="R15" s="701">
        <f t="shared" si="1"/>
        <v>25359.492505637911</v>
      </c>
      <c r="S15" s="701">
        <f t="shared" si="1"/>
        <v>25459.812816185924</v>
      </c>
      <c r="T15" s="701">
        <f t="shared" si="1"/>
        <v>25476.363419351161</v>
      </c>
      <c r="U15" s="701">
        <f t="shared" si="1"/>
        <v>25540.565558611503</v>
      </c>
      <c r="V15" s="701">
        <f t="shared" si="1"/>
        <v>25512.937092805849</v>
      </c>
      <c r="W15" s="701">
        <f t="shared" si="1"/>
        <v>25535.695219952988</v>
      </c>
      <c r="X15" s="701">
        <f t="shared" si="1"/>
        <v>25457.821105019597</v>
      </c>
      <c r="Y15" s="701">
        <f t="shared" si="1"/>
        <v>25350.743694614077</v>
      </c>
      <c r="AB15" s="682"/>
    </row>
    <row r="16" spans="1:29" ht="14.25" customHeight="1" x14ac:dyDescent="0.2">
      <c r="A16" s="1383"/>
      <c r="B16" s="695">
        <v>2</v>
      </c>
      <c r="C16" s="693" t="s">
        <v>673</v>
      </c>
      <c r="D16" s="693"/>
      <c r="E16" s="702">
        <f t="shared" ref="E16:Y16" si="2">E13*E$52</f>
        <v>0</v>
      </c>
      <c r="F16" s="702">
        <f t="shared" si="2"/>
        <v>0</v>
      </c>
      <c r="G16" s="702">
        <f t="shared" si="2"/>
        <v>0</v>
      </c>
      <c r="H16" s="702">
        <f t="shared" si="2"/>
        <v>0</v>
      </c>
      <c r="I16" s="702">
        <f t="shared" si="2"/>
        <v>0</v>
      </c>
      <c r="J16" s="702">
        <f t="shared" si="2"/>
        <v>0</v>
      </c>
      <c r="K16" s="702">
        <f t="shared" si="2"/>
        <v>0</v>
      </c>
      <c r="L16" s="702">
        <f t="shared" si="2"/>
        <v>0</v>
      </c>
      <c r="M16" s="702">
        <f t="shared" si="2"/>
        <v>0</v>
      </c>
      <c r="N16" s="702">
        <f t="shared" si="2"/>
        <v>0</v>
      </c>
      <c r="O16" s="702">
        <f t="shared" si="2"/>
        <v>0</v>
      </c>
      <c r="P16" s="702">
        <f t="shared" si="2"/>
        <v>0</v>
      </c>
      <c r="Q16" s="702">
        <f t="shared" si="2"/>
        <v>0</v>
      </c>
      <c r="R16" s="702">
        <f t="shared" si="2"/>
        <v>0</v>
      </c>
      <c r="S16" s="702">
        <f t="shared" si="2"/>
        <v>0</v>
      </c>
      <c r="T16" s="702">
        <f t="shared" si="2"/>
        <v>0</v>
      </c>
      <c r="U16" s="702">
        <f t="shared" si="2"/>
        <v>0</v>
      </c>
      <c r="V16" s="702">
        <f t="shared" si="2"/>
        <v>0</v>
      </c>
      <c r="W16" s="702">
        <f t="shared" si="2"/>
        <v>0</v>
      </c>
      <c r="X16" s="702">
        <f t="shared" si="2"/>
        <v>0</v>
      </c>
      <c r="Y16" s="702">
        <f t="shared" si="2"/>
        <v>0</v>
      </c>
      <c r="AB16" s="682"/>
    </row>
    <row r="17" spans="1:28" ht="14.25" customHeight="1" x14ac:dyDescent="0.2">
      <c r="A17" s="1383"/>
      <c r="B17" s="695">
        <v>3</v>
      </c>
      <c r="C17" s="693" t="s">
        <v>675</v>
      </c>
      <c r="D17" s="693"/>
      <c r="E17" s="702">
        <f t="shared" ref="E17:Y17" si="3">E14*E$52</f>
        <v>0</v>
      </c>
      <c r="F17" s="702">
        <f t="shared" si="3"/>
        <v>0</v>
      </c>
      <c r="G17" s="702">
        <f t="shared" si="3"/>
        <v>0</v>
      </c>
      <c r="H17" s="702">
        <f t="shared" si="3"/>
        <v>0</v>
      </c>
      <c r="I17" s="702">
        <f t="shared" si="3"/>
        <v>0</v>
      </c>
      <c r="J17" s="702">
        <f t="shared" si="3"/>
        <v>0</v>
      </c>
      <c r="K17" s="702">
        <f t="shared" si="3"/>
        <v>0</v>
      </c>
      <c r="L17" s="702">
        <f t="shared" si="3"/>
        <v>0</v>
      </c>
      <c r="M17" s="702">
        <f t="shared" si="3"/>
        <v>0</v>
      </c>
      <c r="N17" s="702">
        <f t="shared" si="3"/>
        <v>0</v>
      </c>
      <c r="O17" s="702">
        <f t="shared" si="3"/>
        <v>0</v>
      </c>
      <c r="P17" s="702">
        <f t="shared" si="3"/>
        <v>0</v>
      </c>
      <c r="Q17" s="702">
        <f t="shared" si="3"/>
        <v>0</v>
      </c>
      <c r="R17" s="702">
        <f t="shared" si="3"/>
        <v>0</v>
      </c>
      <c r="S17" s="702">
        <f t="shared" si="3"/>
        <v>0</v>
      </c>
      <c r="T17" s="702">
        <f t="shared" si="3"/>
        <v>0</v>
      </c>
      <c r="U17" s="702">
        <f t="shared" si="3"/>
        <v>0</v>
      </c>
      <c r="V17" s="702">
        <f t="shared" si="3"/>
        <v>0</v>
      </c>
      <c r="W17" s="702">
        <f t="shared" si="3"/>
        <v>0</v>
      </c>
      <c r="X17" s="702">
        <f t="shared" si="3"/>
        <v>0</v>
      </c>
      <c r="Y17" s="702">
        <f t="shared" si="3"/>
        <v>0</v>
      </c>
      <c r="AB17" s="682"/>
    </row>
    <row r="18" spans="1:28" ht="14.25" customHeight="1" x14ac:dyDescent="0.2">
      <c r="A18" s="1383"/>
      <c r="B18" s="695">
        <v>4</v>
      </c>
      <c r="C18" s="693" t="s">
        <v>678</v>
      </c>
      <c r="D18" s="693"/>
      <c r="E18" s="696"/>
      <c r="F18" s="696"/>
      <c r="G18" s="696"/>
      <c r="H18" s="696"/>
      <c r="I18" s="696"/>
      <c r="J18" s="696"/>
      <c r="K18" s="696"/>
      <c r="L18" s="696"/>
      <c r="M18" s="696"/>
      <c r="N18" s="696"/>
      <c r="O18" s="696"/>
      <c r="P18" s="696"/>
      <c r="Q18" s="696"/>
      <c r="R18" s="696"/>
      <c r="S18" s="696"/>
      <c r="T18" s="696"/>
      <c r="U18" s="696"/>
      <c r="V18" s="696"/>
      <c r="W18" s="696"/>
      <c r="X18" s="696"/>
      <c r="Y18" s="696"/>
      <c r="AB18" s="682"/>
    </row>
    <row r="19" spans="1:28" ht="14.25" customHeight="1" x14ac:dyDescent="0.2">
      <c r="A19" s="1383"/>
      <c r="B19" s="703">
        <v>5</v>
      </c>
      <c r="C19" s="704" t="s">
        <v>251</v>
      </c>
      <c r="D19" s="704"/>
      <c r="E19" s="705">
        <f t="shared" ref="E19:Y19" si="4">E15+E16-E17-E18</f>
        <v>0</v>
      </c>
      <c r="F19" s="705">
        <f t="shared" si="4"/>
        <v>0</v>
      </c>
      <c r="G19" s="705">
        <f t="shared" si="4"/>
        <v>-2016.9573424866912</v>
      </c>
      <c r="H19" s="705">
        <f t="shared" si="4"/>
        <v>2883.0478405740664</v>
      </c>
      <c r="I19" s="705">
        <f t="shared" si="4"/>
        <v>5862.2992135041004</v>
      </c>
      <c r="J19" s="705">
        <f t="shared" si="4"/>
        <v>11141.221320660408</v>
      </c>
      <c r="K19" s="705">
        <f t="shared" si="4"/>
        <v>16747.761552927321</v>
      </c>
      <c r="L19" s="705">
        <f t="shared" si="4"/>
        <v>22865.026505233356</v>
      </c>
      <c r="M19" s="705">
        <f t="shared" si="4"/>
        <v>23873.013277099584</v>
      </c>
      <c r="N19" s="705">
        <f t="shared" si="4"/>
        <v>24630.520807933168</v>
      </c>
      <c r="O19" s="705">
        <f t="shared" si="4"/>
        <v>24776.504976210847</v>
      </c>
      <c r="P19" s="705">
        <f t="shared" si="4"/>
        <v>25114.835177309444</v>
      </c>
      <c r="Q19" s="705">
        <f t="shared" si="4"/>
        <v>25244.153502475736</v>
      </c>
      <c r="R19" s="705">
        <f t="shared" si="4"/>
        <v>25359.492505637911</v>
      </c>
      <c r="S19" s="705">
        <f t="shared" si="4"/>
        <v>25459.812816185924</v>
      </c>
      <c r="T19" s="705">
        <f t="shared" si="4"/>
        <v>25476.363419351161</v>
      </c>
      <c r="U19" s="705">
        <f t="shared" si="4"/>
        <v>25540.565558611503</v>
      </c>
      <c r="V19" s="705">
        <f t="shared" si="4"/>
        <v>25512.937092805849</v>
      </c>
      <c r="W19" s="705">
        <f t="shared" si="4"/>
        <v>25535.695219952988</v>
      </c>
      <c r="X19" s="705">
        <f t="shared" si="4"/>
        <v>25457.821105019597</v>
      </c>
      <c r="Y19" s="705">
        <f t="shared" si="4"/>
        <v>25350.743694614077</v>
      </c>
      <c r="AB19" s="682"/>
    </row>
    <row r="20" spans="1:28" ht="14.25" customHeight="1" x14ac:dyDescent="0.2">
      <c r="A20" s="1383"/>
      <c r="B20" s="695">
        <v>6</v>
      </c>
      <c r="C20" s="693" t="s">
        <v>252</v>
      </c>
      <c r="D20" s="693"/>
      <c r="E20" s="696"/>
      <c r="F20" s="696"/>
      <c r="G20" s="696"/>
      <c r="H20" s="696"/>
      <c r="I20" s="696"/>
      <c r="J20" s="696"/>
      <c r="K20" s="696"/>
      <c r="L20" s="696"/>
      <c r="M20" s="696"/>
      <c r="N20" s="696"/>
      <c r="O20" s="696"/>
      <c r="P20" s="696"/>
      <c r="Q20" s="696"/>
      <c r="R20" s="696"/>
      <c r="S20" s="696"/>
      <c r="T20" s="696"/>
      <c r="U20" s="696"/>
      <c r="V20" s="696"/>
      <c r="W20" s="696"/>
      <c r="X20" s="696"/>
      <c r="Y20" s="696"/>
      <c r="AB20" s="682"/>
    </row>
    <row r="21" spans="1:28" ht="14.25" customHeight="1" x14ac:dyDescent="0.2">
      <c r="A21" s="1383"/>
      <c r="B21" s="695">
        <v>7</v>
      </c>
      <c r="C21" s="693" t="s">
        <v>681</v>
      </c>
      <c r="D21" s="693"/>
      <c r="E21" s="702">
        <f t="shared" ref="E21:Y21" si="5">E25</f>
        <v>0</v>
      </c>
      <c r="F21" s="702">
        <f t="shared" si="5"/>
        <v>-451.19416666666666</v>
      </c>
      <c r="G21" s="702">
        <f t="shared" si="5"/>
        <v>-1686.5271631121418</v>
      </c>
      <c r="H21" s="702">
        <f t="shared" si="5"/>
        <v>-477.00373420481748</v>
      </c>
      <c r="I21" s="702">
        <f t="shared" si="5"/>
        <v>461.48173259139418</v>
      </c>
      <c r="J21" s="702">
        <f t="shared" si="5"/>
        <v>2237.8985823578723</v>
      </c>
      <c r="K21" s="702">
        <f t="shared" si="5"/>
        <v>4096.2389279952895</v>
      </c>
      <c r="L21" s="702">
        <f t="shared" si="5"/>
        <v>6168.7423451126742</v>
      </c>
      <c r="M21" s="702">
        <f t="shared" si="5"/>
        <v>6511.4578475471917</v>
      </c>
      <c r="N21" s="702">
        <f t="shared" si="5"/>
        <v>6769.0104080306101</v>
      </c>
      <c r="O21" s="702">
        <f t="shared" si="5"/>
        <v>6818.6450252450213</v>
      </c>
      <c r="P21" s="702">
        <f t="shared" si="5"/>
        <v>6933.6772936185444</v>
      </c>
      <c r="Q21" s="702">
        <f t="shared" si="5"/>
        <v>6977.6455241750837</v>
      </c>
      <c r="R21" s="702">
        <f t="shared" si="5"/>
        <v>7468.0549519168899</v>
      </c>
      <c r="S21" s="702">
        <f t="shared" si="5"/>
        <v>8051.7313575032149</v>
      </c>
      <c r="T21" s="702">
        <f t="shared" si="5"/>
        <v>8513.8368959127274</v>
      </c>
      <c r="U21" s="702">
        <f t="shared" si="5"/>
        <v>8610.125623261245</v>
      </c>
      <c r="V21" s="702">
        <f t="shared" si="5"/>
        <v>8619.1486115539901</v>
      </c>
      <c r="W21" s="702">
        <f t="shared" si="5"/>
        <v>8674.7697081173501</v>
      </c>
      <c r="X21" s="702">
        <f t="shared" si="5"/>
        <v>8655.6591757066635</v>
      </c>
      <c r="Y21" s="702">
        <f t="shared" si="5"/>
        <v>8619.2528561687868</v>
      </c>
      <c r="AB21" s="682"/>
    </row>
    <row r="22" spans="1:28" ht="14.25" customHeight="1" x14ac:dyDescent="0.2">
      <c r="A22" s="1383"/>
      <c r="B22" s="706">
        <v>8</v>
      </c>
      <c r="C22" s="707" t="s">
        <v>253</v>
      </c>
      <c r="D22" s="707"/>
      <c r="E22" s="708">
        <f t="shared" ref="E22:Y22" si="6">E19-E20-E21</f>
        <v>0</v>
      </c>
      <c r="F22" s="708">
        <f t="shared" si="6"/>
        <v>451.19416666666666</v>
      </c>
      <c r="G22" s="708">
        <f t="shared" si="6"/>
        <v>-330.43017937454943</v>
      </c>
      <c r="H22" s="708">
        <f t="shared" si="6"/>
        <v>3360.0515747788841</v>
      </c>
      <c r="I22" s="708">
        <f t="shared" si="6"/>
        <v>5400.8174809127058</v>
      </c>
      <c r="J22" s="708">
        <f t="shared" si="6"/>
        <v>8903.3227383025369</v>
      </c>
      <c r="K22" s="708">
        <f t="shared" si="6"/>
        <v>12651.522624932031</v>
      </c>
      <c r="L22" s="708">
        <f t="shared" si="6"/>
        <v>16696.284160120682</v>
      </c>
      <c r="M22" s="708">
        <f t="shared" si="6"/>
        <v>17361.555429552391</v>
      </c>
      <c r="N22" s="708">
        <f t="shared" si="6"/>
        <v>17861.51039990256</v>
      </c>
      <c r="O22" s="708">
        <f t="shared" si="6"/>
        <v>17957.859950965823</v>
      </c>
      <c r="P22" s="708">
        <f t="shared" si="6"/>
        <v>18181.157883690899</v>
      </c>
      <c r="Q22" s="708">
        <f t="shared" si="6"/>
        <v>18266.507978300651</v>
      </c>
      <c r="R22" s="708">
        <f t="shared" si="6"/>
        <v>17891.437553721022</v>
      </c>
      <c r="S22" s="708">
        <f t="shared" si="6"/>
        <v>17408.081458682711</v>
      </c>
      <c r="T22" s="708">
        <f t="shared" si="6"/>
        <v>16962.526523438435</v>
      </c>
      <c r="U22" s="708">
        <f t="shared" si="6"/>
        <v>16930.439935350259</v>
      </c>
      <c r="V22" s="708">
        <f t="shared" si="6"/>
        <v>16893.788481251861</v>
      </c>
      <c r="W22" s="708">
        <f t="shared" si="6"/>
        <v>16860.925511835638</v>
      </c>
      <c r="X22" s="708">
        <f t="shared" si="6"/>
        <v>16802.161929312933</v>
      </c>
      <c r="Y22" s="708">
        <f t="shared" si="6"/>
        <v>16731.49083844529</v>
      </c>
      <c r="AB22" s="682"/>
    </row>
    <row r="23" spans="1:28" ht="14.25" customHeight="1" x14ac:dyDescent="0.2">
      <c r="A23" s="1383" t="s">
        <v>254</v>
      </c>
      <c r="B23" s="692">
        <v>9</v>
      </c>
      <c r="C23" s="700" t="s">
        <v>684</v>
      </c>
      <c r="D23" s="700"/>
      <c r="E23" s="694"/>
      <c r="F23" s="694">
        <f t="shared" ref="F23:Y23" si="7">F104</f>
        <v>1327.0416666666665</v>
      </c>
      <c r="G23" s="694">
        <f t="shared" si="7"/>
        <v>2943.4166666666665</v>
      </c>
      <c r="H23" s="694">
        <f t="shared" si="7"/>
        <v>4286</v>
      </c>
      <c r="I23" s="694">
        <f t="shared" si="7"/>
        <v>4505</v>
      </c>
      <c r="J23" s="694">
        <f t="shared" si="7"/>
        <v>4559.166666666667</v>
      </c>
      <c r="K23" s="694">
        <f t="shared" si="7"/>
        <v>4700</v>
      </c>
      <c r="L23" s="694">
        <f t="shared" si="7"/>
        <v>4721.666666666667</v>
      </c>
      <c r="M23" s="694">
        <f t="shared" si="7"/>
        <v>4721.666666666667</v>
      </c>
      <c r="N23" s="694">
        <f t="shared" si="7"/>
        <v>4721.666666666667</v>
      </c>
      <c r="O23" s="694">
        <f t="shared" si="7"/>
        <v>4721.666666666667</v>
      </c>
      <c r="P23" s="694">
        <f t="shared" si="7"/>
        <v>4721.666666666667</v>
      </c>
      <c r="Q23" s="694">
        <f t="shared" si="7"/>
        <v>4721.666666666667</v>
      </c>
      <c r="R23" s="694">
        <f t="shared" si="7"/>
        <v>3394.6249999999995</v>
      </c>
      <c r="S23" s="694">
        <f t="shared" si="7"/>
        <v>1778.25</v>
      </c>
      <c r="T23" s="694">
        <f t="shared" si="7"/>
        <v>435.66666666666657</v>
      </c>
      <c r="U23" s="694">
        <f t="shared" si="7"/>
        <v>216.66666666666666</v>
      </c>
      <c r="V23" s="694">
        <f t="shared" si="7"/>
        <v>162.5</v>
      </c>
      <c r="W23" s="694">
        <f t="shared" si="7"/>
        <v>21.666666666666668</v>
      </c>
      <c r="X23" s="694">
        <f t="shared" si="7"/>
        <v>0</v>
      </c>
      <c r="Y23" s="694">
        <f t="shared" si="7"/>
        <v>0</v>
      </c>
      <c r="AB23" s="682"/>
    </row>
    <row r="24" spans="1:28" ht="14.25" customHeight="1" x14ac:dyDescent="0.2">
      <c r="A24" s="1383"/>
      <c r="B24" s="695"/>
      <c r="C24" s="693" t="s">
        <v>685</v>
      </c>
      <c r="D24" s="693"/>
      <c r="E24" s="709">
        <f t="shared" ref="E24:Y24" si="8">$E41</f>
        <v>0.34</v>
      </c>
      <c r="F24" s="709">
        <f t="shared" si="8"/>
        <v>0.34</v>
      </c>
      <c r="G24" s="709">
        <f t="shared" si="8"/>
        <v>0.34</v>
      </c>
      <c r="H24" s="709">
        <f t="shared" si="8"/>
        <v>0.34</v>
      </c>
      <c r="I24" s="709">
        <f t="shared" si="8"/>
        <v>0.34</v>
      </c>
      <c r="J24" s="709">
        <f t="shared" si="8"/>
        <v>0.34</v>
      </c>
      <c r="K24" s="709">
        <f t="shared" si="8"/>
        <v>0.34</v>
      </c>
      <c r="L24" s="709">
        <f t="shared" si="8"/>
        <v>0.34</v>
      </c>
      <c r="M24" s="709">
        <f t="shared" si="8"/>
        <v>0.34</v>
      </c>
      <c r="N24" s="709">
        <f t="shared" si="8"/>
        <v>0.34</v>
      </c>
      <c r="O24" s="709">
        <f t="shared" si="8"/>
        <v>0.34</v>
      </c>
      <c r="P24" s="709">
        <f t="shared" si="8"/>
        <v>0.34</v>
      </c>
      <c r="Q24" s="709">
        <f t="shared" si="8"/>
        <v>0.34</v>
      </c>
      <c r="R24" s="709">
        <f t="shared" si="8"/>
        <v>0.34</v>
      </c>
      <c r="S24" s="709">
        <f t="shared" si="8"/>
        <v>0.34</v>
      </c>
      <c r="T24" s="709">
        <f t="shared" si="8"/>
        <v>0.34</v>
      </c>
      <c r="U24" s="709">
        <f t="shared" si="8"/>
        <v>0.34</v>
      </c>
      <c r="V24" s="709">
        <f t="shared" si="8"/>
        <v>0.34</v>
      </c>
      <c r="W24" s="709">
        <f t="shared" si="8"/>
        <v>0.34</v>
      </c>
      <c r="X24" s="709">
        <f t="shared" si="8"/>
        <v>0.34</v>
      </c>
      <c r="Y24" s="709">
        <f t="shared" si="8"/>
        <v>0.34</v>
      </c>
      <c r="AB24" s="682"/>
    </row>
    <row r="25" spans="1:28" ht="14.25" customHeight="1" x14ac:dyDescent="0.2">
      <c r="A25" s="1383"/>
      <c r="B25" s="706">
        <v>10</v>
      </c>
      <c r="C25" s="707" t="s">
        <v>255</v>
      </c>
      <c r="D25" s="707"/>
      <c r="E25" s="708">
        <f t="shared" ref="E25:Y25" si="9">E24*(E19-E20-E23)</f>
        <v>0</v>
      </c>
      <c r="F25" s="708">
        <f t="shared" si="9"/>
        <v>-451.19416666666666</v>
      </c>
      <c r="G25" s="708">
        <f t="shared" si="9"/>
        <v>-1686.5271631121418</v>
      </c>
      <c r="H25" s="708">
        <f t="shared" si="9"/>
        <v>-477.00373420481748</v>
      </c>
      <c r="I25" s="708">
        <f t="shared" si="9"/>
        <v>461.48173259139418</v>
      </c>
      <c r="J25" s="708">
        <f t="shared" si="9"/>
        <v>2237.8985823578723</v>
      </c>
      <c r="K25" s="708">
        <f t="shared" si="9"/>
        <v>4096.2389279952895</v>
      </c>
      <c r="L25" s="708">
        <f t="shared" si="9"/>
        <v>6168.7423451126742</v>
      </c>
      <c r="M25" s="708">
        <f t="shared" si="9"/>
        <v>6511.4578475471917</v>
      </c>
      <c r="N25" s="708">
        <f t="shared" si="9"/>
        <v>6769.0104080306101</v>
      </c>
      <c r="O25" s="708">
        <f t="shared" si="9"/>
        <v>6818.6450252450213</v>
      </c>
      <c r="P25" s="708">
        <f t="shared" si="9"/>
        <v>6933.6772936185444</v>
      </c>
      <c r="Q25" s="708">
        <f t="shared" si="9"/>
        <v>6977.6455241750837</v>
      </c>
      <c r="R25" s="708">
        <f t="shared" si="9"/>
        <v>7468.0549519168899</v>
      </c>
      <c r="S25" s="708">
        <f t="shared" si="9"/>
        <v>8051.7313575032149</v>
      </c>
      <c r="T25" s="708">
        <f t="shared" si="9"/>
        <v>8513.8368959127274</v>
      </c>
      <c r="U25" s="708">
        <f t="shared" si="9"/>
        <v>8610.125623261245</v>
      </c>
      <c r="V25" s="708">
        <f t="shared" si="9"/>
        <v>8619.1486115539901</v>
      </c>
      <c r="W25" s="708">
        <f t="shared" si="9"/>
        <v>8674.7697081173501</v>
      </c>
      <c r="X25" s="708">
        <f t="shared" si="9"/>
        <v>8655.6591757066635</v>
      </c>
      <c r="Y25" s="708">
        <f t="shared" si="9"/>
        <v>8619.2528561687868</v>
      </c>
      <c r="AB25" s="682"/>
    </row>
    <row r="26" spans="1:28" ht="14.25" customHeight="1" x14ac:dyDescent="0.2">
      <c r="A26" s="1383" t="s">
        <v>256</v>
      </c>
      <c r="B26" s="692">
        <v>11</v>
      </c>
      <c r="C26" s="700" t="s">
        <v>257</v>
      </c>
      <c r="D26" s="752" t="str">
        <f>SUM(E26:Y26)&amp;" "&amp;B7</f>
        <v>56660 k€</v>
      </c>
      <c r="E26" s="233">
        <f>'Données Investissement'!D131*1000</f>
        <v>15924.499999999998</v>
      </c>
      <c r="F26" s="233">
        <f>'Données Investissement'!E131*1000</f>
        <v>19396.5</v>
      </c>
      <c r="G26" s="233">
        <f>'Données Investissement'!F131*1000</f>
        <v>16111</v>
      </c>
      <c r="H26" s="233">
        <f>'Données Investissement'!G131*1000</f>
        <v>2627.9999999999991</v>
      </c>
      <c r="I26" s="233">
        <f>'Données Investissement'!H131*1000</f>
        <v>650</v>
      </c>
      <c r="J26" s="233">
        <f>'Données Investissement'!I131*1000</f>
        <v>1690.0000000000002</v>
      </c>
      <c r="K26" s="233">
        <f>'Données Investissement'!J131*1000</f>
        <v>260</v>
      </c>
      <c r="L26" s="233">
        <f>'Données Investissement'!K131*1000</f>
        <v>0</v>
      </c>
      <c r="M26" s="233">
        <f>'Données Investissement'!L131*1000</f>
        <v>0</v>
      </c>
      <c r="N26" s="233">
        <f>'Données Investissement'!M131*1000</f>
        <v>0</v>
      </c>
      <c r="O26" s="233">
        <f>'Données Investissement'!N131*1000</f>
        <v>0</v>
      </c>
      <c r="P26" s="233">
        <f>'Données Investissement'!O131*1000</f>
        <v>0</v>
      </c>
      <c r="Q26" s="233">
        <f>'Données Investissement'!P131*1000</f>
        <v>0</v>
      </c>
      <c r="R26" s="233">
        <f>'Données Investissement'!Q131*1000</f>
        <v>0</v>
      </c>
      <c r="S26" s="233">
        <f>'Données Investissement'!R131*1000</f>
        <v>0</v>
      </c>
      <c r="T26" s="233">
        <f>'Données Investissement'!S131*1000</f>
        <v>0</v>
      </c>
      <c r="U26" s="233">
        <f>'Données Investissement'!T131*1000</f>
        <v>0</v>
      </c>
      <c r="V26" s="233">
        <f>'Données Investissement'!U131*1000</f>
        <v>0</v>
      </c>
      <c r="W26" s="233">
        <f>'Données Investissement'!V131*1000</f>
        <v>0</v>
      </c>
      <c r="X26" s="233">
        <f>'Données Investissement'!W131*1000</f>
        <v>0</v>
      </c>
      <c r="Y26" s="233">
        <f>'Données Investissement'!X131*1000</f>
        <v>0</v>
      </c>
      <c r="AB26" s="682"/>
    </row>
    <row r="27" spans="1:28" ht="14.25" customHeight="1" x14ac:dyDescent="0.2">
      <c r="A27" s="1383"/>
      <c r="B27" s="695">
        <v>12</v>
      </c>
      <c r="C27" s="693" t="s">
        <v>260</v>
      </c>
      <c r="D27" s="754" t="str">
        <f>SUM(E27:Y27)&amp;" "&amp;B7</f>
        <v>0 k€</v>
      </c>
      <c r="E27" s="696"/>
      <c r="F27" s="696"/>
      <c r="G27" s="696"/>
      <c r="H27" s="696"/>
      <c r="I27" s="696"/>
      <c r="J27" s="696"/>
      <c r="K27" s="696"/>
      <c r="L27" s="696"/>
      <c r="M27" s="696"/>
      <c r="N27" s="696"/>
      <c r="O27" s="696"/>
      <c r="P27" s="696"/>
      <c r="Q27" s="696"/>
      <c r="R27" s="696"/>
      <c r="S27" s="696"/>
      <c r="T27" s="696"/>
      <c r="U27" s="696"/>
      <c r="V27" s="696"/>
      <c r="W27" s="696"/>
      <c r="X27" s="696"/>
      <c r="Y27" s="696"/>
      <c r="AB27" s="682"/>
    </row>
    <row r="28" spans="1:28" ht="14.25" customHeight="1" x14ac:dyDescent="0.2">
      <c r="A28" s="1383"/>
      <c r="B28" s="695">
        <v>13</v>
      </c>
      <c r="C28" s="693" t="s">
        <v>690</v>
      </c>
      <c r="D28" s="753"/>
      <c r="E28" s="696"/>
      <c r="F28" s="696"/>
      <c r="G28" s="237">
        <f>Exploitation!B41/1000</f>
        <v>288.95138511211036</v>
      </c>
      <c r="H28" s="237">
        <f>(Exploitation!C41-Exploitation!B41)/1000</f>
        <v>1474.9776139255257</v>
      </c>
      <c r="I28" s="237">
        <f>(Exploitation!D41-Exploitation!C41)/1000</f>
        <v>863.91363137680241</v>
      </c>
      <c r="J28" s="237">
        <f>(Exploitation!E41-Exploitation!D41)/1000</f>
        <v>1200.606018557718</v>
      </c>
      <c r="K28" s="237">
        <f>(Exploitation!F41-Exploitation!E41)/1000</f>
        <v>686.2736115310704</v>
      </c>
      <c r="L28" s="237">
        <f>(Exploitation!G41-Exploitation!F41)/1000</f>
        <v>403.7535344025232</v>
      </c>
      <c r="M28" s="237">
        <f>(Exploitation!H41-Exploitation!G41)/1000</f>
        <v>-12.365344074513763</v>
      </c>
      <c r="N28" s="237">
        <f>(Exploitation!I41-Exploitation!H41)/1000</f>
        <v>-0.32791032398119568</v>
      </c>
      <c r="O28" s="237">
        <f>(Exploitation!J41-Exploitation!I41)/1000</f>
        <v>38.883781328096056</v>
      </c>
      <c r="P28" s="237">
        <f>(Exploitation!K41-Exploitation!J41)/1000</f>
        <v>50.691408710586842</v>
      </c>
      <c r="Q28" s="237">
        <f>(Exploitation!L41-Exploitation!K41)/1000</f>
        <v>44.993934548022224</v>
      </c>
      <c r="R28" s="237">
        <f>(Exploitation!M41-Exploitation!L41)/1000</f>
        <v>-16.020387898242102</v>
      </c>
      <c r="S28" s="237">
        <f>(Exploitation!N41-Exploitation!M41)/1000</f>
        <v>51.870595045535822</v>
      </c>
      <c r="T28" s="237">
        <f>(Exploitation!O41-Exploitation!N41)/1000</f>
        <v>52.012874265410936</v>
      </c>
      <c r="U28" s="237">
        <f>(Exploitation!P41-Exploitation!O41)/1000</f>
        <v>49.978575229505076</v>
      </c>
      <c r="V28" s="237">
        <f>(Exploitation!Q41-Exploitation!P41)/1000</f>
        <v>54.818141240039843</v>
      </c>
      <c r="W28" s="237">
        <f>(Exploitation!R41-Exploitation!Q41)/1000</f>
        <v>40.587625178717076</v>
      </c>
      <c r="X28" s="237">
        <f>(Exploitation!S41-Exploitation!R41)/1000</f>
        <v>56.10236071847379</v>
      </c>
      <c r="Y28" s="237">
        <f>(Exploitation!T41-Exploitation!S41)/1000</f>
        <v>62.173200683310625</v>
      </c>
      <c r="AB28" s="682"/>
    </row>
    <row r="29" spans="1:28" ht="14.25" customHeight="1" x14ac:dyDescent="0.2">
      <c r="A29" s="1383"/>
      <c r="B29" s="706">
        <v>14</v>
      </c>
      <c r="C29" s="707" t="s">
        <v>691</v>
      </c>
      <c r="D29" s="707"/>
      <c r="E29" s="708">
        <f t="shared" ref="E29:Y29" si="10">E26+E27+E28</f>
        <v>15924.499999999998</v>
      </c>
      <c r="F29" s="708">
        <f t="shared" si="10"/>
        <v>19396.5</v>
      </c>
      <c r="G29" s="708">
        <f t="shared" si="10"/>
        <v>16399.951385112112</v>
      </c>
      <c r="H29" s="708">
        <f t="shared" si="10"/>
        <v>4102.9776139255246</v>
      </c>
      <c r="I29" s="708">
        <f t="shared" si="10"/>
        <v>1513.9136313768024</v>
      </c>
      <c r="J29" s="708">
        <f t="shared" si="10"/>
        <v>2890.606018557718</v>
      </c>
      <c r="K29" s="708">
        <f t="shared" si="10"/>
        <v>946.2736115310704</v>
      </c>
      <c r="L29" s="708">
        <f t="shared" si="10"/>
        <v>403.7535344025232</v>
      </c>
      <c r="M29" s="708">
        <f t="shared" si="10"/>
        <v>-12.365344074513763</v>
      </c>
      <c r="N29" s="708">
        <f t="shared" si="10"/>
        <v>-0.32791032398119568</v>
      </c>
      <c r="O29" s="708">
        <f t="shared" si="10"/>
        <v>38.883781328096056</v>
      </c>
      <c r="P29" s="708">
        <f t="shared" si="10"/>
        <v>50.691408710586842</v>
      </c>
      <c r="Q29" s="708">
        <f t="shared" si="10"/>
        <v>44.993934548022224</v>
      </c>
      <c r="R29" s="708">
        <f t="shared" si="10"/>
        <v>-16.020387898242102</v>
      </c>
      <c r="S29" s="708">
        <f t="shared" si="10"/>
        <v>51.870595045535822</v>
      </c>
      <c r="T29" s="708">
        <f t="shared" si="10"/>
        <v>52.012874265410936</v>
      </c>
      <c r="U29" s="708">
        <f t="shared" si="10"/>
        <v>49.978575229505076</v>
      </c>
      <c r="V29" s="708">
        <f t="shared" si="10"/>
        <v>54.818141240039843</v>
      </c>
      <c r="W29" s="708">
        <f t="shared" si="10"/>
        <v>40.587625178717076</v>
      </c>
      <c r="X29" s="708">
        <f t="shared" si="10"/>
        <v>56.10236071847379</v>
      </c>
      <c r="Y29" s="708">
        <f t="shared" si="10"/>
        <v>62.173200683310625</v>
      </c>
      <c r="AB29" s="682"/>
    </row>
    <row r="30" spans="1:28" ht="14.25" customHeight="1" x14ac:dyDescent="0.2">
      <c r="A30" s="710"/>
      <c r="B30" s="711">
        <v>15</v>
      </c>
      <c r="C30" s="712" t="s">
        <v>261</v>
      </c>
      <c r="D30" s="712"/>
      <c r="E30" s="713">
        <f t="shared" ref="E30:Y30" si="11">E22-E29</f>
        <v>-15924.499999999998</v>
      </c>
      <c r="F30" s="713">
        <f t="shared" si="11"/>
        <v>-18945.305833333332</v>
      </c>
      <c r="G30" s="713">
        <f t="shared" si="11"/>
        <v>-16730.381564486663</v>
      </c>
      <c r="H30" s="713">
        <f t="shared" si="11"/>
        <v>-742.92603914664051</v>
      </c>
      <c r="I30" s="713">
        <f t="shared" si="11"/>
        <v>3886.9038495359036</v>
      </c>
      <c r="J30" s="713">
        <f t="shared" si="11"/>
        <v>6012.7167197448189</v>
      </c>
      <c r="K30" s="713">
        <f t="shared" si="11"/>
        <v>11705.24901340096</v>
      </c>
      <c r="L30" s="713">
        <f t="shared" si="11"/>
        <v>16292.530625718158</v>
      </c>
      <c r="M30" s="713">
        <f t="shared" si="11"/>
        <v>17373.920773626905</v>
      </c>
      <c r="N30" s="713">
        <f t="shared" si="11"/>
        <v>17861.83831022654</v>
      </c>
      <c r="O30" s="713">
        <f t="shared" si="11"/>
        <v>17918.976169637728</v>
      </c>
      <c r="P30" s="713">
        <f t="shared" si="11"/>
        <v>18130.466474980312</v>
      </c>
      <c r="Q30" s="713">
        <f t="shared" si="11"/>
        <v>18221.514043752628</v>
      </c>
      <c r="R30" s="713">
        <f t="shared" si="11"/>
        <v>17907.457941619265</v>
      </c>
      <c r="S30" s="713">
        <f t="shared" si="11"/>
        <v>17356.210863637174</v>
      </c>
      <c r="T30" s="713">
        <f t="shared" si="11"/>
        <v>16910.513649173023</v>
      </c>
      <c r="U30" s="713">
        <f t="shared" si="11"/>
        <v>16880.461360120753</v>
      </c>
      <c r="V30" s="713">
        <f t="shared" si="11"/>
        <v>16838.97034001182</v>
      </c>
      <c r="W30" s="713">
        <f t="shared" si="11"/>
        <v>16820.337886656922</v>
      </c>
      <c r="X30" s="713">
        <f t="shared" si="11"/>
        <v>16746.059568594461</v>
      </c>
      <c r="Y30" s="713">
        <f t="shared" si="11"/>
        <v>16669.317637761978</v>
      </c>
      <c r="AB30" s="682"/>
    </row>
    <row r="31" spans="1:28" ht="14.25" customHeight="1" x14ac:dyDescent="0.2">
      <c r="B31" s="683"/>
      <c r="E31" s="714"/>
      <c r="F31" s="714"/>
      <c r="G31" s="714"/>
      <c r="H31" s="714"/>
      <c r="I31" s="714"/>
      <c r="J31" s="714"/>
      <c r="K31" s="714"/>
      <c r="L31" s="714"/>
      <c r="M31" s="714"/>
      <c r="N31" s="714"/>
      <c r="O31" s="714"/>
      <c r="P31" s="714"/>
      <c r="Q31" s="714"/>
      <c r="R31" s="714"/>
      <c r="S31" s="714"/>
      <c r="T31" s="714"/>
      <c r="U31" s="714"/>
      <c r="V31" s="714"/>
      <c r="W31" s="714"/>
      <c r="X31" s="714"/>
      <c r="Y31" s="714"/>
      <c r="AB31" s="682"/>
    </row>
    <row r="32" spans="1:28" ht="14.25" customHeight="1" x14ac:dyDescent="0.2">
      <c r="A32" s="715">
        <f>E40</f>
        <v>0.105</v>
      </c>
      <c r="B32" s="692">
        <v>16</v>
      </c>
      <c r="C32" s="700" t="s">
        <v>262</v>
      </c>
      <c r="D32" s="700"/>
      <c r="E32" s="701">
        <f t="shared" ref="E32:Y32" si="12">E30/E53</f>
        <v>-15924.499999999998</v>
      </c>
      <c r="F32" s="701">
        <f t="shared" si="12"/>
        <v>-17145.073152337856</v>
      </c>
      <c r="G32" s="701">
        <f t="shared" si="12"/>
        <v>-13701.915656507166</v>
      </c>
      <c r="H32" s="701">
        <f t="shared" si="12"/>
        <v>-550.62857611128436</v>
      </c>
      <c r="I32" s="701">
        <f t="shared" si="12"/>
        <v>2607.0819661871669</v>
      </c>
      <c r="J32" s="701">
        <f t="shared" si="12"/>
        <v>3649.7183666579981</v>
      </c>
      <c r="K32" s="701">
        <f t="shared" si="12"/>
        <v>6429.9410162982686</v>
      </c>
      <c r="L32" s="701">
        <f t="shared" si="12"/>
        <v>8099.3953778134264</v>
      </c>
      <c r="M32" s="701">
        <f t="shared" si="12"/>
        <v>7816.2710735492019</v>
      </c>
      <c r="N32" s="701">
        <f t="shared" si="12"/>
        <v>7272.1972735137897</v>
      </c>
      <c r="O32" s="701">
        <f t="shared" si="12"/>
        <v>6602.2263824716201</v>
      </c>
      <c r="P32" s="701">
        <f t="shared" si="12"/>
        <v>6045.3843844823432</v>
      </c>
      <c r="Q32" s="701">
        <f t="shared" si="12"/>
        <v>5498.4100390886379</v>
      </c>
      <c r="R32" s="701">
        <f t="shared" si="12"/>
        <v>4890.1741495192709</v>
      </c>
      <c r="S32" s="701">
        <f t="shared" si="12"/>
        <v>4289.2664498506274</v>
      </c>
      <c r="T32" s="701">
        <f t="shared" si="12"/>
        <v>3782.0096181514355</v>
      </c>
      <c r="U32" s="701">
        <f t="shared" si="12"/>
        <v>3416.5506527241191</v>
      </c>
      <c r="V32" s="701">
        <f t="shared" si="12"/>
        <v>3084.3013617811994</v>
      </c>
      <c r="W32" s="701">
        <f t="shared" si="12"/>
        <v>2788.1344416500297</v>
      </c>
      <c r="X32" s="701">
        <f t="shared" si="12"/>
        <v>2512.0561888656302</v>
      </c>
      <c r="Y32" s="701">
        <f t="shared" si="12"/>
        <v>2262.9359497048608</v>
      </c>
      <c r="AB32" s="682"/>
    </row>
    <row r="33" spans="1:29" ht="14.25" customHeight="1" x14ac:dyDescent="0.2">
      <c r="A33" s="716"/>
      <c r="B33" s="697">
        <v>17</v>
      </c>
      <c r="C33" s="698" t="s">
        <v>263</v>
      </c>
      <c r="D33" s="698"/>
      <c r="E33" s="717">
        <f>SUM(E32:$E32)</f>
        <v>-15924.499999999998</v>
      </c>
      <c r="F33" s="717">
        <f>SUM($E32:F32)</f>
        <v>-33069.573152337856</v>
      </c>
      <c r="G33" s="717">
        <f>SUM($E32:G32)</f>
        <v>-46771.488808845024</v>
      </c>
      <c r="H33" s="717">
        <f>SUM($E32:H32)</f>
        <v>-47322.117384956306</v>
      </c>
      <c r="I33" s="717">
        <f>SUM($E32:I32)</f>
        <v>-44715.035418769141</v>
      </c>
      <c r="J33" s="717">
        <f>SUM($E32:J32)</f>
        <v>-41065.317052111146</v>
      </c>
      <c r="K33" s="717">
        <f>SUM($E32:K32)</f>
        <v>-34635.376035812878</v>
      </c>
      <c r="L33" s="717">
        <f>SUM($E32:L32)</f>
        <v>-26535.980657999451</v>
      </c>
      <c r="M33" s="717">
        <f>SUM($E32:M32)</f>
        <v>-18719.709584450247</v>
      </c>
      <c r="N33" s="717">
        <f>SUM($E32:N32)</f>
        <v>-11447.512310936458</v>
      </c>
      <c r="O33" s="717">
        <f>SUM($E32:O32)</f>
        <v>-4845.2859284648375</v>
      </c>
      <c r="P33" s="717">
        <f>SUM($E32:P32)</f>
        <v>1200.0984560175057</v>
      </c>
      <c r="Q33" s="717">
        <f>SUM($E32:Q32)</f>
        <v>6698.5084951061435</v>
      </c>
      <c r="R33" s="717">
        <f>SUM($E32:R32)</f>
        <v>11588.682644625414</v>
      </c>
      <c r="S33" s="717">
        <f>SUM($E32:S32)</f>
        <v>15877.949094476042</v>
      </c>
      <c r="T33" s="717">
        <f>SUM($E32:T32)</f>
        <v>19659.958712627478</v>
      </c>
      <c r="U33" s="717">
        <f>SUM($E32:U32)</f>
        <v>23076.509365351598</v>
      </c>
      <c r="V33" s="717">
        <f>SUM($E32:V32)</f>
        <v>26160.810727132797</v>
      </c>
      <c r="W33" s="717">
        <f>SUM($E32:W32)</f>
        <v>28948.945168782826</v>
      </c>
      <c r="X33" s="717">
        <f>SUM($E32:X32)</f>
        <v>31461.001357648456</v>
      </c>
      <c r="Y33" s="717">
        <f>SUM($E32:Y32)</f>
        <v>33723.937307353321</v>
      </c>
      <c r="AB33" s="682"/>
    </row>
    <row r="34" spans="1:29" ht="14.25" customHeight="1" x14ac:dyDescent="0.2">
      <c r="B34" s="683"/>
      <c r="T34" s="681"/>
      <c r="AB34" s="682"/>
    </row>
    <row r="35" spans="1:29" ht="14.25" customHeight="1" x14ac:dyDescent="0.2">
      <c r="B35" s="683">
        <v>18</v>
      </c>
      <c r="C35" s="718" t="s">
        <v>695</v>
      </c>
      <c r="D35" s="719">
        <f>Y33+X36</f>
        <v>55433.069415131002</v>
      </c>
      <c r="E35" s="720" t="str">
        <f>B7</f>
        <v>k€</v>
      </c>
      <c r="R35" s="681">
        <v>21</v>
      </c>
      <c r="S35" s="1399" t="s">
        <v>696</v>
      </c>
      <c r="T35" s="1400"/>
      <c r="U35" s="1400"/>
      <c r="V35" s="1400"/>
      <c r="W35" s="1400"/>
      <c r="X35" s="1413">
        <f>SUM(U30:Y30)/5/(E40-X38)</f>
        <v>159914.56532027799</v>
      </c>
      <c r="Y35" s="1414"/>
      <c r="AC35" s="682"/>
    </row>
    <row r="36" spans="1:29" ht="14.25" customHeight="1" x14ac:dyDescent="0.2">
      <c r="B36" s="683"/>
      <c r="R36" s="681">
        <v>22</v>
      </c>
      <c r="S36" s="1407" t="s">
        <v>697</v>
      </c>
      <c r="T36" s="1408"/>
      <c r="U36" s="1408"/>
      <c r="V36" s="1408"/>
      <c r="W36" s="1408"/>
      <c r="X36" s="1409">
        <f>X35/Y53</f>
        <v>21709.132107777677</v>
      </c>
      <c r="Y36" s="1410"/>
      <c r="AC36" s="682"/>
    </row>
    <row r="37" spans="1:29" ht="14.25" customHeight="1" x14ac:dyDescent="0.2">
      <c r="B37" s="683">
        <v>19</v>
      </c>
      <c r="C37" s="718" t="s">
        <v>264</v>
      </c>
      <c r="D37" s="1411">
        <f>IRR(E55:Y55)</f>
        <v>0.16994667533640295</v>
      </c>
      <c r="E37" s="1412"/>
      <c r="H37" s="721" t="s">
        <v>265</v>
      </c>
      <c r="N37" s="722">
        <f>D35</f>
        <v>55433.069415131002</v>
      </c>
      <c r="O37" s="722" t="str">
        <f>E35</f>
        <v>k€</v>
      </c>
      <c r="P37" s="682"/>
      <c r="R37" s="681">
        <v>23</v>
      </c>
      <c r="S37" s="1399" t="s">
        <v>266</v>
      </c>
      <c r="T37" s="1400"/>
      <c r="U37" s="1400"/>
      <c r="V37" s="1400"/>
      <c r="W37" s="1400"/>
      <c r="X37" s="1403">
        <f>5*X35/SUM(L30:X30)</f>
        <v>3.5495669908220182</v>
      </c>
      <c r="Y37" s="1404"/>
      <c r="AC37" s="682"/>
    </row>
    <row r="38" spans="1:29" ht="14.25" customHeight="1" x14ac:dyDescent="0.2">
      <c r="B38" s="683"/>
      <c r="H38" s="723" t="s">
        <v>267</v>
      </c>
      <c r="N38" s="724">
        <f>X36</f>
        <v>21709.132107777677</v>
      </c>
      <c r="O38" s="724" t="str">
        <f>O37</f>
        <v>k€</v>
      </c>
      <c r="P38" s="682"/>
      <c r="R38" s="725">
        <v>24</v>
      </c>
      <c r="S38" s="1389" t="s">
        <v>700</v>
      </c>
      <c r="T38" s="1390"/>
      <c r="U38" s="1390"/>
      <c r="V38" s="1390"/>
      <c r="W38" s="1390"/>
      <c r="X38" s="1392">
        <v>0</v>
      </c>
      <c r="Y38" s="1393"/>
      <c r="AC38" s="682"/>
    </row>
    <row r="39" spans="1:29" ht="14.25" customHeight="1" x14ac:dyDescent="0.2">
      <c r="B39" s="683">
        <v>20</v>
      </c>
      <c r="C39" s="718" t="s">
        <v>268</v>
      </c>
      <c r="D39" s="726">
        <f>SUM(E57:P57)+1</f>
        <v>11</v>
      </c>
      <c r="E39" s="727">
        <f>SUM(E58:P58)</f>
        <v>9.6178220347450711</v>
      </c>
      <c r="H39" s="721" t="s">
        <v>269</v>
      </c>
      <c r="I39" s="728"/>
      <c r="J39" s="728"/>
      <c r="K39" s="728"/>
      <c r="L39" s="728"/>
      <c r="N39" s="729">
        <f>D37</f>
        <v>0.16994667533640295</v>
      </c>
      <c r="O39" s="729"/>
      <c r="P39" s="682"/>
      <c r="R39" s="730">
        <v>25</v>
      </c>
      <c r="S39" s="1387" t="s">
        <v>701</v>
      </c>
      <c r="T39" s="1388"/>
      <c r="U39" s="1388"/>
      <c r="V39" s="1388"/>
      <c r="W39" s="1388"/>
      <c r="X39" s="1394">
        <v>0.02</v>
      </c>
      <c r="Y39" s="1395"/>
      <c r="AC39" s="682"/>
    </row>
    <row r="40" spans="1:29" ht="14.25" customHeight="1" x14ac:dyDescent="0.2">
      <c r="D40" s="682" t="s">
        <v>702</v>
      </c>
      <c r="E40" s="731">
        <v>0.105</v>
      </c>
      <c r="H40" s="723" t="s">
        <v>670</v>
      </c>
      <c r="I40" s="728"/>
      <c r="J40" s="728"/>
      <c r="K40" s="728"/>
      <c r="L40" s="728"/>
      <c r="N40" s="732">
        <f>D39</f>
        <v>11</v>
      </c>
      <c r="O40" s="1396">
        <f>E39</f>
        <v>9.6178220347450711</v>
      </c>
      <c r="P40" s="1396"/>
      <c r="T40" s="681"/>
      <c r="X40" s="682" t="s">
        <v>703</v>
      </c>
      <c r="Y40" s="733">
        <v>12</v>
      </c>
      <c r="AC40" s="682"/>
    </row>
    <row r="41" spans="1:29" ht="14.25" customHeight="1" x14ac:dyDescent="0.2">
      <c r="D41" s="682" t="s">
        <v>704</v>
      </c>
      <c r="E41" s="731">
        <v>0.34</v>
      </c>
      <c r="H41" s="734" t="str">
        <f>A3</f>
        <v xml:space="preserve">Unité : </v>
      </c>
      <c r="I41" s="728"/>
      <c r="J41" s="728"/>
      <c r="K41" s="728"/>
      <c r="L41" s="728"/>
      <c r="M41" s="735"/>
      <c r="N41" s="732"/>
      <c r="O41" s="736"/>
      <c r="T41" s="681"/>
      <c r="X41" s="682" t="s">
        <v>705</v>
      </c>
      <c r="Y41" s="733">
        <v>5</v>
      </c>
      <c r="AC41" s="682"/>
    </row>
    <row r="42" spans="1:29" ht="18" customHeight="1" x14ac:dyDescent="0.2">
      <c r="B42" s="683"/>
      <c r="H42" s="734" t="str">
        <f>A4</f>
        <v xml:space="preserve">Société : </v>
      </c>
      <c r="I42" s="728"/>
      <c r="J42" s="728"/>
      <c r="K42" s="728"/>
      <c r="L42" s="728"/>
      <c r="M42" s="735"/>
      <c r="N42" s="732"/>
      <c r="O42" s="736"/>
      <c r="T42" s="681"/>
    </row>
    <row r="43" spans="1:29" ht="18" customHeight="1" x14ac:dyDescent="0.2">
      <c r="B43" s="683"/>
      <c r="D43" s="682"/>
      <c r="E43" s="737"/>
      <c r="H43" s="734" t="str">
        <f>A5</f>
        <v xml:space="preserve">Site : </v>
      </c>
      <c r="I43" s="728"/>
      <c r="J43" s="728"/>
      <c r="K43" s="728"/>
      <c r="L43" s="728"/>
      <c r="M43" s="728"/>
      <c r="N43" s="728"/>
      <c r="O43" s="735"/>
      <c r="P43" s="732"/>
      <c r="T43" s="681"/>
    </row>
    <row r="44" spans="1:29" ht="18" customHeight="1" x14ac:dyDescent="0.2">
      <c r="B44" s="683"/>
      <c r="E44" s="728"/>
      <c r="F44" s="728"/>
      <c r="G44" s="728"/>
      <c r="H44" s="734" t="str">
        <f>A6</f>
        <v xml:space="preserve">Projet : </v>
      </c>
      <c r="I44" s="728"/>
      <c r="J44" s="728"/>
      <c r="K44" s="728"/>
      <c r="L44" s="728"/>
      <c r="M44" s="728"/>
      <c r="N44" s="728"/>
      <c r="O44" s="735"/>
      <c r="P44" s="732"/>
      <c r="T44" s="681"/>
    </row>
    <row r="45" spans="1:29" x14ac:dyDescent="0.2">
      <c r="B45" s="683"/>
      <c r="E45" s="728"/>
      <c r="F45" s="728"/>
      <c r="G45" s="728"/>
      <c r="H45" s="728"/>
      <c r="I45" s="728"/>
      <c r="T45" s="681"/>
    </row>
    <row r="46" spans="1:29" ht="15.75" x14ac:dyDescent="0.2">
      <c r="B46" s="683"/>
      <c r="E46" s="728"/>
      <c r="F46" s="728"/>
      <c r="G46" s="728"/>
      <c r="H46" s="728"/>
      <c r="I46" s="728"/>
      <c r="S46" s="1391" t="str">
        <f>B3</f>
        <v>AD</v>
      </c>
      <c r="T46" s="1391"/>
      <c r="U46" s="1391"/>
      <c r="V46" s="1391"/>
      <c r="W46" s="1391"/>
    </row>
    <row r="47" spans="1:29" ht="15.75" x14ac:dyDescent="0.2">
      <c r="B47" s="683"/>
      <c r="E47" s="728"/>
      <c r="F47" s="728"/>
      <c r="G47" s="728"/>
      <c r="H47" s="728"/>
      <c r="I47" s="728"/>
      <c r="S47" s="1391" t="str">
        <f>B4</f>
        <v>Les Ancizes</v>
      </c>
      <c r="T47" s="1391"/>
      <c r="U47" s="1391"/>
      <c r="V47" s="1391"/>
      <c r="W47" s="1391"/>
    </row>
    <row r="48" spans="1:29" ht="15.75" x14ac:dyDescent="0.2">
      <c r="B48" s="683"/>
      <c r="E48" s="728"/>
      <c r="F48" s="728"/>
      <c r="G48" s="728"/>
      <c r="H48" s="728"/>
      <c r="I48" s="728"/>
      <c r="S48" s="736"/>
      <c r="U48" s="1391" t="str">
        <f>B5</f>
        <v>Nouvelle Unité</v>
      </c>
      <c r="V48" s="1391"/>
      <c r="W48" s="1391"/>
      <c r="X48" s="1391"/>
      <c r="Y48" s="1391"/>
    </row>
    <row r="49" spans="2:25" ht="15.75" x14ac:dyDescent="0.2">
      <c r="B49" s="683"/>
      <c r="E49" s="728"/>
      <c r="F49" s="728"/>
      <c r="G49" s="728"/>
      <c r="H49" s="728"/>
      <c r="I49" s="728"/>
      <c r="S49" s="736"/>
      <c r="U49" s="1391" t="str">
        <f>B6</f>
        <v>PAMCHR</v>
      </c>
      <c r="V49" s="1391"/>
      <c r="W49" s="1391"/>
      <c r="X49" s="1391"/>
      <c r="Y49" s="1391"/>
    </row>
    <row r="50" spans="2:25" ht="15.75" x14ac:dyDescent="0.2">
      <c r="B50" s="683"/>
      <c r="E50" s="728"/>
      <c r="F50" s="728"/>
      <c r="G50" s="728"/>
      <c r="H50" s="728"/>
      <c r="I50" s="728"/>
      <c r="J50" s="734"/>
      <c r="K50" s="728"/>
      <c r="L50" s="728"/>
      <c r="M50" s="728"/>
      <c r="N50" s="728"/>
      <c r="O50" s="728"/>
      <c r="P50" s="728"/>
      <c r="Q50" s="735"/>
      <c r="R50" s="732"/>
      <c r="S50" s="736"/>
      <c r="U50" s="738"/>
      <c r="V50" s="738"/>
      <c r="W50" s="738"/>
      <c r="X50" s="738"/>
      <c r="Y50" s="738"/>
    </row>
    <row r="51" spans="2:25" ht="15.75" x14ac:dyDescent="0.2">
      <c r="B51" s="683"/>
      <c r="E51" s="728"/>
      <c r="F51" s="728"/>
      <c r="G51" s="728"/>
      <c r="H51" s="728"/>
      <c r="I51" s="728"/>
      <c r="J51" s="734"/>
      <c r="K51" s="728"/>
      <c r="L51" s="728"/>
      <c r="M51" s="728"/>
      <c r="N51" s="728"/>
      <c r="O51" s="728"/>
      <c r="P51" s="728"/>
      <c r="Q51" s="735"/>
      <c r="R51" s="732"/>
      <c r="S51" s="736"/>
      <c r="U51" s="738"/>
      <c r="V51" s="738"/>
      <c r="W51" s="738"/>
      <c r="X51" s="738"/>
      <c r="Y51" s="738"/>
    </row>
    <row r="52" spans="2:25" x14ac:dyDescent="0.2">
      <c r="B52" s="683"/>
      <c r="C52" s="682"/>
      <c r="D52" s="739" t="s">
        <v>707</v>
      </c>
      <c r="E52" s="747">
        <v>1</v>
      </c>
      <c r="F52" s="747">
        <f t="shared" ref="F52:Y52" si="13">E52*(1+$X39)</f>
        <v>1.02</v>
      </c>
      <c r="G52" s="747">
        <f t="shared" si="13"/>
        <v>1.0404</v>
      </c>
      <c r="H52" s="747">
        <f t="shared" si="13"/>
        <v>1.0612079999999999</v>
      </c>
      <c r="I52" s="747">
        <f t="shared" si="13"/>
        <v>1.08243216</v>
      </c>
      <c r="J52" s="747">
        <f t="shared" si="13"/>
        <v>1.1040808032</v>
      </c>
      <c r="K52" s="747">
        <f t="shared" si="13"/>
        <v>1.1261624192640001</v>
      </c>
      <c r="L52" s="747">
        <f t="shared" si="13"/>
        <v>1.14868566764928</v>
      </c>
      <c r="M52" s="747">
        <f t="shared" si="13"/>
        <v>1.1716593810022657</v>
      </c>
      <c r="N52" s="747">
        <f t="shared" si="13"/>
        <v>1.1950925686223111</v>
      </c>
      <c r="O52" s="747">
        <f t="shared" si="13"/>
        <v>1.2189944199947573</v>
      </c>
      <c r="P52" s="747">
        <f t="shared" si="13"/>
        <v>1.2433743083946525</v>
      </c>
      <c r="Q52" s="747">
        <f t="shared" si="13"/>
        <v>1.2682417945625455</v>
      </c>
      <c r="R52" s="747">
        <f t="shared" si="13"/>
        <v>1.2936066304537963</v>
      </c>
      <c r="S52" s="747">
        <f t="shared" si="13"/>
        <v>1.3194787630628724</v>
      </c>
      <c r="T52" s="747">
        <f t="shared" si="13"/>
        <v>1.3458683383241299</v>
      </c>
      <c r="U52" s="747">
        <f t="shared" si="13"/>
        <v>1.3727857050906125</v>
      </c>
      <c r="V52" s="747">
        <f t="shared" si="13"/>
        <v>1.4002414191924248</v>
      </c>
      <c r="W52" s="747">
        <f t="shared" si="13"/>
        <v>1.4282462475762734</v>
      </c>
      <c r="X52" s="747">
        <f t="shared" si="13"/>
        <v>1.4568111725277988</v>
      </c>
      <c r="Y52" s="747">
        <f t="shared" si="13"/>
        <v>1.4859473959783549</v>
      </c>
    </row>
    <row r="53" spans="2:25" x14ac:dyDescent="0.2">
      <c r="D53" s="739" t="s">
        <v>708</v>
      </c>
      <c r="E53" s="740">
        <v>1</v>
      </c>
      <c r="F53" s="740">
        <f t="shared" ref="F53:Y53" si="14">E53*(1+$E40)</f>
        <v>1.105</v>
      </c>
      <c r="G53" s="740">
        <f t="shared" si="14"/>
        <v>1.221025</v>
      </c>
      <c r="H53" s="740">
        <f t="shared" si="14"/>
        <v>1.349232625</v>
      </c>
      <c r="I53" s="740">
        <f t="shared" si="14"/>
        <v>1.4909020506249999</v>
      </c>
      <c r="J53" s="740">
        <f t="shared" si="14"/>
        <v>1.6474467659406249</v>
      </c>
      <c r="K53" s="740">
        <f t="shared" si="14"/>
        <v>1.8204286763643904</v>
      </c>
      <c r="L53" s="740">
        <f t="shared" si="14"/>
        <v>2.0115736873826515</v>
      </c>
      <c r="M53" s="740">
        <f t="shared" si="14"/>
        <v>2.2227889245578298</v>
      </c>
      <c r="N53" s="740">
        <f t="shared" si="14"/>
        <v>2.4561817616364019</v>
      </c>
      <c r="O53" s="740">
        <f t="shared" si="14"/>
        <v>2.714080846608224</v>
      </c>
      <c r="P53" s="740">
        <f t="shared" si="14"/>
        <v>2.9990593355020874</v>
      </c>
      <c r="Q53" s="740">
        <f t="shared" si="14"/>
        <v>3.3139605657298064</v>
      </c>
      <c r="R53" s="740">
        <f t="shared" si="14"/>
        <v>3.6619264251314361</v>
      </c>
      <c r="S53" s="740">
        <f t="shared" si="14"/>
        <v>4.046428699770237</v>
      </c>
      <c r="T53" s="740">
        <f t="shared" si="14"/>
        <v>4.4713037132461118</v>
      </c>
      <c r="U53" s="740">
        <f t="shared" si="14"/>
        <v>4.9407906031369535</v>
      </c>
      <c r="V53" s="740">
        <f t="shared" si="14"/>
        <v>5.4595736164663338</v>
      </c>
      <c r="W53" s="740">
        <f t="shared" si="14"/>
        <v>6.032828846195299</v>
      </c>
      <c r="X53" s="740">
        <f t="shared" si="14"/>
        <v>6.6662758750458053</v>
      </c>
      <c r="Y53" s="740">
        <f t="shared" si="14"/>
        <v>7.366234841925615</v>
      </c>
    </row>
    <row r="54" spans="2:25" x14ac:dyDescent="0.2">
      <c r="B54" s="683"/>
      <c r="E54" s="728"/>
      <c r="F54" s="728"/>
      <c r="G54" s="728"/>
      <c r="H54" s="728"/>
      <c r="I54" s="728"/>
      <c r="J54" s="728"/>
      <c r="K54" s="728"/>
      <c r="L54" s="728"/>
      <c r="M54" s="728"/>
      <c r="N54" s="728"/>
      <c r="O54" s="728"/>
      <c r="P54" s="728"/>
      <c r="Q54" s="728"/>
      <c r="R54" s="728"/>
      <c r="S54" s="728"/>
      <c r="T54" s="728"/>
      <c r="U54" s="728"/>
      <c r="V54" s="728"/>
      <c r="W54" s="728"/>
      <c r="X54" s="728"/>
      <c r="Y54" s="728"/>
    </row>
    <row r="55" spans="2:25" x14ac:dyDescent="0.2">
      <c r="B55" s="683"/>
      <c r="D55" s="682" t="s">
        <v>270</v>
      </c>
      <c r="E55" s="741">
        <f t="shared" ref="E55:Y55" si="15">E30</f>
        <v>-15924.499999999998</v>
      </c>
      <c r="F55" s="741">
        <f t="shared" si="15"/>
        <v>-18945.305833333332</v>
      </c>
      <c r="G55" s="741">
        <f t="shared" si="15"/>
        <v>-16730.381564486663</v>
      </c>
      <c r="H55" s="741">
        <f t="shared" si="15"/>
        <v>-742.92603914664051</v>
      </c>
      <c r="I55" s="741">
        <f t="shared" si="15"/>
        <v>3886.9038495359036</v>
      </c>
      <c r="J55" s="741">
        <f t="shared" si="15"/>
        <v>6012.7167197448189</v>
      </c>
      <c r="K55" s="741">
        <f t="shared" si="15"/>
        <v>11705.24901340096</v>
      </c>
      <c r="L55" s="741">
        <f t="shared" si="15"/>
        <v>16292.530625718158</v>
      </c>
      <c r="M55" s="741">
        <f t="shared" si="15"/>
        <v>17373.920773626905</v>
      </c>
      <c r="N55" s="741">
        <f t="shared" si="15"/>
        <v>17861.83831022654</v>
      </c>
      <c r="O55" s="741">
        <f t="shared" si="15"/>
        <v>17918.976169637728</v>
      </c>
      <c r="P55" s="741">
        <f t="shared" si="15"/>
        <v>18130.466474980312</v>
      </c>
      <c r="Q55" s="741">
        <f t="shared" si="15"/>
        <v>18221.514043752628</v>
      </c>
      <c r="R55" s="741">
        <f t="shared" si="15"/>
        <v>17907.457941619265</v>
      </c>
      <c r="S55" s="741">
        <f t="shared" si="15"/>
        <v>17356.210863637174</v>
      </c>
      <c r="T55" s="741">
        <f t="shared" si="15"/>
        <v>16910.513649173023</v>
      </c>
      <c r="U55" s="741">
        <f t="shared" si="15"/>
        <v>16880.461360120753</v>
      </c>
      <c r="V55" s="741">
        <f t="shared" si="15"/>
        <v>16838.97034001182</v>
      </c>
      <c r="W55" s="741">
        <f t="shared" si="15"/>
        <v>16820.337886656922</v>
      </c>
      <c r="X55" s="741">
        <f t="shared" si="15"/>
        <v>16746.059568594461</v>
      </c>
      <c r="Y55" s="741">
        <f t="shared" si="15"/>
        <v>16669.317637761978</v>
      </c>
    </row>
    <row r="56" spans="2:25" x14ac:dyDescent="0.2">
      <c r="B56" s="683"/>
      <c r="T56" s="681"/>
    </row>
    <row r="57" spans="2:25" x14ac:dyDescent="0.2">
      <c r="B57" s="683"/>
      <c r="C57" s="682" t="s">
        <v>710</v>
      </c>
      <c r="D57" s="681" t="s">
        <v>713</v>
      </c>
      <c r="E57" s="681">
        <f t="shared" ref="E57:Y57" si="16">IF(F33&lt;0,1,0)</f>
        <v>1</v>
      </c>
      <c r="F57" s="681">
        <f t="shared" si="16"/>
        <v>1</v>
      </c>
      <c r="G57" s="681">
        <f t="shared" si="16"/>
        <v>1</v>
      </c>
      <c r="H57" s="681">
        <f t="shared" si="16"/>
        <v>1</v>
      </c>
      <c r="I57" s="681">
        <f t="shared" si="16"/>
        <v>1</v>
      </c>
      <c r="J57" s="681">
        <f t="shared" si="16"/>
        <v>1</v>
      </c>
      <c r="K57" s="681">
        <f t="shared" si="16"/>
        <v>1</v>
      </c>
      <c r="L57" s="681">
        <f t="shared" si="16"/>
        <v>1</v>
      </c>
      <c r="M57" s="681">
        <f t="shared" si="16"/>
        <v>1</v>
      </c>
      <c r="N57" s="681">
        <f t="shared" si="16"/>
        <v>1</v>
      </c>
      <c r="O57" s="681">
        <f t="shared" si="16"/>
        <v>0</v>
      </c>
      <c r="P57" s="681">
        <f t="shared" si="16"/>
        <v>0</v>
      </c>
      <c r="Q57" s="681">
        <f t="shared" si="16"/>
        <v>0</v>
      </c>
      <c r="R57" s="681">
        <f t="shared" si="16"/>
        <v>0</v>
      </c>
      <c r="S57" s="681">
        <f t="shared" si="16"/>
        <v>0</v>
      </c>
      <c r="T57" s="681">
        <f t="shared" si="16"/>
        <v>0</v>
      </c>
      <c r="U57" s="681">
        <f t="shared" si="16"/>
        <v>0</v>
      </c>
      <c r="V57" s="681">
        <f t="shared" si="16"/>
        <v>0</v>
      </c>
      <c r="W57" s="681">
        <f t="shared" si="16"/>
        <v>0</v>
      </c>
      <c r="X57" s="681">
        <f t="shared" si="16"/>
        <v>0</v>
      </c>
      <c r="Y57" s="681">
        <f t="shared" si="16"/>
        <v>0</v>
      </c>
    </row>
    <row r="58" spans="2:25" x14ac:dyDescent="0.2">
      <c r="B58" s="683"/>
      <c r="E58" s="741">
        <f t="shared" ref="E58:Y58" si="17">IF(E33*F33&lt;0,-12*E33/(F33-E33),0)</f>
        <v>0</v>
      </c>
      <c r="F58" s="741">
        <f t="shared" si="17"/>
        <v>0</v>
      </c>
      <c r="G58" s="741">
        <f t="shared" si="17"/>
        <v>0</v>
      </c>
      <c r="H58" s="741">
        <f t="shared" si="17"/>
        <v>0</v>
      </c>
      <c r="I58" s="741">
        <f t="shared" si="17"/>
        <v>0</v>
      </c>
      <c r="J58" s="741">
        <f t="shared" si="17"/>
        <v>0</v>
      </c>
      <c r="K58" s="741">
        <f t="shared" si="17"/>
        <v>0</v>
      </c>
      <c r="L58" s="741">
        <f t="shared" si="17"/>
        <v>0</v>
      </c>
      <c r="M58" s="741">
        <f t="shared" si="17"/>
        <v>0</v>
      </c>
      <c r="N58" s="741">
        <f t="shared" si="17"/>
        <v>0</v>
      </c>
      <c r="O58" s="741">
        <f t="shared" si="17"/>
        <v>9.6178220347450711</v>
      </c>
      <c r="P58" s="741">
        <f t="shared" si="17"/>
        <v>0</v>
      </c>
      <c r="Q58" s="741">
        <f t="shared" si="17"/>
        <v>0</v>
      </c>
      <c r="R58" s="741">
        <f t="shared" si="17"/>
        <v>0</v>
      </c>
      <c r="S58" s="741">
        <f t="shared" si="17"/>
        <v>0</v>
      </c>
      <c r="T58" s="741">
        <f t="shared" si="17"/>
        <v>0</v>
      </c>
      <c r="U58" s="741">
        <f t="shared" si="17"/>
        <v>0</v>
      </c>
      <c r="V58" s="741">
        <f t="shared" si="17"/>
        <v>0</v>
      </c>
      <c r="W58" s="741">
        <f t="shared" si="17"/>
        <v>0</v>
      </c>
      <c r="X58" s="741">
        <f t="shared" si="17"/>
        <v>0</v>
      </c>
      <c r="Y58" s="741">
        <f t="shared" si="17"/>
        <v>0</v>
      </c>
    </row>
    <row r="59" spans="2:25" x14ac:dyDescent="0.2">
      <c r="B59" s="683"/>
      <c r="C59" s="681" t="s">
        <v>271</v>
      </c>
      <c r="T59" s="681"/>
    </row>
    <row r="60" spans="2:25" x14ac:dyDescent="0.2">
      <c r="B60" s="683"/>
      <c r="C60" s="682" t="s">
        <v>716</v>
      </c>
      <c r="D60" s="688"/>
      <c r="E60" s="737"/>
      <c r="F60" s="737">
        <f>IF($Y$40&gt;0,$E$26/$Y$40,0)</f>
        <v>1327.0416666666665</v>
      </c>
      <c r="G60" s="737">
        <f>IF($Y$40&gt;1,$E$26/$Y$40,0)</f>
        <v>1327.0416666666665</v>
      </c>
      <c r="H60" s="737">
        <f>IF($Y$40&gt;2,$E$26/$Y$40,0)</f>
        <v>1327.0416666666665</v>
      </c>
      <c r="I60" s="737">
        <f>IF($Y$40&gt;3,$E$26/$Y$40,0)</f>
        <v>1327.0416666666665</v>
      </c>
      <c r="J60" s="737">
        <f>IF($Y$40&gt;4,$E$26/$Y$40,0)</f>
        <v>1327.0416666666665</v>
      </c>
      <c r="K60" s="737">
        <f>IF($Y$40&gt;5,$E$26/$Y$40,0)</f>
        <v>1327.0416666666665</v>
      </c>
      <c r="L60" s="737">
        <f>IF($Y$40&gt;6,$E$26/$Y$40,0)</f>
        <v>1327.0416666666665</v>
      </c>
      <c r="M60" s="737">
        <f>IF($Y$40&gt;7,$E$26/$Y$40,0)</f>
        <v>1327.0416666666665</v>
      </c>
      <c r="N60" s="737">
        <f>IF($Y$40&gt;8,$E$26/$Y$40,0)</f>
        <v>1327.0416666666665</v>
      </c>
      <c r="O60" s="737">
        <f>IF($Y$40&gt;9,$E$26/$Y$40,0)</f>
        <v>1327.0416666666665</v>
      </c>
      <c r="P60" s="737">
        <f>IF($Y$40&gt;10,$E$26/$Y$40,0)</f>
        <v>1327.0416666666665</v>
      </c>
      <c r="Q60" s="737">
        <f>IF($Y$40&gt;11,$E$26/$Y$40,0)</f>
        <v>1327.0416666666665</v>
      </c>
      <c r="R60" s="737">
        <f>IF($Y$40&gt;12,$E$26/$Y$40,0)</f>
        <v>0</v>
      </c>
      <c r="S60" s="737">
        <f>IF($Y$40&gt;13,$E$26/$Y$40,0)</f>
        <v>0</v>
      </c>
      <c r="T60" s="737">
        <f>IF($Y$40&gt;14,$E$26/$Y$40,0)</f>
        <v>0</v>
      </c>
      <c r="U60" s="737">
        <f>IF($Y$40&gt;15,$E$26/$Y$40,0)</f>
        <v>0</v>
      </c>
      <c r="V60" s="737">
        <f>IF($Y$40&gt;16,$E$26/$Y$40,0)</f>
        <v>0</v>
      </c>
      <c r="W60" s="737">
        <f>IF($Y$40&gt;17,$E$26/$Y$40,0)</f>
        <v>0</v>
      </c>
      <c r="X60" s="737">
        <f>IF($Y$40&gt;18,$E$26/$Y$40,0)</f>
        <v>0</v>
      </c>
      <c r="Y60" s="737">
        <f>IF($Y$40&gt;19,$E$26/$Y$40,0)</f>
        <v>0</v>
      </c>
    </row>
    <row r="61" spans="2:25" x14ac:dyDescent="0.2">
      <c r="B61" s="683"/>
      <c r="D61" s="689">
        <f t="shared" ref="D61:D80" si="18">D60+1</f>
        <v>1</v>
      </c>
      <c r="E61" s="737"/>
      <c r="F61" s="737"/>
      <c r="G61" s="737">
        <f>IF($Y$40&gt;0,$F$26/$Y$40,0)</f>
        <v>1616.375</v>
      </c>
      <c r="H61" s="737">
        <f>IF($Y$40&gt;1,$F$26/$Y$40,0)</f>
        <v>1616.375</v>
      </c>
      <c r="I61" s="737">
        <f>IF($Y$40&gt;2,$F$26/$Y$40,0)</f>
        <v>1616.375</v>
      </c>
      <c r="J61" s="737">
        <f>IF($Y$40&gt;3,$F$26/$Y$40,0)</f>
        <v>1616.375</v>
      </c>
      <c r="K61" s="737">
        <f>IF($Y$40&gt;4,$F$26/$Y$40,0)</f>
        <v>1616.375</v>
      </c>
      <c r="L61" s="737">
        <f>IF($Y$40&gt;5,$F$26/$Y$40,0)</f>
        <v>1616.375</v>
      </c>
      <c r="M61" s="737">
        <f>IF($Y$40&gt;6,$F$26/$Y$40,0)</f>
        <v>1616.375</v>
      </c>
      <c r="N61" s="737">
        <f>IF($Y$40&gt;7,$F$26/$Y$40,0)</f>
        <v>1616.375</v>
      </c>
      <c r="O61" s="737">
        <f>IF($Y$40&gt;8,$F$26/$Y$40,0)</f>
        <v>1616.375</v>
      </c>
      <c r="P61" s="737">
        <f>IF($Y$40&gt;9,$F$26/$Y$40,0)</f>
        <v>1616.375</v>
      </c>
      <c r="Q61" s="737">
        <f>IF($Y$40&gt;10,$F$26/$Y$40,0)</f>
        <v>1616.375</v>
      </c>
      <c r="R61" s="737">
        <f>IF($Y$40&gt;11,$F$26/$Y$40,0)</f>
        <v>1616.375</v>
      </c>
      <c r="S61" s="737">
        <f>IF($Y$40&gt;12,$F$26/$Y$40,0)</f>
        <v>0</v>
      </c>
      <c r="T61" s="737">
        <f>IF($Y$40&gt;13,$F$26/$Y$40,0)</f>
        <v>0</v>
      </c>
      <c r="U61" s="737">
        <f>IF($Y$40&gt;14,$F$26/$Y$40,0)</f>
        <v>0</v>
      </c>
      <c r="V61" s="737">
        <f>IF($Y$40&gt;15,$F$26/$Y$40,0)</f>
        <v>0</v>
      </c>
      <c r="W61" s="737">
        <f>IF($Y$40&gt;16,$F$26/$Y$40,0)</f>
        <v>0</v>
      </c>
      <c r="X61" s="737">
        <f>IF($Y$40&gt;17,$F$26/$Y$40,0)</f>
        <v>0</v>
      </c>
      <c r="Y61" s="737">
        <f>IF($Y$40&gt;18,$F$26/$Y$40,0)</f>
        <v>0</v>
      </c>
    </row>
    <row r="62" spans="2:25" x14ac:dyDescent="0.2">
      <c r="B62" s="683"/>
      <c r="D62" s="689">
        <f t="shared" si="18"/>
        <v>2</v>
      </c>
      <c r="E62" s="737"/>
      <c r="F62" s="737"/>
      <c r="G62" s="737"/>
      <c r="H62" s="737">
        <f>IF($Y$40&gt;0,$G$26/$Y$40,0)</f>
        <v>1342.5833333333333</v>
      </c>
      <c r="I62" s="737">
        <f>IF($Y$40&gt;1,$G$26/$Y$40,0)</f>
        <v>1342.5833333333333</v>
      </c>
      <c r="J62" s="737">
        <f>IF($Y$40&gt;2,$G$26/$Y$40,0)</f>
        <v>1342.5833333333333</v>
      </c>
      <c r="K62" s="737">
        <f>IF($Y$40&gt;3,$G$26/$Y$40,0)</f>
        <v>1342.5833333333333</v>
      </c>
      <c r="L62" s="737">
        <f>IF($Y$40&gt;4,$G$26/$Y$40,0)</f>
        <v>1342.5833333333333</v>
      </c>
      <c r="M62" s="737">
        <f>IF($Y$40&gt;5,$G$26/$Y$40,0)</f>
        <v>1342.5833333333333</v>
      </c>
      <c r="N62" s="737">
        <f>IF($Y$40&gt;6,$G$26/$Y$40,0)</f>
        <v>1342.5833333333333</v>
      </c>
      <c r="O62" s="737">
        <f>IF($Y$40&gt;7,$G$26/$Y$40,0)</f>
        <v>1342.5833333333333</v>
      </c>
      <c r="P62" s="737">
        <f>IF($Y$40&gt;8,$G$26/$Y$40,0)</f>
        <v>1342.5833333333333</v>
      </c>
      <c r="Q62" s="737">
        <f>IF($Y$40&gt;9,$G$26/$Y$40,0)</f>
        <v>1342.5833333333333</v>
      </c>
      <c r="R62" s="737">
        <f>IF($Y$40&gt;10,$G$26/$Y$40,0)</f>
        <v>1342.5833333333333</v>
      </c>
      <c r="S62" s="737">
        <f>IF($Y$40&gt;11,$G$26/$Y$40,0)</f>
        <v>1342.5833333333333</v>
      </c>
      <c r="T62" s="737">
        <f>IF($Y$40&gt;12,$G$26/$Y$40,0)</f>
        <v>0</v>
      </c>
      <c r="U62" s="737">
        <f>IF($Y$40&gt;13,$G$26/$Y$40,0)</f>
        <v>0</v>
      </c>
      <c r="V62" s="737">
        <f>IF($Y$40&gt;14,$G$26/$Y$40,0)</f>
        <v>0</v>
      </c>
      <c r="W62" s="737">
        <f>IF($Y$40&gt;15,$G$26/$Y$40,0)</f>
        <v>0</v>
      </c>
      <c r="X62" s="737">
        <f>IF($Y$40&gt;16,$G$26/$Y$40,0)</f>
        <v>0</v>
      </c>
      <c r="Y62" s="737">
        <f>IF($Y$40&gt;17,$G$26/$Y$40,0)</f>
        <v>0</v>
      </c>
    </row>
    <row r="63" spans="2:25" x14ac:dyDescent="0.2">
      <c r="B63" s="683"/>
      <c r="D63" s="689">
        <f t="shared" si="18"/>
        <v>3</v>
      </c>
      <c r="E63" s="737"/>
      <c r="F63" s="737"/>
      <c r="G63" s="737"/>
      <c r="H63" s="737"/>
      <c r="I63" s="737">
        <f>IF($Y$40&gt;0,$H$26/$Y$40,0)</f>
        <v>218.99999999999991</v>
      </c>
      <c r="J63" s="737">
        <f>IF($Y$40&gt;1,$H$26/$Y$40,0)</f>
        <v>218.99999999999991</v>
      </c>
      <c r="K63" s="737">
        <f>IF($Y$40&gt;2,$H$26/$Y$40,0)</f>
        <v>218.99999999999991</v>
      </c>
      <c r="L63" s="737">
        <f>IF($Y$40&gt;3,$H$26/$Y$40,0)</f>
        <v>218.99999999999991</v>
      </c>
      <c r="M63" s="737">
        <f>IF($Y$40&gt;4,$H$26/$Y$40,0)</f>
        <v>218.99999999999991</v>
      </c>
      <c r="N63" s="737">
        <f>IF($Y$40&gt;5,$H$26/$Y$40,0)</f>
        <v>218.99999999999991</v>
      </c>
      <c r="O63" s="737">
        <f>IF($Y$40&gt;6,$H$26/$Y$40,0)</f>
        <v>218.99999999999991</v>
      </c>
      <c r="P63" s="737">
        <f>IF($Y$40&gt;7,$H$26/$Y$40,0)</f>
        <v>218.99999999999991</v>
      </c>
      <c r="Q63" s="737">
        <f>IF($Y$40&gt;8,$H$26/$Y$40,0)</f>
        <v>218.99999999999991</v>
      </c>
      <c r="R63" s="737">
        <f>IF($Y$40&gt;9,$H$26/$Y$40,0)</f>
        <v>218.99999999999991</v>
      </c>
      <c r="S63" s="737">
        <f>IF($Y$40&gt;10,$H$26/$Y$40,0)</f>
        <v>218.99999999999991</v>
      </c>
      <c r="T63" s="737">
        <f>IF($Y$40&gt;11,$H$26/$Y$40,0)</f>
        <v>218.99999999999991</v>
      </c>
      <c r="U63" s="737">
        <f>IF($Y$40&gt;12,$H$26/$Y$40,0)</f>
        <v>0</v>
      </c>
      <c r="V63" s="737">
        <f>IF($Y$40&gt;13,$H$26/$Y$40,0)</f>
        <v>0</v>
      </c>
      <c r="W63" s="737">
        <f>IF($Y$40&gt;14,$H$26/$Y$40,0)</f>
        <v>0</v>
      </c>
      <c r="X63" s="737">
        <f>IF($Y$40&gt;15,$H$26/$Y$40,0)</f>
        <v>0</v>
      </c>
      <c r="Y63" s="737">
        <f>IF($Y$40&gt;16,$H$26/$Y$40,0)</f>
        <v>0</v>
      </c>
    </row>
    <row r="64" spans="2:25" x14ac:dyDescent="0.2">
      <c r="B64" s="683"/>
      <c r="D64" s="689">
        <f t="shared" si="18"/>
        <v>4</v>
      </c>
      <c r="E64" s="737"/>
      <c r="F64" s="737"/>
      <c r="G64" s="737"/>
      <c r="H64" s="737"/>
      <c r="I64" s="737"/>
      <c r="J64" s="737">
        <f>IF($Y$40&gt;0,$I$26/$Y$40,0)</f>
        <v>54.166666666666664</v>
      </c>
      <c r="K64" s="737">
        <f>IF($Y$40&gt;1,$I$26/$Y$40,0)</f>
        <v>54.166666666666664</v>
      </c>
      <c r="L64" s="737">
        <f>IF($Y$40&gt;2,$I$26/$Y$40,0)</f>
        <v>54.166666666666664</v>
      </c>
      <c r="M64" s="737">
        <f>IF($Y$40&gt;3,$I$26/$Y$40,0)</f>
        <v>54.166666666666664</v>
      </c>
      <c r="N64" s="737">
        <f>IF($Y$40&gt;4,$I$26/$Y$40,0)</f>
        <v>54.166666666666664</v>
      </c>
      <c r="O64" s="737">
        <f>IF($Y$40&gt;5,$I$26/$Y$40,0)</f>
        <v>54.166666666666664</v>
      </c>
      <c r="P64" s="737">
        <f>IF($Y$40&gt;6,$I$26/$Y$40,0)</f>
        <v>54.166666666666664</v>
      </c>
      <c r="Q64" s="737">
        <f>IF($Y$40&gt;7,$I$26/$Y$40,0)</f>
        <v>54.166666666666664</v>
      </c>
      <c r="R64" s="737">
        <f>IF($Y$40&gt;8,$I$26/$Y$40,0)</f>
        <v>54.166666666666664</v>
      </c>
      <c r="S64" s="737">
        <f>IF($Y$40&gt;9,$I$26/$Y$40,0)</f>
        <v>54.166666666666664</v>
      </c>
      <c r="T64" s="737">
        <f>IF($Y$40&gt;10,$I$26/$Y$40,0)</f>
        <v>54.166666666666664</v>
      </c>
      <c r="U64" s="737">
        <f>IF($Y$40&gt;11,$I$26/$Y$40,0)</f>
        <v>54.166666666666664</v>
      </c>
      <c r="V64" s="737">
        <f>IF($Y$40&gt;12,$I$26/$Y$40,0)</f>
        <v>0</v>
      </c>
      <c r="W64" s="737">
        <f>IF($Y$40&gt;13,$I$26/$Y$40,0)</f>
        <v>0</v>
      </c>
      <c r="X64" s="737">
        <f>IF($Y$40&gt;14,$I$26/$Y$40,0)</f>
        <v>0</v>
      </c>
      <c r="Y64" s="737">
        <f>IF($Y$40&gt;15,$I$26/$Y$40,0)</f>
        <v>0</v>
      </c>
    </row>
    <row r="65" spans="2:25" x14ac:dyDescent="0.2">
      <c r="B65" s="683"/>
      <c r="D65" s="689">
        <f t="shared" si="18"/>
        <v>5</v>
      </c>
      <c r="E65" s="737"/>
      <c r="F65" s="737"/>
      <c r="G65" s="737"/>
      <c r="H65" s="737"/>
      <c r="I65" s="737"/>
      <c r="J65" s="737"/>
      <c r="K65" s="737">
        <f>IF($Y$40&gt;0,$J$26/$Y$40,0)</f>
        <v>140.83333333333334</v>
      </c>
      <c r="L65" s="737">
        <f>IF($Y$40&gt;1,$J$26/$Y$40,0)</f>
        <v>140.83333333333334</v>
      </c>
      <c r="M65" s="737">
        <f>IF($Y$40&gt;2,$J$26/$Y$40,0)</f>
        <v>140.83333333333334</v>
      </c>
      <c r="N65" s="737">
        <f>IF($Y$40&gt;3,$J$26/$Y$40,0)</f>
        <v>140.83333333333334</v>
      </c>
      <c r="O65" s="737">
        <f>IF($Y$40&gt;4,$J$26/$Y$40,0)</f>
        <v>140.83333333333334</v>
      </c>
      <c r="P65" s="737">
        <f>IF($Y$40&gt;5,$J$26/$Y$40,0)</f>
        <v>140.83333333333334</v>
      </c>
      <c r="Q65" s="737">
        <f>IF($Y$40&gt;6,$J$26/$Y$40,0)</f>
        <v>140.83333333333334</v>
      </c>
      <c r="R65" s="737">
        <f>IF($Y$40&gt;7,$J$26/$Y$40,0)</f>
        <v>140.83333333333334</v>
      </c>
      <c r="S65" s="737">
        <f>IF($Y$40&gt;8,$J$26/$Y$40,0)</f>
        <v>140.83333333333334</v>
      </c>
      <c r="T65" s="737">
        <f>IF($Y$40&gt;9,$J$26/$Y$40,0)</f>
        <v>140.83333333333334</v>
      </c>
      <c r="U65" s="737">
        <f>IF($Y$40&gt;10,$J$26/$Y$40,0)</f>
        <v>140.83333333333334</v>
      </c>
      <c r="V65" s="737">
        <f>IF($Y$40&gt;11,$J$26/$Y$40,0)</f>
        <v>140.83333333333334</v>
      </c>
      <c r="W65" s="737">
        <f>IF($Y$40&gt;12,$J$26/$Y$40,0)</f>
        <v>0</v>
      </c>
      <c r="X65" s="737">
        <f>IF($Y$40&gt;13,$J$26/$Y$40,0)</f>
        <v>0</v>
      </c>
      <c r="Y65" s="737">
        <f>IF($Y$40&gt;14,$J$26/$Y$40,0)</f>
        <v>0</v>
      </c>
    </row>
    <row r="66" spans="2:25" x14ac:dyDescent="0.2">
      <c r="B66" s="683"/>
      <c r="D66" s="689">
        <f t="shared" si="18"/>
        <v>6</v>
      </c>
      <c r="E66" s="737"/>
      <c r="F66" s="737"/>
      <c r="G66" s="737"/>
      <c r="H66" s="737"/>
      <c r="I66" s="737"/>
      <c r="J66" s="737"/>
      <c r="K66" s="737"/>
      <c r="L66" s="737">
        <f>IF($Y$40&gt;0,$K$26/$Y$40,0)</f>
        <v>21.666666666666668</v>
      </c>
      <c r="M66" s="737">
        <f>IF($Y$40&gt;1,$K$26/$Y$40,0)</f>
        <v>21.666666666666668</v>
      </c>
      <c r="N66" s="737">
        <f>IF($Y$40&gt;2,$K$26/$Y$40,0)</f>
        <v>21.666666666666668</v>
      </c>
      <c r="O66" s="737">
        <f>IF($Y$40&gt;3,$K$26/$Y$40,0)</f>
        <v>21.666666666666668</v>
      </c>
      <c r="P66" s="737">
        <f>IF($Y$40&gt;4,$K$26/$Y$40,0)</f>
        <v>21.666666666666668</v>
      </c>
      <c r="Q66" s="737">
        <f>IF($Y$40&gt;5,$K$26/$Y$40,0)</f>
        <v>21.666666666666668</v>
      </c>
      <c r="R66" s="737">
        <f>IF($Y$40&gt;6,$K$26/$Y$40,0)</f>
        <v>21.666666666666668</v>
      </c>
      <c r="S66" s="737">
        <f>IF($Y$40&gt;7,$K$26/$Y$40,0)</f>
        <v>21.666666666666668</v>
      </c>
      <c r="T66" s="737">
        <f>IF($Y$40&gt;8,$K$26/$Y$40,0)</f>
        <v>21.666666666666668</v>
      </c>
      <c r="U66" s="737">
        <f>IF($Y$40&gt;9,$K$26/$Y$40,0)</f>
        <v>21.666666666666668</v>
      </c>
      <c r="V66" s="737">
        <f>IF($Y$40&gt;10,$K$26/$Y$40,0)</f>
        <v>21.666666666666668</v>
      </c>
      <c r="W66" s="737">
        <f>IF($Y$40&gt;11,$K$26/$Y$40,0)</f>
        <v>21.666666666666668</v>
      </c>
      <c r="X66" s="737">
        <f>IF($Y$40&gt;12,$K$26/$Y$40,0)</f>
        <v>0</v>
      </c>
      <c r="Y66" s="737">
        <f>IF($Y$40&gt;13,$K$26/$Y$40,0)</f>
        <v>0</v>
      </c>
    </row>
    <row r="67" spans="2:25" x14ac:dyDescent="0.2">
      <c r="B67" s="683"/>
      <c r="D67" s="689">
        <f t="shared" si="18"/>
        <v>7</v>
      </c>
      <c r="E67" s="737"/>
      <c r="F67" s="737"/>
      <c r="G67" s="737"/>
      <c r="H67" s="737"/>
      <c r="I67" s="737"/>
      <c r="J67" s="737"/>
      <c r="K67" s="737"/>
      <c r="L67" s="737"/>
      <c r="M67" s="737">
        <f>IF($Y$40&gt;0,$L$26/$Y$40,0)</f>
        <v>0</v>
      </c>
      <c r="N67" s="737">
        <f>IF($Y$40&gt;1,$L$26/$Y$40,0)</f>
        <v>0</v>
      </c>
      <c r="O67" s="737">
        <f>IF($Y$40&gt;2,$L$26/$Y$40,0)</f>
        <v>0</v>
      </c>
      <c r="P67" s="737">
        <f>IF($Y$40&gt;3,$L$26/$Y$40,0)</f>
        <v>0</v>
      </c>
      <c r="Q67" s="737">
        <f>IF($Y$40&gt;4,$L$26/$Y$40,0)</f>
        <v>0</v>
      </c>
      <c r="R67" s="737">
        <f>IF($Y$40&gt;5,$L$26/$Y$40,0)</f>
        <v>0</v>
      </c>
      <c r="S67" s="737">
        <f>IF($Y$40&gt;6,$L$26/$Y$40,0)</f>
        <v>0</v>
      </c>
      <c r="T67" s="737">
        <f>IF($Y$40&gt;7,$L$26/$Y$40,0)</f>
        <v>0</v>
      </c>
      <c r="U67" s="737">
        <f>IF($Y$40&gt;8,$L$26/$Y$40,0)</f>
        <v>0</v>
      </c>
      <c r="V67" s="737">
        <f>IF($Y$40&gt;9,$L$26/$Y$40,0)</f>
        <v>0</v>
      </c>
      <c r="W67" s="737">
        <f>IF($Y$40&gt;10,$L$26/$Y$40,0)</f>
        <v>0</v>
      </c>
      <c r="X67" s="737">
        <f>IF($Y$40&gt;11,$L$26/$Y$40,0)</f>
        <v>0</v>
      </c>
      <c r="Y67" s="737">
        <f>IF($Y$40&gt;12,$L$26/$Y$40,0)</f>
        <v>0</v>
      </c>
    </row>
    <row r="68" spans="2:25" x14ac:dyDescent="0.2">
      <c r="B68" s="683"/>
      <c r="D68" s="689">
        <f t="shared" si="18"/>
        <v>8</v>
      </c>
      <c r="E68" s="737"/>
      <c r="F68" s="737"/>
      <c r="G68" s="737"/>
      <c r="H68" s="737"/>
      <c r="I68" s="737"/>
      <c r="J68" s="737"/>
      <c r="K68" s="737"/>
      <c r="L68" s="737"/>
      <c r="M68" s="737"/>
      <c r="N68" s="737">
        <f>IF($Y$40&gt;0,$M$26/$Y$40,0)</f>
        <v>0</v>
      </c>
      <c r="O68" s="737">
        <f>IF($Y$40&gt;1,$M$26/$Y$40,0)</f>
        <v>0</v>
      </c>
      <c r="P68" s="737">
        <f>IF($Y$40&gt;2,$M$26/$Y$40,0)</f>
        <v>0</v>
      </c>
      <c r="Q68" s="737">
        <f>IF($Y$40&gt;3,$M$26/$Y$40,0)</f>
        <v>0</v>
      </c>
      <c r="R68" s="737">
        <f>IF($Y$40&gt;4,$M$26/$Y$40,0)</f>
        <v>0</v>
      </c>
      <c r="S68" s="737">
        <f>IF($Y$40&gt;5,$M$26/$Y$40,0)</f>
        <v>0</v>
      </c>
      <c r="T68" s="737">
        <f>IF($Y$40&gt;6,$M$26/$Y$40,0)</f>
        <v>0</v>
      </c>
      <c r="U68" s="737">
        <f>IF($Y$40&gt;7,$M$26/$Y$40,0)</f>
        <v>0</v>
      </c>
      <c r="V68" s="737">
        <f>IF($Y$40&gt;8,$M$26/$Y$40,0)</f>
        <v>0</v>
      </c>
      <c r="W68" s="737">
        <f>IF($Y$40&gt;9,$M$26/$Y$40,0)</f>
        <v>0</v>
      </c>
      <c r="X68" s="737">
        <f>IF($Y$40&gt;10,$M$26/$Y$40,0)</f>
        <v>0</v>
      </c>
      <c r="Y68" s="737">
        <f>IF($Y$40&gt;11,$M$26/$Y$40,0)</f>
        <v>0</v>
      </c>
    </row>
    <row r="69" spans="2:25" x14ac:dyDescent="0.2">
      <c r="B69" s="683"/>
      <c r="D69" s="689">
        <f t="shared" si="18"/>
        <v>9</v>
      </c>
      <c r="E69" s="737"/>
      <c r="F69" s="737"/>
      <c r="G69" s="737"/>
      <c r="H69" s="737"/>
      <c r="I69" s="737"/>
      <c r="J69" s="737"/>
      <c r="K69" s="737"/>
      <c r="L69" s="737"/>
      <c r="M69" s="737"/>
      <c r="N69" s="737"/>
      <c r="O69" s="737">
        <f>IF($Y$40&gt;0,$N$26/$Y$40,0)</f>
        <v>0</v>
      </c>
      <c r="P69" s="737">
        <f>IF($Y$40&gt;1,$N$26/$Y$40,0)</f>
        <v>0</v>
      </c>
      <c r="Q69" s="737">
        <f>IF($Y$40&gt;2,$N$26/$Y$40,0)</f>
        <v>0</v>
      </c>
      <c r="R69" s="737">
        <f>IF($Y$40&gt;3,$N$26/$Y$40,0)</f>
        <v>0</v>
      </c>
      <c r="S69" s="737">
        <f>IF($Y$40&gt;4,$N$26/$Y$40,0)</f>
        <v>0</v>
      </c>
      <c r="T69" s="737">
        <f>IF($Y$40&gt;5,$N$26/$Y$40,0)</f>
        <v>0</v>
      </c>
      <c r="U69" s="737">
        <f>IF($Y$40&gt;6,$N$26/$Y$40,0)</f>
        <v>0</v>
      </c>
      <c r="V69" s="737">
        <f>IF($Y$40&gt;7,$N$26/$Y$40,0)</f>
        <v>0</v>
      </c>
      <c r="W69" s="737">
        <f>IF($Y$40&gt;8,$N$26/$Y$40,0)</f>
        <v>0</v>
      </c>
      <c r="X69" s="737">
        <f>IF($Y$40&gt;9,$N$26/$Y$40,0)</f>
        <v>0</v>
      </c>
      <c r="Y69" s="737">
        <f>IF($Y$40&gt;10,$N$26/$Y$40,0)</f>
        <v>0</v>
      </c>
    </row>
    <row r="70" spans="2:25" x14ac:dyDescent="0.2">
      <c r="B70" s="683"/>
      <c r="D70" s="689">
        <f t="shared" si="18"/>
        <v>10</v>
      </c>
      <c r="E70" s="737"/>
      <c r="F70" s="737"/>
      <c r="G70" s="737"/>
      <c r="H70" s="737"/>
      <c r="I70" s="737"/>
      <c r="J70" s="737"/>
      <c r="K70" s="737"/>
      <c r="L70" s="737"/>
      <c r="M70" s="737"/>
      <c r="N70" s="737"/>
      <c r="O70" s="737"/>
      <c r="P70" s="737">
        <f>IF($Y$40&gt;0,$O$26/$Y$40,0)</f>
        <v>0</v>
      </c>
      <c r="Q70" s="737">
        <f>IF($Y$40&gt;1,$O$26/$Y$40,0)</f>
        <v>0</v>
      </c>
      <c r="R70" s="737">
        <f>IF($Y$40&gt;2,$O$26/$Y$40,0)</f>
        <v>0</v>
      </c>
      <c r="S70" s="737">
        <f>IF($Y$40&gt;3,$O$26/$Y$40,0)</f>
        <v>0</v>
      </c>
      <c r="T70" s="737">
        <f>IF($Y$40&gt;4,$O$26/$Y$40,0)</f>
        <v>0</v>
      </c>
      <c r="U70" s="737">
        <f>IF($Y$40&gt;5,$O$26/$Y$40,0)</f>
        <v>0</v>
      </c>
      <c r="V70" s="737">
        <f>IF($Y$40&gt;6,$O$26/$Y$40,0)</f>
        <v>0</v>
      </c>
      <c r="W70" s="737">
        <f>IF($Y$40&gt;7,$O$26/$Y$40,0)</f>
        <v>0</v>
      </c>
      <c r="X70" s="737">
        <f>IF($Y$40&gt;8,$O$26/$Y$40,0)</f>
        <v>0</v>
      </c>
      <c r="Y70" s="737">
        <f>IF($Y$40&gt;9,$O$26/$Y$40,0)</f>
        <v>0</v>
      </c>
    </row>
    <row r="71" spans="2:25" x14ac:dyDescent="0.2">
      <c r="B71" s="683"/>
      <c r="D71" s="689">
        <f t="shared" si="18"/>
        <v>11</v>
      </c>
      <c r="E71" s="737"/>
      <c r="F71" s="737"/>
      <c r="G71" s="737"/>
      <c r="H71" s="737"/>
      <c r="I71" s="737"/>
      <c r="J71" s="737"/>
      <c r="K71" s="737"/>
      <c r="L71" s="737"/>
      <c r="M71" s="737"/>
      <c r="N71" s="737"/>
      <c r="O71" s="737"/>
      <c r="P71" s="737"/>
      <c r="Q71" s="737">
        <f>IF($Y$40&gt;0,$P$26/$Y$40,0)</f>
        <v>0</v>
      </c>
      <c r="R71" s="737">
        <f>IF($Y$40&gt;1,$P$26/$Y$40,0)</f>
        <v>0</v>
      </c>
      <c r="S71" s="737">
        <f>IF($Y$40&gt;2,$P$26/$Y$40,0)</f>
        <v>0</v>
      </c>
      <c r="T71" s="737">
        <f>IF($Y$40&gt;3,$P$26/$Y$40,0)</f>
        <v>0</v>
      </c>
      <c r="U71" s="737">
        <f>IF($Y$40&gt;4,$P$26/$Y$40,0)</f>
        <v>0</v>
      </c>
      <c r="V71" s="737">
        <f>IF($Y$40&gt;5,$P$26/$Y$40,0)</f>
        <v>0</v>
      </c>
      <c r="W71" s="737">
        <f>IF($Y$40&gt;6,$P$26/$Y$40,0)</f>
        <v>0</v>
      </c>
      <c r="X71" s="737">
        <f>IF($Y$40&gt;7,$P$26/$Y$40,0)</f>
        <v>0</v>
      </c>
      <c r="Y71" s="737">
        <f>IF($Y$40&gt;8,$P$26/$Y$40,0)</f>
        <v>0</v>
      </c>
    </row>
    <row r="72" spans="2:25" x14ac:dyDescent="0.2">
      <c r="B72" s="683"/>
      <c r="D72" s="689">
        <f t="shared" si="18"/>
        <v>12</v>
      </c>
      <c r="E72" s="737"/>
      <c r="F72" s="737"/>
      <c r="G72" s="737"/>
      <c r="H72" s="737"/>
      <c r="I72" s="737"/>
      <c r="J72" s="737"/>
      <c r="K72" s="737"/>
      <c r="L72" s="737"/>
      <c r="M72" s="737"/>
      <c r="N72" s="737"/>
      <c r="O72" s="737"/>
      <c r="P72" s="737"/>
      <c r="Q72" s="737"/>
      <c r="R72" s="737">
        <f>IF($Y$40&gt;0,$Q$26/$Y$40,0)</f>
        <v>0</v>
      </c>
      <c r="S72" s="737">
        <f>IF($Y$40&gt;1,$Q$26/$Y$40,0)</f>
        <v>0</v>
      </c>
      <c r="T72" s="737">
        <f>IF($Y$40&gt;2,$Q$26/$Y$40,0)</f>
        <v>0</v>
      </c>
      <c r="U72" s="737">
        <f>IF($Y$40&gt;3,$Q$26/$Y$40,0)</f>
        <v>0</v>
      </c>
      <c r="V72" s="737">
        <f>IF($Y$40&gt;4,$Q$26/$Y$40,0)</f>
        <v>0</v>
      </c>
      <c r="W72" s="737">
        <f>IF($Y$40&gt;5,$Q$26/$Y$40,0)</f>
        <v>0</v>
      </c>
      <c r="X72" s="737">
        <f>IF($Y$40&gt;6,$Q$26/$Y$40,0)</f>
        <v>0</v>
      </c>
      <c r="Y72" s="737">
        <f>IF($Y$40&gt;7,$Q$26/$Y$40,0)</f>
        <v>0</v>
      </c>
    </row>
    <row r="73" spans="2:25" x14ac:dyDescent="0.2">
      <c r="B73" s="683"/>
      <c r="D73" s="689">
        <f t="shared" si="18"/>
        <v>13</v>
      </c>
      <c r="E73" s="737"/>
      <c r="F73" s="737"/>
      <c r="G73" s="737"/>
      <c r="H73" s="737"/>
      <c r="I73" s="737"/>
      <c r="J73" s="737"/>
      <c r="K73" s="737"/>
      <c r="L73" s="737"/>
      <c r="M73" s="737"/>
      <c r="N73" s="737"/>
      <c r="O73" s="737"/>
      <c r="P73" s="737"/>
      <c r="Q73" s="737"/>
      <c r="R73" s="737"/>
      <c r="S73" s="737">
        <f>IF($Y$40&gt;0,$R$26/$Y$40,0)</f>
        <v>0</v>
      </c>
      <c r="T73" s="737">
        <f>IF($Y$40&gt;1,$R$26/$Y$40,0)</f>
        <v>0</v>
      </c>
      <c r="U73" s="737">
        <f>IF($Y$40&gt;2,$R$26/$Y$40,0)</f>
        <v>0</v>
      </c>
      <c r="V73" s="737">
        <f>IF($Y$40&gt;3,$R$26/$Y$40,0)</f>
        <v>0</v>
      </c>
      <c r="W73" s="737">
        <f>IF($Y$40&gt;4,$R$26/$Y$40,0)</f>
        <v>0</v>
      </c>
      <c r="X73" s="737">
        <f>IF($Y$40&gt;5,$R$26/$Y$40,0)</f>
        <v>0</v>
      </c>
      <c r="Y73" s="737">
        <f>IF($Y$40&gt;6,$R$26/$Y$40,0)</f>
        <v>0</v>
      </c>
    </row>
    <row r="74" spans="2:25" x14ac:dyDescent="0.2">
      <c r="B74" s="683"/>
      <c r="D74" s="689">
        <f t="shared" si="18"/>
        <v>14</v>
      </c>
      <c r="E74" s="737"/>
      <c r="F74" s="737"/>
      <c r="G74" s="737"/>
      <c r="H74" s="737"/>
      <c r="I74" s="737"/>
      <c r="J74" s="737"/>
      <c r="K74" s="737"/>
      <c r="L74" s="737"/>
      <c r="M74" s="737"/>
      <c r="N74" s="737"/>
      <c r="O74" s="737"/>
      <c r="P74" s="737"/>
      <c r="Q74" s="737"/>
      <c r="R74" s="737"/>
      <c r="S74" s="737"/>
      <c r="T74" s="737">
        <f>IF($Y$40&gt;0,$S$26/$Y$40,0)</f>
        <v>0</v>
      </c>
      <c r="U74" s="737">
        <f>IF($Y$40&gt;1,$S$26/$Y$40,0)</f>
        <v>0</v>
      </c>
      <c r="V74" s="737">
        <f>IF($Y$40&gt;2,$S$26/$Y$40,0)</f>
        <v>0</v>
      </c>
      <c r="W74" s="737">
        <f>IF($Y$40&gt;3,$S$26/$Y$40,0)</f>
        <v>0</v>
      </c>
      <c r="X74" s="737">
        <f>IF($Y$40&gt;4,$S$26/$Y$40,0)</f>
        <v>0</v>
      </c>
      <c r="Y74" s="737">
        <f>IF($Y$40&gt;5,$S$26/$Y$40,0)</f>
        <v>0</v>
      </c>
    </row>
    <row r="75" spans="2:25" x14ac:dyDescent="0.2">
      <c r="B75" s="683"/>
      <c r="D75" s="689">
        <f t="shared" si="18"/>
        <v>15</v>
      </c>
      <c r="E75" s="737"/>
      <c r="F75" s="737"/>
      <c r="G75" s="737"/>
      <c r="H75" s="737"/>
      <c r="I75" s="737"/>
      <c r="J75" s="737"/>
      <c r="K75" s="737"/>
      <c r="L75" s="737"/>
      <c r="M75" s="737"/>
      <c r="N75" s="737"/>
      <c r="O75" s="737"/>
      <c r="P75" s="737"/>
      <c r="Q75" s="737"/>
      <c r="R75" s="737"/>
      <c r="S75" s="737"/>
      <c r="T75" s="742"/>
      <c r="U75" s="737">
        <f>IF($Y$40&gt;0,$T$26/$Y$40,0)</f>
        <v>0</v>
      </c>
      <c r="V75" s="737">
        <f>IF($Y$40&gt;1,$T$26/$Y$40,0)</f>
        <v>0</v>
      </c>
      <c r="W75" s="737">
        <f>IF($Y$40&gt;2,$T$26/$Y$40,0)</f>
        <v>0</v>
      </c>
      <c r="X75" s="737">
        <f>IF($Y$40&gt;3,$T$26/$Y$40,0)</f>
        <v>0</v>
      </c>
      <c r="Y75" s="737">
        <f>IF($Y$40&gt;4,$T$26/$Y$40,0)</f>
        <v>0</v>
      </c>
    </row>
    <row r="76" spans="2:25" x14ac:dyDescent="0.2">
      <c r="B76" s="683"/>
      <c r="D76" s="689">
        <f t="shared" si="18"/>
        <v>16</v>
      </c>
      <c r="E76" s="737"/>
      <c r="F76" s="737"/>
      <c r="G76" s="737"/>
      <c r="H76" s="737"/>
      <c r="I76" s="737"/>
      <c r="J76" s="737"/>
      <c r="K76" s="737"/>
      <c r="L76" s="737"/>
      <c r="M76" s="737"/>
      <c r="N76" s="737"/>
      <c r="O76" s="737"/>
      <c r="P76" s="737"/>
      <c r="Q76" s="737"/>
      <c r="R76" s="737"/>
      <c r="S76" s="737"/>
      <c r="T76" s="742"/>
      <c r="U76" s="737"/>
      <c r="V76" s="737">
        <f>IF($Y$40&gt;0,$U$26/$Y$40,0)</f>
        <v>0</v>
      </c>
      <c r="W76" s="737">
        <f>IF($Y$40&gt;1,$U$26/$Y$40,0)</f>
        <v>0</v>
      </c>
      <c r="X76" s="737">
        <f>IF($Y$40&gt;2,$U$26/$Y$40,0)</f>
        <v>0</v>
      </c>
      <c r="Y76" s="737">
        <f>IF($Y$40&gt;3,$U$26/$Y$40,0)</f>
        <v>0</v>
      </c>
    </row>
    <row r="77" spans="2:25" x14ac:dyDescent="0.2">
      <c r="B77" s="683"/>
      <c r="D77" s="689">
        <f t="shared" si="18"/>
        <v>17</v>
      </c>
      <c r="E77" s="737"/>
      <c r="F77" s="737"/>
      <c r="G77" s="737"/>
      <c r="H77" s="737"/>
      <c r="I77" s="737"/>
      <c r="J77" s="737"/>
      <c r="K77" s="737"/>
      <c r="L77" s="737"/>
      <c r="M77" s="737"/>
      <c r="N77" s="737"/>
      <c r="O77" s="737"/>
      <c r="P77" s="737"/>
      <c r="Q77" s="737"/>
      <c r="R77" s="737"/>
      <c r="S77" s="737"/>
      <c r="T77" s="742"/>
      <c r="U77" s="737"/>
      <c r="V77" s="737"/>
      <c r="W77" s="737">
        <f>IF($Y$40&gt;0,$V$26/$Y$40,0)</f>
        <v>0</v>
      </c>
      <c r="X77" s="737">
        <f>IF($Y$40&gt;1,$V$26/$Y$40,0)</f>
        <v>0</v>
      </c>
      <c r="Y77" s="737">
        <f>IF($Y$40&gt;2,$V$26/$Y$40,0)</f>
        <v>0</v>
      </c>
    </row>
    <row r="78" spans="2:25" x14ac:dyDescent="0.2">
      <c r="B78" s="683"/>
      <c r="D78" s="689">
        <f t="shared" si="18"/>
        <v>18</v>
      </c>
      <c r="E78" s="737"/>
      <c r="F78" s="737"/>
      <c r="G78" s="737"/>
      <c r="H78" s="737"/>
      <c r="I78" s="737"/>
      <c r="J78" s="737"/>
      <c r="K78" s="737"/>
      <c r="L78" s="737"/>
      <c r="M78" s="737"/>
      <c r="N78" s="737"/>
      <c r="O78" s="737"/>
      <c r="P78" s="737"/>
      <c r="Q78" s="737"/>
      <c r="R78" s="737"/>
      <c r="S78" s="737"/>
      <c r="T78" s="742"/>
      <c r="U78" s="737"/>
      <c r="V78" s="737"/>
      <c r="W78" s="737"/>
      <c r="X78" s="737">
        <f>IF($Y$40&gt;0,$W$26/$Y$40,0)</f>
        <v>0</v>
      </c>
      <c r="Y78" s="737">
        <f>IF($Y$40&gt;1,$W$26/$Y$40,0)</f>
        <v>0</v>
      </c>
    </row>
    <row r="79" spans="2:25" x14ac:dyDescent="0.2">
      <c r="B79" s="683"/>
      <c r="D79" s="689">
        <f t="shared" si="18"/>
        <v>19</v>
      </c>
      <c r="E79" s="737"/>
      <c r="F79" s="737"/>
      <c r="G79" s="737"/>
      <c r="H79" s="737"/>
      <c r="I79" s="737"/>
      <c r="J79" s="737"/>
      <c r="K79" s="737"/>
      <c r="L79" s="737"/>
      <c r="M79" s="737"/>
      <c r="N79" s="737"/>
      <c r="O79" s="737"/>
      <c r="P79" s="737"/>
      <c r="Q79" s="737"/>
      <c r="R79" s="737"/>
      <c r="S79" s="737"/>
      <c r="T79" s="742"/>
      <c r="U79" s="737"/>
      <c r="V79" s="737"/>
      <c r="W79" s="737"/>
      <c r="X79" s="737"/>
      <c r="Y79" s="737">
        <f>IF($Y$40&gt;0,$X$26/$Y$40,0)</f>
        <v>0</v>
      </c>
    </row>
    <row r="80" spans="2:25" x14ac:dyDescent="0.2">
      <c r="B80" s="683"/>
      <c r="D80" s="689">
        <f t="shared" si="18"/>
        <v>20</v>
      </c>
      <c r="E80" s="737"/>
      <c r="F80" s="737"/>
      <c r="G80" s="737"/>
      <c r="H80" s="737"/>
      <c r="I80" s="737"/>
      <c r="J80" s="737"/>
      <c r="K80" s="737"/>
      <c r="L80" s="737"/>
      <c r="M80" s="737"/>
      <c r="N80" s="737"/>
      <c r="O80" s="737"/>
      <c r="P80" s="737"/>
      <c r="Q80" s="737"/>
      <c r="R80" s="737"/>
      <c r="S80" s="737"/>
      <c r="T80" s="742"/>
      <c r="U80" s="737"/>
      <c r="V80" s="737"/>
      <c r="W80" s="737"/>
      <c r="X80" s="737"/>
      <c r="Y80" s="737"/>
    </row>
    <row r="81" spans="2:25" x14ac:dyDescent="0.2">
      <c r="B81" s="683"/>
      <c r="E81" s="737"/>
      <c r="F81" s="737"/>
      <c r="G81" s="737"/>
      <c r="H81" s="737"/>
      <c r="I81" s="737"/>
      <c r="J81" s="737"/>
      <c r="K81" s="737"/>
      <c r="L81" s="737"/>
      <c r="M81" s="737"/>
      <c r="N81" s="737"/>
      <c r="O81" s="737"/>
      <c r="P81" s="737"/>
      <c r="Q81" s="737"/>
      <c r="R81" s="737"/>
      <c r="S81" s="737"/>
      <c r="T81" s="742"/>
      <c r="U81" s="737"/>
      <c r="V81" s="737"/>
      <c r="W81" s="737"/>
      <c r="X81" s="737"/>
      <c r="Y81" s="737"/>
    </row>
    <row r="82" spans="2:25" x14ac:dyDescent="0.2">
      <c r="B82" s="683"/>
      <c r="C82" s="682" t="s">
        <v>717</v>
      </c>
      <c r="D82" s="688"/>
      <c r="E82" s="737"/>
      <c r="F82" s="737">
        <f>IF($Y$40&gt;0,$E$27/$Y$40,0)</f>
        <v>0</v>
      </c>
      <c r="G82" s="737">
        <f>IF($Y$40&gt;1,$E$27/$Y$40,0)</f>
        <v>0</v>
      </c>
      <c r="H82" s="737">
        <f>IF($Y$40&gt;2,$E$27/$Y$40,0)</f>
        <v>0</v>
      </c>
      <c r="I82" s="737">
        <f>IF($Y$40&gt;3,$E$27/$Y$40,0)</f>
        <v>0</v>
      </c>
      <c r="J82" s="737">
        <f>IF($Y$40&gt;4,$E$27/$Y$40,0)</f>
        <v>0</v>
      </c>
      <c r="K82" s="737">
        <f>IF($Y$40&gt;5,$E$27/$Y$40,0)</f>
        <v>0</v>
      </c>
      <c r="L82" s="737">
        <f>IF($Y$40&gt;6,$E$27/$Y$40,0)</f>
        <v>0</v>
      </c>
      <c r="M82" s="737">
        <f>IF($Y$40&gt;7,$E$27/$Y$40,0)</f>
        <v>0</v>
      </c>
      <c r="N82" s="737">
        <f>IF($Y$40&gt;8,$E$27/$Y$40,0)</f>
        <v>0</v>
      </c>
      <c r="O82" s="737">
        <f>IF($Y$40&gt;9,$E$27/$Y$40,0)</f>
        <v>0</v>
      </c>
      <c r="P82" s="737">
        <f>IF($Y$40&gt;10,$E$27/$Y$40,0)</f>
        <v>0</v>
      </c>
      <c r="Q82" s="737">
        <f>IF($Y$40&gt;11,$E$27/$Y$40,0)</f>
        <v>0</v>
      </c>
      <c r="R82" s="737">
        <f>IF($Y$40&gt;12,$E$27/$Y$40,0)</f>
        <v>0</v>
      </c>
      <c r="S82" s="737">
        <f>IF($Y$40&gt;13,$E$27/$Y$40,0)</f>
        <v>0</v>
      </c>
      <c r="T82" s="737">
        <f>IF($Y$40&gt;14,$E$27/$Y$40,0)</f>
        <v>0</v>
      </c>
      <c r="U82" s="737">
        <f>IF($Y$40&gt;15,$E$27/$Y$40,0)</f>
        <v>0</v>
      </c>
      <c r="V82" s="737">
        <f>IF($Y$40&gt;16,$E$27/$Y$40,0)</f>
        <v>0</v>
      </c>
      <c r="W82" s="737">
        <f>IF($Y$40&gt;17,$E$27/$Y$40,0)</f>
        <v>0</v>
      </c>
      <c r="X82" s="737">
        <f>IF($Y$40&gt;18,$E$27/$Y$40,0)</f>
        <v>0</v>
      </c>
      <c r="Y82" s="737">
        <f>IF($Y$40&gt;19,$E$27/$Y$40,0)</f>
        <v>0</v>
      </c>
    </row>
    <row r="83" spans="2:25" x14ac:dyDescent="0.2">
      <c r="B83" s="683"/>
      <c r="D83" s="689">
        <f t="shared" ref="D83:D102" si="19">D82+1</f>
        <v>1</v>
      </c>
      <c r="E83" s="737"/>
      <c r="F83" s="737"/>
      <c r="G83" s="737">
        <f>IF($Y$40&gt;0,$F$27/$Y$40,0)</f>
        <v>0</v>
      </c>
      <c r="H83" s="737">
        <f>IF($Y$40&gt;1,$F$27/$Y$40,0)</f>
        <v>0</v>
      </c>
      <c r="I83" s="737">
        <f>IF($Y$40&gt;2,$F$27/$Y$40,0)</f>
        <v>0</v>
      </c>
      <c r="J83" s="737">
        <f>IF($Y$40&gt;3,$F$27/$Y$40,0)</f>
        <v>0</v>
      </c>
      <c r="K83" s="737">
        <f>IF($Y$40&gt;4,$F$27/$Y$40,0)</f>
        <v>0</v>
      </c>
      <c r="L83" s="737">
        <f>IF($Y$40&gt;5,$F$27/$Y$40,0)</f>
        <v>0</v>
      </c>
      <c r="M83" s="737">
        <f>IF($Y$40&gt;6,$F$27/$Y$40,0)</f>
        <v>0</v>
      </c>
      <c r="N83" s="737">
        <f>IF($Y$40&gt;7,$F$27/$Y$40,0)</f>
        <v>0</v>
      </c>
      <c r="O83" s="737">
        <f>IF($Y$40&gt;8,$F$27/$Y$40,0)</f>
        <v>0</v>
      </c>
      <c r="P83" s="737">
        <f>IF($Y$40&gt;9,$F$27/$Y$40,0)</f>
        <v>0</v>
      </c>
      <c r="Q83" s="737">
        <f>IF($Y$40&gt;10,$F$27/$Y$40,0)</f>
        <v>0</v>
      </c>
      <c r="R83" s="737">
        <f>IF($Y$40&gt;11,$F$27/$Y$40,0)</f>
        <v>0</v>
      </c>
      <c r="S83" s="737">
        <f>IF($Y$40&gt;12,$F$27/$Y$40,0)</f>
        <v>0</v>
      </c>
      <c r="T83" s="737">
        <f>IF($Y$40&gt;13,$F$27/$Y$40,0)</f>
        <v>0</v>
      </c>
      <c r="U83" s="737">
        <f>IF($Y$40&gt;14,$F$27/$Y$40,0)</f>
        <v>0</v>
      </c>
      <c r="V83" s="737">
        <f>IF($Y$40&gt;15,$F$27/$Y$40,0)</f>
        <v>0</v>
      </c>
      <c r="W83" s="737">
        <f>IF($Y$40&gt;16,$F$27/$Y$40,0)</f>
        <v>0</v>
      </c>
      <c r="X83" s="737">
        <f>IF($Y$40&gt;17,$F$27/$Y$40,0)</f>
        <v>0</v>
      </c>
      <c r="Y83" s="737">
        <f>IF($Y$40&gt;18,$F$27/$Y$40,0)</f>
        <v>0</v>
      </c>
    </row>
    <row r="84" spans="2:25" x14ac:dyDescent="0.2">
      <c r="B84" s="683"/>
      <c r="D84" s="689">
        <f t="shared" si="19"/>
        <v>2</v>
      </c>
      <c r="E84" s="737"/>
      <c r="F84" s="737"/>
      <c r="G84" s="737"/>
      <c r="H84" s="737">
        <f>IF($Y$40&gt;0,$G$27/$Y$40,0)</f>
        <v>0</v>
      </c>
      <c r="I84" s="737">
        <f>IF($Y$40&gt;1,$G$27/$Y$40,0)</f>
        <v>0</v>
      </c>
      <c r="J84" s="737">
        <f>IF($Y$40&gt;2,$G$27/$Y$40,0)</f>
        <v>0</v>
      </c>
      <c r="K84" s="737">
        <f>IF($Y$40&gt;3,$G$27/$Y$40,0)</f>
        <v>0</v>
      </c>
      <c r="L84" s="737">
        <f>IF($Y$40&gt;4,$G$27/$Y$40,0)</f>
        <v>0</v>
      </c>
      <c r="M84" s="737">
        <f>IF($Y$40&gt;5,$G$27/$Y$40,0)</f>
        <v>0</v>
      </c>
      <c r="N84" s="737">
        <f>IF($Y$40&gt;6,$G$27/$Y$40,0)</f>
        <v>0</v>
      </c>
      <c r="O84" s="737">
        <f>IF($Y$40&gt;7,$G$27/$Y$40,0)</f>
        <v>0</v>
      </c>
      <c r="P84" s="737">
        <f>IF($Y$40&gt;8,$G$27/$Y$40,0)</f>
        <v>0</v>
      </c>
      <c r="Q84" s="737">
        <f>IF($Y$40&gt;9,$G$27/$Y$40,0)</f>
        <v>0</v>
      </c>
      <c r="R84" s="737">
        <f>IF($Y$40&gt;10,$G$27/$Y$40,0)</f>
        <v>0</v>
      </c>
      <c r="S84" s="737">
        <f>IF($Y$40&gt;11,$G$27/$Y$40,0)</f>
        <v>0</v>
      </c>
      <c r="T84" s="737">
        <f>IF($Y$40&gt;12,$G$27/$Y$40,0)</f>
        <v>0</v>
      </c>
      <c r="U84" s="737">
        <f>IF($Y$40&gt;13,$G$27/$Y$40,0)</f>
        <v>0</v>
      </c>
      <c r="V84" s="737">
        <f>IF($Y$40&gt;14,$G$27/$Y$40,0)</f>
        <v>0</v>
      </c>
      <c r="W84" s="737">
        <f>IF($Y$40&gt;15,$G$27/$Y$40,0)</f>
        <v>0</v>
      </c>
      <c r="X84" s="737">
        <f>IF($Y$40&gt;16,$G$27/$Y$40,0)</f>
        <v>0</v>
      </c>
      <c r="Y84" s="737">
        <f>IF($Y$40&gt;17,$G$27/$Y$40,0)</f>
        <v>0</v>
      </c>
    </row>
    <row r="85" spans="2:25" x14ac:dyDescent="0.2">
      <c r="B85" s="683"/>
      <c r="D85" s="689">
        <f t="shared" si="19"/>
        <v>3</v>
      </c>
      <c r="E85" s="737"/>
      <c r="F85" s="737"/>
      <c r="G85" s="737"/>
      <c r="H85" s="737"/>
      <c r="I85" s="737">
        <f>IF($Y$40&gt;0,$H$27/$Y$40,0)</f>
        <v>0</v>
      </c>
      <c r="J85" s="737">
        <f>IF($Y$40&gt;1,$H$27/$Y$40,0)</f>
        <v>0</v>
      </c>
      <c r="K85" s="737">
        <f>IF($Y$40&gt;2,$H$27/$Y$40,0)</f>
        <v>0</v>
      </c>
      <c r="L85" s="737">
        <f>IF($Y$40&gt;3,$H$27/$Y$40,0)</f>
        <v>0</v>
      </c>
      <c r="M85" s="737">
        <f>IF($Y$40&gt;4,$H$27/$Y$40,0)</f>
        <v>0</v>
      </c>
      <c r="N85" s="737">
        <f>IF($Y$40&gt;5,$H$27/$Y$40,0)</f>
        <v>0</v>
      </c>
      <c r="O85" s="737">
        <f>IF($Y$40&gt;6,$H$27/$Y$40,0)</f>
        <v>0</v>
      </c>
      <c r="P85" s="737">
        <f>IF($Y$40&gt;7,$H$27/$Y$40,0)</f>
        <v>0</v>
      </c>
      <c r="Q85" s="737">
        <f>IF($Y$40&gt;8,$H$27/$Y$40,0)</f>
        <v>0</v>
      </c>
      <c r="R85" s="737">
        <f>IF($Y$40&gt;9,$H$27/$Y$40,0)</f>
        <v>0</v>
      </c>
      <c r="S85" s="737">
        <f>IF($Y$40&gt;10,$H$27/$Y$40,0)</f>
        <v>0</v>
      </c>
      <c r="T85" s="737">
        <f>IF($Y$40&gt;11,$H$27/$Y$40,0)</f>
        <v>0</v>
      </c>
      <c r="U85" s="737">
        <f>IF($Y$40&gt;12,$H$27/$Y$40,0)</f>
        <v>0</v>
      </c>
      <c r="V85" s="737">
        <f>IF($Y$40&gt;13,$H$27/$Y$40,0)</f>
        <v>0</v>
      </c>
      <c r="W85" s="737">
        <f>IF($Y$40&gt;14,$H$27/$Y$40,0)</f>
        <v>0</v>
      </c>
      <c r="X85" s="737">
        <f>IF($Y$40&gt;15,$H$27/$Y$40,0)</f>
        <v>0</v>
      </c>
      <c r="Y85" s="737">
        <f>IF($Y$40&gt;16,$H$27/$Y$40,0)</f>
        <v>0</v>
      </c>
    </row>
    <row r="86" spans="2:25" x14ac:dyDescent="0.2">
      <c r="B86" s="683"/>
      <c r="D86" s="689">
        <f t="shared" si="19"/>
        <v>4</v>
      </c>
      <c r="E86" s="737"/>
      <c r="F86" s="737"/>
      <c r="G86" s="737"/>
      <c r="H86" s="737"/>
      <c r="I86" s="737"/>
      <c r="J86" s="737">
        <f>IF($Y$40&gt;0,$I$27/$Y$40,0)</f>
        <v>0</v>
      </c>
      <c r="K86" s="737">
        <f>IF($Y$40&gt;1,$I$27/$Y$40,0)</f>
        <v>0</v>
      </c>
      <c r="L86" s="737">
        <f>IF($Y$40&gt;2,$I$27/$Y$40,0)</f>
        <v>0</v>
      </c>
      <c r="M86" s="737">
        <f>IF($Y$40&gt;3,$I$27/$Y$40,0)</f>
        <v>0</v>
      </c>
      <c r="N86" s="737">
        <f>IF($Y$40&gt;4,$I$27/$Y$40,0)</f>
        <v>0</v>
      </c>
      <c r="O86" s="737">
        <f>IF($Y$40&gt;5,$I$27/$Y$40,0)</f>
        <v>0</v>
      </c>
      <c r="P86" s="737">
        <f>IF($Y$40&gt;6,$I$27/$Y$40,0)</f>
        <v>0</v>
      </c>
      <c r="Q86" s="737">
        <f>IF($Y$40&gt;7,$I$27/$Y$40,0)</f>
        <v>0</v>
      </c>
      <c r="R86" s="737">
        <f>IF($Y$40&gt;8,$I$27/$Y$40,0)</f>
        <v>0</v>
      </c>
      <c r="S86" s="737">
        <f>IF($Y$40&gt;9,$I$27/$Y$40,0)</f>
        <v>0</v>
      </c>
      <c r="T86" s="737">
        <f>IF($Y$40&gt;10,$I$27/$Y$40,0)</f>
        <v>0</v>
      </c>
      <c r="U86" s="737">
        <f>IF($Y$40&gt;11,$I$27/$Y$40,0)</f>
        <v>0</v>
      </c>
      <c r="V86" s="737">
        <f>IF($Y$40&gt;12,$I$27/$Y$40,0)</f>
        <v>0</v>
      </c>
      <c r="W86" s="737">
        <f>IF($Y$40&gt;13,$I$27/$Y$40,0)</f>
        <v>0</v>
      </c>
      <c r="X86" s="737">
        <f>IF($Y$40&gt;14,$I$27/$Y$40,0)</f>
        <v>0</v>
      </c>
      <c r="Y86" s="737">
        <f>IF($Y$40&gt;15,$I$27/$Y$40,0)</f>
        <v>0</v>
      </c>
    </row>
    <row r="87" spans="2:25" x14ac:dyDescent="0.2">
      <c r="B87" s="683"/>
      <c r="D87" s="689">
        <f t="shared" si="19"/>
        <v>5</v>
      </c>
      <c r="E87" s="737"/>
      <c r="F87" s="737"/>
      <c r="G87" s="737"/>
      <c r="H87" s="737"/>
      <c r="I87" s="737"/>
      <c r="J87" s="737"/>
      <c r="K87" s="737">
        <f>IF($Y$40&gt;0,$J$27/$Y$40,0)</f>
        <v>0</v>
      </c>
      <c r="L87" s="737">
        <f>IF($Y$40&gt;1,$J$27/$Y$40,0)</f>
        <v>0</v>
      </c>
      <c r="M87" s="737">
        <f>IF($Y$40&gt;2,$J$27/$Y$40,0)</f>
        <v>0</v>
      </c>
      <c r="N87" s="737">
        <f>IF($Y$40&gt;3,$J$27/$Y$40,0)</f>
        <v>0</v>
      </c>
      <c r="O87" s="737">
        <f>IF($Y$40&gt;4,$J$27/$Y$40,0)</f>
        <v>0</v>
      </c>
      <c r="P87" s="737">
        <f>IF($Y$40&gt;5,$J$27/$Y$40,0)</f>
        <v>0</v>
      </c>
      <c r="Q87" s="737">
        <f>IF($Y$40&gt;6,$J$27/$Y$40,0)</f>
        <v>0</v>
      </c>
      <c r="R87" s="737">
        <f>IF($Y$40&gt;7,$J$27/$Y$40,0)</f>
        <v>0</v>
      </c>
      <c r="S87" s="737">
        <f>IF($Y$40&gt;8,$J$27/$Y$40,0)</f>
        <v>0</v>
      </c>
      <c r="T87" s="737">
        <f>IF($Y$40&gt;9,$J$27/$Y$40,0)</f>
        <v>0</v>
      </c>
      <c r="U87" s="737">
        <f>IF($Y$40&gt;10,$J$27/$Y$40,0)</f>
        <v>0</v>
      </c>
      <c r="V87" s="737">
        <f>IF($Y$40&gt;11,$J$27/$Y$40,0)</f>
        <v>0</v>
      </c>
      <c r="W87" s="737">
        <f>IF($Y$40&gt;12,$J$27/$Y$40,0)</f>
        <v>0</v>
      </c>
      <c r="X87" s="737">
        <f>IF($Y$40&gt;13,$J$27/$Y$40,0)</f>
        <v>0</v>
      </c>
      <c r="Y87" s="737">
        <f>IF($Y$40&gt;14,$J$27/$Y$40,0)</f>
        <v>0</v>
      </c>
    </row>
    <row r="88" spans="2:25" x14ac:dyDescent="0.2">
      <c r="B88" s="683"/>
      <c r="D88" s="689">
        <f t="shared" si="19"/>
        <v>6</v>
      </c>
      <c r="E88" s="737"/>
      <c r="F88" s="737"/>
      <c r="G88" s="737"/>
      <c r="H88" s="737"/>
      <c r="I88" s="737"/>
      <c r="J88" s="737"/>
      <c r="K88" s="737"/>
      <c r="L88" s="737">
        <f>IF($Y$40&gt;0,$K$27/$Y$40,0)</f>
        <v>0</v>
      </c>
      <c r="M88" s="737">
        <f>IF($Y$40&gt;1,$K$27/$Y$40,0)</f>
        <v>0</v>
      </c>
      <c r="N88" s="737">
        <f>IF($Y$40&gt;2,$K$27/$Y$40,0)</f>
        <v>0</v>
      </c>
      <c r="O88" s="737">
        <f>IF($Y$40&gt;3,$K$27/$Y$40,0)</f>
        <v>0</v>
      </c>
      <c r="P88" s="737">
        <f>IF($Y$40&gt;4,$K$27/$Y$40,0)</f>
        <v>0</v>
      </c>
      <c r="Q88" s="737">
        <f>IF($Y$40&gt;5,$K$27/$Y$40,0)</f>
        <v>0</v>
      </c>
      <c r="R88" s="737">
        <f>IF($Y$40&gt;6,$K$27/$Y$40,0)</f>
        <v>0</v>
      </c>
      <c r="S88" s="737">
        <f>IF($Y$40&gt;7,$K$27/$Y$40,0)</f>
        <v>0</v>
      </c>
      <c r="T88" s="737">
        <f>IF($Y$40&gt;8,$K$27/$Y$40,0)</f>
        <v>0</v>
      </c>
      <c r="U88" s="737">
        <f>IF($Y$40&gt;9,$K$27/$Y$40,0)</f>
        <v>0</v>
      </c>
      <c r="V88" s="737">
        <f>IF($Y$40&gt;10,$K$27/$Y$40,0)</f>
        <v>0</v>
      </c>
      <c r="W88" s="737">
        <f>IF($Y$40&gt;11,$K$27/$Y$40,0)</f>
        <v>0</v>
      </c>
      <c r="X88" s="737">
        <f>IF($Y$40&gt;12,$K$27/$Y$40,0)</f>
        <v>0</v>
      </c>
      <c r="Y88" s="737">
        <f>IF($Y$40&gt;13,$K$27/$Y$40,0)</f>
        <v>0</v>
      </c>
    </row>
    <row r="89" spans="2:25" x14ac:dyDescent="0.2">
      <c r="B89" s="683"/>
      <c r="D89" s="689">
        <f t="shared" si="19"/>
        <v>7</v>
      </c>
      <c r="E89" s="737"/>
      <c r="F89" s="737"/>
      <c r="G89" s="737"/>
      <c r="H89" s="737"/>
      <c r="I89" s="737"/>
      <c r="J89" s="737"/>
      <c r="K89" s="737"/>
      <c r="L89" s="737"/>
      <c r="M89" s="737">
        <f>IF($Y$40&gt;0,$L$27/$Y$40,0)</f>
        <v>0</v>
      </c>
      <c r="N89" s="737">
        <f>IF($Y$40&gt;1,$L$27/$Y$40,0)</f>
        <v>0</v>
      </c>
      <c r="O89" s="737">
        <f>IF($Y$40&gt;2,$L$27/$Y$40,0)</f>
        <v>0</v>
      </c>
      <c r="P89" s="737">
        <f>IF($Y$40&gt;3,$L$27/$Y$40,0)</f>
        <v>0</v>
      </c>
      <c r="Q89" s="737">
        <f>IF($Y$40&gt;4,$L$27/$Y$40,0)</f>
        <v>0</v>
      </c>
      <c r="R89" s="737">
        <f>IF($Y$40&gt;5,$L$27/$Y$40,0)</f>
        <v>0</v>
      </c>
      <c r="S89" s="737">
        <f>IF($Y$40&gt;6,$L$27/$Y$40,0)</f>
        <v>0</v>
      </c>
      <c r="T89" s="737">
        <f>IF($Y$40&gt;7,$L$27/$Y$40,0)</f>
        <v>0</v>
      </c>
      <c r="U89" s="737">
        <f>IF($Y$40&gt;8,$L$27/$Y$40,0)</f>
        <v>0</v>
      </c>
      <c r="V89" s="737">
        <f>IF($Y$40&gt;9,$L$27/$Y$40,0)</f>
        <v>0</v>
      </c>
      <c r="W89" s="737">
        <f>IF($Y$40&gt;10,$L$27/$Y$40,0)</f>
        <v>0</v>
      </c>
      <c r="X89" s="737">
        <f>IF($Y$40&gt;11,$L$27/$Y$40,0)</f>
        <v>0</v>
      </c>
      <c r="Y89" s="737">
        <f>IF($Y$40&gt;12,$L$27/$Y$40,0)</f>
        <v>0</v>
      </c>
    </row>
    <row r="90" spans="2:25" x14ac:dyDescent="0.2">
      <c r="B90" s="683"/>
      <c r="D90" s="689">
        <f t="shared" si="19"/>
        <v>8</v>
      </c>
      <c r="E90" s="737"/>
      <c r="F90" s="737"/>
      <c r="G90" s="737"/>
      <c r="H90" s="737"/>
      <c r="I90" s="737"/>
      <c r="J90" s="737"/>
      <c r="K90" s="737"/>
      <c r="L90" s="737"/>
      <c r="M90" s="737"/>
      <c r="N90" s="737">
        <f>IF($Y$40&gt;0,$M$27/$Y$40,0)</f>
        <v>0</v>
      </c>
      <c r="O90" s="737">
        <f>IF($Y$40&gt;1,$M$27/$Y$40,0)</f>
        <v>0</v>
      </c>
      <c r="P90" s="737">
        <f>IF($Y$40&gt;2,$M$27/$Y$40,0)</f>
        <v>0</v>
      </c>
      <c r="Q90" s="737">
        <f>IF($Y$40&gt;3,$M$27/$Y$40,0)</f>
        <v>0</v>
      </c>
      <c r="R90" s="737">
        <f>IF($Y$40&gt;4,$M$27/$Y$40,0)</f>
        <v>0</v>
      </c>
      <c r="S90" s="737">
        <f>IF($Y$40&gt;5,$M$27/$Y$40,0)</f>
        <v>0</v>
      </c>
      <c r="T90" s="737">
        <f>IF($Y$40&gt;6,$M$27/$Y$40,0)</f>
        <v>0</v>
      </c>
      <c r="U90" s="737">
        <f>IF($Y$40&gt;7,$M$27/$Y$40,0)</f>
        <v>0</v>
      </c>
      <c r="V90" s="737">
        <f>IF($Y$40&gt;8,$M$27/$Y$40,0)</f>
        <v>0</v>
      </c>
      <c r="W90" s="737">
        <f>IF($Y$40&gt;9,$M$27/$Y$40,0)</f>
        <v>0</v>
      </c>
      <c r="X90" s="737">
        <f>IF($Y$40&gt;10,$M$27/$Y$40,0)</f>
        <v>0</v>
      </c>
      <c r="Y90" s="737">
        <f>IF($Y$40&gt;11,$M$27/$Y$40,0)</f>
        <v>0</v>
      </c>
    </row>
    <row r="91" spans="2:25" x14ac:dyDescent="0.2">
      <c r="B91" s="683"/>
      <c r="D91" s="689">
        <f t="shared" si="19"/>
        <v>9</v>
      </c>
      <c r="E91" s="737"/>
      <c r="F91" s="737"/>
      <c r="G91" s="737"/>
      <c r="H91" s="737"/>
      <c r="I91" s="737"/>
      <c r="J91" s="737"/>
      <c r="K91" s="737"/>
      <c r="L91" s="737"/>
      <c r="M91" s="737"/>
      <c r="N91" s="737"/>
      <c r="O91" s="737">
        <f>IF($Y$40&gt;0,$N$27/$Y$40,0)</f>
        <v>0</v>
      </c>
      <c r="P91" s="737">
        <f>IF($Y$40&gt;1,$N$27/$Y$40,0)</f>
        <v>0</v>
      </c>
      <c r="Q91" s="737">
        <f>IF($Y$40&gt;2,$N$27/$Y$40,0)</f>
        <v>0</v>
      </c>
      <c r="R91" s="737">
        <f>IF($Y$40&gt;3,$N$27/$Y$40,0)</f>
        <v>0</v>
      </c>
      <c r="S91" s="737">
        <f>IF($Y$40&gt;4,$N$27/$Y$40,0)</f>
        <v>0</v>
      </c>
      <c r="T91" s="737">
        <f>IF($Y$40&gt;5,$N$27/$Y$40,0)</f>
        <v>0</v>
      </c>
      <c r="U91" s="737">
        <f>IF($Y$40&gt;6,$N$27/$Y$40,0)</f>
        <v>0</v>
      </c>
      <c r="V91" s="737">
        <f>IF($Y$40&gt;7,$N$27/$Y$40,0)</f>
        <v>0</v>
      </c>
      <c r="W91" s="737">
        <f>IF($Y$40&gt;8,$N$27/$Y$40,0)</f>
        <v>0</v>
      </c>
      <c r="X91" s="737">
        <f>IF($Y$40&gt;9,$N$27/$Y$40,0)</f>
        <v>0</v>
      </c>
      <c r="Y91" s="737">
        <f>IF($Y$40&gt;10,$N$27/$Y$40,0)</f>
        <v>0</v>
      </c>
    </row>
    <row r="92" spans="2:25" x14ac:dyDescent="0.2">
      <c r="B92" s="683"/>
      <c r="D92" s="689">
        <f t="shared" si="19"/>
        <v>10</v>
      </c>
      <c r="E92" s="737"/>
      <c r="F92" s="737"/>
      <c r="G92" s="737"/>
      <c r="H92" s="737"/>
      <c r="I92" s="737"/>
      <c r="J92" s="737"/>
      <c r="K92" s="737"/>
      <c r="L92" s="737"/>
      <c r="M92" s="737"/>
      <c r="N92" s="737"/>
      <c r="O92" s="737"/>
      <c r="P92" s="737">
        <f>IF($Y$40&gt;0,$O$27/$Y$40,0)</f>
        <v>0</v>
      </c>
      <c r="Q92" s="737">
        <f>IF($Y$40&gt;1,$O$27/$Y$40,0)</f>
        <v>0</v>
      </c>
      <c r="R92" s="737">
        <f>IF($Y$40&gt;2,$O$27/$Y$40,0)</f>
        <v>0</v>
      </c>
      <c r="S92" s="737">
        <f>IF($Y$40&gt;3,$O$27/$Y$40,0)</f>
        <v>0</v>
      </c>
      <c r="T92" s="737">
        <f>IF($Y$40&gt;4,$O$27/$Y$40,0)</f>
        <v>0</v>
      </c>
      <c r="U92" s="737">
        <f>IF($Y$40&gt;5,$O$27/$Y$40,0)</f>
        <v>0</v>
      </c>
      <c r="V92" s="737">
        <f>IF($Y$40&gt;6,$O$27/$Y$40,0)</f>
        <v>0</v>
      </c>
      <c r="W92" s="737">
        <f>IF($Y$40&gt;7,$O$27/$Y$40,0)</f>
        <v>0</v>
      </c>
      <c r="X92" s="737">
        <f>IF($Y$40&gt;8,$O$27/$Y$40,0)</f>
        <v>0</v>
      </c>
      <c r="Y92" s="737">
        <f>IF($Y$40&gt;9,$O$27/$Y$40,0)</f>
        <v>0</v>
      </c>
    </row>
    <row r="93" spans="2:25" x14ac:dyDescent="0.2">
      <c r="B93" s="683"/>
      <c r="D93" s="689">
        <f t="shared" si="19"/>
        <v>11</v>
      </c>
      <c r="E93" s="737"/>
      <c r="F93" s="737"/>
      <c r="G93" s="737"/>
      <c r="H93" s="737"/>
      <c r="I93" s="737"/>
      <c r="J93" s="737"/>
      <c r="K93" s="737"/>
      <c r="L93" s="737"/>
      <c r="M93" s="737"/>
      <c r="N93" s="737"/>
      <c r="O93" s="737"/>
      <c r="P93" s="737"/>
      <c r="Q93" s="737">
        <f>IF($Y$40&gt;0,$P$27/$Y$40,0)</f>
        <v>0</v>
      </c>
      <c r="R93" s="737">
        <f>IF($Y$40&gt;1,$P$27/$Y$40,0)</f>
        <v>0</v>
      </c>
      <c r="S93" s="737">
        <f>IF($Y$40&gt;2,$P$27/$Y$40,0)</f>
        <v>0</v>
      </c>
      <c r="T93" s="737">
        <f>IF($Y$40&gt;3,$P$27/$Y$40,0)</f>
        <v>0</v>
      </c>
      <c r="U93" s="737">
        <f>IF($Y$40&gt;4,$P$27/$Y$40,0)</f>
        <v>0</v>
      </c>
      <c r="V93" s="737">
        <f>IF($Y$40&gt;5,$P$27/$Y$40,0)</f>
        <v>0</v>
      </c>
      <c r="W93" s="737">
        <f>IF($Y$40&gt;6,$P$27/$Y$40,0)</f>
        <v>0</v>
      </c>
      <c r="X93" s="737">
        <f>IF($Y$40&gt;7,$P$27/$Y$40,0)</f>
        <v>0</v>
      </c>
      <c r="Y93" s="737">
        <f>IF($Y$40&gt;8,$P$27/$Y$40,0)</f>
        <v>0</v>
      </c>
    </row>
    <row r="94" spans="2:25" x14ac:dyDescent="0.2">
      <c r="B94" s="683"/>
      <c r="D94" s="689">
        <f t="shared" si="19"/>
        <v>12</v>
      </c>
      <c r="E94" s="737"/>
      <c r="F94" s="737"/>
      <c r="G94" s="737"/>
      <c r="H94" s="737"/>
      <c r="I94" s="737"/>
      <c r="J94" s="737"/>
      <c r="K94" s="737"/>
      <c r="L94" s="737"/>
      <c r="M94" s="737"/>
      <c r="N94" s="737"/>
      <c r="O94" s="737"/>
      <c r="P94" s="737"/>
      <c r="Q94" s="737"/>
      <c r="R94" s="737">
        <f>IF($Y$40&gt;0,$Q$27/$Y$40,0)</f>
        <v>0</v>
      </c>
      <c r="S94" s="737">
        <f>IF($Y$40&gt;1,$Q$27/$Y$40,0)</f>
        <v>0</v>
      </c>
      <c r="T94" s="737">
        <f>IF($Y$40&gt;2,$Q$27/$Y$40,0)</f>
        <v>0</v>
      </c>
      <c r="U94" s="737">
        <f>IF($Y$40&gt;3,$Q$27/$Y$40,0)</f>
        <v>0</v>
      </c>
      <c r="V94" s="737">
        <f>IF($Y$40&gt;4,$Q$27/$Y$40,0)</f>
        <v>0</v>
      </c>
      <c r="W94" s="737">
        <f>IF($Y$40&gt;5,$Q$27/$Y$40,0)</f>
        <v>0</v>
      </c>
      <c r="X94" s="737">
        <f>IF($Y$40&gt;6,$Q$27/$Y$40,0)</f>
        <v>0</v>
      </c>
      <c r="Y94" s="737">
        <f>IF($Y$40&gt;7,$Q$27/$Y$40,0)</f>
        <v>0</v>
      </c>
    </row>
    <row r="95" spans="2:25" x14ac:dyDescent="0.2">
      <c r="B95" s="683"/>
      <c r="D95" s="689">
        <f t="shared" si="19"/>
        <v>13</v>
      </c>
      <c r="E95" s="737"/>
      <c r="F95" s="737"/>
      <c r="G95" s="737"/>
      <c r="H95" s="737"/>
      <c r="I95" s="737"/>
      <c r="J95" s="737"/>
      <c r="K95" s="737"/>
      <c r="L95" s="737"/>
      <c r="M95" s="737"/>
      <c r="N95" s="737"/>
      <c r="O95" s="737"/>
      <c r="P95" s="737"/>
      <c r="Q95" s="737"/>
      <c r="R95" s="737"/>
      <c r="S95" s="737">
        <f>IF($Y$40&gt;0,$R$27/$Y$40,0)</f>
        <v>0</v>
      </c>
      <c r="T95" s="737">
        <f>IF($Y$40&gt;1,$R$27/$Y$40,0)</f>
        <v>0</v>
      </c>
      <c r="U95" s="737">
        <f>IF($Y$40&gt;2,$R$27/$Y$40,0)</f>
        <v>0</v>
      </c>
      <c r="V95" s="737">
        <f>IF($Y$40&gt;3,$R$27/$Y$40,0)</f>
        <v>0</v>
      </c>
      <c r="W95" s="737">
        <f>IF($Y$40&gt;4,$R$27/$Y$40,0)</f>
        <v>0</v>
      </c>
      <c r="X95" s="737">
        <f>IF($Y$40&gt;5,$R$27/$Y$40,0)</f>
        <v>0</v>
      </c>
      <c r="Y95" s="737">
        <f>IF($Y$40&gt;6,$R$27/$Y$40,0)</f>
        <v>0</v>
      </c>
    </row>
    <row r="96" spans="2:25" x14ac:dyDescent="0.2">
      <c r="B96" s="683"/>
      <c r="D96" s="689">
        <f t="shared" si="19"/>
        <v>14</v>
      </c>
      <c r="E96" s="737"/>
      <c r="F96" s="737"/>
      <c r="G96" s="737"/>
      <c r="H96" s="737"/>
      <c r="I96" s="737"/>
      <c r="J96" s="737"/>
      <c r="K96" s="737"/>
      <c r="L96" s="737"/>
      <c r="M96" s="737"/>
      <c r="N96" s="737"/>
      <c r="O96" s="737"/>
      <c r="P96" s="737"/>
      <c r="Q96" s="737"/>
      <c r="R96" s="737"/>
      <c r="S96" s="737"/>
      <c r="T96" s="737">
        <f>IF($Y$40&gt;0,$S$27/$Y$40,0)</f>
        <v>0</v>
      </c>
      <c r="U96" s="737">
        <f>IF($Y$40&gt;1,$S$27/$Y$40,0)</f>
        <v>0</v>
      </c>
      <c r="V96" s="737">
        <f>IF($Y$40&gt;2,$S$27/$Y$40,0)</f>
        <v>0</v>
      </c>
      <c r="W96" s="737">
        <f>IF($Y$40&gt;3,$S$27/$Y$40,0)</f>
        <v>0</v>
      </c>
      <c r="X96" s="737">
        <f>IF($Y$40&gt;4,$S$27/$Y$40,0)</f>
        <v>0</v>
      </c>
      <c r="Y96" s="737">
        <f>IF($Y$40&gt;5,$S$27/$Y$40,0)</f>
        <v>0</v>
      </c>
    </row>
    <row r="97" spans="2:25" x14ac:dyDescent="0.2">
      <c r="B97" s="683"/>
      <c r="D97" s="689">
        <f t="shared" si="19"/>
        <v>15</v>
      </c>
      <c r="E97" s="737"/>
      <c r="F97" s="737"/>
      <c r="G97" s="737"/>
      <c r="H97" s="737"/>
      <c r="I97" s="737"/>
      <c r="J97" s="737"/>
      <c r="K97" s="737"/>
      <c r="L97" s="737"/>
      <c r="M97" s="737"/>
      <c r="N97" s="737"/>
      <c r="O97" s="737"/>
      <c r="P97" s="737"/>
      <c r="Q97" s="737"/>
      <c r="R97" s="737"/>
      <c r="S97" s="737"/>
      <c r="T97" s="742"/>
      <c r="U97" s="737">
        <f>IF($Y$40&gt;0,$T$27/$Y$40,0)</f>
        <v>0</v>
      </c>
      <c r="V97" s="737">
        <f>IF($Y$40&gt;1,$T$27/$Y$40,0)</f>
        <v>0</v>
      </c>
      <c r="W97" s="737">
        <f>IF($Y$40&gt;2,$T$27/$Y$40,0)</f>
        <v>0</v>
      </c>
      <c r="X97" s="737">
        <f>IF($Y$40&gt;3,$T$27/$Y$40,0)</f>
        <v>0</v>
      </c>
      <c r="Y97" s="737">
        <f>IF($Y$40&gt;4,$T$27/$Y$40,0)</f>
        <v>0</v>
      </c>
    </row>
    <row r="98" spans="2:25" x14ac:dyDescent="0.2">
      <c r="B98" s="683"/>
      <c r="D98" s="689">
        <f t="shared" si="19"/>
        <v>16</v>
      </c>
      <c r="E98" s="737"/>
      <c r="F98" s="737"/>
      <c r="G98" s="737"/>
      <c r="H98" s="737"/>
      <c r="I98" s="737"/>
      <c r="J98" s="737"/>
      <c r="K98" s="737"/>
      <c r="L98" s="737"/>
      <c r="M98" s="737"/>
      <c r="N98" s="737"/>
      <c r="O98" s="737"/>
      <c r="P98" s="737"/>
      <c r="Q98" s="737"/>
      <c r="R98" s="737"/>
      <c r="S98" s="737"/>
      <c r="T98" s="742"/>
      <c r="U98" s="737"/>
      <c r="V98" s="737">
        <f>IF($Y$40&gt;0,$U$27/$Y$40,0)</f>
        <v>0</v>
      </c>
      <c r="W98" s="737">
        <f>IF($Y$40&gt;1,$U$27/$Y$40,0)</f>
        <v>0</v>
      </c>
      <c r="X98" s="737">
        <f>IF($Y$40&gt;2,$U$27/$Y$40,0)</f>
        <v>0</v>
      </c>
      <c r="Y98" s="737">
        <f>IF($Y$40&gt;3,$U$27/$Y$40,0)</f>
        <v>0</v>
      </c>
    </row>
    <row r="99" spans="2:25" x14ac:dyDescent="0.2">
      <c r="B99" s="683"/>
      <c r="D99" s="689">
        <f t="shared" si="19"/>
        <v>17</v>
      </c>
      <c r="E99" s="737"/>
      <c r="F99" s="737"/>
      <c r="G99" s="737"/>
      <c r="H99" s="737"/>
      <c r="I99" s="737"/>
      <c r="J99" s="737"/>
      <c r="K99" s="737"/>
      <c r="L99" s="737"/>
      <c r="M99" s="737"/>
      <c r="N99" s="737"/>
      <c r="O99" s="737"/>
      <c r="P99" s="737"/>
      <c r="Q99" s="737"/>
      <c r="R99" s="737"/>
      <c r="S99" s="737"/>
      <c r="T99" s="742"/>
      <c r="U99" s="737"/>
      <c r="V99" s="737"/>
      <c r="W99" s="737">
        <f>IF($Y$40&gt;0,$V$27/$Y$40,0)</f>
        <v>0</v>
      </c>
      <c r="X99" s="737">
        <f>IF($Y$40&gt;1,$V$27/$Y$40,0)</f>
        <v>0</v>
      </c>
      <c r="Y99" s="737">
        <f>IF($Y$40&gt;2,$V$27/$Y$40,0)</f>
        <v>0</v>
      </c>
    </row>
    <row r="100" spans="2:25" x14ac:dyDescent="0.2">
      <c r="B100" s="683"/>
      <c r="D100" s="689">
        <f t="shared" si="19"/>
        <v>18</v>
      </c>
      <c r="E100" s="737"/>
      <c r="F100" s="737"/>
      <c r="G100" s="737"/>
      <c r="H100" s="737"/>
      <c r="I100" s="737"/>
      <c r="J100" s="737"/>
      <c r="K100" s="737"/>
      <c r="L100" s="737"/>
      <c r="M100" s="737"/>
      <c r="N100" s="737"/>
      <c r="O100" s="737"/>
      <c r="P100" s="737"/>
      <c r="Q100" s="737"/>
      <c r="R100" s="737"/>
      <c r="S100" s="737"/>
      <c r="T100" s="742"/>
      <c r="U100" s="737"/>
      <c r="V100" s="737"/>
      <c r="W100" s="737"/>
      <c r="X100" s="737">
        <f>IF($Y$40&gt;0,$W$27/$Y$40,0)</f>
        <v>0</v>
      </c>
      <c r="Y100" s="737">
        <f>IF($Y$40&gt;1,$W$27/$Y$40,0)</f>
        <v>0</v>
      </c>
    </row>
    <row r="101" spans="2:25" x14ac:dyDescent="0.2">
      <c r="B101" s="683"/>
      <c r="D101" s="689">
        <f t="shared" si="19"/>
        <v>19</v>
      </c>
      <c r="E101" s="737"/>
      <c r="F101" s="737"/>
      <c r="G101" s="737"/>
      <c r="H101" s="737"/>
      <c r="I101" s="737"/>
      <c r="J101" s="737"/>
      <c r="K101" s="737"/>
      <c r="L101" s="737"/>
      <c r="M101" s="737"/>
      <c r="N101" s="737"/>
      <c r="O101" s="737"/>
      <c r="P101" s="737"/>
      <c r="Q101" s="737"/>
      <c r="R101" s="737"/>
      <c r="S101" s="737"/>
      <c r="T101" s="742"/>
      <c r="U101" s="737"/>
      <c r="V101" s="737"/>
      <c r="W101" s="737"/>
      <c r="X101" s="737"/>
      <c r="Y101" s="737">
        <f>IF($Y$40&gt;0,$X$27/$Y$40,0)</f>
        <v>0</v>
      </c>
    </row>
    <row r="102" spans="2:25" x14ac:dyDescent="0.2">
      <c r="B102" s="683"/>
      <c r="D102" s="689">
        <f t="shared" si="19"/>
        <v>20</v>
      </c>
      <c r="E102" s="737"/>
      <c r="F102" s="737"/>
      <c r="G102" s="737"/>
      <c r="H102" s="737"/>
      <c r="I102" s="737"/>
      <c r="J102" s="737"/>
      <c r="K102" s="737"/>
      <c r="L102" s="737"/>
      <c r="M102" s="737"/>
      <c r="N102" s="737"/>
      <c r="O102" s="737"/>
      <c r="P102" s="737"/>
      <c r="Q102" s="737"/>
      <c r="R102" s="737"/>
      <c r="S102" s="737"/>
      <c r="T102" s="742"/>
      <c r="U102" s="737"/>
      <c r="V102" s="737"/>
      <c r="W102" s="737"/>
      <c r="X102" s="737"/>
      <c r="Y102" s="737"/>
    </row>
    <row r="103" spans="2:25" x14ac:dyDescent="0.2">
      <c r="B103" s="683"/>
      <c r="E103" s="737"/>
      <c r="F103" s="737"/>
      <c r="G103" s="737"/>
      <c r="H103" s="737"/>
      <c r="I103" s="737"/>
      <c r="J103" s="737"/>
      <c r="K103" s="737"/>
      <c r="L103" s="737"/>
      <c r="M103" s="737"/>
      <c r="N103" s="737"/>
      <c r="O103" s="737"/>
      <c r="P103" s="737">
        <f>IF($Y$41&gt;0,$W$27/$Y$41,0)</f>
        <v>0</v>
      </c>
      <c r="Q103" s="737"/>
      <c r="R103" s="737"/>
      <c r="S103" s="737"/>
      <c r="T103" s="742"/>
      <c r="U103" s="737"/>
      <c r="V103" s="737"/>
      <c r="W103" s="737"/>
      <c r="X103" s="737"/>
      <c r="Y103" s="737"/>
    </row>
    <row r="104" spans="2:25" x14ac:dyDescent="0.2">
      <c r="B104" s="683"/>
      <c r="C104" s="681" t="s">
        <v>718</v>
      </c>
      <c r="E104" s="737"/>
      <c r="F104" s="737">
        <f t="shared" ref="F104:Y104" si="20">SUM(F60:F103)</f>
        <v>1327.0416666666665</v>
      </c>
      <c r="G104" s="737">
        <f t="shared" si="20"/>
        <v>2943.4166666666665</v>
      </c>
      <c r="H104" s="737">
        <f t="shared" si="20"/>
        <v>4286</v>
      </c>
      <c r="I104" s="737">
        <f t="shared" si="20"/>
        <v>4505</v>
      </c>
      <c r="J104" s="737">
        <f t="shared" si="20"/>
        <v>4559.166666666667</v>
      </c>
      <c r="K104" s="737">
        <f t="shared" si="20"/>
        <v>4700</v>
      </c>
      <c r="L104" s="737">
        <f t="shared" si="20"/>
        <v>4721.666666666667</v>
      </c>
      <c r="M104" s="737">
        <f t="shared" si="20"/>
        <v>4721.666666666667</v>
      </c>
      <c r="N104" s="737">
        <f t="shared" si="20"/>
        <v>4721.666666666667</v>
      </c>
      <c r="O104" s="737">
        <f t="shared" si="20"/>
        <v>4721.666666666667</v>
      </c>
      <c r="P104" s="737">
        <f t="shared" si="20"/>
        <v>4721.666666666667</v>
      </c>
      <c r="Q104" s="737">
        <f t="shared" si="20"/>
        <v>4721.666666666667</v>
      </c>
      <c r="R104" s="737">
        <f t="shared" si="20"/>
        <v>3394.6249999999995</v>
      </c>
      <c r="S104" s="737">
        <f t="shared" si="20"/>
        <v>1778.25</v>
      </c>
      <c r="T104" s="737">
        <f t="shared" si="20"/>
        <v>435.66666666666657</v>
      </c>
      <c r="U104" s="737">
        <f t="shared" si="20"/>
        <v>216.66666666666666</v>
      </c>
      <c r="V104" s="737">
        <f t="shared" si="20"/>
        <v>162.5</v>
      </c>
      <c r="W104" s="737">
        <f t="shared" si="20"/>
        <v>21.666666666666668</v>
      </c>
      <c r="X104" s="737">
        <f t="shared" si="20"/>
        <v>0</v>
      </c>
      <c r="Y104" s="737">
        <f t="shared" si="20"/>
        <v>0</v>
      </c>
    </row>
    <row r="105" spans="2:25" x14ac:dyDescent="0.2">
      <c r="B105" s="683"/>
      <c r="E105" s="737"/>
      <c r="F105" s="737"/>
      <c r="G105" s="737"/>
      <c r="H105" s="737"/>
      <c r="I105" s="737"/>
      <c r="J105" s="737"/>
      <c r="K105" s="737"/>
      <c r="L105" s="737"/>
      <c r="M105" s="737"/>
      <c r="N105" s="737"/>
      <c r="O105" s="737"/>
      <c r="P105" s="737"/>
      <c r="Q105" s="737"/>
      <c r="R105" s="737"/>
      <c r="S105" s="737"/>
      <c r="T105" s="742"/>
      <c r="U105" s="737"/>
      <c r="V105" s="737"/>
      <c r="W105" s="737"/>
      <c r="X105" s="737"/>
      <c r="Y105" s="737"/>
    </row>
    <row r="106" spans="2:25" x14ac:dyDescent="0.2">
      <c r="B106" s="683"/>
      <c r="C106" s="743"/>
      <c r="E106" s="737"/>
      <c r="F106" s="737"/>
      <c r="G106" s="737"/>
      <c r="H106" s="737"/>
      <c r="I106" s="737"/>
      <c r="J106" s="737"/>
      <c r="K106" s="737"/>
      <c r="L106" s="737"/>
      <c r="M106" s="737"/>
      <c r="N106" s="737"/>
      <c r="O106" s="737"/>
      <c r="P106" s="737"/>
      <c r="Q106" s="737"/>
      <c r="R106" s="737"/>
      <c r="S106" s="737"/>
      <c r="T106" s="742"/>
      <c r="U106" s="737"/>
      <c r="V106" s="737"/>
      <c r="W106" s="737"/>
      <c r="X106" s="737"/>
      <c r="Y106" s="737"/>
    </row>
    <row r="107" spans="2:25" x14ac:dyDescent="0.2">
      <c r="B107" s="1386"/>
      <c r="C107" s="1386"/>
      <c r="E107" s="737"/>
      <c r="F107" s="737"/>
      <c r="G107" s="737"/>
      <c r="H107" s="737"/>
      <c r="I107" s="737"/>
      <c r="J107" s="737"/>
      <c r="K107" s="737"/>
      <c r="L107" s="737"/>
      <c r="M107" s="737"/>
      <c r="N107" s="737"/>
      <c r="O107" s="737"/>
      <c r="P107" s="737"/>
      <c r="Q107" s="737"/>
      <c r="R107" s="737"/>
      <c r="S107" s="737"/>
      <c r="T107" s="742"/>
      <c r="U107" s="737"/>
      <c r="V107" s="737"/>
      <c r="W107" s="737"/>
      <c r="X107" s="737"/>
      <c r="Y107" s="737"/>
    </row>
    <row r="108" spans="2:25" x14ac:dyDescent="0.2">
      <c r="B108" s="1385"/>
      <c r="C108" s="1385"/>
      <c r="E108" s="737"/>
      <c r="F108" s="737"/>
      <c r="G108" s="737"/>
      <c r="H108" s="737"/>
      <c r="I108" s="737"/>
      <c r="J108" s="737"/>
      <c r="K108" s="737"/>
      <c r="L108" s="737"/>
      <c r="M108" s="737"/>
      <c r="N108" s="737"/>
      <c r="O108" s="737"/>
      <c r="P108" s="737"/>
      <c r="Q108" s="737"/>
      <c r="R108" s="737"/>
      <c r="S108" s="737"/>
      <c r="T108" s="742"/>
      <c r="U108" s="737"/>
      <c r="V108" s="737"/>
      <c r="W108" s="737"/>
      <c r="X108" s="737"/>
      <c r="Y108" s="737"/>
    </row>
  </sheetData>
  <mergeCells count="32">
    <mergeCell ref="D37:E37"/>
    <mergeCell ref="X35:Y35"/>
    <mergeCell ref="S35:W35"/>
    <mergeCell ref="S37:W37"/>
    <mergeCell ref="X6:Y6"/>
    <mergeCell ref="X37:Y37"/>
    <mergeCell ref="U6:W6"/>
    <mergeCell ref="S36:W36"/>
    <mergeCell ref="X36:Y36"/>
    <mergeCell ref="B108:C108"/>
    <mergeCell ref="B107:C107"/>
    <mergeCell ref="S39:W39"/>
    <mergeCell ref="S38:W38"/>
    <mergeCell ref="U48:Y48"/>
    <mergeCell ref="U49:Y49"/>
    <mergeCell ref="X38:Y38"/>
    <mergeCell ref="X39:Y39"/>
    <mergeCell ref="O40:P40"/>
    <mergeCell ref="S46:W46"/>
    <mergeCell ref="S47:W47"/>
    <mergeCell ref="A12:A14"/>
    <mergeCell ref="A15:A22"/>
    <mergeCell ref="A23:A25"/>
    <mergeCell ref="A26:A29"/>
    <mergeCell ref="A1:P1"/>
    <mergeCell ref="B7:G7"/>
    <mergeCell ref="U5:W5"/>
    <mergeCell ref="X5:Y5"/>
    <mergeCell ref="U3:W3"/>
    <mergeCell ref="B4:G4"/>
    <mergeCell ref="U4:W4"/>
    <mergeCell ref="B5:G5"/>
  </mergeCells>
  <phoneticPr fontId="6" type="noConversion"/>
  <printOptions horizontalCentered="1" verticalCentered="1"/>
  <pageMargins left="0.39370078740157483" right="0.39370078740157483" top="0.39370078740157483" bottom="0.39370078740157483" header="0.39370078740157483" footer="0.39370078740157483"/>
  <pageSetup paperSize="9" scale="96" orientation="landscape" horizont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rgb="FF00B050"/>
    <pageSetUpPr fitToPage="1"/>
  </sheetPr>
  <dimension ref="A1:IV60"/>
  <sheetViews>
    <sheetView showGridLines="0" showZeros="0" zoomScaleNormal="100" workbookViewId="0">
      <pane xSplit="2" ySplit="5" topLeftCell="C24" activePane="bottomRight" state="frozen"/>
      <selection activeCell="J64" sqref="J64"/>
      <selection pane="topRight" activeCell="J64" sqref="J64"/>
      <selection pane="bottomLeft" activeCell="J64" sqref="J64"/>
      <selection pane="bottomRight" activeCell="C22" sqref="C22:E22"/>
    </sheetView>
  </sheetViews>
  <sheetFormatPr baseColWidth="10" defaultColWidth="5.85546875" defaultRowHeight="15.75" outlineLevelRow="1" x14ac:dyDescent="0.25"/>
  <cols>
    <col min="1" max="1" width="31.42578125" style="564" customWidth="1"/>
    <col min="2" max="2" width="22.42578125" style="564" customWidth="1"/>
    <col min="3" max="3" width="11.140625" style="564" customWidth="1"/>
    <col min="4" max="4" width="12" style="564" customWidth="1"/>
    <col min="5" max="24" width="11.7109375" style="570" customWidth="1"/>
    <col min="25" max="25" width="12.140625" style="567" customWidth="1"/>
    <col min="26" max="26" width="27.140625" style="567" customWidth="1"/>
    <col min="27" max="27" width="8.28515625" style="511" customWidth="1"/>
    <col min="28" max="28" width="5.85546875" style="567" customWidth="1"/>
    <col min="29" max="29" width="11.42578125" style="567" customWidth="1"/>
    <col min="30" max="30" width="27.140625" style="567" customWidth="1"/>
    <col min="31" max="31" width="8.28515625" style="511" customWidth="1"/>
    <col min="32" max="32" width="5.85546875" style="567" customWidth="1"/>
    <col min="33" max="33" width="11.42578125" style="567" customWidth="1"/>
    <col min="34" max="34" width="27.140625" style="567" customWidth="1"/>
    <col min="35" max="35" width="8.28515625" style="511" customWidth="1"/>
    <col min="36" max="36" width="5.85546875" style="567" customWidth="1"/>
    <col min="37" max="37" width="11.42578125" style="567" customWidth="1"/>
    <col min="38" max="38" width="27.140625" style="567" customWidth="1"/>
    <col min="39" max="39" width="8.28515625" style="511" customWidth="1"/>
    <col min="40" max="40" width="5.85546875" style="567" customWidth="1"/>
    <col min="41" max="41" width="11.42578125" style="567" customWidth="1"/>
    <col min="42" max="42" width="27.140625" style="567" customWidth="1"/>
    <col min="43" max="43" width="8.28515625" style="511" customWidth="1"/>
    <col min="44" max="44" width="5.85546875" style="567" customWidth="1"/>
    <col min="45" max="45" width="11.42578125" style="567" customWidth="1"/>
    <col min="46" max="46" width="27.140625" style="567" customWidth="1"/>
    <col min="47" max="47" width="8.28515625" style="511" customWidth="1"/>
    <col min="48" max="48" width="5.85546875" style="567" customWidth="1"/>
    <col min="49" max="49" width="11.42578125" style="567" customWidth="1"/>
    <col min="50" max="50" width="27.140625" style="567" customWidth="1"/>
    <col min="51" max="51" width="8.28515625" style="511" customWidth="1"/>
    <col min="52" max="52" width="5.85546875" style="567" customWidth="1"/>
    <col min="53" max="53" width="11.42578125" style="567" customWidth="1"/>
    <col min="54" max="54" width="27.140625" style="567" customWidth="1"/>
    <col min="55" max="55" width="8.28515625" style="511" customWidth="1"/>
    <col min="56" max="56" width="5.85546875" style="567" customWidth="1"/>
    <col min="57" max="57" width="11.42578125" style="567" customWidth="1"/>
    <col min="58" max="58" width="27.140625" style="567" customWidth="1"/>
    <col min="59" max="59" width="8.28515625" style="511" customWidth="1"/>
    <col min="60" max="60" width="5.85546875" style="567" customWidth="1"/>
    <col min="61" max="61" width="11.42578125" style="567" customWidth="1"/>
    <col min="62" max="62" width="27.140625" style="567" customWidth="1"/>
    <col min="63" max="63" width="8.28515625" style="511" customWidth="1"/>
    <col min="64" max="64" width="5.85546875" style="567" customWidth="1"/>
    <col min="65" max="65" width="11.42578125" style="567" customWidth="1"/>
    <col min="66" max="66" width="27.140625" style="567" customWidth="1"/>
    <col min="67" max="67" width="8.28515625" style="511" customWidth="1"/>
    <col min="68" max="68" width="5.85546875" style="567" customWidth="1"/>
    <col min="69" max="69" width="11.42578125" style="567" customWidth="1"/>
    <col min="70" max="70" width="27.140625" style="567" customWidth="1"/>
    <col min="71" max="71" width="8.28515625" style="511" customWidth="1"/>
    <col min="72" max="72" width="5.85546875" style="567" customWidth="1"/>
    <col min="73" max="73" width="11.42578125" style="567" customWidth="1"/>
    <col min="74" max="74" width="27.140625" style="567" customWidth="1"/>
    <col min="75" max="75" width="8.28515625" style="511" customWidth="1"/>
    <col min="76" max="76" width="5.85546875" style="567" customWidth="1"/>
    <col min="77" max="77" width="11.42578125" style="567" customWidth="1"/>
    <col min="78" max="78" width="27.140625" style="567" customWidth="1"/>
    <col min="79" max="79" width="8.28515625" style="511" customWidth="1"/>
    <col min="80" max="80" width="5.85546875" style="567" customWidth="1"/>
    <col min="81" max="81" width="11.42578125" style="567" customWidth="1"/>
    <col min="82" max="82" width="27.140625" style="567" customWidth="1"/>
    <col min="83" max="83" width="8.28515625" style="511" customWidth="1"/>
    <col min="84" max="84" width="5.85546875" style="567" customWidth="1"/>
    <col min="85" max="85" width="11.42578125" style="567" customWidth="1"/>
    <col min="86" max="86" width="27.140625" style="567" customWidth="1"/>
    <col min="87" max="87" width="8.28515625" style="511" customWidth="1"/>
    <col min="88" max="88" width="5.85546875" style="567" customWidth="1"/>
    <col min="89" max="89" width="11.42578125" style="567" customWidth="1"/>
    <col min="90" max="90" width="27.140625" style="567" customWidth="1"/>
    <col min="91" max="91" width="8.28515625" style="511" customWidth="1"/>
    <col min="92" max="92" width="5.85546875" style="567" customWidth="1"/>
    <col min="93" max="93" width="11.42578125" style="567" customWidth="1"/>
    <col min="94" max="94" width="27.140625" style="567" customWidth="1"/>
    <col min="95" max="95" width="8.28515625" style="511" customWidth="1"/>
    <col min="96" max="96" width="5.85546875" style="567" customWidth="1"/>
    <col min="97" max="97" width="11.42578125" style="567" customWidth="1"/>
    <col min="98" max="98" width="27.140625" style="567" customWidth="1"/>
    <col min="99" max="99" width="8.28515625" style="511" customWidth="1"/>
    <col min="100" max="100" width="5.85546875" style="567" customWidth="1"/>
    <col min="101" max="101" width="11.42578125" style="567" customWidth="1"/>
    <col min="102" max="102" width="27.140625" style="567" customWidth="1"/>
    <col min="103" max="103" width="8.28515625" style="511" customWidth="1"/>
    <col min="104" max="104" width="5.85546875" style="567" customWidth="1"/>
    <col min="105" max="105" width="11.42578125" style="567" customWidth="1"/>
    <col min="106" max="106" width="27.140625" style="567" customWidth="1"/>
    <col min="107" max="107" width="8.28515625" style="511" customWidth="1"/>
    <col min="108" max="108" width="5.85546875" style="567" customWidth="1"/>
    <col min="109" max="109" width="11.42578125" style="567" customWidth="1"/>
    <col min="110" max="110" width="27.140625" style="567" customWidth="1"/>
    <col min="111" max="111" width="8.28515625" style="511" customWidth="1"/>
    <col min="112" max="112" width="5.85546875" style="567" customWidth="1"/>
    <col min="113" max="113" width="11.42578125" style="567" customWidth="1"/>
    <col min="114" max="114" width="27.140625" style="567" customWidth="1"/>
    <col min="115" max="115" width="8.28515625" style="511" customWidth="1"/>
    <col min="116" max="116" width="5.85546875" style="567" customWidth="1"/>
    <col min="117" max="117" width="11.42578125" style="567" customWidth="1"/>
    <col min="118" max="118" width="27.140625" style="567" customWidth="1"/>
    <col min="119" max="119" width="8.28515625" style="511" customWidth="1"/>
    <col min="120" max="120" width="5.85546875" style="567" customWidth="1"/>
    <col min="121" max="121" width="11.42578125" style="567" customWidth="1"/>
    <col min="122" max="122" width="27.140625" style="567" customWidth="1"/>
    <col min="123" max="123" width="8.28515625" style="511" customWidth="1"/>
    <col min="124" max="124" width="5.85546875" style="567" customWidth="1"/>
    <col min="125" max="125" width="11.42578125" style="567" customWidth="1"/>
    <col min="126" max="126" width="27.140625" style="567" customWidth="1"/>
    <col min="127" max="127" width="8.28515625" style="511" customWidth="1"/>
    <col min="128" max="128" width="5.85546875" style="567" customWidth="1"/>
    <col min="129" max="129" width="11.42578125" style="567" customWidth="1"/>
    <col min="130" max="130" width="27.140625" style="567" customWidth="1"/>
    <col min="131" max="131" width="8.28515625" style="511" customWidth="1"/>
    <col min="132" max="132" width="5.85546875" style="567" customWidth="1"/>
    <col min="133" max="133" width="11.42578125" style="567" customWidth="1"/>
    <col min="134" max="134" width="27.140625" style="567" customWidth="1"/>
    <col min="135" max="135" width="8.28515625" style="511" customWidth="1"/>
    <col min="136" max="136" width="5.85546875" style="567" customWidth="1"/>
    <col min="137" max="137" width="11.42578125" style="567" customWidth="1"/>
    <col min="138" max="138" width="27.140625" style="567" customWidth="1"/>
    <col min="139" max="139" width="8.28515625" style="511" customWidth="1"/>
    <col min="140" max="140" width="5.85546875" style="567" customWidth="1"/>
    <col min="141" max="141" width="11.42578125" style="567" customWidth="1"/>
    <col min="142" max="142" width="27.140625" style="567" customWidth="1"/>
    <col min="143" max="143" width="8.28515625" style="511" customWidth="1"/>
    <col min="144" max="144" width="5.85546875" style="567" customWidth="1"/>
    <col min="145" max="145" width="11.42578125" style="567" customWidth="1"/>
    <col min="146" max="146" width="27.140625" style="567" customWidth="1"/>
    <col min="147" max="147" width="8.28515625" style="511" customWidth="1"/>
    <col min="148" max="148" width="5.85546875" style="567" customWidth="1"/>
    <col min="149" max="149" width="11.42578125" style="567" customWidth="1"/>
    <col min="150" max="150" width="27.140625" style="567" customWidth="1"/>
    <col min="151" max="151" width="8.28515625" style="511" customWidth="1"/>
    <col min="152" max="152" width="5.85546875" style="567" customWidth="1"/>
    <col min="153" max="153" width="11.42578125" style="567" customWidth="1"/>
    <col min="154" max="154" width="27.140625" style="567" customWidth="1"/>
    <col min="155" max="155" width="8.28515625" style="511" customWidth="1"/>
    <col min="156" max="156" width="5.85546875" style="567" customWidth="1"/>
    <col min="157" max="157" width="11.42578125" style="567" customWidth="1"/>
    <col min="158" max="158" width="27.140625" style="567" customWidth="1"/>
    <col min="159" max="159" width="8.28515625" style="511" customWidth="1"/>
    <col min="160" max="160" width="5.85546875" style="567" customWidth="1"/>
    <col min="161" max="161" width="11.42578125" style="567" customWidth="1"/>
    <col min="162" max="162" width="27.140625" style="567" customWidth="1"/>
    <col min="163" max="163" width="8.28515625" style="511" customWidth="1"/>
    <col min="164" max="164" width="5.85546875" style="567" customWidth="1"/>
    <col min="165" max="165" width="11.42578125" style="567" customWidth="1"/>
    <col min="166" max="166" width="27.140625" style="567" customWidth="1"/>
    <col min="167" max="167" width="8.28515625" style="511" customWidth="1"/>
    <col min="168" max="168" width="5.85546875" style="567" customWidth="1"/>
    <col min="169" max="169" width="11.42578125" style="567" customWidth="1"/>
    <col min="170" max="170" width="27.140625" style="567" customWidth="1"/>
    <col min="171" max="171" width="8.28515625" style="511" customWidth="1"/>
    <col min="172" max="172" width="5.85546875" style="567" customWidth="1"/>
    <col min="173" max="173" width="11.42578125" style="567" customWidth="1"/>
    <col min="174" max="174" width="27.140625" style="567" customWidth="1"/>
    <col min="175" max="175" width="8.28515625" style="511" customWidth="1"/>
    <col min="176" max="176" width="5.85546875" style="567" customWidth="1"/>
    <col min="177" max="177" width="11.42578125" style="567" customWidth="1"/>
    <col min="178" max="178" width="27.140625" style="567" customWidth="1"/>
    <col min="179" max="179" width="8.28515625" style="511" customWidth="1"/>
    <col min="180" max="180" width="5.85546875" style="567" customWidth="1"/>
    <col min="181" max="181" width="11.42578125" style="567" customWidth="1"/>
    <col min="182" max="182" width="27.140625" style="567" customWidth="1"/>
    <col min="183" max="183" width="8.28515625" style="511" customWidth="1"/>
    <col min="184" max="184" width="5.85546875" style="567" customWidth="1"/>
    <col min="185" max="185" width="11.42578125" style="567" customWidth="1"/>
    <col min="186" max="186" width="27.140625" style="567" customWidth="1"/>
    <col min="187" max="187" width="8.28515625" style="511" customWidth="1"/>
    <col min="188" max="188" width="5.85546875" style="567" customWidth="1"/>
    <col min="189" max="189" width="11.42578125" style="567" customWidth="1"/>
    <col min="190" max="190" width="27.140625" style="567" customWidth="1"/>
    <col min="191" max="191" width="8.28515625" style="511" customWidth="1"/>
    <col min="192" max="192" width="5.85546875" style="567" customWidth="1"/>
    <col min="193" max="193" width="11.42578125" style="567" customWidth="1"/>
    <col min="194" max="194" width="27.140625" style="567" customWidth="1"/>
    <col min="195" max="195" width="8.28515625" style="511" customWidth="1"/>
    <col min="196" max="196" width="5.85546875" style="567" customWidth="1"/>
    <col min="197" max="197" width="11.42578125" style="567" customWidth="1"/>
    <col min="198" max="198" width="27.140625" style="567" customWidth="1"/>
    <col min="199" max="199" width="8.28515625" style="511" customWidth="1"/>
    <col min="200" max="200" width="5.85546875" style="567" customWidth="1"/>
    <col min="201" max="201" width="11.42578125" style="567" customWidth="1"/>
    <col min="202" max="202" width="27.140625" style="567" customWidth="1"/>
    <col min="203" max="203" width="8.28515625" style="511" customWidth="1"/>
    <col min="204" max="204" width="5.85546875" style="567" customWidth="1"/>
    <col min="205" max="205" width="11.42578125" style="567" customWidth="1"/>
    <col min="206" max="206" width="27.140625" style="567" customWidth="1"/>
    <col min="207" max="207" width="8.28515625" style="511" customWidth="1"/>
    <col min="208" max="208" width="5.85546875" style="567" customWidth="1"/>
    <col min="209" max="209" width="11.42578125" style="567" customWidth="1"/>
    <col min="210" max="210" width="27.140625" style="567" customWidth="1"/>
    <col min="211" max="211" width="8.28515625" style="511" customWidth="1"/>
    <col min="212" max="212" width="5.85546875" style="567" customWidth="1"/>
    <col min="213" max="213" width="11.42578125" style="567" customWidth="1"/>
    <col min="214" max="214" width="27.140625" style="567" customWidth="1"/>
    <col min="215" max="215" width="8.28515625" style="511" customWidth="1"/>
    <col min="216" max="216" width="5.85546875" style="567" customWidth="1"/>
    <col min="217" max="217" width="11.42578125" style="567" customWidth="1"/>
    <col min="218" max="218" width="27.140625" style="567" customWidth="1"/>
    <col min="219" max="219" width="8.28515625" style="511" customWidth="1"/>
    <col min="220" max="220" width="5.85546875" style="567" customWidth="1"/>
    <col min="221" max="221" width="11.42578125" style="567" customWidth="1"/>
    <col min="222" max="222" width="27.140625" style="567" customWidth="1"/>
    <col min="223" max="223" width="8.28515625" style="511" customWidth="1"/>
    <col min="224" max="224" width="5.85546875" style="567" customWidth="1"/>
    <col min="225" max="225" width="11.42578125" style="567" customWidth="1"/>
    <col min="226" max="226" width="27.140625" style="567" customWidth="1"/>
    <col min="227" max="227" width="8.28515625" style="511" customWidth="1"/>
    <col min="228" max="228" width="5.85546875" style="567" customWidth="1"/>
    <col min="229" max="229" width="11.42578125" style="567" customWidth="1"/>
    <col min="230" max="230" width="27.140625" style="567" customWidth="1"/>
    <col min="231" max="231" width="8.28515625" style="511" customWidth="1"/>
    <col min="232" max="232" width="5.85546875" style="567" customWidth="1"/>
    <col min="233" max="233" width="11.42578125" style="567" customWidth="1"/>
    <col min="234" max="234" width="27.140625" style="567" customWidth="1"/>
    <col min="235" max="235" width="8.28515625" style="511" customWidth="1"/>
    <col min="236" max="236" width="5.85546875" style="567" customWidth="1"/>
    <col min="237" max="237" width="11.42578125" style="567" customWidth="1"/>
    <col min="238" max="238" width="27.140625" style="567" customWidth="1"/>
    <col min="239" max="239" width="8.28515625" style="511" customWidth="1"/>
    <col min="240" max="240" width="5.85546875" style="567" customWidth="1"/>
    <col min="241" max="241" width="11.42578125" style="567" customWidth="1"/>
    <col min="242" max="242" width="27.140625" style="567" customWidth="1"/>
    <col min="243" max="243" width="8.28515625" style="511" customWidth="1"/>
    <col min="244" max="244" width="5.85546875" style="567" customWidth="1"/>
    <col min="245" max="245" width="11.42578125" style="567" customWidth="1"/>
    <col min="246" max="246" width="27.140625" style="567" customWidth="1"/>
    <col min="247" max="247" width="8.28515625" style="511" customWidth="1"/>
    <col min="248" max="248" width="5.85546875" style="567" customWidth="1"/>
    <col min="249" max="249" width="11.42578125" style="567" customWidth="1"/>
    <col min="250" max="250" width="27.140625" style="567" customWidth="1"/>
    <col min="251" max="251" width="8.28515625" style="511" customWidth="1"/>
    <col min="252" max="252" width="5.85546875" style="567" customWidth="1"/>
    <col min="253" max="253" width="11.42578125" style="567" customWidth="1"/>
    <col min="254" max="254" width="27.140625" style="567" customWidth="1"/>
    <col min="255" max="255" width="8.28515625" style="511" customWidth="1"/>
    <col min="256" max="16384" width="5.85546875" style="567"/>
  </cols>
  <sheetData>
    <row r="1" spans="1:256" x14ac:dyDescent="0.25">
      <c r="A1" s="1240" t="s">
        <v>1126</v>
      </c>
      <c r="B1" s="1240"/>
      <c r="C1" s="1240"/>
      <c r="D1" s="1240"/>
      <c r="E1" s="1240"/>
      <c r="F1" s="1240"/>
      <c r="G1" s="1240"/>
      <c r="H1" s="1240"/>
      <c r="I1" s="1240"/>
      <c r="J1" s="1240"/>
      <c r="K1" s="1240"/>
      <c r="L1" s="1240"/>
      <c r="M1" s="572"/>
      <c r="N1" s="572"/>
      <c r="O1" s="572"/>
      <c r="P1" s="572"/>
      <c r="Q1" s="572"/>
      <c r="R1" s="572"/>
      <c r="S1" s="572"/>
      <c r="T1" s="572"/>
      <c r="U1" s="572"/>
      <c r="V1" s="572"/>
      <c r="W1" s="572"/>
      <c r="X1" s="572"/>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0"/>
      <c r="EU1" s="510"/>
      <c r="EV1" s="510"/>
      <c r="EW1" s="510"/>
      <c r="EX1" s="510"/>
      <c r="EY1" s="510"/>
      <c r="EZ1" s="510"/>
      <c r="FA1" s="510"/>
      <c r="FB1" s="510"/>
      <c r="FC1" s="510"/>
      <c r="FD1" s="510"/>
      <c r="FE1" s="510"/>
      <c r="FF1" s="510"/>
      <c r="FG1" s="510"/>
      <c r="FH1" s="510"/>
      <c r="FI1" s="510"/>
      <c r="FJ1" s="510"/>
      <c r="FK1" s="510"/>
      <c r="FL1" s="510"/>
      <c r="FM1" s="510"/>
      <c r="FN1" s="510"/>
      <c r="FO1" s="510"/>
      <c r="FP1" s="510"/>
      <c r="FQ1" s="510"/>
      <c r="FR1" s="510"/>
      <c r="FS1" s="510"/>
      <c r="FT1" s="510"/>
      <c r="FU1" s="510"/>
      <c r="FV1" s="510"/>
      <c r="FW1" s="510"/>
      <c r="FX1" s="510"/>
      <c r="FY1" s="510"/>
      <c r="FZ1" s="510"/>
      <c r="GA1" s="510"/>
      <c r="GB1" s="510"/>
      <c r="GC1" s="510"/>
      <c r="GD1" s="510"/>
      <c r="GE1" s="510"/>
      <c r="GF1" s="510"/>
      <c r="GG1" s="510"/>
      <c r="GH1" s="510"/>
      <c r="GI1" s="510"/>
      <c r="GJ1" s="510"/>
      <c r="GK1" s="510"/>
      <c r="GL1" s="510"/>
      <c r="GM1" s="510"/>
      <c r="GN1" s="510"/>
      <c r="GO1" s="510"/>
      <c r="GP1" s="510"/>
      <c r="GQ1" s="510"/>
      <c r="GR1" s="510"/>
      <c r="GS1" s="510"/>
      <c r="GT1" s="510"/>
      <c r="GU1" s="510"/>
      <c r="GV1" s="510"/>
      <c r="GW1" s="510"/>
      <c r="GX1" s="510"/>
      <c r="GY1" s="510"/>
      <c r="GZ1" s="510"/>
      <c r="HA1" s="510"/>
      <c r="HB1" s="510"/>
      <c r="HC1" s="510"/>
      <c r="HD1" s="510"/>
      <c r="HE1" s="510"/>
      <c r="HF1" s="510"/>
      <c r="HG1" s="510"/>
      <c r="HH1" s="510"/>
      <c r="HI1" s="510"/>
      <c r="HJ1" s="510"/>
      <c r="HK1" s="510"/>
      <c r="HL1" s="510"/>
      <c r="HM1" s="510"/>
      <c r="HN1" s="510"/>
      <c r="HO1" s="510"/>
      <c r="HP1" s="510"/>
      <c r="HQ1" s="510"/>
      <c r="HR1" s="510"/>
      <c r="HS1" s="510"/>
      <c r="HT1" s="510"/>
      <c r="HU1" s="510"/>
      <c r="HV1" s="510"/>
      <c r="HW1" s="510"/>
      <c r="HX1" s="510"/>
      <c r="HY1" s="510"/>
      <c r="HZ1" s="510"/>
      <c r="IA1" s="510"/>
      <c r="IB1" s="510"/>
      <c r="IC1" s="510"/>
      <c r="ID1" s="510"/>
      <c r="IE1" s="510"/>
      <c r="IF1" s="510"/>
      <c r="IG1" s="510"/>
      <c r="IH1" s="510"/>
      <c r="II1" s="510"/>
      <c r="IJ1" s="510"/>
      <c r="IK1" s="510"/>
      <c r="IL1" s="510"/>
      <c r="IM1" s="510"/>
      <c r="IN1" s="510"/>
      <c r="IO1" s="510"/>
      <c r="IP1" s="510"/>
      <c r="IQ1" s="510"/>
      <c r="IR1" s="510"/>
      <c r="IS1" s="510"/>
      <c r="IT1" s="510"/>
      <c r="IU1" s="510"/>
      <c r="IV1" s="510"/>
    </row>
    <row r="2" spans="1:256" ht="16.5" thickBot="1" x14ac:dyDescent="0.3">
      <c r="A2" s="512"/>
      <c r="B2" s="512"/>
      <c r="C2" s="512"/>
      <c r="D2" s="512">
        <f>57-23</f>
        <v>34</v>
      </c>
      <c r="E2" s="513"/>
      <c r="F2" s="513">
        <f>2717-1404</f>
        <v>1313</v>
      </c>
      <c r="G2" s="513"/>
      <c r="H2" s="513"/>
      <c r="I2" s="513"/>
      <c r="J2" s="513"/>
      <c r="K2" s="513"/>
      <c r="L2" s="513"/>
      <c r="M2" s="513"/>
      <c r="N2" s="513"/>
      <c r="O2" s="513"/>
      <c r="P2" s="513"/>
      <c r="Q2" s="513"/>
      <c r="R2" s="513"/>
      <c r="S2" s="513"/>
      <c r="T2" s="513"/>
      <c r="U2" s="513"/>
      <c r="V2" s="513"/>
      <c r="W2" s="513"/>
      <c r="X2" s="513"/>
      <c r="Y2" s="514"/>
      <c r="Z2" s="514"/>
      <c r="AA2" s="515"/>
      <c r="AB2" s="514"/>
      <c r="AC2" s="514"/>
      <c r="AD2" s="514"/>
      <c r="AE2" s="515"/>
      <c r="AF2" s="514"/>
      <c r="AG2" s="514"/>
      <c r="AH2" s="514"/>
      <c r="AI2" s="515"/>
      <c r="AJ2" s="514"/>
      <c r="AK2" s="514"/>
      <c r="AL2" s="514"/>
      <c r="AM2" s="515"/>
      <c r="AN2" s="514"/>
      <c r="AO2" s="514"/>
      <c r="AP2" s="514"/>
      <c r="AQ2" s="515"/>
      <c r="AR2" s="514"/>
      <c r="AS2" s="514"/>
      <c r="AT2" s="514"/>
      <c r="AU2" s="515"/>
      <c r="AV2" s="514"/>
      <c r="AW2" s="514"/>
      <c r="AX2" s="514"/>
      <c r="AY2" s="515"/>
      <c r="AZ2" s="514"/>
      <c r="BA2" s="514"/>
      <c r="BB2" s="514"/>
      <c r="BC2" s="515"/>
      <c r="BD2" s="514"/>
      <c r="BE2" s="514"/>
      <c r="BF2" s="514"/>
      <c r="BG2" s="515"/>
      <c r="BH2" s="514"/>
      <c r="BI2" s="514"/>
      <c r="BJ2" s="514"/>
      <c r="BK2" s="515"/>
      <c r="BL2" s="514"/>
      <c r="BM2" s="514"/>
      <c r="BN2" s="514"/>
      <c r="BO2" s="515"/>
      <c r="BP2" s="514"/>
      <c r="BQ2" s="514"/>
      <c r="BR2" s="514"/>
      <c r="BS2" s="515"/>
      <c r="BT2" s="514"/>
      <c r="BU2" s="514"/>
      <c r="BV2" s="514"/>
      <c r="BW2" s="515"/>
      <c r="BX2" s="514"/>
      <c r="BY2" s="514"/>
      <c r="BZ2" s="514"/>
      <c r="CA2" s="515"/>
      <c r="CB2" s="514"/>
      <c r="CC2" s="514"/>
      <c r="CD2" s="514"/>
      <c r="CE2" s="515"/>
      <c r="CF2" s="514"/>
      <c r="CG2" s="514"/>
      <c r="CH2" s="514"/>
      <c r="CI2" s="515"/>
      <c r="CJ2" s="514"/>
      <c r="CK2" s="514"/>
      <c r="CL2" s="514"/>
      <c r="CM2" s="515"/>
      <c r="CN2" s="514"/>
      <c r="CO2" s="514"/>
      <c r="CP2" s="514"/>
      <c r="CQ2" s="515"/>
      <c r="CR2" s="514"/>
      <c r="CS2" s="514"/>
      <c r="CT2" s="514"/>
      <c r="CU2" s="515"/>
      <c r="CV2" s="514"/>
      <c r="CW2" s="514"/>
      <c r="CX2" s="514"/>
      <c r="CY2" s="515"/>
      <c r="CZ2" s="514"/>
      <c r="DA2" s="514"/>
      <c r="DB2" s="514"/>
      <c r="DC2" s="515"/>
      <c r="DD2" s="514"/>
      <c r="DE2" s="514"/>
      <c r="DF2" s="514"/>
      <c r="DG2" s="515"/>
      <c r="DH2" s="514"/>
      <c r="DI2" s="514"/>
      <c r="DJ2" s="514"/>
      <c r="DK2" s="515"/>
      <c r="DL2" s="514"/>
      <c r="DM2" s="514"/>
      <c r="DN2" s="514"/>
      <c r="DO2" s="515"/>
      <c r="DP2" s="514"/>
      <c r="DQ2" s="514"/>
      <c r="DR2" s="514"/>
      <c r="DS2" s="515"/>
      <c r="DT2" s="514"/>
      <c r="DU2" s="514"/>
      <c r="DV2" s="514"/>
      <c r="DW2" s="515"/>
      <c r="DX2" s="514"/>
      <c r="DY2" s="514"/>
      <c r="DZ2" s="514"/>
      <c r="EA2" s="515"/>
      <c r="EB2" s="514"/>
      <c r="EC2" s="514"/>
      <c r="ED2" s="514"/>
      <c r="EE2" s="515"/>
      <c r="EF2" s="514"/>
      <c r="EG2" s="514"/>
      <c r="EH2" s="514"/>
      <c r="EI2" s="515"/>
      <c r="EJ2" s="514"/>
      <c r="EK2" s="514"/>
      <c r="EL2" s="514"/>
      <c r="EM2" s="515"/>
      <c r="EN2" s="514"/>
      <c r="EO2" s="514"/>
      <c r="EP2" s="514"/>
      <c r="EQ2" s="515"/>
      <c r="ER2" s="514"/>
      <c r="ES2" s="514"/>
      <c r="ET2" s="514"/>
      <c r="EU2" s="515"/>
      <c r="EV2" s="514"/>
      <c r="EW2" s="514"/>
      <c r="EX2" s="514"/>
      <c r="EY2" s="515"/>
      <c r="EZ2" s="514"/>
      <c r="FA2" s="514"/>
      <c r="FB2" s="514"/>
      <c r="FC2" s="515"/>
      <c r="FD2" s="514"/>
      <c r="FE2" s="514"/>
      <c r="FF2" s="514"/>
      <c r="FG2" s="515"/>
      <c r="FH2" s="514"/>
      <c r="FI2" s="514"/>
      <c r="FJ2" s="514"/>
      <c r="FK2" s="515"/>
      <c r="FL2" s="514"/>
      <c r="FM2" s="514"/>
      <c r="FN2" s="514"/>
      <c r="FO2" s="515"/>
      <c r="FP2" s="514"/>
      <c r="FQ2" s="514"/>
      <c r="FR2" s="514"/>
      <c r="FS2" s="515"/>
      <c r="FT2" s="514"/>
      <c r="FU2" s="514"/>
      <c r="FV2" s="514"/>
      <c r="FW2" s="515"/>
      <c r="FX2" s="514"/>
      <c r="FY2" s="514"/>
      <c r="FZ2" s="514"/>
      <c r="GA2" s="515"/>
      <c r="GB2" s="514"/>
      <c r="GC2" s="514"/>
      <c r="GD2" s="514"/>
      <c r="GE2" s="515"/>
      <c r="GF2" s="514"/>
      <c r="GG2" s="514"/>
      <c r="GH2" s="514"/>
      <c r="GI2" s="515"/>
      <c r="GJ2" s="514"/>
      <c r="GK2" s="514"/>
      <c r="GL2" s="514"/>
      <c r="GM2" s="515"/>
      <c r="GN2" s="514"/>
      <c r="GO2" s="514"/>
      <c r="GP2" s="514"/>
      <c r="GQ2" s="515"/>
      <c r="GR2" s="514"/>
      <c r="GS2" s="514"/>
      <c r="GT2" s="514"/>
      <c r="GU2" s="515"/>
      <c r="GV2" s="514"/>
      <c r="GW2" s="514"/>
      <c r="GX2" s="514"/>
      <c r="GY2" s="515"/>
      <c r="GZ2" s="514"/>
      <c r="HA2" s="514"/>
      <c r="HB2" s="514"/>
      <c r="HC2" s="515"/>
      <c r="HD2" s="514"/>
      <c r="HE2" s="514"/>
      <c r="HF2" s="514"/>
      <c r="HG2" s="515"/>
      <c r="HH2" s="514"/>
      <c r="HI2" s="514"/>
      <c r="HJ2" s="514"/>
      <c r="HK2" s="515"/>
      <c r="HL2" s="514"/>
      <c r="HM2" s="514"/>
      <c r="HN2" s="514"/>
      <c r="HO2" s="515"/>
      <c r="HP2" s="514"/>
      <c r="HQ2" s="514"/>
      <c r="HR2" s="514"/>
      <c r="HS2" s="515"/>
      <c r="HT2" s="514"/>
      <c r="HU2" s="514"/>
      <c r="HV2" s="514"/>
      <c r="HW2" s="515"/>
      <c r="HX2" s="514"/>
      <c r="HY2" s="514"/>
      <c r="HZ2" s="514"/>
      <c r="IA2" s="515"/>
      <c r="IB2" s="514"/>
      <c r="IC2" s="514"/>
      <c r="ID2" s="514"/>
      <c r="IE2" s="515"/>
      <c r="IF2" s="514"/>
      <c r="IG2" s="514"/>
      <c r="IH2" s="514"/>
      <c r="II2" s="515"/>
      <c r="IJ2" s="514"/>
      <c r="IK2" s="514"/>
      <c r="IL2" s="514"/>
      <c r="IM2" s="515"/>
      <c r="IN2" s="514"/>
      <c r="IO2" s="514"/>
      <c r="IP2" s="514"/>
      <c r="IQ2" s="515"/>
      <c r="IR2" s="514"/>
      <c r="IS2" s="514"/>
      <c r="IT2" s="514"/>
      <c r="IU2" s="515"/>
      <c r="IV2" s="514"/>
    </row>
    <row r="3" spans="1:256" x14ac:dyDescent="0.25">
      <c r="A3" s="516"/>
      <c r="B3" s="517"/>
      <c r="C3" s="518"/>
      <c r="D3" s="518"/>
      <c r="E3" s="519"/>
      <c r="F3" s="519"/>
      <c r="G3" s="519"/>
      <c r="H3" s="519"/>
      <c r="I3" s="519"/>
      <c r="J3" s="519"/>
      <c r="K3" s="519"/>
      <c r="L3" s="519"/>
      <c r="M3" s="519"/>
      <c r="N3" s="519"/>
      <c r="O3" s="519"/>
      <c r="P3" s="519"/>
      <c r="Q3" s="519"/>
      <c r="R3" s="519"/>
      <c r="S3" s="519"/>
      <c r="T3" s="519"/>
      <c r="U3" s="519"/>
      <c r="V3" s="519"/>
      <c r="W3" s="519"/>
      <c r="X3" s="519"/>
      <c r="Y3" s="519"/>
      <c r="Z3" s="514"/>
      <c r="AA3" s="515"/>
      <c r="AB3" s="514"/>
      <c r="AC3" s="514"/>
      <c r="AD3" s="514"/>
      <c r="AE3" s="515"/>
      <c r="AF3" s="514"/>
      <c r="AG3" s="514"/>
      <c r="AH3" s="514"/>
      <c r="AI3" s="515"/>
      <c r="AJ3" s="514"/>
      <c r="AK3" s="514"/>
      <c r="AL3" s="514"/>
      <c r="AM3" s="515"/>
      <c r="AN3" s="514"/>
      <c r="AO3" s="514"/>
      <c r="AP3" s="514"/>
      <c r="AQ3" s="515"/>
      <c r="AR3" s="514"/>
      <c r="AS3" s="514"/>
      <c r="AT3" s="514"/>
      <c r="AU3" s="515"/>
      <c r="AV3" s="514"/>
      <c r="AW3" s="514"/>
      <c r="AX3" s="514"/>
      <c r="AY3" s="515"/>
      <c r="AZ3" s="514"/>
      <c r="BA3" s="514"/>
      <c r="BB3" s="514"/>
      <c r="BC3" s="515"/>
      <c r="BD3" s="514"/>
      <c r="BE3" s="514"/>
      <c r="BF3" s="514"/>
      <c r="BG3" s="515"/>
      <c r="BH3" s="514"/>
      <c r="BI3" s="514"/>
      <c r="BJ3" s="514"/>
      <c r="BK3" s="515"/>
      <c r="BL3" s="514"/>
      <c r="BM3" s="514"/>
      <c r="BN3" s="514"/>
      <c r="BO3" s="515"/>
      <c r="BP3" s="514"/>
      <c r="BQ3" s="514"/>
      <c r="BR3" s="514"/>
      <c r="BS3" s="515"/>
      <c r="BT3" s="514"/>
      <c r="BU3" s="514"/>
      <c r="BV3" s="514"/>
      <c r="BW3" s="515"/>
      <c r="BX3" s="514"/>
      <c r="BY3" s="514"/>
      <c r="BZ3" s="514"/>
      <c r="CA3" s="515"/>
      <c r="CB3" s="514"/>
      <c r="CC3" s="514"/>
      <c r="CD3" s="514"/>
      <c r="CE3" s="515"/>
      <c r="CF3" s="514"/>
      <c r="CG3" s="514"/>
      <c r="CH3" s="514"/>
      <c r="CI3" s="515"/>
      <c r="CJ3" s="514"/>
      <c r="CK3" s="514"/>
      <c r="CL3" s="514"/>
      <c r="CM3" s="515"/>
      <c r="CN3" s="514"/>
      <c r="CO3" s="514"/>
      <c r="CP3" s="514"/>
      <c r="CQ3" s="515"/>
      <c r="CR3" s="514"/>
      <c r="CS3" s="514"/>
      <c r="CT3" s="514"/>
      <c r="CU3" s="515"/>
      <c r="CV3" s="514"/>
      <c r="CW3" s="514"/>
      <c r="CX3" s="514"/>
      <c r="CY3" s="515"/>
      <c r="CZ3" s="514"/>
      <c r="DA3" s="514"/>
      <c r="DB3" s="514"/>
      <c r="DC3" s="515"/>
      <c r="DD3" s="514"/>
      <c r="DE3" s="514"/>
      <c r="DF3" s="514"/>
      <c r="DG3" s="515"/>
      <c r="DH3" s="514"/>
      <c r="DI3" s="514"/>
      <c r="DJ3" s="514"/>
      <c r="DK3" s="515"/>
      <c r="DL3" s="514"/>
      <c r="DM3" s="514"/>
      <c r="DN3" s="514"/>
      <c r="DO3" s="515"/>
      <c r="DP3" s="514"/>
      <c r="DQ3" s="514"/>
      <c r="DR3" s="514"/>
      <c r="DS3" s="515"/>
      <c r="DT3" s="514"/>
      <c r="DU3" s="514"/>
      <c r="DV3" s="514"/>
      <c r="DW3" s="515"/>
      <c r="DX3" s="514"/>
      <c r="DY3" s="514"/>
      <c r="DZ3" s="514"/>
      <c r="EA3" s="515"/>
      <c r="EB3" s="514"/>
      <c r="EC3" s="514"/>
      <c r="ED3" s="514"/>
      <c r="EE3" s="515"/>
      <c r="EF3" s="514"/>
      <c r="EG3" s="514"/>
      <c r="EH3" s="514"/>
      <c r="EI3" s="515"/>
      <c r="EJ3" s="514"/>
      <c r="EK3" s="514"/>
      <c r="EL3" s="514"/>
      <c r="EM3" s="515"/>
      <c r="EN3" s="514"/>
      <c r="EO3" s="514"/>
      <c r="EP3" s="514"/>
      <c r="EQ3" s="515"/>
      <c r="ER3" s="514"/>
      <c r="ES3" s="514"/>
      <c r="ET3" s="514"/>
      <c r="EU3" s="515"/>
      <c r="EV3" s="514"/>
      <c r="EW3" s="514"/>
      <c r="EX3" s="514"/>
      <c r="EY3" s="515"/>
      <c r="EZ3" s="514"/>
      <c r="FA3" s="514"/>
      <c r="FB3" s="514"/>
      <c r="FC3" s="515"/>
      <c r="FD3" s="514"/>
      <c r="FE3" s="514"/>
      <c r="FF3" s="514"/>
      <c r="FG3" s="515"/>
      <c r="FH3" s="514"/>
      <c r="FI3" s="514"/>
      <c r="FJ3" s="514"/>
      <c r="FK3" s="515"/>
      <c r="FL3" s="514"/>
      <c r="FM3" s="514"/>
      <c r="FN3" s="514"/>
      <c r="FO3" s="515"/>
      <c r="FP3" s="514"/>
      <c r="FQ3" s="514"/>
      <c r="FR3" s="514"/>
      <c r="FS3" s="515"/>
      <c r="FT3" s="514"/>
      <c r="FU3" s="514"/>
      <c r="FV3" s="514"/>
      <c r="FW3" s="515"/>
      <c r="FX3" s="514"/>
      <c r="FY3" s="514"/>
      <c r="FZ3" s="514"/>
      <c r="GA3" s="515"/>
      <c r="GB3" s="514"/>
      <c r="GC3" s="514"/>
      <c r="GD3" s="514"/>
      <c r="GE3" s="515"/>
      <c r="GF3" s="514"/>
      <c r="GG3" s="514"/>
      <c r="GH3" s="514"/>
      <c r="GI3" s="515"/>
      <c r="GJ3" s="514"/>
      <c r="GK3" s="514"/>
      <c r="GL3" s="514"/>
      <c r="GM3" s="515"/>
      <c r="GN3" s="514"/>
      <c r="GO3" s="514"/>
      <c r="GP3" s="514"/>
      <c r="GQ3" s="515"/>
      <c r="GR3" s="514"/>
      <c r="GS3" s="514"/>
      <c r="GT3" s="514"/>
      <c r="GU3" s="515"/>
      <c r="GV3" s="514"/>
      <c r="GW3" s="514"/>
      <c r="GX3" s="514"/>
      <c r="GY3" s="515"/>
      <c r="GZ3" s="514"/>
      <c r="HA3" s="514"/>
      <c r="HB3" s="514"/>
      <c r="HC3" s="515"/>
      <c r="HD3" s="514"/>
      <c r="HE3" s="514"/>
      <c r="HF3" s="514"/>
      <c r="HG3" s="515"/>
      <c r="HH3" s="514"/>
      <c r="HI3" s="514"/>
      <c r="HJ3" s="514"/>
      <c r="HK3" s="515"/>
      <c r="HL3" s="514"/>
      <c r="HM3" s="514"/>
      <c r="HN3" s="514"/>
      <c r="HO3" s="515"/>
      <c r="HP3" s="514"/>
      <c r="HQ3" s="514"/>
      <c r="HR3" s="514"/>
      <c r="HS3" s="515"/>
      <c r="HT3" s="514"/>
      <c r="HU3" s="514"/>
      <c r="HV3" s="514"/>
      <c r="HW3" s="515"/>
      <c r="HX3" s="514"/>
      <c r="HY3" s="514"/>
      <c r="HZ3" s="514"/>
      <c r="IA3" s="515"/>
      <c r="IB3" s="514"/>
      <c r="IC3" s="514"/>
      <c r="ID3" s="514"/>
      <c r="IE3" s="515"/>
      <c r="IF3" s="514"/>
      <c r="IG3" s="514"/>
      <c r="IH3" s="514"/>
      <c r="II3" s="515"/>
      <c r="IJ3" s="514"/>
      <c r="IK3" s="514"/>
      <c r="IL3" s="514"/>
      <c r="IM3" s="515"/>
      <c r="IN3" s="514"/>
      <c r="IO3" s="514"/>
      <c r="IP3" s="514"/>
      <c r="IQ3" s="515"/>
      <c r="IR3" s="514"/>
      <c r="IS3" s="514"/>
      <c r="IT3" s="514"/>
      <c r="IU3" s="515"/>
      <c r="IV3" s="514"/>
    </row>
    <row r="4" spans="1:256" x14ac:dyDescent="0.25">
      <c r="A4" s="520"/>
      <c r="B4" s="521" t="s">
        <v>353</v>
      </c>
      <c r="C4" s="816">
        <v>42369</v>
      </c>
      <c r="D4" s="816">
        <v>42735</v>
      </c>
      <c r="E4" s="816">
        <v>43100</v>
      </c>
      <c r="F4" s="816">
        <v>43465</v>
      </c>
      <c r="G4" s="816">
        <v>43830</v>
      </c>
      <c r="H4" s="816">
        <v>44196</v>
      </c>
      <c r="I4" s="816">
        <v>44561</v>
      </c>
      <c r="J4" s="816">
        <v>44926</v>
      </c>
      <c r="K4" s="816">
        <v>45291</v>
      </c>
      <c r="L4" s="816">
        <v>45657</v>
      </c>
      <c r="M4" s="816">
        <v>46022</v>
      </c>
      <c r="N4" s="816">
        <v>46387</v>
      </c>
      <c r="O4" s="816">
        <v>46752</v>
      </c>
      <c r="P4" s="816">
        <v>47118</v>
      </c>
      <c r="Q4" s="816">
        <v>47483</v>
      </c>
      <c r="R4" s="816">
        <v>47848</v>
      </c>
      <c r="S4" s="816">
        <v>48213</v>
      </c>
      <c r="T4" s="816">
        <v>48579</v>
      </c>
      <c r="U4" s="816">
        <v>48944</v>
      </c>
      <c r="V4" s="816">
        <v>49309</v>
      </c>
      <c r="W4" s="816">
        <v>49674</v>
      </c>
      <c r="X4" s="816">
        <v>50040</v>
      </c>
      <c r="Y4" s="817">
        <v>50405</v>
      </c>
      <c r="Z4" s="522"/>
      <c r="AA4" s="523"/>
      <c r="AB4" s="522"/>
      <c r="AC4" s="522"/>
      <c r="AD4" s="522"/>
      <c r="AE4" s="523"/>
      <c r="AF4" s="522"/>
      <c r="AG4" s="522"/>
      <c r="AH4" s="522"/>
      <c r="AI4" s="523"/>
      <c r="AJ4" s="522"/>
      <c r="AK4" s="522"/>
      <c r="AL4" s="522"/>
      <c r="AM4" s="523"/>
      <c r="AN4" s="522"/>
      <c r="AO4" s="522"/>
      <c r="AP4" s="522"/>
      <c r="AQ4" s="523"/>
      <c r="AR4" s="522"/>
      <c r="AS4" s="522"/>
      <c r="AT4" s="522"/>
      <c r="AU4" s="523"/>
      <c r="AV4" s="522"/>
      <c r="AW4" s="522"/>
      <c r="AX4" s="522"/>
      <c r="AY4" s="523"/>
      <c r="AZ4" s="522"/>
      <c r="BA4" s="522"/>
      <c r="BB4" s="522"/>
      <c r="BC4" s="523"/>
      <c r="BD4" s="522"/>
      <c r="BE4" s="522"/>
      <c r="BF4" s="522"/>
      <c r="BG4" s="523"/>
      <c r="BH4" s="522"/>
      <c r="BI4" s="522"/>
      <c r="BJ4" s="522"/>
      <c r="BK4" s="523"/>
      <c r="BL4" s="522"/>
      <c r="BM4" s="522"/>
      <c r="BN4" s="522"/>
      <c r="BO4" s="523"/>
      <c r="BP4" s="522"/>
      <c r="BQ4" s="522"/>
      <c r="BR4" s="522"/>
      <c r="BS4" s="523"/>
      <c r="BT4" s="522"/>
      <c r="BU4" s="522"/>
      <c r="BV4" s="522"/>
      <c r="BW4" s="523"/>
      <c r="BX4" s="522"/>
      <c r="BY4" s="522"/>
      <c r="BZ4" s="522"/>
      <c r="CA4" s="523"/>
      <c r="CB4" s="522"/>
      <c r="CC4" s="522"/>
      <c r="CD4" s="522"/>
      <c r="CE4" s="523"/>
      <c r="CF4" s="522"/>
      <c r="CG4" s="522"/>
      <c r="CH4" s="522"/>
      <c r="CI4" s="523"/>
      <c r="CJ4" s="522"/>
      <c r="CK4" s="522"/>
      <c r="CL4" s="522"/>
      <c r="CM4" s="523"/>
      <c r="CN4" s="522"/>
      <c r="CO4" s="522"/>
      <c r="CP4" s="522"/>
      <c r="CQ4" s="523"/>
      <c r="CR4" s="522"/>
      <c r="CS4" s="522"/>
      <c r="CT4" s="522"/>
      <c r="CU4" s="523"/>
      <c r="CV4" s="522"/>
      <c r="CW4" s="522"/>
      <c r="CX4" s="522"/>
      <c r="CY4" s="523"/>
      <c r="CZ4" s="522"/>
      <c r="DA4" s="522"/>
      <c r="DB4" s="522"/>
      <c r="DC4" s="523"/>
      <c r="DD4" s="522"/>
      <c r="DE4" s="522"/>
      <c r="DF4" s="522"/>
      <c r="DG4" s="523"/>
      <c r="DH4" s="522"/>
      <c r="DI4" s="522"/>
      <c r="DJ4" s="522"/>
      <c r="DK4" s="523"/>
      <c r="DL4" s="522"/>
      <c r="DM4" s="522"/>
      <c r="DN4" s="522"/>
      <c r="DO4" s="523"/>
      <c r="DP4" s="522"/>
      <c r="DQ4" s="522"/>
      <c r="DR4" s="522"/>
      <c r="DS4" s="523"/>
      <c r="DT4" s="522"/>
      <c r="DU4" s="522"/>
      <c r="DV4" s="522"/>
      <c r="DW4" s="523"/>
      <c r="DX4" s="522"/>
      <c r="DY4" s="522"/>
      <c r="DZ4" s="522"/>
      <c r="EA4" s="523"/>
      <c r="EB4" s="522"/>
      <c r="EC4" s="522"/>
      <c r="ED4" s="522"/>
      <c r="EE4" s="523"/>
      <c r="EF4" s="522"/>
      <c r="EG4" s="522"/>
      <c r="EH4" s="522"/>
      <c r="EI4" s="523"/>
      <c r="EJ4" s="522"/>
      <c r="EK4" s="522"/>
      <c r="EL4" s="522"/>
      <c r="EM4" s="523"/>
      <c r="EN4" s="522"/>
      <c r="EO4" s="522"/>
      <c r="EP4" s="522"/>
      <c r="EQ4" s="523"/>
      <c r="ER4" s="522"/>
      <c r="ES4" s="522"/>
      <c r="ET4" s="522"/>
      <c r="EU4" s="523"/>
      <c r="EV4" s="522"/>
      <c r="EW4" s="522"/>
      <c r="EX4" s="522"/>
      <c r="EY4" s="523"/>
      <c r="EZ4" s="522"/>
      <c r="FA4" s="522"/>
      <c r="FB4" s="522"/>
      <c r="FC4" s="523"/>
      <c r="FD4" s="522"/>
      <c r="FE4" s="522"/>
      <c r="FF4" s="522"/>
      <c r="FG4" s="523"/>
      <c r="FH4" s="522"/>
      <c r="FI4" s="522"/>
      <c r="FJ4" s="522"/>
      <c r="FK4" s="523"/>
      <c r="FL4" s="522"/>
      <c r="FM4" s="522"/>
      <c r="FN4" s="522"/>
      <c r="FO4" s="523"/>
      <c r="FP4" s="522"/>
      <c r="FQ4" s="522"/>
      <c r="FR4" s="522"/>
      <c r="FS4" s="523"/>
      <c r="FT4" s="522"/>
      <c r="FU4" s="522"/>
      <c r="FV4" s="522"/>
      <c r="FW4" s="523"/>
      <c r="FX4" s="522"/>
      <c r="FY4" s="522"/>
      <c r="FZ4" s="522"/>
      <c r="GA4" s="523"/>
      <c r="GB4" s="522"/>
      <c r="GC4" s="522"/>
      <c r="GD4" s="522"/>
      <c r="GE4" s="523"/>
      <c r="GF4" s="522"/>
      <c r="GG4" s="522"/>
      <c r="GH4" s="522"/>
      <c r="GI4" s="523"/>
      <c r="GJ4" s="522"/>
      <c r="GK4" s="522"/>
      <c r="GL4" s="522"/>
      <c r="GM4" s="523"/>
      <c r="GN4" s="522"/>
      <c r="GO4" s="522"/>
      <c r="GP4" s="522"/>
      <c r="GQ4" s="523"/>
      <c r="GR4" s="522"/>
      <c r="GS4" s="522"/>
      <c r="GT4" s="522"/>
      <c r="GU4" s="523"/>
      <c r="GV4" s="522"/>
      <c r="GW4" s="522"/>
      <c r="GX4" s="522"/>
      <c r="GY4" s="523"/>
      <c r="GZ4" s="522"/>
      <c r="HA4" s="522"/>
      <c r="HB4" s="522"/>
      <c r="HC4" s="523"/>
      <c r="HD4" s="522"/>
      <c r="HE4" s="522"/>
      <c r="HF4" s="522"/>
      <c r="HG4" s="523"/>
      <c r="HH4" s="522"/>
      <c r="HI4" s="522"/>
      <c r="HJ4" s="522"/>
      <c r="HK4" s="523"/>
      <c r="HL4" s="522"/>
      <c r="HM4" s="522"/>
      <c r="HN4" s="522"/>
      <c r="HO4" s="523"/>
      <c r="HP4" s="522"/>
      <c r="HQ4" s="522"/>
      <c r="HR4" s="522"/>
      <c r="HS4" s="523"/>
      <c r="HT4" s="522"/>
      <c r="HU4" s="522"/>
      <c r="HV4" s="522"/>
      <c r="HW4" s="523"/>
      <c r="HX4" s="522"/>
      <c r="HY4" s="522"/>
      <c r="HZ4" s="522"/>
      <c r="IA4" s="523"/>
      <c r="IB4" s="522"/>
      <c r="IC4" s="522"/>
      <c r="ID4" s="522"/>
      <c r="IE4" s="523"/>
      <c r="IF4" s="522"/>
      <c r="IG4" s="522"/>
      <c r="IH4" s="522"/>
      <c r="II4" s="523"/>
      <c r="IJ4" s="522"/>
      <c r="IK4" s="522"/>
      <c r="IL4" s="522"/>
      <c r="IM4" s="523"/>
      <c r="IN4" s="522"/>
      <c r="IO4" s="522"/>
      <c r="IP4" s="522"/>
      <c r="IQ4" s="523"/>
      <c r="IR4" s="522"/>
      <c r="IS4" s="522"/>
      <c r="IT4" s="522"/>
      <c r="IU4" s="523"/>
      <c r="IV4" s="522"/>
    </row>
    <row r="5" spans="1:256" ht="13.5" customHeight="1" thickBot="1" x14ac:dyDescent="0.3">
      <c r="A5" s="524"/>
      <c r="B5" s="525"/>
      <c r="C5" s="526"/>
      <c r="D5" s="526"/>
      <c r="E5" s="527"/>
      <c r="F5" s="527"/>
      <c r="G5" s="527"/>
      <c r="H5" s="527"/>
      <c r="I5" s="527"/>
      <c r="J5" s="527"/>
      <c r="K5" s="527"/>
      <c r="L5" s="527"/>
      <c r="M5" s="527"/>
      <c r="N5" s="527"/>
      <c r="O5" s="527"/>
      <c r="P5" s="527"/>
      <c r="Q5" s="527"/>
      <c r="R5" s="527"/>
      <c r="S5" s="527"/>
      <c r="T5" s="527"/>
      <c r="U5" s="527"/>
      <c r="V5" s="527"/>
      <c r="W5" s="527"/>
      <c r="X5" s="527"/>
      <c r="Y5" s="527"/>
      <c r="Z5" s="514"/>
      <c r="AA5" s="528"/>
      <c r="AB5" s="514"/>
      <c r="AC5" s="514"/>
      <c r="AD5" s="514"/>
      <c r="AE5" s="528"/>
      <c r="AF5" s="514"/>
      <c r="AG5" s="514"/>
      <c r="AH5" s="514"/>
      <c r="AI5" s="528"/>
      <c r="AJ5" s="514"/>
      <c r="AK5" s="514"/>
      <c r="AL5" s="514"/>
      <c r="AM5" s="528"/>
      <c r="AN5" s="514"/>
      <c r="AO5" s="514"/>
      <c r="AP5" s="514"/>
      <c r="AQ5" s="528"/>
      <c r="AR5" s="514"/>
      <c r="AS5" s="514"/>
      <c r="AT5" s="514"/>
      <c r="AU5" s="528"/>
      <c r="AV5" s="514"/>
      <c r="AW5" s="514"/>
      <c r="AX5" s="514"/>
      <c r="AY5" s="528"/>
      <c r="AZ5" s="514"/>
      <c r="BA5" s="514"/>
      <c r="BB5" s="514"/>
      <c r="BC5" s="528"/>
      <c r="BD5" s="514"/>
      <c r="BE5" s="514"/>
      <c r="BF5" s="514"/>
      <c r="BG5" s="528"/>
      <c r="BH5" s="514"/>
      <c r="BI5" s="514"/>
      <c r="BJ5" s="514"/>
      <c r="BK5" s="528"/>
      <c r="BL5" s="514"/>
      <c r="BM5" s="514"/>
      <c r="BN5" s="514"/>
      <c r="BO5" s="528"/>
      <c r="BP5" s="514"/>
      <c r="BQ5" s="514"/>
      <c r="BR5" s="514"/>
      <c r="BS5" s="528"/>
      <c r="BT5" s="514"/>
      <c r="BU5" s="514"/>
      <c r="BV5" s="514"/>
      <c r="BW5" s="528"/>
      <c r="BX5" s="514"/>
      <c r="BY5" s="514"/>
      <c r="BZ5" s="514"/>
      <c r="CA5" s="528"/>
      <c r="CB5" s="514"/>
      <c r="CC5" s="514"/>
      <c r="CD5" s="514"/>
      <c r="CE5" s="528"/>
      <c r="CF5" s="514"/>
      <c r="CG5" s="514"/>
      <c r="CH5" s="514"/>
      <c r="CI5" s="528"/>
      <c r="CJ5" s="514"/>
      <c r="CK5" s="514"/>
      <c r="CL5" s="514"/>
      <c r="CM5" s="528"/>
      <c r="CN5" s="514"/>
      <c r="CO5" s="514"/>
      <c r="CP5" s="514"/>
      <c r="CQ5" s="528"/>
      <c r="CR5" s="514"/>
      <c r="CS5" s="514"/>
      <c r="CT5" s="514"/>
      <c r="CU5" s="528"/>
      <c r="CV5" s="514"/>
      <c r="CW5" s="514"/>
      <c r="CX5" s="514"/>
      <c r="CY5" s="528"/>
      <c r="CZ5" s="514"/>
      <c r="DA5" s="514"/>
      <c r="DB5" s="514"/>
      <c r="DC5" s="528"/>
      <c r="DD5" s="514"/>
      <c r="DE5" s="514"/>
      <c r="DF5" s="514"/>
      <c r="DG5" s="528"/>
      <c r="DH5" s="514"/>
      <c r="DI5" s="514"/>
      <c r="DJ5" s="514"/>
      <c r="DK5" s="528"/>
      <c r="DL5" s="514"/>
      <c r="DM5" s="514"/>
      <c r="DN5" s="514"/>
      <c r="DO5" s="528"/>
      <c r="DP5" s="514"/>
      <c r="DQ5" s="514"/>
      <c r="DR5" s="514"/>
      <c r="DS5" s="528"/>
      <c r="DT5" s="514"/>
      <c r="DU5" s="514"/>
      <c r="DV5" s="514"/>
      <c r="DW5" s="528"/>
      <c r="DX5" s="514"/>
      <c r="DY5" s="514"/>
      <c r="DZ5" s="514"/>
      <c r="EA5" s="528"/>
      <c r="EB5" s="514"/>
      <c r="EC5" s="514"/>
      <c r="ED5" s="514"/>
      <c r="EE5" s="528"/>
      <c r="EF5" s="514"/>
      <c r="EG5" s="514"/>
      <c r="EH5" s="514"/>
      <c r="EI5" s="528"/>
      <c r="EJ5" s="514"/>
      <c r="EK5" s="514"/>
      <c r="EL5" s="514"/>
      <c r="EM5" s="528"/>
      <c r="EN5" s="514"/>
      <c r="EO5" s="514"/>
      <c r="EP5" s="514"/>
      <c r="EQ5" s="528"/>
      <c r="ER5" s="514"/>
      <c r="ES5" s="514"/>
      <c r="ET5" s="514"/>
      <c r="EU5" s="528"/>
      <c r="EV5" s="514"/>
      <c r="EW5" s="514"/>
      <c r="EX5" s="514"/>
      <c r="EY5" s="528"/>
      <c r="EZ5" s="514"/>
      <c r="FA5" s="514"/>
      <c r="FB5" s="514"/>
      <c r="FC5" s="528"/>
      <c r="FD5" s="514"/>
      <c r="FE5" s="514"/>
      <c r="FF5" s="514"/>
      <c r="FG5" s="528"/>
      <c r="FH5" s="514"/>
      <c r="FI5" s="514"/>
      <c r="FJ5" s="514"/>
      <c r="FK5" s="528"/>
      <c r="FL5" s="514"/>
      <c r="FM5" s="514"/>
      <c r="FN5" s="514"/>
      <c r="FO5" s="528"/>
      <c r="FP5" s="514"/>
      <c r="FQ5" s="514"/>
      <c r="FR5" s="514"/>
      <c r="FS5" s="528"/>
      <c r="FT5" s="514"/>
      <c r="FU5" s="514"/>
      <c r="FV5" s="514"/>
      <c r="FW5" s="528"/>
      <c r="FX5" s="514"/>
      <c r="FY5" s="514"/>
      <c r="FZ5" s="514"/>
      <c r="GA5" s="528"/>
      <c r="GB5" s="514"/>
      <c r="GC5" s="514"/>
      <c r="GD5" s="514"/>
      <c r="GE5" s="528"/>
      <c r="GF5" s="514"/>
      <c r="GG5" s="514"/>
      <c r="GH5" s="514"/>
      <c r="GI5" s="528"/>
      <c r="GJ5" s="514"/>
      <c r="GK5" s="514"/>
      <c r="GL5" s="514"/>
      <c r="GM5" s="528"/>
      <c r="GN5" s="514"/>
      <c r="GO5" s="514"/>
      <c r="GP5" s="514"/>
      <c r="GQ5" s="528"/>
      <c r="GR5" s="514"/>
      <c r="GS5" s="514"/>
      <c r="GT5" s="514"/>
      <c r="GU5" s="528"/>
      <c r="GV5" s="514"/>
      <c r="GW5" s="514"/>
      <c r="GX5" s="514"/>
      <c r="GY5" s="528"/>
      <c r="GZ5" s="514"/>
      <c r="HA5" s="514"/>
      <c r="HB5" s="514"/>
      <c r="HC5" s="528"/>
      <c r="HD5" s="514"/>
      <c r="HE5" s="514"/>
      <c r="HF5" s="514"/>
      <c r="HG5" s="528"/>
      <c r="HH5" s="514"/>
      <c r="HI5" s="514"/>
      <c r="HJ5" s="514"/>
      <c r="HK5" s="528"/>
      <c r="HL5" s="514"/>
      <c r="HM5" s="514"/>
      <c r="HN5" s="514"/>
      <c r="HO5" s="528"/>
      <c r="HP5" s="514"/>
      <c r="HQ5" s="514"/>
      <c r="HR5" s="514"/>
      <c r="HS5" s="528"/>
      <c r="HT5" s="514"/>
      <c r="HU5" s="514"/>
      <c r="HV5" s="514"/>
      <c r="HW5" s="528"/>
      <c r="HX5" s="514"/>
      <c r="HY5" s="514"/>
      <c r="HZ5" s="514"/>
      <c r="IA5" s="528"/>
      <c r="IB5" s="514"/>
      <c r="IC5" s="514"/>
      <c r="ID5" s="514"/>
      <c r="IE5" s="528"/>
      <c r="IF5" s="514"/>
      <c r="IG5" s="514"/>
      <c r="IH5" s="514"/>
      <c r="II5" s="528"/>
      <c r="IJ5" s="514"/>
      <c r="IK5" s="514"/>
      <c r="IL5" s="514"/>
      <c r="IM5" s="528"/>
      <c r="IN5" s="514"/>
      <c r="IO5" s="514"/>
      <c r="IP5" s="514"/>
      <c r="IQ5" s="528"/>
      <c r="IR5" s="514"/>
      <c r="IS5" s="514"/>
      <c r="IT5" s="514"/>
      <c r="IU5" s="528"/>
      <c r="IV5" s="514"/>
    </row>
    <row r="6" spans="1:256" ht="18.75" x14ac:dyDescent="0.3">
      <c r="A6" s="529" t="s">
        <v>462</v>
      </c>
      <c r="B6" s="530"/>
      <c r="C6" s="531">
        <f>Resultat!B38</f>
        <v>-2713084.5299800001</v>
      </c>
      <c r="D6" s="531">
        <f>Resultat!C38</f>
        <v>-1759499.9999799998</v>
      </c>
      <c r="E6" s="531">
        <f>Resultat!D38</f>
        <v>-1938636.4306869388</v>
      </c>
      <c r="F6" s="531">
        <f>Resultat!E38</f>
        <v>2716760.3717405708</v>
      </c>
      <c r="G6" s="531">
        <f>Resultat!F38</f>
        <v>5415858.3143945942</v>
      </c>
      <c r="H6" s="531">
        <f>Resultat!G38</f>
        <v>10090947.409256076</v>
      </c>
      <c r="I6" s="531">
        <f>Resultat!H38</f>
        <v>14871532.974677635</v>
      </c>
      <c r="J6" s="531">
        <f>Resultat!I38</f>
        <v>19905381.558407821</v>
      </c>
      <c r="K6" s="531">
        <f>Resultat!J38</f>
        <v>20375386.963298187</v>
      </c>
      <c r="L6" s="531">
        <f>Resultat!K38</f>
        <v>20609717.987224165</v>
      </c>
      <c r="M6" s="531">
        <f>Resultat!L38</f>
        <v>20325363.734082889</v>
      </c>
      <c r="N6" s="531">
        <f>Resultat!M38</f>
        <v>20198933.666029949</v>
      </c>
      <c r="O6" s="531">
        <f>Resultat!N38</f>
        <v>19904842.760037877</v>
      </c>
      <c r="P6" s="531">
        <f>Resultat!O38</f>
        <v>19603712.52638201</v>
      </c>
      <c r="Q6" s="531">
        <f>Resultat!P38</f>
        <v>19295356.264080156</v>
      </c>
      <c r="R6" s="531">
        <f>Resultat!Q38</f>
        <v>18929313.287118584</v>
      </c>
      <c r="S6" s="531">
        <f>Resultat!R38</f>
        <v>18604918.061064504</v>
      </c>
      <c r="T6" s="531">
        <f>Resultat!S38</f>
        <v>18220384.530204929</v>
      </c>
      <c r="U6" s="531">
        <f>Resultat!T38</f>
        <v>17879056.404514927</v>
      </c>
      <c r="V6" s="531">
        <f>Resultat!U38</f>
        <v>17475031.483212911</v>
      </c>
      <c r="W6" s="531">
        <f>Resultat!V38</f>
        <v>17060323.779445112</v>
      </c>
      <c r="X6" s="531">
        <f>Resultat!W38</f>
        <v>16691250.41360773</v>
      </c>
      <c r="Y6" s="531">
        <f>Resultat!X38</f>
        <v>16255420.382135097</v>
      </c>
      <c r="Z6" s="532"/>
      <c r="AA6" s="533"/>
      <c r="AB6" s="532"/>
      <c r="AC6" s="532"/>
      <c r="AD6" s="532"/>
      <c r="AE6" s="533"/>
      <c r="AF6" s="532"/>
      <c r="AG6" s="532"/>
      <c r="AH6" s="532"/>
      <c r="AI6" s="533"/>
      <c r="AJ6" s="532"/>
      <c r="AK6" s="532"/>
      <c r="AL6" s="532"/>
      <c r="AM6" s="533"/>
      <c r="AN6" s="532"/>
      <c r="AO6" s="532"/>
      <c r="AP6" s="532"/>
      <c r="AQ6" s="533"/>
      <c r="AR6" s="532"/>
      <c r="AS6" s="532"/>
      <c r="AT6" s="532"/>
      <c r="AU6" s="533"/>
      <c r="AV6" s="532"/>
      <c r="AW6" s="532"/>
      <c r="AX6" s="532"/>
      <c r="AY6" s="533"/>
      <c r="AZ6" s="532"/>
      <c r="BA6" s="532"/>
      <c r="BB6" s="532"/>
      <c r="BC6" s="533"/>
      <c r="BD6" s="532"/>
      <c r="BE6" s="532"/>
      <c r="BF6" s="532"/>
      <c r="BG6" s="533"/>
      <c r="BH6" s="532"/>
      <c r="BI6" s="532"/>
      <c r="BJ6" s="532"/>
      <c r="BK6" s="533"/>
      <c r="BL6" s="532"/>
      <c r="BM6" s="532"/>
      <c r="BN6" s="532"/>
      <c r="BO6" s="533"/>
      <c r="BP6" s="532"/>
      <c r="BQ6" s="532"/>
      <c r="BR6" s="532"/>
      <c r="BS6" s="533"/>
      <c r="BT6" s="532"/>
      <c r="BU6" s="532"/>
      <c r="BV6" s="532"/>
      <c r="BW6" s="533"/>
      <c r="BX6" s="532"/>
      <c r="BY6" s="532"/>
      <c r="BZ6" s="532"/>
      <c r="CA6" s="533"/>
      <c r="CB6" s="532"/>
      <c r="CC6" s="532"/>
      <c r="CD6" s="532"/>
      <c r="CE6" s="533"/>
      <c r="CF6" s="532"/>
      <c r="CG6" s="532"/>
      <c r="CH6" s="532"/>
      <c r="CI6" s="533"/>
      <c r="CJ6" s="532"/>
      <c r="CK6" s="532"/>
      <c r="CL6" s="532"/>
      <c r="CM6" s="533"/>
      <c r="CN6" s="532"/>
      <c r="CO6" s="532"/>
      <c r="CP6" s="532"/>
      <c r="CQ6" s="533"/>
      <c r="CR6" s="532"/>
      <c r="CS6" s="532"/>
      <c r="CT6" s="532"/>
      <c r="CU6" s="533"/>
      <c r="CV6" s="532"/>
      <c r="CW6" s="532"/>
      <c r="CX6" s="532"/>
      <c r="CY6" s="533"/>
      <c r="CZ6" s="532"/>
      <c r="DA6" s="532"/>
      <c r="DB6" s="532"/>
      <c r="DC6" s="533"/>
      <c r="DD6" s="532"/>
      <c r="DE6" s="532"/>
      <c r="DF6" s="532"/>
      <c r="DG6" s="533"/>
      <c r="DH6" s="532"/>
      <c r="DI6" s="532"/>
      <c r="DJ6" s="532"/>
      <c r="DK6" s="533"/>
      <c r="DL6" s="532"/>
      <c r="DM6" s="532"/>
      <c r="DN6" s="532"/>
      <c r="DO6" s="533"/>
      <c r="DP6" s="532"/>
      <c r="DQ6" s="532"/>
      <c r="DR6" s="532"/>
      <c r="DS6" s="533"/>
      <c r="DT6" s="532"/>
      <c r="DU6" s="532"/>
      <c r="DV6" s="532"/>
      <c r="DW6" s="533"/>
      <c r="DX6" s="532"/>
      <c r="DY6" s="532"/>
      <c r="DZ6" s="532"/>
      <c r="EA6" s="533"/>
      <c r="EB6" s="532"/>
      <c r="EC6" s="532"/>
      <c r="ED6" s="532"/>
      <c r="EE6" s="533"/>
      <c r="EF6" s="532"/>
      <c r="EG6" s="532"/>
      <c r="EH6" s="532"/>
      <c r="EI6" s="533"/>
      <c r="EJ6" s="532"/>
      <c r="EK6" s="532"/>
      <c r="EL6" s="532"/>
      <c r="EM6" s="533"/>
      <c r="EN6" s="532"/>
      <c r="EO6" s="532"/>
      <c r="EP6" s="532"/>
      <c r="EQ6" s="533"/>
      <c r="ER6" s="532"/>
      <c r="ES6" s="532"/>
      <c r="ET6" s="532"/>
      <c r="EU6" s="533"/>
      <c r="EV6" s="532"/>
      <c r="EW6" s="532"/>
      <c r="EX6" s="532"/>
      <c r="EY6" s="533"/>
      <c r="EZ6" s="532"/>
      <c r="FA6" s="532"/>
      <c r="FB6" s="532"/>
      <c r="FC6" s="533"/>
      <c r="FD6" s="532"/>
      <c r="FE6" s="532"/>
      <c r="FF6" s="532"/>
      <c r="FG6" s="533"/>
      <c r="FH6" s="532"/>
      <c r="FI6" s="532"/>
      <c r="FJ6" s="532"/>
      <c r="FK6" s="533"/>
      <c r="FL6" s="532"/>
      <c r="FM6" s="532"/>
      <c r="FN6" s="532"/>
      <c r="FO6" s="533"/>
      <c r="FP6" s="532"/>
      <c r="FQ6" s="532"/>
      <c r="FR6" s="532"/>
      <c r="FS6" s="533"/>
      <c r="FT6" s="532"/>
      <c r="FU6" s="532"/>
      <c r="FV6" s="532"/>
      <c r="FW6" s="533"/>
      <c r="FX6" s="532"/>
      <c r="FY6" s="532"/>
      <c r="FZ6" s="532"/>
      <c r="GA6" s="533"/>
      <c r="GB6" s="532"/>
      <c r="GC6" s="532"/>
      <c r="GD6" s="532"/>
      <c r="GE6" s="533"/>
      <c r="GF6" s="532"/>
      <c r="GG6" s="532"/>
      <c r="GH6" s="532"/>
      <c r="GI6" s="533"/>
      <c r="GJ6" s="532"/>
      <c r="GK6" s="532"/>
      <c r="GL6" s="532"/>
      <c r="GM6" s="533"/>
      <c r="GN6" s="532"/>
      <c r="GO6" s="532"/>
      <c r="GP6" s="532"/>
      <c r="GQ6" s="533"/>
      <c r="GR6" s="532"/>
      <c r="GS6" s="532"/>
      <c r="GT6" s="532"/>
      <c r="GU6" s="533"/>
      <c r="GV6" s="532"/>
      <c r="GW6" s="532"/>
      <c r="GX6" s="532"/>
      <c r="GY6" s="533"/>
      <c r="GZ6" s="532"/>
      <c r="HA6" s="532"/>
      <c r="HB6" s="532"/>
      <c r="HC6" s="533"/>
      <c r="HD6" s="532"/>
      <c r="HE6" s="532"/>
      <c r="HF6" s="532"/>
      <c r="HG6" s="533"/>
      <c r="HH6" s="532"/>
      <c r="HI6" s="532"/>
      <c r="HJ6" s="532"/>
      <c r="HK6" s="533"/>
      <c r="HL6" s="532"/>
      <c r="HM6" s="532"/>
      <c r="HN6" s="532"/>
      <c r="HO6" s="533"/>
      <c r="HP6" s="532"/>
      <c r="HQ6" s="532"/>
      <c r="HR6" s="532"/>
      <c r="HS6" s="533"/>
      <c r="HT6" s="532"/>
      <c r="HU6" s="532"/>
      <c r="HV6" s="532"/>
      <c r="HW6" s="533"/>
      <c r="HX6" s="532"/>
      <c r="HY6" s="532"/>
      <c r="HZ6" s="532"/>
      <c r="IA6" s="533"/>
      <c r="IB6" s="532"/>
      <c r="IC6" s="532"/>
      <c r="ID6" s="532"/>
      <c r="IE6" s="533"/>
      <c r="IF6" s="532"/>
      <c r="IG6" s="532"/>
      <c r="IH6" s="532"/>
      <c r="II6" s="533"/>
      <c r="IJ6" s="532"/>
      <c r="IK6" s="532"/>
      <c r="IL6" s="532"/>
      <c r="IM6" s="533"/>
      <c r="IN6" s="532"/>
      <c r="IO6" s="532"/>
      <c r="IP6" s="532"/>
      <c r="IQ6" s="533"/>
      <c r="IR6" s="532"/>
      <c r="IS6" s="532"/>
      <c r="IT6" s="532"/>
      <c r="IU6" s="533"/>
      <c r="IV6" s="532"/>
    </row>
    <row r="7" spans="1:256" ht="16.5" thickBot="1" x14ac:dyDescent="0.3">
      <c r="A7" s="534"/>
      <c r="B7" s="535"/>
      <c r="C7" s="536"/>
      <c r="D7" s="536"/>
      <c r="E7" s="537"/>
      <c r="F7" s="537"/>
      <c r="G7" s="537"/>
      <c r="H7" s="537"/>
      <c r="I7" s="537"/>
      <c r="J7" s="537"/>
      <c r="K7" s="537"/>
      <c r="L7" s="537"/>
      <c r="M7" s="537"/>
      <c r="N7" s="537"/>
      <c r="O7" s="537"/>
      <c r="P7" s="537"/>
      <c r="Q7" s="537"/>
      <c r="R7" s="537"/>
      <c r="S7" s="537"/>
      <c r="T7" s="537"/>
      <c r="U7" s="537"/>
      <c r="V7" s="537"/>
      <c r="W7" s="537"/>
      <c r="X7" s="537"/>
      <c r="Y7" s="537"/>
      <c r="Z7" s="532"/>
      <c r="AA7" s="538"/>
      <c r="AB7" s="532"/>
      <c r="AC7" s="532"/>
      <c r="AD7" s="532"/>
      <c r="AE7" s="538"/>
      <c r="AF7" s="532"/>
      <c r="AG7" s="532"/>
      <c r="AH7" s="532"/>
      <c r="AI7" s="538"/>
      <c r="AJ7" s="532"/>
      <c r="AK7" s="532"/>
      <c r="AL7" s="532"/>
      <c r="AM7" s="538"/>
      <c r="AN7" s="532"/>
      <c r="AO7" s="532"/>
      <c r="AP7" s="532"/>
      <c r="AQ7" s="538"/>
      <c r="AR7" s="532"/>
      <c r="AS7" s="532"/>
      <c r="AT7" s="532"/>
      <c r="AU7" s="538"/>
      <c r="AV7" s="532"/>
      <c r="AW7" s="532"/>
      <c r="AX7" s="532"/>
      <c r="AY7" s="538"/>
      <c r="AZ7" s="532"/>
      <c r="BA7" s="532"/>
      <c r="BB7" s="532"/>
      <c r="BC7" s="538"/>
      <c r="BD7" s="532"/>
      <c r="BE7" s="532"/>
      <c r="BF7" s="532"/>
      <c r="BG7" s="538"/>
      <c r="BH7" s="532"/>
      <c r="BI7" s="532"/>
      <c r="BJ7" s="532"/>
      <c r="BK7" s="538"/>
      <c r="BL7" s="532"/>
      <c r="BM7" s="532"/>
      <c r="BN7" s="532"/>
      <c r="BO7" s="538"/>
      <c r="BP7" s="532"/>
      <c r="BQ7" s="532"/>
      <c r="BR7" s="532"/>
      <c r="BS7" s="538"/>
      <c r="BT7" s="532"/>
      <c r="BU7" s="532"/>
      <c r="BV7" s="532"/>
      <c r="BW7" s="538"/>
      <c r="BX7" s="532"/>
      <c r="BY7" s="532"/>
      <c r="BZ7" s="532"/>
      <c r="CA7" s="538"/>
      <c r="CB7" s="532"/>
      <c r="CC7" s="532"/>
      <c r="CD7" s="532"/>
      <c r="CE7" s="538"/>
      <c r="CF7" s="532"/>
      <c r="CG7" s="532"/>
      <c r="CH7" s="532"/>
      <c r="CI7" s="538"/>
      <c r="CJ7" s="532"/>
      <c r="CK7" s="532"/>
      <c r="CL7" s="532"/>
      <c r="CM7" s="538"/>
      <c r="CN7" s="532"/>
      <c r="CO7" s="532"/>
      <c r="CP7" s="532"/>
      <c r="CQ7" s="538"/>
      <c r="CR7" s="532"/>
      <c r="CS7" s="532"/>
      <c r="CT7" s="532"/>
      <c r="CU7" s="538"/>
      <c r="CV7" s="532"/>
      <c r="CW7" s="532"/>
      <c r="CX7" s="532"/>
      <c r="CY7" s="538"/>
      <c r="CZ7" s="532"/>
      <c r="DA7" s="532"/>
      <c r="DB7" s="532"/>
      <c r="DC7" s="538"/>
      <c r="DD7" s="532"/>
      <c r="DE7" s="532"/>
      <c r="DF7" s="532"/>
      <c r="DG7" s="538"/>
      <c r="DH7" s="532"/>
      <c r="DI7" s="532"/>
      <c r="DJ7" s="532"/>
      <c r="DK7" s="538"/>
      <c r="DL7" s="532"/>
      <c r="DM7" s="532"/>
      <c r="DN7" s="532"/>
      <c r="DO7" s="538"/>
      <c r="DP7" s="532"/>
      <c r="DQ7" s="532"/>
      <c r="DR7" s="532"/>
      <c r="DS7" s="538"/>
      <c r="DT7" s="532"/>
      <c r="DU7" s="532"/>
      <c r="DV7" s="532"/>
      <c r="DW7" s="538"/>
      <c r="DX7" s="532"/>
      <c r="DY7" s="532"/>
      <c r="DZ7" s="532"/>
      <c r="EA7" s="538"/>
      <c r="EB7" s="532"/>
      <c r="EC7" s="532"/>
      <c r="ED7" s="532"/>
      <c r="EE7" s="538"/>
      <c r="EF7" s="532"/>
      <c r="EG7" s="532"/>
      <c r="EH7" s="532"/>
      <c r="EI7" s="538"/>
      <c r="EJ7" s="532"/>
      <c r="EK7" s="532"/>
      <c r="EL7" s="532"/>
      <c r="EM7" s="538"/>
      <c r="EN7" s="532"/>
      <c r="EO7" s="532"/>
      <c r="EP7" s="532"/>
      <c r="EQ7" s="538"/>
      <c r="ER7" s="532"/>
      <c r="ES7" s="532"/>
      <c r="ET7" s="532"/>
      <c r="EU7" s="538"/>
      <c r="EV7" s="532"/>
      <c r="EW7" s="532"/>
      <c r="EX7" s="532"/>
      <c r="EY7" s="538"/>
      <c r="EZ7" s="532"/>
      <c r="FA7" s="532"/>
      <c r="FB7" s="532"/>
      <c r="FC7" s="538"/>
      <c r="FD7" s="532"/>
      <c r="FE7" s="532"/>
      <c r="FF7" s="532"/>
      <c r="FG7" s="538"/>
      <c r="FH7" s="532"/>
      <c r="FI7" s="532"/>
      <c r="FJ7" s="532"/>
      <c r="FK7" s="538"/>
      <c r="FL7" s="532"/>
      <c r="FM7" s="532"/>
      <c r="FN7" s="532"/>
      <c r="FO7" s="538"/>
      <c r="FP7" s="532"/>
      <c r="FQ7" s="532"/>
      <c r="FR7" s="532"/>
      <c r="FS7" s="538"/>
      <c r="FT7" s="532"/>
      <c r="FU7" s="532"/>
      <c r="FV7" s="532"/>
      <c r="FW7" s="538"/>
      <c r="FX7" s="532"/>
      <c r="FY7" s="532"/>
      <c r="FZ7" s="532"/>
      <c r="GA7" s="538"/>
      <c r="GB7" s="532"/>
      <c r="GC7" s="532"/>
      <c r="GD7" s="532"/>
      <c r="GE7" s="538"/>
      <c r="GF7" s="532"/>
      <c r="GG7" s="532"/>
      <c r="GH7" s="532"/>
      <c r="GI7" s="538"/>
      <c r="GJ7" s="532"/>
      <c r="GK7" s="532"/>
      <c r="GL7" s="532"/>
      <c r="GM7" s="538"/>
      <c r="GN7" s="532"/>
      <c r="GO7" s="532"/>
      <c r="GP7" s="532"/>
      <c r="GQ7" s="538"/>
      <c r="GR7" s="532"/>
      <c r="GS7" s="532"/>
      <c r="GT7" s="532"/>
      <c r="GU7" s="538"/>
      <c r="GV7" s="532"/>
      <c r="GW7" s="532"/>
      <c r="GX7" s="532"/>
      <c r="GY7" s="538"/>
      <c r="GZ7" s="532"/>
      <c r="HA7" s="532"/>
      <c r="HB7" s="532"/>
      <c r="HC7" s="538"/>
      <c r="HD7" s="532"/>
      <c r="HE7" s="532"/>
      <c r="HF7" s="532"/>
      <c r="HG7" s="538"/>
      <c r="HH7" s="532"/>
      <c r="HI7" s="532"/>
      <c r="HJ7" s="532"/>
      <c r="HK7" s="538"/>
      <c r="HL7" s="532"/>
      <c r="HM7" s="532"/>
      <c r="HN7" s="532"/>
      <c r="HO7" s="538"/>
      <c r="HP7" s="532"/>
      <c r="HQ7" s="532"/>
      <c r="HR7" s="532"/>
      <c r="HS7" s="538"/>
      <c r="HT7" s="532"/>
      <c r="HU7" s="532"/>
      <c r="HV7" s="532"/>
      <c r="HW7" s="538"/>
      <c r="HX7" s="532"/>
      <c r="HY7" s="532"/>
      <c r="HZ7" s="532"/>
      <c r="IA7" s="538"/>
      <c r="IB7" s="532"/>
      <c r="IC7" s="532"/>
      <c r="ID7" s="532"/>
      <c r="IE7" s="538"/>
      <c r="IF7" s="532"/>
      <c r="IG7" s="532"/>
      <c r="IH7" s="532"/>
      <c r="II7" s="538"/>
      <c r="IJ7" s="532"/>
      <c r="IK7" s="532"/>
      <c r="IL7" s="532"/>
      <c r="IM7" s="538"/>
      <c r="IN7" s="532"/>
      <c r="IO7" s="532"/>
      <c r="IP7" s="532"/>
      <c r="IQ7" s="538"/>
      <c r="IR7" s="532"/>
      <c r="IS7" s="532"/>
      <c r="IT7" s="532"/>
      <c r="IU7" s="538"/>
      <c r="IV7" s="532"/>
    </row>
    <row r="8" spans="1:256" ht="18.75" x14ac:dyDescent="0.3">
      <c r="A8" s="539" t="s">
        <v>463</v>
      </c>
      <c r="B8" s="535"/>
      <c r="C8" s="531">
        <f>Resultat!B55+Resultat!B62</f>
        <v>0</v>
      </c>
      <c r="D8" s="531">
        <f>Resultat!C55+Resultat!C62</f>
        <v>-678952.19999999984</v>
      </c>
      <c r="E8" s="531">
        <f>Resultat!D55+Resultat!D62</f>
        <v>-1214646.1200000001</v>
      </c>
      <c r="F8" s="531">
        <f>Resultat!E55+Resultat!E62</f>
        <v>-1313074.1800000002</v>
      </c>
      <c r="G8" s="531">
        <f>Resultat!F55+Resultat!F62</f>
        <v>-1297644.6399999999</v>
      </c>
      <c r="H8" s="531">
        <f>Resultat!G55+Resultat!G62</f>
        <v>-1244955.48</v>
      </c>
      <c r="I8" s="531">
        <f>Resultat!H55+Resultat!H62</f>
        <v>-3141132.7674701251</v>
      </c>
      <c r="J8" s="531">
        <f>Resultat!I55+Resultat!I62</f>
        <v>-6275011.5095253261</v>
      </c>
      <c r="K8" s="531">
        <f>Resultat!J55+Resultat!J62</f>
        <v>-6368237.953988051</v>
      </c>
      <c r="L8" s="531">
        <f>Resultat!K55+Resultat!K62</f>
        <v>-6311739.6858562166</v>
      </c>
      <c r="M8" s="531">
        <f>Resultat!L55+Resultat!L62</f>
        <v>-6073571.463521516</v>
      </c>
      <c r="N8" s="531">
        <f>Resultat!M55+Resultat!M62</f>
        <v>-5913941.8507168507</v>
      </c>
      <c r="O8" s="531">
        <f>Resultat!N55+Resultat!N62</f>
        <v>-5753136.9860128788</v>
      </c>
      <c r="P8" s="531">
        <f>Resultat!O55+Resultat!O62</f>
        <v>-5850199.9691032171</v>
      </c>
      <c r="Q8" s="531">
        <f>Resultat!P55+Resultat!P62</f>
        <v>-5704214.616187254</v>
      </c>
      <c r="R8" s="531">
        <f>Resultat!Q55+Resultat!Q62</f>
        <v>-5569419.8509536525</v>
      </c>
      <c r="S8" s="531">
        <f>Resultat!R55+Resultat!R62</f>
        <v>-5453458.8074285993</v>
      </c>
      <c r="T8" s="531">
        <f>Resultat!S55+Resultat!S62</f>
        <v>-5317050.7402696768</v>
      </c>
      <c r="U8" s="531">
        <f>Resultat!T55+Resultat!T62</f>
        <v>-5256645.8442017417</v>
      </c>
      <c r="V8" s="531">
        <f>Resultat!U55+Resultat!U62</f>
        <v>-5122110.7042923896</v>
      </c>
      <c r="W8" s="531">
        <f>Resultat!V55+Resultat!V62</f>
        <v>-4961276.7516780049</v>
      </c>
      <c r="X8" s="531">
        <f>Resultat!W55+Resultat!W62</f>
        <v>-4835791.8072932949</v>
      </c>
      <c r="Y8" s="531">
        <f>Resultat!X55+Resultat!X62</f>
        <v>-4687609.5965925995</v>
      </c>
      <c r="Z8" s="532"/>
      <c r="AA8" s="538"/>
      <c r="AB8" s="532"/>
      <c r="AC8" s="532"/>
      <c r="AD8" s="532"/>
      <c r="AE8" s="538"/>
      <c r="AF8" s="532"/>
      <c r="AG8" s="532"/>
      <c r="AH8" s="532"/>
      <c r="AI8" s="538"/>
      <c r="AJ8" s="532"/>
      <c r="AK8" s="532"/>
      <c r="AL8" s="532"/>
      <c r="AM8" s="538"/>
      <c r="AN8" s="532"/>
      <c r="AO8" s="532"/>
      <c r="AP8" s="532"/>
      <c r="AQ8" s="538"/>
      <c r="AR8" s="532"/>
      <c r="AS8" s="532"/>
      <c r="AT8" s="532"/>
      <c r="AU8" s="538"/>
      <c r="AV8" s="532"/>
      <c r="AW8" s="532"/>
      <c r="AX8" s="532"/>
      <c r="AY8" s="538"/>
      <c r="AZ8" s="532"/>
      <c r="BA8" s="532"/>
      <c r="BB8" s="532"/>
      <c r="BC8" s="538"/>
      <c r="BD8" s="532"/>
      <c r="BE8" s="532"/>
      <c r="BF8" s="532"/>
      <c r="BG8" s="538"/>
      <c r="BH8" s="532"/>
      <c r="BI8" s="532"/>
      <c r="BJ8" s="532"/>
      <c r="BK8" s="538"/>
      <c r="BL8" s="532"/>
      <c r="BM8" s="532"/>
      <c r="BN8" s="532"/>
      <c r="BO8" s="538"/>
      <c r="BP8" s="532"/>
      <c r="BQ8" s="532"/>
      <c r="BR8" s="532"/>
      <c r="BS8" s="538"/>
      <c r="BT8" s="532"/>
      <c r="BU8" s="532"/>
      <c r="BV8" s="532"/>
      <c r="BW8" s="538"/>
      <c r="BX8" s="532"/>
      <c r="BY8" s="532"/>
      <c r="BZ8" s="532"/>
      <c r="CA8" s="538"/>
      <c r="CB8" s="532"/>
      <c r="CC8" s="532"/>
      <c r="CD8" s="532"/>
      <c r="CE8" s="538"/>
      <c r="CF8" s="532"/>
      <c r="CG8" s="532"/>
      <c r="CH8" s="532"/>
      <c r="CI8" s="538"/>
      <c r="CJ8" s="532"/>
      <c r="CK8" s="532"/>
      <c r="CL8" s="532"/>
      <c r="CM8" s="538"/>
      <c r="CN8" s="532"/>
      <c r="CO8" s="532"/>
      <c r="CP8" s="532"/>
      <c r="CQ8" s="538"/>
      <c r="CR8" s="532"/>
      <c r="CS8" s="532"/>
      <c r="CT8" s="532"/>
      <c r="CU8" s="538"/>
      <c r="CV8" s="532"/>
      <c r="CW8" s="532"/>
      <c r="CX8" s="532"/>
      <c r="CY8" s="538"/>
      <c r="CZ8" s="532"/>
      <c r="DA8" s="532"/>
      <c r="DB8" s="532"/>
      <c r="DC8" s="538"/>
      <c r="DD8" s="532"/>
      <c r="DE8" s="532"/>
      <c r="DF8" s="532"/>
      <c r="DG8" s="538"/>
      <c r="DH8" s="532"/>
      <c r="DI8" s="532"/>
      <c r="DJ8" s="532"/>
      <c r="DK8" s="538"/>
      <c r="DL8" s="532"/>
      <c r="DM8" s="532"/>
      <c r="DN8" s="532"/>
      <c r="DO8" s="538"/>
      <c r="DP8" s="532"/>
      <c r="DQ8" s="532"/>
      <c r="DR8" s="532"/>
      <c r="DS8" s="538"/>
      <c r="DT8" s="532"/>
      <c r="DU8" s="532"/>
      <c r="DV8" s="532"/>
      <c r="DW8" s="538"/>
      <c r="DX8" s="532"/>
      <c r="DY8" s="532"/>
      <c r="DZ8" s="532"/>
      <c r="EA8" s="538"/>
      <c r="EB8" s="532"/>
      <c r="EC8" s="532"/>
      <c r="ED8" s="532"/>
      <c r="EE8" s="538"/>
      <c r="EF8" s="532"/>
      <c r="EG8" s="532"/>
      <c r="EH8" s="532"/>
      <c r="EI8" s="538"/>
      <c r="EJ8" s="532"/>
      <c r="EK8" s="532"/>
      <c r="EL8" s="532"/>
      <c r="EM8" s="538"/>
      <c r="EN8" s="532"/>
      <c r="EO8" s="532"/>
      <c r="EP8" s="532"/>
      <c r="EQ8" s="538"/>
      <c r="ER8" s="532"/>
      <c r="ES8" s="532"/>
      <c r="ET8" s="532"/>
      <c r="EU8" s="538"/>
      <c r="EV8" s="532"/>
      <c r="EW8" s="532"/>
      <c r="EX8" s="532"/>
      <c r="EY8" s="538"/>
      <c r="EZ8" s="532"/>
      <c r="FA8" s="532"/>
      <c r="FB8" s="532"/>
      <c r="FC8" s="538"/>
      <c r="FD8" s="532"/>
      <c r="FE8" s="532"/>
      <c r="FF8" s="532"/>
      <c r="FG8" s="538"/>
      <c r="FH8" s="532"/>
      <c r="FI8" s="532"/>
      <c r="FJ8" s="532"/>
      <c r="FK8" s="538"/>
      <c r="FL8" s="532"/>
      <c r="FM8" s="532"/>
      <c r="FN8" s="532"/>
      <c r="FO8" s="538"/>
      <c r="FP8" s="532"/>
      <c r="FQ8" s="532"/>
      <c r="FR8" s="532"/>
      <c r="FS8" s="538"/>
      <c r="FT8" s="532"/>
      <c r="FU8" s="532"/>
      <c r="FV8" s="532"/>
      <c r="FW8" s="538"/>
      <c r="FX8" s="532"/>
      <c r="FY8" s="532"/>
      <c r="FZ8" s="532"/>
      <c r="GA8" s="538"/>
      <c r="GB8" s="532"/>
      <c r="GC8" s="532"/>
      <c r="GD8" s="532"/>
      <c r="GE8" s="538"/>
      <c r="GF8" s="532"/>
      <c r="GG8" s="532"/>
      <c r="GH8" s="532"/>
      <c r="GI8" s="538"/>
      <c r="GJ8" s="532"/>
      <c r="GK8" s="532"/>
      <c r="GL8" s="532"/>
      <c r="GM8" s="538"/>
      <c r="GN8" s="532"/>
      <c r="GO8" s="532"/>
      <c r="GP8" s="532"/>
      <c r="GQ8" s="538"/>
      <c r="GR8" s="532"/>
      <c r="GS8" s="532"/>
      <c r="GT8" s="532"/>
      <c r="GU8" s="538"/>
      <c r="GV8" s="532"/>
      <c r="GW8" s="532"/>
      <c r="GX8" s="532"/>
      <c r="GY8" s="538"/>
      <c r="GZ8" s="532"/>
      <c r="HA8" s="532"/>
      <c r="HB8" s="532"/>
      <c r="HC8" s="538"/>
      <c r="HD8" s="532"/>
      <c r="HE8" s="532"/>
      <c r="HF8" s="532"/>
      <c r="HG8" s="538"/>
      <c r="HH8" s="532"/>
      <c r="HI8" s="532"/>
      <c r="HJ8" s="532"/>
      <c r="HK8" s="538"/>
      <c r="HL8" s="532"/>
      <c r="HM8" s="532"/>
      <c r="HN8" s="532"/>
      <c r="HO8" s="538"/>
      <c r="HP8" s="532"/>
      <c r="HQ8" s="532"/>
      <c r="HR8" s="532"/>
      <c r="HS8" s="538"/>
      <c r="HT8" s="532"/>
      <c r="HU8" s="532"/>
      <c r="HV8" s="532"/>
      <c r="HW8" s="538"/>
      <c r="HX8" s="532"/>
      <c r="HY8" s="532"/>
      <c r="HZ8" s="532"/>
      <c r="IA8" s="538"/>
      <c r="IB8" s="532"/>
      <c r="IC8" s="532"/>
      <c r="ID8" s="532"/>
      <c r="IE8" s="538"/>
      <c r="IF8" s="532"/>
      <c r="IG8" s="532"/>
      <c r="IH8" s="532"/>
      <c r="II8" s="538"/>
      <c r="IJ8" s="532"/>
      <c r="IK8" s="532"/>
      <c r="IL8" s="532"/>
      <c r="IM8" s="538"/>
      <c r="IN8" s="532"/>
      <c r="IO8" s="532"/>
      <c r="IP8" s="532"/>
      <c r="IQ8" s="538"/>
      <c r="IR8" s="532"/>
      <c r="IS8" s="532"/>
      <c r="IT8" s="532"/>
      <c r="IU8" s="538"/>
      <c r="IV8" s="532"/>
    </row>
    <row r="9" spans="1:256" x14ac:dyDescent="0.25">
      <c r="A9" s="534"/>
      <c r="B9" s="535"/>
      <c r="C9" s="540"/>
      <c r="D9" s="540"/>
      <c r="E9" s="537"/>
      <c r="F9" s="537"/>
      <c r="G9" s="537"/>
      <c r="H9" s="537"/>
      <c r="I9" s="537"/>
      <c r="J9" s="537"/>
      <c r="K9" s="537"/>
      <c r="L9" s="537"/>
      <c r="M9" s="537"/>
      <c r="N9" s="537"/>
      <c r="O9" s="537"/>
      <c r="P9" s="537"/>
      <c r="Q9" s="537"/>
      <c r="R9" s="537"/>
      <c r="S9" s="537"/>
      <c r="T9" s="537"/>
      <c r="U9" s="537"/>
      <c r="V9" s="537"/>
      <c r="W9" s="537"/>
      <c r="X9" s="537"/>
      <c r="Y9" s="537"/>
      <c r="Z9" s="532"/>
      <c r="AA9" s="538"/>
      <c r="AB9" s="532"/>
      <c r="AC9" s="532"/>
      <c r="AD9" s="532"/>
      <c r="AE9" s="538"/>
      <c r="AF9" s="532"/>
      <c r="AG9" s="532"/>
      <c r="AH9" s="532"/>
      <c r="AI9" s="538"/>
      <c r="AJ9" s="532"/>
      <c r="AK9" s="532"/>
      <c r="AL9" s="532"/>
      <c r="AM9" s="538"/>
      <c r="AN9" s="532"/>
      <c r="AO9" s="532"/>
      <c r="AP9" s="532"/>
      <c r="AQ9" s="538"/>
      <c r="AR9" s="532"/>
      <c r="AS9" s="532"/>
      <c r="AT9" s="532"/>
      <c r="AU9" s="538"/>
      <c r="AV9" s="532"/>
      <c r="AW9" s="532"/>
      <c r="AX9" s="532"/>
      <c r="AY9" s="538"/>
      <c r="AZ9" s="532"/>
      <c r="BA9" s="532"/>
      <c r="BB9" s="532"/>
      <c r="BC9" s="538"/>
      <c r="BD9" s="532"/>
      <c r="BE9" s="532"/>
      <c r="BF9" s="532"/>
      <c r="BG9" s="538"/>
      <c r="BH9" s="532"/>
      <c r="BI9" s="532"/>
      <c r="BJ9" s="532"/>
      <c r="BK9" s="538"/>
      <c r="BL9" s="532"/>
      <c r="BM9" s="532"/>
      <c r="BN9" s="532"/>
      <c r="BO9" s="538"/>
      <c r="BP9" s="532"/>
      <c r="BQ9" s="532"/>
      <c r="BR9" s="532"/>
      <c r="BS9" s="538"/>
      <c r="BT9" s="532"/>
      <c r="BU9" s="532"/>
      <c r="BV9" s="532"/>
      <c r="BW9" s="538"/>
      <c r="BX9" s="532"/>
      <c r="BY9" s="532"/>
      <c r="BZ9" s="532"/>
      <c r="CA9" s="538"/>
      <c r="CB9" s="532"/>
      <c r="CC9" s="532"/>
      <c r="CD9" s="532"/>
      <c r="CE9" s="538"/>
      <c r="CF9" s="532"/>
      <c r="CG9" s="532"/>
      <c r="CH9" s="532"/>
      <c r="CI9" s="538"/>
      <c r="CJ9" s="532"/>
      <c r="CK9" s="532"/>
      <c r="CL9" s="532"/>
      <c r="CM9" s="538"/>
      <c r="CN9" s="532"/>
      <c r="CO9" s="532"/>
      <c r="CP9" s="532"/>
      <c r="CQ9" s="538"/>
      <c r="CR9" s="532"/>
      <c r="CS9" s="532"/>
      <c r="CT9" s="532"/>
      <c r="CU9" s="538"/>
      <c r="CV9" s="532"/>
      <c r="CW9" s="532"/>
      <c r="CX9" s="532"/>
      <c r="CY9" s="538"/>
      <c r="CZ9" s="532"/>
      <c r="DA9" s="532"/>
      <c r="DB9" s="532"/>
      <c r="DC9" s="538"/>
      <c r="DD9" s="532"/>
      <c r="DE9" s="532"/>
      <c r="DF9" s="532"/>
      <c r="DG9" s="538"/>
      <c r="DH9" s="532"/>
      <c r="DI9" s="532"/>
      <c r="DJ9" s="532"/>
      <c r="DK9" s="538"/>
      <c r="DL9" s="532"/>
      <c r="DM9" s="532"/>
      <c r="DN9" s="532"/>
      <c r="DO9" s="538"/>
      <c r="DP9" s="532"/>
      <c r="DQ9" s="532"/>
      <c r="DR9" s="532"/>
      <c r="DS9" s="538"/>
      <c r="DT9" s="532"/>
      <c r="DU9" s="532"/>
      <c r="DV9" s="532"/>
      <c r="DW9" s="538"/>
      <c r="DX9" s="532"/>
      <c r="DY9" s="532"/>
      <c r="DZ9" s="532"/>
      <c r="EA9" s="538"/>
      <c r="EB9" s="532"/>
      <c r="EC9" s="532"/>
      <c r="ED9" s="532"/>
      <c r="EE9" s="538"/>
      <c r="EF9" s="532"/>
      <c r="EG9" s="532"/>
      <c r="EH9" s="532"/>
      <c r="EI9" s="538"/>
      <c r="EJ9" s="532"/>
      <c r="EK9" s="532"/>
      <c r="EL9" s="532"/>
      <c r="EM9" s="538"/>
      <c r="EN9" s="532"/>
      <c r="EO9" s="532"/>
      <c r="EP9" s="532"/>
      <c r="EQ9" s="538"/>
      <c r="ER9" s="532"/>
      <c r="ES9" s="532"/>
      <c r="ET9" s="532"/>
      <c r="EU9" s="538"/>
      <c r="EV9" s="532"/>
      <c r="EW9" s="532"/>
      <c r="EX9" s="532"/>
      <c r="EY9" s="538"/>
      <c r="EZ9" s="532"/>
      <c r="FA9" s="532"/>
      <c r="FB9" s="532"/>
      <c r="FC9" s="538"/>
      <c r="FD9" s="532"/>
      <c r="FE9" s="532"/>
      <c r="FF9" s="532"/>
      <c r="FG9" s="538"/>
      <c r="FH9" s="532"/>
      <c r="FI9" s="532"/>
      <c r="FJ9" s="532"/>
      <c r="FK9" s="538"/>
      <c r="FL9" s="532"/>
      <c r="FM9" s="532"/>
      <c r="FN9" s="532"/>
      <c r="FO9" s="538"/>
      <c r="FP9" s="532"/>
      <c r="FQ9" s="532"/>
      <c r="FR9" s="532"/>
      <c r="FS9" s="538"/>
      <c r="FT9" s="532"/>
      <c r="FU9" s="532"/>
      <c r="FV9" s="532"/>
      <c r="FW9" s="538"/>
      <c r="FX9" s="532"/>
      <c r="FY9" s="532"/>
      <c r="FZ9" s="532"/>
      <c r="GA9" s="538"/>
      <c r="GB9" s="532"/>
      <c r="GC9" s="532"/>
      <c r="GD9" s="532"/>
      <c r="GE9" s="538"/>
      <c r="GF9" s="532"/>
      <c r="GG9" s="532"/>
      <c r="GH9" s="532"/>
      <c r="GI9" s="538"/>
      <c r="GJ9" s="532"/>
      <c r="GK9" s="532"/>
      <c r="GL9" s="532"/>
      <c r="GM9" s="538"/>
      <c r="GN9" s="532"/>
      <c r="GO9" s="532"/>
      <c r="GP9" s="532"/>
      <c r="GQ9" s="538"/>
      <c r="GR9" s="532"/>
      <c r="GS9" s="532"/>
      <c r="GT9" s="532"/>
      <c r="GU9" s="538"/>
      <c r="GV9" s="532"/>
      <c r="GW9" s="532"/>
      <c r="GX9" s="532"/>
      <c r="GY9" s="538"/>
      <c r="GZ9" s="532"/>
      <c r="HA9" s="532"/>
      <c r="HB9" s="532"/>
      <c r="HC9" s="538"/>
      <c r="HD9" s="532"/>
      <c r="HE9" s="532"/>
      <c r="HF9" s="532"/>
      <c r="HG9" s="538"/>
      <c r="HH9" s="532"/>
      <c r="HI9" s="532"/>
      <c r="HJ9" s="532"/>
      <c r="HK9" s="538"/>
      <c r="HL9" s="532"/>
      <c r="HM9" s="532"/>
      <c r="HN9" s="532"/>
      <c r="HO9" s="538"/>
      <c r="HP9" s="532"/>
      <c r="HQ9" s="532"/>
      <c r="HR9" s="532"/>
      <c r="HS9" s="538"/>
      <c r="HT9" s="532"/>
      <c r="HU9" s="532"/>
      <c r="HV9" s="532"/>
      <c r="HW9" s="538"/>
      <c r="HX9" s="532"/>
      <c r="HY9" s="532"/>
      <c r="HZ9" s="532"/>
      <c r="IA9" s="538"/>
      <c r="IB9" s="532"/>
      <c r="IC9" s="532"/>
      <c r="ID9" s="532"/>
      <c r="IE9" s="538"/>
      <c r="IF9" s="532"/>
      <c r="IG9" s="532"/>
      <c r="IH9" s="532"/>
      <c r="II9" s="538"/>
      <c r="IJ9" s="532"/>
      <c r="IK9" s="532"/>
      <c r="IL9" s="532"/>
      <c r="IM9" s="538"/>
      <c r="IN9" s="532"/>
      <c r="IO9" s="532"/>
      <c r="IP9" s="532"/>
      <c r="IQ9" s="538"/>
      <c r="IR9" s="532"/>
      <c r="IS9" s="532"/>
      <c r="IT9" s="532"/>
      <c r="IU9" s="538"/>
      <c r="IV9" s="532"/>
    </row>
    <row r="10" spans="1:256" x14ac:dyDescent="0.25">
      <c r="A10" s="541" t="s">
        <v>464</v>
      </c>
      <c r="B10" s="535"/>
      <c r="C10" s="542">
        <f t="shared" ref="C10:N10" si="0">SUM(C6:C8)</f>
        <v>-2713084.5299800001</v>
      </c>
      <c r="D10" s="542">
        <f t="shared" si="0"/>
        <v>-2438452.1999799996</v>
      </c>
      <c r="E10" s="542">
        <f t="shared" si="0"/>
        <v>-3153282.5506869387</v>
      </c>
      <c r="F10" s="542">
        <f t="shared" si="0"/>
        <v>1403686.1917405706</v>
      </c>
      <c r="G10" s="542">
        <f t="shared" si="0"/>
        <v>4118213.6743945945</v>
      </c>
      <c r="H10" s="542">
        <f t="shared" si="0"/>
        <v>8845991.929256076</v>
      </c>
      <c r="I10" s="542">
        <f t="shared" si="0"/>
        <v>11730400.20720751</v>
      </c>
      <c r="J10" s="542">
        <f t="shared" si="0"/>
        <v>13630370.048882496</v>
      </c>
      <c r="K10" s="542">
        <f t="shared" si="0"/>
        <v>14007149.009310136</v>
      </c>
      <c r="L10" s="542">
        <f t="shared" si="0"/>
        <v>14297978.30136795</v>
      </c>
      <c r="M10" s="542">
        <f t="shared" si="0"/>
        <v>14251792.270561373</v>
      </c>
      <c r="N10" s="542">
        <f t="shared" si="0"/>
        <v>14284991.815313097</v>
      </c>
      <c r="O10" s="542">
        <f t="shared" ref="O10:Y10" si="1">SUM(O6:O8)</f>
        <v>14151705.774024997</v>
      </c>
      <c r="P10" s="542">
        <f t="shared" si="1"/>
        <v>13753512.557278793</v>
      </c>
      <c r="Q10" s="542">
        <f t="shared" si="1"/>
        <v>13591141.647892902</v>
      </c>
      <c r="R10" s="542">
        <f t="shared" si="1"/>
        <v>13359893.43616493</v>
      </c>
      <c r="S10" s="542">
        <f t="shared" si="1"/>
        <v>13151459.253635906</v>
      </c>
      <c r="T10" s="542">
        <f t="shared" si="1"/>
        <v>12903333.789935254</v>
      </c>
      <c r="U10" s="542">
        <f t="shared" si="1"/>
        <v>12622410.560313186</v>
      </c>
      <c r="V10" s="542">
        <f t="shared" si="1"/>
        <v>12352920.77892052</v>
      </c>
      <c r="W10" s="542">
        <f t="shared" si="1"/>
        <v>12099047.027767107</v>
      </c>
      <c r="X10" s="542">
        <f t="shared" si="1"/>
        <v>11855458.606314436</v>
      </c>
      <c r="Y10" s="542">
        <f t="shared" si="1"/>
        <v>11567810.785542497</v>
      </c>
      <c r="Z10" s="544"/>
      <c r="AA10" s="545"/>
      <c r="AB10" s="543"/>
      <c r="AC10" s="532"/>
      <c r="AD10" s="543"/>
      <c r="AE10" s="545"/>
      <c r="AF10" s="543"/>
      <c r="AG10" s="532"/>
      <c r="AH10" s="543"/>
      <c r="AI10" s="545"/>
      <c r="AJ10" s="543"/>
      <c r="AK10" s="532"/>
      <c r="AL10" s="543"/>
      <c r="AM10" s="545"/>
      <c r="AN10" s="543"/>
      <c r="AO10" s="532"/>
      <c r="AP10" s="543"/>
      <c r="AQ10" s="545"/>
      <c r="AR10" s="543"/>
      <c r="AS10" s="532"/>
      <c r="AT10" s="543"/>
      <c r="AU10" s="545"/>
      <c r="AV10" s="543"/>
      <c r="AW10" s="532"/>
      <c r="AX10" s="543"/>
      <c r="AY10" s="545"/>
      <c r="AZ10" s="543"/>
      <c r="BA10" s="532"/>
      <c r="BB10" s="543"/>
      <c r="BC10" s="545"/>
      <c r="BD10" s="543"/>
      <c r="BE10" s="532"/>
      <c r="BF10" s="543"/>
      <c r="BG10" s="545"/>
      <c r="BH10" s="543"/>
      <c r="BI10" s="532"/>
      <c r="BJ10" s="543"/>
      <c r="BK10" s="545"/>
      <c r="BL10" s="543"/>
      <c r="BM10" s="532"/>
      <c r="BN10" s="543"/>
      <c r="BO10" s="545"/>
      <c r="BP10" s="543"/>
      <c r="BQ10" s="532"/>
      <c r="BR10" s="543"/>
      <c r="BS10" s="545"/>
      <c r="BT10" s="543"/>
      <c r="BU10" s="532"/>
      <c r="BV10" s="543"/>
      <c r="BW10" s="545"/>
      <c r="BX10" s="543"/>
      <c r="BY10" s="532"/>
      <c r="BZ10" s="543"/>
      <c r="CA10" s="545"/>
      <c r="CB10" s="543"/>
      <c r="CC10" s="532"/>
      <c r="CD10" s="543"/>
      <c r="CE10" s="545"/>
      <c r="CF10" s="543"/>
      <c r="CG10" s="532"/>
      <c r="CH10" s="543"/>
      <c r="CI10" s="545"/>
      <c r="CJ10" s="543"/>
      <c r="CK10" s="532"/>
      <c r="CL10" s="543"/>
      <c r="CM10" s="545"/>
      <c r="CN10" s="543"/>
      <c r="CO10" s="532"/>
      <c r="CP10" s="543"/>
      <c r="CQ10" s="545"/>
      <c r="CR10" s="543"/>
      <c r="CS10" s="532"/>
      <c r="CT10" s="543"/>
      <c r="CU10" s="545"/>
      <c r="CV10" s="543"/>
      <c r="CW10" s="532"/>
      <c r="CX10" s="543"/>
      <c r="CY10" s="545"/>
      <c r="CZ10" s="543"/>
      <c r="DA10" s="532"/>
      <c r="DB10" s="543"/>
      <c r="DC10" s="545"/>
      <c r="DD10" s="543"/>
      <c r="DE10" s="532"/>
      <c r="DF10" s="543"/>
      <c r="DG10" s="545"/>
      <c r="DH10" s="543"/>
      <c r="DI10" s="532"/>
      <c r="DJ10" s="543"/>
      <c r="DK10" s="545"/>
      <c r="DL10" s="543"/>
      <c r="DM10" s="532"/>
      <c r="DN10" s="543"/>
      <c r="DO10" s="545"/>
      <c r="DP10" s="543"/>
      <c r="DQ10" s="532"/>
      <c r="DR10" s="543"/>
      <c r="DS10" s="545"/>
      <c r="DT10" s="543"/>
      <c r="DU10" s="532"/>
      <c r="DV10" s="543"/>
      <c r="DW10" s="545"/>
      <c r="DX10" s="543"/>
      <c r="DY10" s="532"/>
      <c r="DZ10" s="543"/>
      <c r="EA10" s="545"/>
      <c r="EB10" s="543"/>
      <c r="EC10" s="532"/>
      <c r="ED10" s="543"/>
      <c r="EE10" s="545"/>
      <c r="EF10" s="543"/>
      <c r="EG10" s="532"/>
      <c r="EH10" s="543"/>
      <c r="EI10" s="545"/>
      <c r="EJ10" s="543"/>
      <c r="EK10" s="532"/>
      <c r="EL10" s="543"/>
      <c r="EM10" s="545"/>
      <c r="EN10" s="543"/>
      <c r="EO10" s="532"/>
      <c r="EP10" s="543"/>
      <c r="EQ10" s="545"/>
      <c r="ER10" s="543"/>
      <c r="ES10" s="532"/>
      <c r="ET10" s="543"/>
      <c r="EU10" s="545"/>
      <c r="EV10" s="543"/>
      <c r="EW10" s="532"/>
      <c r="EX10" s="543"/>
      <c r="EY10" s="545"/>
      <c r="EZ10" s="543"/>
      <c r="FA10" s="532"/>
      <c r="FB10" s="543"/>
      <c r="FC10" s="545"/>
      <c r="FD10" s="543"/>
      <c r="FE10" s="532"/>
      <c r="FF10" s="543"/>
      <c r="FG10" s="545"/>
      <c r="FH10" s="543"/>
      <c r="FI10" s="532"/>
      <c r="FJ10" s="543"/>
      <c r="FK10" s="545"/>
      <c r="FL10" s="543"/>
      <c r="FM10" s="532"/>
      <c r="FN10" s="543"/>
      <c r="FO10" s="545"/>
      <c r="FP10" s="543"/>
      <c r="FQ10" s="532"/>
      <c r="FR10" s="543"/>
      <c r="FS10" s="545"/>
      <c r="FT10" s="543"/>
      <c r="FU10" s="532"/>
      <c r="FV10" s="543"/>
      <c r="FW10" s="545"/>
      <c r="FX10" s="543"/>
      <c r="FY10" s="532"/>
      <c r="FZ10" s="543"/>
      <c r="GA10" s="545"/>
      <c r="GB10" s="543"/>
      <c r="GC10" s="532"/>
      <c r="GD10" s="543"/>
      <c r="GE10" s="545"/>
      <c r="GF10" s="543"/>
      <c r="GG10" s="532"/>
      <c r="GH10" s="543"/>
      <c r="GI10" s="545"/>
      <c r="GJ10" s="543"/>
      <c r="GK10" s="532"/>
      <c r="GL10" s="543"/>
      <c r="GM10" s="545"/>
      <c r="GN10" s="543"/>
      <c r="GO10" s="532"/>
      <c r="GP10" s="543"/>
      <c r="GQ10" s="545"/>
      <c r="GR10" s="543"/>
      <c r="GS10" s="532"/>
      <c r="GT10" s="543"/>
      <c r="GU10" s="545"/>
      <c r="GV10" s="543"/>
      <c r="GW10" s="532"/>
      <c r="GX10" s="543"/>
      <c r="GY10" s="545"/>
      <c r="GZ10" s="543"/>
      <c r="HA10" s="532"/>
      <c r="HB10" s="543"/>
      <c r="HC10" s="545"/>
      <c r="HD10" s="543"/>
      <c r="HE10" s="532"/>
      <c r="HF10" s="543"/>
      <c r="HG10" s="545"/>
      <c r="HH10" s="543"/>
      <c r="HI10" s="532"/>
      <c r="HJ10" s="543"/>
      <c r="HK10" s="545"/>
      <c r="HL10" s="543"/>
      <c r="HM10" s="532"/>
      <c r="HN10" s="543"/>
      <c r="HO10" s="545"/>
      <c r="HP10" s="543"/>
      <c r="HQ10" s="532"/>
      <c r="HR10" s="543"/>
      <c r="HS10" s="545"/>
      <c r="HT10" s="543"/>
      <c r="HU10" s="532"/>
      <c r="HV10" s="543"/>
      <c r="HW10" s="545"/>
      <c r="HX10" s="543"/>
      <c r="HY10" s="532"/>
      <c r="HZ10" s="543"/>
      <c r="IA10" s="545"/>
      <c r="IB10" s="543"/>
      <c r="IC10" s="532"/>
      <c r="ID10" s="543"/>
      <c r="IE10" s="545"/>
      <c r="IF10" s="543"/>
      <c r="IG10" s="532"/>
      <c r="IH10" s="543"/>
      <c r="II10" s="545"/>
      <c r="IJ10" s="543"/>
      <c r="IK10" s="532"/>
      <c r="IL10" s="543"/>
      <c r="IM10" s="545"/>
      <c r="IN10" s="543"/>
      <c r="IO10" s="532"/>
      <c r="IP10" s="543"/>
      <c r="IQ10" s="545"/>
      <c r="IR10" s="543"/>
      <c r="IS10" s="532"/>
      <c r="IT10" s="543"/>
      <c r="IU10" s="545"/>
      <c r="IV10" s="543"/>
    </row>
    <row r="11" spans="1:256" x14ac:dyDescent="0.25">
      <c r="A11" s="534"/>
      <c r="B11" s="535"/>
      <c r="C11" s="540"/>
      <c r="D11" s="540"/>
      <c r="E11" s="546"/>
      <c r="F11" s="546"/>
      <c r="G11" s="546"/>
      <c r="H11" s="546"/>
      <c r="I11" s="546"/>
      <c r="J11" s="546"/>
      <c r="K11" s="546"/>
      <c r="L11" s="546"/>
      <c r="M11" s="546"/>
      <c r="N11" s="546"/>
      <c r="O11" s="546"/>
      <c r="P11" s="546"/>
      <c r="Q11" s="546"/>
      <c r="R11" s="546"/>
      <c r="S11" s="546"/>
      <c r="T11" s="546"/>
      <c r="U11" s="546"/>
      <c r="V11" s="546"/>
      <c r="W11" s="546"/>
      <c r="X11" s="546"/>
      <c r="Y11" s="546"/>
      <c r="Z11" s="532"/>
      <c r="AA11" s="547"/>
      <c r="AB11" s="532"/>
      <c r="AC11" s="532"/>
      <c r="AD11" s="532"/>
      <c r="AE11" s="547"/>
      <c r="AF11" s="532"/>
      <c r="AG11" s="532"/>
      <c r="AH11" s="532"/>
      <c r="AI11" s="547"/>
      <c r="AJ11" s="532"/>
      <c r="AK11" s="532"/>
      <c r="AL11" s="532"/>
      <c r="AM11" s="547"/>
      <c r="AN11" s="532"/>
      <c r="AO11" s="532"/>
      <c r="AP11" s="532"/>
      <c r="AQ11" s="547"/>
      <c r="AR11" s="532"/>
      <c r="AS11" s="532"/>
      <c r="AT11" s="532"/>
      <c r="AU11" s="547"/>
      <c r="AV11" s="532"/>
      <c r="AW11" s="532"/>
      <c r="AX11" s="532"/>
      <c r="AY11" s="547"/>
      <c r="AZ11" s="532"/>
      <c r="BA11" s="532"/>
      <c r="BB11" s="532"/>
      <c r="BC11" s="547"/>
      <c r="BD11" s="532"/>
      <c r="BE11" s="532"/>
      <c r="BF11" s="532"/>
      <c r="BG11" s="547"/>
      <c r="BH11" s="532"/>
      <c r="BI11" s="532"/>
      <c r="BJ11" s="532"/>
      <c r="BK11" s="547"/>
      <c r="BL11" s="532"/>
      <c r="BM11" s="532"/>
      <c r="BN11" s="532"/>
      <c r="BO11" s="547"/>
      <c r="BP11" s="532"/>
      <c r="BQ11" s="532"/>
      <c r="BR11" s="532"/>
      <c r="BS11" s="547"/>
      <c r="BT11" s="532"/>
      <c r="BU11" s="532"/>
      <c r="BV11" s="532"/>
      <c r="BW11" s="547"/>
      <c r="BX11" s="532"/>
      <c r="BY11" s="532"/>
      <c r="BZ11" s="532"/>
      <c r="CA11" s="547"/>
      <c r="CB11" s="532"/>
      <c r="CC11" s="532"/>
      <c r="CD11" s="532"/>
      <c r="CE11" s="547"/>
      <c r="CF11" s="532"/>
      <c r="CG11" s="532"/>
      <c r="CH11" s="532"/>
      <c r="CI11" s="547"/>
      <c r="CJ11" s="532"/>
      <c r="CK11" s="532"/>
      <c r="CL11" s="532"/>
      <c r="CM11" s="547"/>
      <c r="CN11" s="532"/>
      <c r="CO11" s="532"/>
      <c r="CP11" s="532"/>
      <c r="CQ11" s="547"/>
      <c r="CR11" s="532"/>
      <c r="CS11" s="532"/>
      <c r="CT11" s="532"/>
      <c r="CU11" s="547"/>
      <c r="CV11" s="532"/>
      <c r="CW11" s="532"/>
      <c r="CX11" s="532"/>
      <c r="CY11" s="547"/>
      <c r="CZ11" s="532"/>
      <c r="DA11" s="532"/>
      <c r="DB11" s="532"/>
      <c r="DC11" s="547"/>
      <c r="DD11" s="532"/>
      <c r="DE11" s="532"/>
      <c r="DF11" s="532"/>
      <c r="DG11" s="547"/>
      <c r="DH11" s="532"/>
      <c r="DI11" s="532"/>
      <c r="DJ11" s="532"/>
      <c r="DK11" s="547"/>
      <c r="DL11" s="532"/>
      <c r="DM11" s="532"/>
      <c r="DN11" s="532"/>
      <c r="DO11" s="547"/>
      <c r="DP11" s="532"/>
      <c r="DQ11" s="532"/>
      <c r="DR11" s="532"/>
      <c r="DS11" s="547"/>
      <c r="DT11" s="532"/>
      <c r="DU11" s="532"/>
      <c r="DV11" s="532"/>
      <c r="DW11" s="547"/>
      <c r="DX11" s="532"/>
      <c r="DY11" s="532"/>
      <c r="DZ11" s="532"/>
      <c r="EA11" s="547"/>
      <c r="EB11" s="532"/>
      <c r="EC11" s="532"/>
      <c r="ED11" s="532"/>
      <c r="EE11" s="547"/>
      <c r="EF11" s="532"/>
      <c r="EG11" s="532"/>
      <c r="EH11" s="532"/>
      <c r="EI11" s="547"/>
      <c r="EJ11" s="532"/>
      <c r="EK11" s="532"/>
      <c r="EL11" s="532"/>
      <c r="EM11" s="547"/>
      <c r="EN11" s="532"/>
      <c r="EO11" s="532"/>
      <c r="EP11" s="532"/>
      <c r="EQ11" s="547"/>
      <c r="ER11" s="532"/>
      <c r="ES11" s="532"/>
      <c r="ET11" s="532"/>
      <c r="EU11" s="547"/>
      <c r="EV11" s="532"/>
      <c r="EW11" s="532"/>
      <c r="EX11" s="532"/>
      <c r="EY11" s="547"/>
      <c r="EZ11" s="532"/>
      <c r="FA11" s="532"/>
      <c r="FB11" s="532"/>
      <c r="FC11" s="547"/>
      <c r="FD11" s="532"/>
      <c r="FE11" s="532"/>
      <c r="FF11" s="532"/>
      <c r="FG11" s="547"/>
      <c r="FH11" s="532"/>
      <c r="FI11" s="532"/>
      <c r="FJ11" s="532"/>
      <c r="FK11" s="547"/>
      <c r="FL11" s="532"/>
      <c r="FM11" s="532"/>
      <c r="FN11" s="532"/>
      <c r="FO11" s="547"/>
      <c r="FP11" s="532"/>
      <c r="FQ11" s="532"/>
      <c r="FR11" s="532"/>
      <c r="FS11" s="547"/>
      <c r="FT11" s="532"/>
      <c r="FU11" s="532"/>
      <c r="FV11" s="532"/>
      <c r="FW11" s="547"/>
      <c r="FX11" s="532"/>
      <c r="FY11" s="532"/>
      <c r="FZ11" s="532"/>
      <c r="GA11" s="547"/>
      <c r="GB11" s="532"/>
      <c r="GC11" s="532"/>
      <c r="GD11" s="532"/>
      <c r="GE11" s="547"/>
      <c r="GF11" s="532"/>
      <c r="GG11" s="532"/>
      <c r="GH11" s="532"/>
      <c r="GI11" s="547"/>
      <c r="GJ11" s="532"/>
      <c r="GK11" s="532"/>
      <c r="GL11" s="532"/>
      <c r="GM11" s="547"/>
      <c r="GN11" s="532"/>
      <c r="GO11" s="532"/>
      <c r="GP11" s="532"/>
      <c r="GQ11" s="547"/>
      <c r="GR11" s="532"/>
      <c r="GS11" s="532"/>
      <c r="GT11" s="532"/>
      <c r="GU11" s="547"/>
      <c r="GV11" s="532"/>
      <c r="GW11" s="532"/>
      <c r="GX11" s="532"/>
      <c r="GY11" s="547"/>
      <c r="GZ11" s="532"/>
      <c r="HA11" s="532"/>
      <c r="HB11" s="532"/>
      <c r="HC11" s="547"/>
      <c r="HD11" s="532"/>
      <c r="HE11" s="532"/>
      <c r="HF11" s="532"/>
      <c r="HG11" s="547"/>
      <c r="HH11" s="532"/>
      <c r="HI11" s="532"/>
      <c r="HJ11" s="532"/>
      <c r="HK11" s="547"/>
      <c r="HL11" s="532"/>
      <c r="HM11" s="532"/>
      <c r="HN11" s="532"/>
      <c r="HO11" s="547"/>
      <c r="HP11" s="532"/>
      <c r="HQ11" s="532"/>
      <c r="HR11" s="532"/>
      <c r="HS11" s="547"/>
      <c r="HT11" s="532"/>
      <c r="HU11" s="532"/>
      <c r="HV11" s="532"/>
      <c r="HW11" s="547"/>
      <c r="HX11" s="532"/>
      <c r="HY11" s="532"/>
      <c r="HZ11" s="532"/>
      <c r="IA11" s="547"/>
      <c r="IB11" s="532"/>
      <c r="IC11" s="532"/>
      <c r="ID11" s="532"/>
      <c r="IE11" s="547"/>
      <c r="IF11" s="532"/>
      <c r="IG11" s="532"/>
      <c r="IH11" s="532"/>
      <c r="II11" s="547"/>
      <c r="IJ11" s="532"/>
      <c r="IK11" s="532"/>
      <c r="IL11" s="532"/>
      <c r="IM11" s="547"/>
      <c r="IN11" s="532"/>
      <c r="IO11" s="532"/>
      <c r="IP11" s="532"/>
      <c r="IQ11" s="547"/>
      <c r="IR11" s="532"/>
      <c r="IS11" s="532"/>
      <c r="IT11" s="532"/>
      <c r="IU11" s="547"/>
      <c r="IV11" s="532"/>
    </row>
    <row r="12" spans="1:256" x14ac:dyDescent="0.25">
      <c r="A12" s="541" t="s">
        <v>465</v>
      </c>
      <c r="B12" s="535"/>
      <c r="C12" s="542">
        <f>C14+C15+C16+C17</f>
        <v>-126742.00913406392</v>
      </c>
      <c r="D12" s="542">
        <f t="shared" ref="D12:N12" si="2">D14+D15+D16+D17</f>
        <v>-350562.9223744293</v>
      </c>
      <c r="E12" s="542">
        <f t="shared" si="2"/>
        <v>-289846.94164964615</v>
      </c>
      <c r="F12" s="542">
        <f>F14+F15+F16+F17</f>
        <v>-1445712.4745155596</v>
      </c>
      <c r="G12" s="542">
        <f t="shared" si="2"/>
        <v>-845203.10310696461</v>
      </c>
      <c r="H12" s="542">
        <f t="shared" si="2"/>
        <v>-1489192.7927520806</v>
      </c>
      <c r="I12" s="542">
        <f t="shared" si="2"/>
        <v>-1085927.7567831327</v>
      </c>
      <c r="J12" s="542">
        <f t="shared" si="2"/>
        <v>-879389.23651147971</v>
      </c>
      <c r="K12" s="542">
        <f t="shared" si="2"/>
        <v>-41624.930337484308</v>
      </c>
      <c r="L12" s="542">
        <f t="shared" si="2"/>
        <v>-22336.112427151347</v>
      </c>
      <c r="M12" s="542">
        <f t="shared" si="2"/>
        <v>12451.028292286728</v>
      </c>
      <c r="N12" s="542">
        <f t="shared" si="2"/>
        <v>-21778.887895310712</v>
      </c>
      <c r="O12" s="542">
        <f t="shared" ref="O12:Y12" si="3">O14+O15+O16+O17</f>
        <v>-2028.6859611826435</v>
      </c>
      <c r="P12" s="542">
        <f t="shared" si="3"/>
        <v>60199.84053132269</v>
      </c>
      <c r="Q12" s="542">
        <f t="shared" si="3"/>
        <v>-7330.8809039372318</v>
      </c>
      <c r="R12" s="542">
        <f t="shared" si="3"/>
        <v>-6188.0417604635786</v>
      </c>
      <c r="S12" s="542">
        <f t="shared" si="3"/>
        <v>-1942.7157504767611</v>
      </c>
      <c r="T12" s="542">
        <f t="shared" si="3"/>
        <v>-5422.0411625788001</v>
      </c>
      <c r="U12" s="542">
        <f t="shared" si="3"/>
        <v>10541.266091640002</v>
      </c>
      <c r="V12" s="542">
        <f t="shared" si="3"/>
        <v>-3200.3133412476418</v>
      </c>
      <c r="W12" s="542">
        <f t="shared" si="3"/>
        <v>-8678.6729730122424</v>
      </c>
      <c r="X12" s="542">
        <f t="shared" si="3"/>
        <v>-1158.199306736492</v>
      </c>
      <c r="Y12" s="542">
        <f t="shared" si="3"/>
        <v>-4222.3973573399708</v>
      </c>
      <c r="Z12" s="532"/>
      <c r="AA12" s="545"/>
      <c r="AB12" s="543"/>
      <c r="AC12" s="532"/>
      <c r="AD12" s="532"/>
      <c r="AE12" s="545"/>
      <c r="AF12" s="543"/>
      <c r="AG12" s="532"/>
      <c r="AH12" s="532"/>
      <c r="AI12" s="545"/>
      <c r="AJ12" s="543"/>
      <c r="AK12" s="532"/>
      <c r="AL12" s="532"/>
      <c r="AM12" s="545"/>
      <c r="AN12" s="543"/>
      <c r="AO12" s="532"/>
      <c r="AP12" s="532"/>
      <c r="AQ12" s="545"/>
      <c r="AR12" s="543"/>
      <c r="AS12" s="532"/>
      <c r="AT12" s="532"/>
      <c r="AU12" s="545"/>
      <c r="AV12" s="543"/>
      <c r="AW12" s="532"/>
      <c r="AX12" s="532"/>
      <c r="AY12" s="545"/>
      <c r="AZ12" s="543"/>
      <c r="BA12" s="532"/>
      <c r="BB12" s="532"/>
      <c r="BC12" s="545"/>
      <c r="BD12" s="543"/>
      <c r="BE12" s="532"/>
      <c r="BF12" s="532"/>
      <c r="BG12" s="545"/>
      <c r="BH12" s="543"/>
      <c r="BI12" s="532"/>
      <c r="BJ12" s="532"/>
      <c r="BK12" s="545"/>
      <c r="BL12" s="543"/>
      <c r="BM12" s="532"/>
      <c r="BN12" s="532"/>
      <c r="BO12" s="545"/>
      <c r="BP12" s="543"/>
      <c r="BQ12" s="532"/>
      <c r="BR12" s="532"/>
      <c r="BS12" s="545"/>
      <c r="BT12" s="543"/>
      <c r="BU12" s="532"/>
      <c r="BV12" s="532"/>
      <c r="BW12" s="545"/>
      <c r="BX12" s="543"/>
      <c r="BY12" s="532"/>
      <c r="BZ12" s="532"/>
      <c r="CA12" s="545"/>
      <c r="CB12" s="543"/>
      <c r="CC12" s="532"/>
      <c r="CD12" s="532"/>
      <c r="CE12" s="545"/>
      <c r="CF12" s="543"/>
      <c r="CG12" s="532"/>
      <c r="CH12" s="532"/>
      <c r="CI12" s="545"/>
      <c r="CJ12" s="543"/>
      <c r="CK12" s="532"/>
      <c r="CL12" s="532"/>
      <c r="CM12" s="545"/>
      <c r="CN12" s="543"/>
      <c r="CO12" s="532"/>
      <c r="CP12" s="532"/>
      <c r="CQ12" s="545"/>
      <c r="CR12" s="543"/>
      <c r="CS12" s="532"/>
      <c r="CT12" s="532"/>
      <c r="CU12" s="545"/>
      <c r="CV12" s="543"/>
      <c r="CW12" s="532"/>
      <c r="CX12" s="532"/>
      <c r="CY12" s="545"/>
      <c r="CZ12" s="543"/>
      <c r="DA12" s="532"/>
      <c r="DB12" s="532"/>
      <c r="DC12" s="545"/>
      <c r="DD12" s="543"/>
      <c r="DE12" s="532"/>
      <c r="DF12" s="532"/>
      <c r="DG12" s="545"/>
      <c r="DH12" s="543"/>
      <c r="DI12" s="532"/>
      <c r="DJ12" s="532"/>
      <c r="DK12" s="545"/>
      <c r="DL12" s="543"/>
      <c r="DM12" s="532"/>
      <c r="DN12" s="532"/>
      <c r="DO12" s="545"/>
      <c r="DP12" s="543"/>
      <c r="DQ12" s="532"/>
      <c r="DR12" s="532"/>
      <c r="DS12" s="545"/>
      <c r="DT12" s="543"/>
      <c r="DU12" s="532"/>
      <c r="DV12" s="532"/>
      <c r="DW12" s="545"/>
      <c r="DX12" s="543"/>
      <c r="DY12" s="532"/>
      <c r="DZ12" s="532"/>
      <c r="EA12" s="545"/>
      <c r="EB12" s="543"/>
      <c r="EC12" s="532"/>
      <c r="ED12" s="532"/>
      <c r="EE12" s="545"/>
      <c r="EF12" s="543"/>
      <c r="EG12" s="532"/>
      <c r="EH12" s="532"/>
      <c r="EI12" s="545"/>
      <c r="EJ12" s="543"/>
      <c r="EK12" s="532"/>
      <c r="EL12" s="532"/>
      <c r="EM12" s="545"/>
      <c r="EN12" s="543"/>
      <c r="EO12" s="532"/>
      <c r="EP12" s="532"/>
      <c r="EQ12" s="545"/>
      <c r="ER12" s="543"/>
      <c r="ES12" s="532"/>
      <c r="ET12" s="532"/>
      <c r="EU12" s="545"/>
      <c r="EV12" s="543"/>
      <c r="EW12" s="532"/>
      <c r="EX12" s="532"/>
      <c r="EY12" s="545"/>
      <c r="EZ12" s="543"/>
      <c r="FA12" s="532"/>
      <c r="FB12" s="532"/>
      <c r="FC12" s="545"/>
      <c r="FD12" s="543"/>
      <c r="FE12" s="532"/>
      <c r="FF12" s="532"/>
      <c r="FG12" s="545"/>
      <c r="FH12" s="543"/>
      <c r="FI12" s="532"/>
      <c r="FJ12" s="532"/>
      <c r="FK12" s="545"/>
      <c r="FL12" s="543"/>
      <c r="FM12" s="532"/>
      <c r="FN12" s="532"/>
      <c r="FO12" s="545"/>
      <c r="FP12" s="543"/>
      <c r="FQ12" s="532"/>
      <c r="FR12" s="532"/>
      <c r="FS12" s="545"/>
      <c r="FT12" s="543"/>
      <c r="FU12" s="532"/>
      <c r="FV12" s="532"/>
      <c r="FW12" s="545"/>
      <c r="FX12" s="543"/>
      <c r="FY12" s="532"/>
      <c r="FZ12" s="532"/>
      <c r="GA12" s="545"/>
      <c r="GB12" s="543"/>
      <c r="GC12" s="532"/>
      <c r="GD12" s="532"/>
      <c r="GE12" s="545"/>
      <c r="GF12" s="543"/>
      <c r="GG12" s="532"/>
      <c r="GH12" s="532"/>
      <c r="GI12" s="545"/>
      <c r="GJ12" s="543"/>
      <c r="GK12" s="532"/>
      <c r="GL12" s="532"/>
      <c r="GM12" s="545"/>
      <c r="GN12" s="543"/>
      <c r="GO12" s="532"/>
      <c r="GP12" s="532"/>
      <c r="GQ12" s="545"/>
      <c r="GR12" s="543"/>
      <c r="GS12" s="532"/>
      <c r="GT12" s="532"/>
      <c r="GU12" s="545"/>
      <c r="GV12" s="543"/>
      <c r="GW12" s="532"/>
      <c r="GX12" s="532"/>
      <c r="GY12" s="545"/>
      <c r="GZ12" s="543"/>
      <c r="HA12" s="532"/>
      <c r="HB12" s="532"/>
      <c r="HC12" s="545"/>
      <c r="HD12" s="543"/>
      <c r="HE12" s="532"/>
      <c r="HF12" s="532"/>
      <c r="HG12" s="545"/>
      <c r="HH12" s="543"/>
      <c r="HI12" s="532"/>
      <c r="HJ12" s="532"/>
      <c r="HK12" s="545"/>
      <c r="HL12" s="543"/>
      <c r="HM12" s="532"/>
      <c r="HN12" s="532"/>
      <c r="HO12" s="545"/>
      <c r="HP12" s="543"/>
      <c r="HQ12" s="532"/>
      <c r="HR12" s="532"/>
      <c r="HS12" s="545"/>
      <c r="HT12" s="543"/>
      <c r="HU12" s="532"/>
      <c r="HV12" s="532"/>
      <c r="HW12" s="545"/>
      <c r="HX12" s="543"/>
      <c r="HY12" s="532"/>
      <c r="HZ12" s="532"/>
      <c r="IA12" s="545"/>
      <c r="IB12" s="543"/>
      <c r="IC12" s="532"/>
      <c r="ID12" s="532"/>
      <c r="IE12" s="545"/>
      <c r="IF12" s="543"/>
      <c r="IG12" s="532"/>
      <c r="IH12" s="532"/>
      <c r="II12" s="545"/>
      <c r="IJ12" s="543"/>
      <c r="IK12" s="532"/>
      <c r="IL12" s="532"/>
      <c r="IM12" s="545"/>
      <c r="IN12" s="543"/>
      <c r="IO12" s="532"/>
      <c r="IP12" s="532"/>
      <c r="IQ12" s="545"/>
      <c r="IR12" s="543"/>
      <c r="IS12" s="532"/>
      <c r="IT12" s="532"/>
      <c r="IU12" s="545"/>
      <c r="IV12" s="543"/>
    </row>
    <row r="13" spans="1:256" x14ac:dyDescent="0.25">
      <c r="A13" s="548"/>
      <c r="B13" s="535"/>
      <c r="C13" s="536"/>
      <c r="D13" s="536"/>
      <c r="E13" s="549"/>
      <c r="F13" s="549"/>
      <c r="G13" s="549"/>
      <c r="H13" s="549"/>
      <c r="I13" s="549"/>
      <c r="J13" s="549"/>
      <c r="K13" s="549"/>
      <c r="L13" s="549"/>
      <c r="M13" s="549"/>
      <c r="N13" s="549"/>
      <c r="O13" s="549"/>
      <c r="P13" s="549"/>
      <c r="Q13" s="549"/>
      <c r="R13" s="549"/>
      <c r="S13" s="549"/>
      <c r="T13" s="549"/>
      <c r="U13" s="549"/>
      <c r="V13" s="549"/>
      <c r="W13" s="549"/>
      <c r="X13" s="549"/>
      <c r="Y13" s="549"/>
      <c r="Z13" s="532"/>
      <c r="AA13" s="550"/>
      <c r="AB13" s="551"/>
      <c r="AC13" s="532"/>
      <c r="AD13" s="532"/>
      <c r="AE13" s="550"/>
      <c r="AF13" s="551"/>
      <c r="AG13" s="532"/>
      <c r="AH13" s="532"/>
      <c r="AI13" s="550"/>
      <c r="AJ13" s="551"/>
      <c r="AK13" s="532"/>
      <c r="AL13" s="532"/>
      <c r="AM13" s="550"/>
      <c r="AN13" s="551"/>
      <c r="AO13" s="532"/>
      <c r="AP13" s="532"/>
      <c r="AQ13" s="550"/>
      <c r="AR13" s="551"/>
      <c r="AS13" s="532"/>
      <c r="AT13" s="532"/>
      <c r="AU13" s="550"/>
      <c r="AV13" s="551"/>
      <c r="AW13" s="532"/>
      <c r="AX13" s="532"/>
      <c r="AY13" s="550"/>
      <c r="AZ13" s="551"/>
      <c r="BA13" s="532"/>
      <c r="BB13" s="532"/>
      <c r="BC13" s="550"/>
      <c r="BD13" s="551"/>
      <c r="BE13" s="532"/>
      <c r="BF13" s="532"/>
      <c r="BG13" s="550"/>
      <c r="BH13" s="551"/>
      <c r="BI13" s="532"/>
      <c r="BJ13" s="532"/>
      <c r="BK13" s="550"/>
      <c r="BL13" s="551"/>
      <c r="BM13" s="532"/>
      <c r="BN13" s="532"/>
      <c r="BO13" s="550"/>
      <c r="BP13" s="551"/>
      <c r="BQ13" s="532"/>
      <c r="BR13" s="532"/>
      <c r="BS13" s="550"/>
      <c r="BT13" s="551"/>
      <c r="BU13" s="532"/>
      <c r="BV13" s="532"/>
      <c r="BW13" s="550"/>
      <c r="BX13" s="551"/>
      <c r="BY13" s="532"/>
      <c r="BZ13" s="532"/>
      <c r="CA13" s="550"/>
      <c r="CB13" s="551"/>
      <c r="CC13" s="532"/>
      <c r="CD13" s="532"/>
      <c r="CE13" s="550"/>
      <c r="CF13" s="551"/>
      <c r="CG13" s="532"/>
      <c r="CH13" s="532"/>
      <c r="CI13" s="550"/>
      <c r="CJ13" s="551"/>
      <c r="CK13" s="532"/>
      <c r="CL13" s="532"/>
      <c r="CM13" s="550"/>
      <c r="CN13" s="551"/>
      <c r="CO13" s="532"/>
      <c r="CP13" s="532"/>
      <c r="CQ13" s="550"/>
      <c r="CR13" s="551"/>
      <c r="CS13" s="532"/>
      <c r="CT13" s="532"/>
      <c r="CU13" s="550"/>
      <c r="CV13" s="551"/>
      <c r="CW13" s="532"/>
      <c r="CX13" s="532"/>
      <c r="CY13" s="550"/>
      <c r="CZ13" s="551"/>
      <c r="DA13" s="532"/>
      <c r="DB13" s="532"/>
      <c r="DC13" s="550"/>
      <c r="DD13" s="551"/>
      <c r="DE13" s="532"/>
      <c r="DF13" s="532"/>
      <c r="DG13" s="550"/>
      <c r="DH13" s="551"/>
      <c r="DI13" s="532"/>
      <c r="DJ13" s="532"/>
      <c r="DK13" s="550"/>
      <c r="DL13" s="551"/>
      <c r="DM13" s="532"/>
      <c r="DN13" s="532"/>
      <c r="DO13" s="550"/>
      <c r="DP13" s="551"/>
      <c r="DQ13" s="532"/>
      <c r="DR13" s="532"/>
      <c r="DS13" s="550"/>
      <c r="DT13" s="551"/>
      <c r="DU13" s="532"/>
      <c r="DV13" s="532"/>
      <c r="DW13" s="550"/>
      <c r="DX13" s="551"/>
      <c r="DY13" s="532"/>
      <c r="DZ13" s="532"/>
      <c r="EA13" s="550"/>
      <c r="EB13" s="551"/>
      <c r="EC13" s="532"/>
      <c r="ED13" s="532"/>
      <c r="EE13" s="550"/>
      <c r="EF13" s="551"/>
      <c r="EG13" s="532"/>
      <c r="EH13" s="532"/>
      <c r="EI13" s="550"/>
      <c r="EJ13" s="551"/>
      <c r="EK13" s="532"/>
      <c r="EL13" s="532"/>
      <c r="EM13" s="550"/>
      <c r="EN13" s="551"/>
      <c r="EO13" s="532"/>
      <c r="EP13" s="532"/>
      <c r="EQ13" s="550"/>
      <c r="ER13" s="551"/>
      <c r="ES13" s="532"/>
      <c r="ET13" s="532"/>
      <c r="EU13" s="550"/>
      <c r="EV13" s="551"/>
      <c r="EW13" s="532"/>
      <c r="EX13" s="532"/>
      <c r="EY13" s="550"/>
      <c r="EZ13" s="551"/>
      <c r="FA13" s="532"/>
      <c r="FB13" s="532"/>
      <c r="FC13" s="550"/>
      <c r="FD13" s="551"/>
      <c r="FE13" s="532"/>
      <c r="FF13" s="532"/>
      <c r="FG13" s="550"/>
      <c r="FH13" s="551"/>
      <c r="FI13" s="532"/>
      <c r="FJ13" s="532"/>
      <c r="FK13" s="550"/>
      <c r="FL13" s="551"/>
      <c r="FM13" s="532"/>
      <c r="FN13" s="532"/>
      <c r="FO13" s="550"/>
      <c r="FP13" s="551"/>
      <c r="FQ13" s="532"/>
      <c r="FR13" s="532"/>
      <c r="FS13" s="550"/>
      <c r="FT13" s="551"/>
      <c r="FU13" s="532"/>
      <c r="FV13" s="532"/>
      <c r="FW13" s="550"/>
      <c r="FX13" s="551"/>
      <c r="FY13" s="532"/>
      <c r="FZ13" s="532"/>
      <c r="GA13" s="550"/>
      <c r="GB13" s="551"/>
      <c r="GC13" s="532"/>
      <c r="GD13" s="532"/>
      <c r="GE13" s="550"/>
      <c r="GF13" s="551"/>
      <c r="GG13" s="532"/>
      <c r="GH13" s="532"/>
      <c r="GI13" s="550"/>
      <c r="GJ13" s="551"/>
      <c r="GK13" s="532"/>
      <c r="GL13" s="532"/>
      <c r="GM13" s="550"/>
      <c r="GN13" s="551"/>
      <c r="GO13" s="532"/>
      <c r="GP13" s="532"/>
      <c r="GQ13" s="550"/>
      <c r="GR13" s="551"/>
      <c r="GS13" s="532"/>
      <c r="GT13" s="532"/>
      <c r="GU13" s="550"/>
      <c r="GV13" s="551"/>
      <c r="GW13" s="532"/>
      <c r="GX13" s="532"/>
      <c r="GY13" s="550"/>
      <c r="GZ13" s="551"/>
      <c r="HA13" s="532"/>
      <c r="HB13" s="532"/>
      <c r="HC13" s="550"/>
      <c r="HD13" s="551"/>
      <c r="HE13" s="532"/>
      <c r="HF13" s="532"/>
      <c r="HG13" s="550"/>
      <c r="HH13" s="551"/>
      <c r="HI13" s="532"/>
      <c r="HJ13" s="532"/>
      <c r="HK13" s="550"/>
      <c r="HL13" s="551"/>
      <c r="HM13" s="532"/>
      <c r="HN13" s="532"/>
      <c r="HO13" s="550"/>
      <c r="HP13" s="551"/>
      <c r="HQ13" s="532"/>
      <c r="HR13" s="532"/>
      <c r="HS13" s="550"/>
      <c r="HT13" s="551"/>
      <c r="HU13" s="532"/>
      <c r="HV13" s="532"/>
      <c r="HW13" s="550"/>
      <c r="HX13" s="551"/>
      <c r="HY13" s="532"/>
      <c r="HZ13" s="532"/>
      <c r="IA13" s="550"/>
      <c r="IB13" s="551"/>
      <c r="IC13" s="532"/>
      <c r="ID13" s="532"/>
      <c r="IE13" s="550"/>
      <c r="IF13" s="551"/>
      <c r="IG13" s="532"/>
      <c r="IH13" s="532"/>
      <c r="II13" s="550"/>
      <c r="IJ13" s="551"/>
      <c r="IK13" s="532"/>
      <c r="IL13" s="532"/>
      <c r="IM13" s="550"/>
      <c r="IN13" s="551"/>
      <c r="IO13" s="532"/>
      <c r="IP13" s="532"/>
      <c r="IQ13" s="550"/>
      <c r="IR13" s="551"/>
      <c r="IS13" s="532"/>
      <c r="IT13" s="532"/>
      <c r="IU13" s="550"/>
      <c r="IV13" s="551"/>
    </row>
    <row r="14" spans="1:256" outlineLevel="1" x14ac:dyDescent="0.25">
      <c r="A14" s="534" t="s">
        <v>466</v>
      </c>
      <c r="B14" s="535"/>
      <c r="C14" s="549">
        <f>-Bilan!E21</f>
        <v>0</v>
      </c>
      <c r="D14" s="549">
        <f>-Bilan!F21+Bilan!E21</f>
        <v>0</v>
      </c>
      <c r="E14" s="549">
        <f>-Bilan!G21+Bilan!F21</f>
        <v>-288951.38511211035</v>
      </c>
      <c r="F14" s="549">
        <f>-Bilan!H21+Bilan!G21</f>
        <v>-1474977.6139255257</v>
      </c>
      <c r="G14" s="549">
        <f>-Bilan!I21+Bilan!H21</f>
        <v>-863913.63137680246</v>
      </c>
      <c r="H14" s="549">
        <f>-Bilan!J21+Bilan!I21</f>
        <v>-1200606.018557718</v>
      </c>
      <c r="I14" s="549">
        <f>-Bilan!K21+Bilan!J21</f>
        <v>-686273.61153107043</v>
      </c>
      <c r="J14" s="549">
        <f>-Bilan!L21+Bilan!K21</f>
        <v>-403753.53440252319</v>
      </c>
      <c r="K14" s="549">
        <f>-Bilan!M21+Bilan!L21</f>
        <v>12365.344074513763</v>
      </c>
      <c r="L14" s="549">
        <f>-Bilan!N21+Bilan!M21</f>
        <v>327.91032398119569</v>
      </c>
      <c r="M14" s="549">
        <f>-Bilan!O21+Bilan!N21</f>
        <v>-38883.781328096054</v>
      </c>
      <c r="N14" s="549">
        <f>-Bilan!P21+Bilan!O21</f>
        <v>-50691.408710586838</v>
      </c>
      <c r="O14" s="549">
        <f>-Bilan!Q21+Bilan!P21</f>
        <v>-44993.934548022225</v>
      </c>
      <c r="P14" s="549">
        <f>-Bilan!R21+Bilan!Q21</f>
        <v>16020.387898242101</v>
      </c>
      <c r="Q14" s="549">
        <f>-Bilan!S21+Bilan!R21</f>
        <v>-51870.595045535825</v>
      </c>
      <c r="R14" s="549">
        <f>-Bilan!T21+Bilan!S21</f>
        <v>-52012.874265410937</v>
      </c>
      <c r="S14" s="549">
        <f>-Bilan!U21+Bilan!T21</f>
        <v>-49978.575229505077</v>
      </c>
      <c r="T14" s="549">
        <f>-Bilan!V21+Bilan!U21</f>
        <v>-54818.14124003984</v>
      </c>
      <c r="U14" s="549">
        <f>-Bilan!W21+Bilan!V21</f>
        <v>-40587.625178717077</v>
      </c>
      <c r="V14" s="549">
        <f>-Bilan!X21+Bilan!W21</f>
        <v>-56102.360718473792</v>
      </c>
      <c r="W14" s="549">
        <f>-Bilan!Y21+Bilan!X21</f>
        <v>-62173.200683310628</v>
      </c>
      <c r="X14" s="549">
        <f>-Bilan!Z21+Bilan!Y21</f>
        <v>-56065.747998182662</v>
      </c>
      <c r="Y14" s="549">
        <f>-Bilan!AA21+Bilan!Z21</f>
        <v>-61475.871134142391</v>
      </c>
      <c r="Z14" s="532"/>
      <c r="AA14" s="550"/>
      <c r="AB14" s="551"/>
      <c r="AC14" s="532"/>
      <c r="AD14" s="532"/>
      <c r="AE14" s="550"/>
      <c r="AF14" s="551"/>
      <c r="AG14" s="532"/>
      <c r="AH14" s="532"/>
      <c r="AI14" s="550"/>
      <c r="AJ14" s="551"/>
      <c r="AK14" s="532"/>
      <c r="AL14" s="532"/>
      <c r="AM14" s="550"/>
      <c r="AN14" s="551"/>
      <c r="AO14" s="532"/>
      <c r="AP14" s="532"/>
      <c r="AQ14" s="550"/>
      <c r="AR14" s="551"/>
      <c r="AS14" s="532"/>
      <c r="AT14" s="532"/>
      <c r="AU14" s="550"/>
      <c r="AV14" s="551"/>
      <c r="AW14" s="532"/>
      <c r="AX14" s="532"/>
      <c r="AY14" s="550"/>
      <c r="AZ14" s="551"/>
      <c r="BA14" s="532"/>
      <c r="BB14" s="532"/>
      <c r="BC14" s="550"/>
      <c r="BD14" s="551"/>
      <c r="BE14" s="532"/>
      <c r="BF14" s="532"/>
      <c r="BG14" s="550"/>
      <c r="BH14" s="551"/>
      <c r="BI14" s="532"/>
      <c r="BJ14" s="532"/>
      <c r="BK14" s="550"/>
      <c r="BL14" s="551"/>
      <c r="BM14" s="532"/>
      <c r="BN14" s="532"/>
      <c r="BO14" s="550"/>
      <c r="BP14" s="551"/>
      <c r="BQ14" s="532"/>
      <c r="BR14" s="532"/>
      <c r="BS14" s="550"/>
      <c r="BT14" s="551"/>
      <c r="BU14" s="532"/>
      <c r="BV14" s="532"/>
      <c r="BW14" s="550"/>
      <c r="BX14" s="551"/>
      <c r="BY14" s="532"/>
      <c r="BZ14" s="532"/>
      <c r="CA14" s="550"/>
      <c r="CB14" s="551"/>
      <c r="CC14" s="532"/>
      <c r="CD14" s="532"/>
      <c r="CE14" s="550"/>
      <c r="CF14" s="551"/>
      <c r="CG14" s="532"/>
      <c r="CH14" s="532"/>
      <c r="CI14" s="550"/>
      <c r="CJ14" s="551"/>
      <c r="CK14" s="532"/>
      <c r="CL14" s="532"/>
      <c r="CM14" s="550"/>
      <c r="CN14" s="551"/>
      <c r="CO14" s="532"/>
      <c r="CP14" s="532"/>
      <c r="CQ14" s="550"/>
      <c r="CR14" s="551"/>
      <c r="CS14" s="532"/>
      <c r="CT14" s="532"/>
      <c r="CU14" s="550"/>
      <c r="CV14" s="551"/>
      <c r="CW14" s="532"/>
      <c r="CX14" s="532"/>
      <c r="CY14" s="550"/>
      <c r="CZ14" s="551"/>
      <c r="DA14" s="532"/>
      <c r="DB14" s="532"/>
      <c r="DC14" s="550"/>
      <c r="DD14" s="551"/>
      <c r="DE14" s="532"/>
      <c r="DF14" s="532"/>
      <c r="DG14" s="550"/>
      <c r="DH14" s="551"/>
      <c r="DI14" s="532"/>
      <c r="DJ14" s="532"/>
      <c r="DK14" s="550"/>
      <c r="DL14" s="551"/>
      <c r="DM14" s="532"/>
      <c r="DN14" s="532"/>
      <c r="DO14" s="550"/>
      <c r="DP14" s="551"/>
      <c r="DQ14" s="532"/>
      <c r="DR14" s="532"/>
      <c r="DS14" s="550"/>
      <c r="DT14" s="551"/>
      <c r="DU14" s="532"/>
      <c r="DV14" s="532"/>
      <c r="DW14" s="550"/>
      <c r="DX14" s="551"/>
      <c r="DY14" s="532"/>
      <c r="DZ14" s="532"/>
      <c r="EA14" s="550"/>
      <c r="EB14" s="551"/>
      <c r="EC14" s="532"/>
      <c r="ED14" s="532"/>
      <c r="EE14" s="550"/>
      <c r="EF14" s="551"/>
      <c r="EG14" s="532"/>
      <c r="EH14" s="532"/>
      <c r="EI14" s="550"/>
      <c r="EJ14" s="551"/>
      <c r="EK14" s="532"/>
      <c r="EL14" s="532"/>
      <c r="EM14" s="550"/>
      <c r="EN14" s="551"/>
      <c r="EO14" s="532"/>
      <c r="EP14" s="532"/>
      <c r="EQ14" s="550"/>
      <c r="ER14" s="551"/>
      <c r="ES14" s="532"/>
      <c r="ET14" s="532"/>
      <c r="EU14" s="550"/>
      <c r="EV14" s="551"/>
      <c r="EW14" s="532"/>
      <c r="EX14" s="532"/>
      <c r="EY14" s="550"/>
      <c r="EZ14" s="551"/>
      <c r="FA14" s="532"/>
      <c r="FB14" s="532"/>
      <c r="FC14" s="550"/>
      <c r="FD14" s="551"/>
      <c r="FE14" s="532"/>
      <c r="FF14" s="532"/>
      <c r="FG14" s="550"/>
      <c r="FH14" s="551"/>
      <c r="FI14" s="532"/>
      <c r="FJ14" s="532"/>
      <c r="FK14" s="550"/>
      <c r="FL14" s="551"/>
      <c r="FM14" s="532"/>
      <c r="FN14" s="532"/>
      <c r="FO14" s="550"/>
      <c r="FP14" s="551"/>
      <c r="FQ14" s="532"/>
      <c r="FR14" s="532"/>
      <c r="FS14" s="550"/>
      <c r="FT14" s="551"/>
      <c r="FU14" s="532"/>
      <c r="FV14" s="532"/>
      <c r="FW14" s="550"/>
      <c r="FX14" s="551"/>
      <c r="FY14" s="532"/>
      <c r="FZ14" s="532"/>
      <c r="GA14" s="550"/>
      <c r="GB14" s="551"/>
      <c r="GC14" s="532"/>
      <c r="GD14" s="532"/>
      <c r="GE14" s="550"/>
      <c r="GF14" s="551"/>
      <c r="GG14" s="532"/>
      <c r="GH14" s="532"/>
      <c r="GI14" s="550"/>
      <c r="GJ14" s="551"/>
      <c r="GK14" s="532"/>
      <c r="GL14" s="532"/>
      <c r="GM14" s="550"/>
      <c r="GN14" s="551"/>
      <c r="GO14" s="532"/>
      <c r="GP14" s="532"/>
      <c r="GQ14" s="550"/>
      <c r="GR14" s="551"/>
      <c r="GS14" s="532"/>
      <c r="GT14" s="532"/>
      <c r="GU14" s="550"/>
      <c r="GV14" s="551"/>
      <c r="GW14" s="532"/>
      <c r="GX14" s="532"/>
      <c r="GY14" s="550"/>
      <c r="GZ14" s="551"/>
      <c r="HA14" s="532"/>
      <c r="HB14" s="532"/>
      <c r="HC14" s="550"/>
      <c r="HD14" s="551"/>
      <c r="HE14" s="532"/>
      <c r="HF14" s="532"/>
      <c r="HG14" s="550"/>
      <c r="HH14" s="551"/>
      <c r="HI14" s="532"/>
      <c r="HJ14" s="532"/>
      <c r="HK14" s="550"/>
      <c r="HL14" s="551"/>
      <c r="HM14" s="532"/>
      <c r="HN14" s="532"/>
      <c r="HO14" s="550"/>
      <c r="HP14" s="551"/>
      <c r="HQ14" s="532"/>
      <c r="HR14" s="532"/>
      <c r="HS14" s="550"/>
      <c r="HT14" s="551"/>
      <c r="HU14" s="532"/>
      <c r="HV14" s="532"/>
      <c r="HW14" s="550"/>
      <c r="HX14" s="551"/>
      <c r="HY14" s="532"/>
      <c r="HZ14" s="532"/>
      <c r="IA14" s="550"/>
      <c r="IB14" s="551"/>
      <c r="IC14" s="532"/>
      <c r="ID14" s="532"/>
      <c r="IE14" s="550"/>
      <c r="IF14" s="551"/>
      <c r="IG14" s="532"/>
      <c r="IH14" s="532"/>
      <c r="II14" s="550"/>
      <c r="IJ14" s="551"/>
      <c r="IK14" s="532"/>
      <c r="IL14" s="532"/>
      <c r="IM14" s="550"/>
      <c r="IN14" s="551"/>
      <c r="IO14" s="532"/>
      <c r="IP14" s="532"/>
      <c r="IQ14" s="550"/>
      <c r="IR14" s="551"/>
      <c r="IS14" s="532"/>
      <c r="IT14" s="532"/>
      <c r="IU14" s="550"/>
      <c r="IV14" s="551"/>
    </row>
    <row r="15" spans="1:256" outlineLevel="1" x14ac:dyDescent="0.25">
      <c r="A15" s="534" t="s">
        <v>467</v>
      </c>
      <c r="B15" s="535"/>
      <c r="C15" s="549">
        <f>-Bilan!E22</f>
        <v>0</v>
      </c>
      <c r="D15" s="549">
        <f>-Bilan!F22+Bilan!E22</f>
        <v>0</v>
      </c>
      <c r="E15" s="549">
        <f>-Bilan!G22+Bilan!F22</f>
        <v>-203560.56678990542</v>
      </c>
      <c r="F15" s="549">
        <f>-Bilan!H22+Bilan!G22</f>
        <v>-1789062.2628854704</v>
      </c>
      <c r="G15" s="549">
        <f>-Bilan!I22+Bilan!H22</f>
        <v>-1119805.9262676877</v>
      </c>
      <c r="H15" s="549">
        <f>-Bilan!J22+Bilan!I22</f>
        <v>-1666341.6290735956</v>
      </c>
      <c r="I15" s="549">
        <f>-Bilan!K22+Bilan!J22</f>
        <v>-1222961.3020060426</v>
      </c>
      <c r="J15" s="549">
        <f>-Bilan!L22+Bilan!K22</f>
        <v>-1021027.0461530033</v>
      </c>
      <c r="K15" s="549">
        <f>-Bilan!M22+Bilan!L22</f>
        <v>-62065.608792434447</v>
      </c>
      <c r="L15" s="549">
        <f>-Bilan!N22+Bilan!M22</f>
        <v>-43607.784033624455</v>
      </c>
      <c r="M15" s="549">
        <f>-Bilan!O22+Bilan!N22</f>
        <v>-8256.0555191468447</v>
      </c>
      <c r="N15" s="549">
        <f>-Bilan!P22+Bilan!O22</f>
        <v>-40944.745631513186</v>
      </c>
      <c r="O15" s="549">
        <f>-Bilan!Q22+Bilan!P22</f>
        <v>0</v>
      </c>
      <c r="P15" s="549">
        <f>-Bilan!R22+Bilan!Q22</f>
        <v>0</v>
      </c>
      <c r="Q15" s="549">
        <f>-Bilan!S22+Bilan!R22</f>
        <v>0</v>
      </c>
      <c r="R15" s="549">
        <f>-Bilan!T22+Bilan!S22</f>
        <v>0</v>
      </c>
      <c r="S15" s="549">
        <f>-Bilan!U22+Bilan!T22</f>
        <v>0</v>
      </c>
      <c r="T15" s="549">
        <f>-Bilan!V22+Bilan!U22</f>
        <v>0</v>
      </c>
      <c r="U15" s="549">
        <f>-Bilan!W22+Bilan!V22</f>
        <v>0</v>
      </c>
      <c r="V15" s="549">
        <f>-Bilan!X22+Bilan!W22</f>
        <v>0</v>
      </c>
      <c r="W15" s="549">
        <f>-Bilan!Y22+Bilan!X22</f>
        <v>0</v>
      </c>
      <c r="X15" s="549">
        <f>-Bilan!Z22+Bilan!Y22</f>
        <v>0</v>
      </c>
      <c r="Y15" s="549">
        <f>-Bilan!AA22+Bilan!Z22</f>
        <v>0</v>
      </c>
      <c r="Z15" s="532"/>
      <c r="AA15" s="550"/>
      <c r="AB15" s="551"/>
      <c r="AC15" s="532"/>
      <c r="AD15" s="532"/>
      <c r="AE15" s="550"/>
      <c r="AF15" s="551"/>
      <c r="AG15" s="532"/>
      <c r="AH15" s="532"/>
      <c r="AI15" s="550"/>
      <c r="AJ15" s="551"/>
      <c r="AK15" s="532"/>
      <c r="AL15" s="532"/>
      <c r="AM15" s="550"/>
      <c r="AN15" s="551"/>
      <c r="AO15" s="532"/>
      <c r="AP15" s="532"/>
      <c r="AQ15" s="550"/>
      <c r="AR15" s="551"/>
      <c r="AS15" s="532"/>
      <c r="AT15" s="532"/>
      <c r="AU15" s="550"/>
      <c r="AV15" s="551"/>
      <c r="AW15" s="532"/>
      <c r="AX15" s="532"/>
      <c r="AY15" s="550"/>
      <c r="AZ15" s="551"/>
      <c r="BA15" s="532"/>
      <c r="BB15" s="532"/>
      <c r="BC15" s="550"/>
      <c r="BD15" s="551"/>
      <c r="BE15" s="532"/>
      <c r="BF15" s="532"/>
      <c r="BG15" s="550"/>
      <c r="BH15" s="551"/>
      <c r="BI15" s="532"/>
      <c r="BJ15" s="532"/>
      <c r="BK15" s="550"/>
      <c r="BL15" s="551"/>
      <c r="BM15" s="532"/>
      <c r="BN15" s="532"/>
      <c r="BO15" s="550"/>
      <c r="BP15" s="551"/>
      <c r="BQ15" s="532"/>
      <c r="BR15" s="532"/>
      <c r="BS15" s="550"/>
      <c r="BT15" s="551"/>
      <c r="BU15" s="532"/>
      <c r="BV15" s="532"/>
      <c r="BW15" s="550"/>
      <c r="BX15" s="551"/>
      <c r="BY15" s="532"/>
      <c r="BZ15" s="532"/>
      <c r="CA15" s="550"/>
      <c r="CB15" s="551"/>
      <c r="CC15" s="532"/>
      <c r="CD15" s="532"/>
      <c r="CE15" s="550"/>
      <c r="CF15" s="551"/>
      <c r="CG15" s="532"/>
      <c r="CH15" s="532"/>
      <c r="CI15" s="550"/>
      <c r="CJ15" s="551"/>
      <c r="CK15" s="532"/>
      <c r="CL15" s="532"/>
      <c r="CM15" s="550"/>
      <c r="CN15" s="551"/>
      <c r="CO15" s="532"/>
      <c r="CP15" s="532"/>
      <c r="CQ15" s="550"/>
      <c r="CR15" s="551"/>
      <c r="CS15" s="532"/>
      <c r="CT15" s="532"/>
      <c r="CU15" s="550"/>
      <c r="CV15" s="551"/>
      <c r="CW15" s="532"/>
      <c r="CX15" s="532"/>
      <c r="CY15" s="550"/>
      <c r="CZ15" s="551"/>
      <c r="DA15" s="532"/>
      <c r="DB15" s="532"/>
      <c r="DC15" s="550"/>
      <c r="DD15" s="551"/>
      <c r="DE15" s="532"/>
      <c r="DF15" s="532"/>
      <c r="DG15" s="550"/>
      <c r="DH15" s="551"/>
      <c r="DI15" s="532"/>
      <c r="DJ15" s="532"/>
      <c r="DK15" s="550"/>
      <c r="DL15" s="551"/>
      <c r="DM15" s="532"/>
      <c r="DN15" s="532"/>
      <c r="DO15" s="550"/>
      <c r="DP15" s="551"/>
      <c r="DQ15" s="532"/>
      <c r="DR15" s="532"/>
      <c r="DS15" s="550"/>
      <c r="DT15" s="551"/>
      <c r="DU15" s="532"/>
      <c r="DV15" s="532"/>
      <c r="DW15" s="550"/>
      <c r="DX15" s="551"/>
      <c r="DY15" s="532"/>
      <c r="DZ15" s="532"/>
      <c r="EA15" s="550"/>
      <c r="EB15" s="551"/>
      <c r="EC15" s="532"/>
      <c r="ED15" s="532"/>
      <c r="EE15" s="550"/>
      <c r="EF15" s="551"/>
      <c r="EG15" s="532"/>
      <c r="EH15" s="532"/>
      <c r="EI15" s="550"/>
      <c r="EJ15" s="551"/>
      <c r="EK15" s="532"/>
      <c r="EL15" s="532"/>
      <c r="EM15" s="550"/>
      <c r="EN15" s="551"/>
      <c r="EO15" s="532"/>
      <c r="EP15" s="532"/>
      <c r="EQ15" s="550"/>
      <c r="ER15" s="551"/>
      <c r="ES15" s="532"/>
      <c r="ET15" s="532"/>
      <c r="EU15" s="550"/>
      <c r="EV15" s="551"/>
      <c r="EW15" s="532"/>
      <c r="EX15" s="532"/>
      <c r="EY15" s="550"/>
      <c r="EZ15" s="551"/>
      <c r="FA15" s="532"/>
      <c r="FB15" s="532"/>
      <c r="FC15" s="550"/>
      <c r="FD15" s="551"/>
      <c r="FE15" s="532"/>
      <c r="FF15" s="532"/>
      <c r="FG15" s="550"/>
      <c r="FH15" s="551"/>
      <c r="FI15" s="532"/>
      <c r="FJ15" s="532"/>
      <c r="FK15" s="550"/>
      <c r="FL15" s="551"/>
      <c r="FM15" s="532"/>
      <c r="FN15" s="532"/>
      <c r="FO15" s="550"/>
      <c r="FP15" s="551"/>
      <c r="FQ15" s="532"/>
      <c r="FR15" s="532"/>
      <c r="FS15" s="550"/>
      <c r="FT15" s="551"/>
      <c r="FU15" s="532"/>
      <c r="FV15" s="532"/>
      <c r="FW15" s="550"/>
      <c r="FX15" s="551"/>
      <c r="FY15" s="532"/>
      <c r="FZ15" s="532"/>
      <c r="GA15" s="550"/>
      <c r="GB15" s="551"/>
      <c r="GC15" s="532"/>
      <c r="GD15" s="532"/>
      <c r="GE15" s="550"/>
      <c r="GF15" s="551"/>
      <c r="GG15" s="532"/>
      <c r="GH15" s="532"/>
      <c r="GI15" s="550"/>
      <c r="GJ15" s="551"/>
      <c r="GK15" s="532"/>
      <c r="GL15" s="532"/>
      <c r="GM15" s="550"/>
      <c r="GN15" s="551"/>
      <c r="GO15" s="532"/>
      <c r="GP15" s="532"/>
      <c r="GQ15" s="550"/>
      <c r="GR15" s="551"/>
      <c r="GS15" s="532"/>
      <c r="GT15" s="532"/>
      <c r="GU15" s="550"/>
      <c r="GV15" s="551"/>
      <c r="GW15" s="532"/>
      <c r="GX15" s="532"/>
      <c r="GY15" s="550"/>
      <c r="GZ15" s="551"/>
      <c r="HA15" s="532"/>
      <c r="HB15" s="532"/>
      <c r="HC15" s="550"/>
      <c r="HD15" s="551"/>
      <c r="HE15" s="532"/>
      <c r="HF15" s="532"/>
      <c r="HG15" s="550"/>
      <c r="HH15" s="551"/>
      <c r="HI15" s="532"/>
      <c r="HJ15" s="532"/>
      <c r="HK15" s="550"/>
      <c r="HL15" s="551"/>
      <c r="HM15" s="532"/>
      <c r="HN15" s="532"/>
      <c r="HO15" s="550"/>
      <c r="HP15" s="551"/>
      <c r="HQ15" s="532"/>
      <c r="HR15" s="532"/>
      <c r="HS15" s="550"/>
      <c r="HT15" s="551"/>
      <c r="HU15" s="532"/>
      <c r="HV15" s="532"/>
      <c r="HW15" s="550"/>
      <c r="HX15" s="551"/>
      <c r="HY15" s="532"/>
      <c r="HZ15" s="532"/>
      <c r="IA15" s="550"/>
      <c r="IB15" s="551"/>
      <c r="IC15" s="532"/>
      <c r="ID15" s="532"/>
      <c r="IE15" s="550"/>
      <c r="IF15" s="551"/>
      <c r="IG15" s="532"/>
      <c r="IH15" s="532"/>
      <c r="II15" s="550"/>
      <c r="IJ15" s="551"/>
      <c r="IK15" s="532"/>
      <c r="IL15" s="532"/>
      <c r="IM15" s="550"/>
      <c r="IN15" s="551"/>
      <c r="IO15" s="532"/>
      <c r="IP15" s="532"/>
      <c r="IQ15" s="550"/>
      <c r="IR15" s="551"/>
      <c r="IS15" s="532"/>
      <c r="IT15" s="532"/>
      <c r="IU15" s="550"/>
      <c r="IV15" s="551"/>
    </row>
    <row r="16" spans="1:256" outlineLevel="1" x14ac:dyDescent="0.25">
      <c r="A16" s="534" t="s">
        <v>468</v>
      </c>
      <c r="B16" s="535"/>
      <c r="C16" s="549">
        <f>-Bilan!E23+Bilan!D23</f>
        <v>53424.657532602738</v>
      </c>
      <c r="D16" s="549">
        <f>-Bilan!F23+Bilan!E23</f>
        <v>-4109.5890410958964</v>
      </c>
      <c r="E16" s="549">
        <f>-Bilan!G23+Bilan!F23</f>
        <v>197198.34358570294</v>
      </c>
      <c r="F16" s="549">
        <f>-Bilan!H23+Bilan!G23</f>
        <v>1496554.068962103</v>
      </c>
      <c r="G16" s="549">
        <f>-Bilan!I23+Bilan!H23</f>
        <v>981149.7878708588</v>
      </c>
      <c r="H16" s="549">
        <f>-Bilan!J23+Bilan!I23</f>
        <v>1363474.8548792331</v>
      </c>
      <c r="I16" s="549">
        <f>-Bilan!K23+Bilan!J23</f>
        <v>808040.49008731358</v>
      </c>
      <c r="J16" s="549">
        <f>-Bilan!L23+Bilan!K23</f>
        <v>535658.01071071345</v>
      </c>
      <c r="K16" s="549">
        <f>-Bilan!M23+Bilan!L23</f>
        <v>7008.6677137697116</v>
      </c>
      <c r="L16" s="549">
        <f>-Bilan!N23+Bilan!M23</f>
        <v>21499.316838047467</v>
      </c>
      <c r="M16" s="549">
        <f>-Bilan!O23+Bilan!N23</f>
        <v>60035.309583974071</v>
      </c>
      <c r="N16" s="549">
        <f>-Bilan!P23+Bilan!O23</f>
        <v>70301.710891233757</v>
      </c>
      <c r="O16" s="549">
        <f>-Bilan!Q23+Bilan!P23</f>
        <v>43409.693031284027</v>
      </c>
      <c r="P16" s="549">
        <f>-Bilan!R23+Bilan!Q23</f>
        <v>44623.897077525035</v>
      </c>
      <c r="Q16" s="549">
        <f>-Bilan!S23+Bilan!R23</f>
        <v>45873.047474931926</v>
      </c>
      <c r="R16" s="549">
        <f>-Bilan!T23+Bilan!S23</f>
        <v>47158.165838280693</v>
      </c>
      <c r="S16" s="549">
        <f>-Bilan!U23+Bilan!T23</f>
        <v>48480.303923472762</v>
      </c>
      <c r="T16" s="549">
        <f>-Bilan!V23+Bilan!U23</f>
        <v>49840.544521905482</v>
      </c>
      <c r="U16" s="549">
        <f>-Bilan!W23+Bilan!V23</f>
        <v>51240.002381468192</v>
      </c>
      <c r="V16" s="549">
        <f>-Bilan!X23+Bilan!W23</f>
        <v>52679.825155003928</v>
      </c>
      <c r="W16" s="549">
        <f>-Bilan!Y23+Bilan!X23</f>
        <v>54161.194376965053</v>
      </c>
      <c r="X16" s="549">
        <f>-Bilan!Z23+Bilan!Y23</f>
        <v>55685.326469223946</v>
      </c>
      <c r="Y16" s="549">
        <f>-Bilan!AA23+Bilan!Z23</f>
        <v>57253.473776802421</v>
      </c>
      <c r="Z16" s="532"/>
      <c r="AA16" s="550"/>
      <c r="AB16" s="551"/>
      <c r="AC16" s="532"/>
      <c r="AD16" s="532"/>
      <c r="AE16" s="550"/>
      <c r="AF16" s="551"/>
      <c r="AG16" s="532"/>
      <c r="AH16" s="532"/>
      <c r="AI16" s="550"/>
      <c r="AJ16" s="551"/>
      <c r="AK16" s="532"/>
      <c r="AL16" s="532"/>
      <c r="AM16" s="550"/>
      <c r="AN16" s="551"/>
      <c r="AO16" s="532"/>
      <c r="AP16" s="532"/>
      <c r="AQ16" s="550"/>
      <c r="AR16" s="551"/>
      <c r="AS16" s="532"/>
      <c r="AT16" s="532"/>
      <c r="AU16" s="550"/>
      <c r="AV16" s="551"/>
      <c r="AW16" s="532"/>
      <c r="AX16" s="532"/>
      <c r="AY16" s="550"/>
      <c r="AZ16" s="551"/>
      <c r="BA16" s="532"/>
      <c r="BB16" s="532"/>
      <c r="BC16" s="550"/>
      <c r="BD16" s="551"/>
      <c r="BE16" s="532"/>
      <c r="BF16" s="532"/>
      <c r="BG16" s="550"/>
      <c r="BH16" s="551"/>
      <c r="BI16" s="532"/>
      <c r="BJ16" s="532"/>
      <c r="BK16" s="550"/>
      <c r="BL16" s="551"/>
      <c r="BM16" s="532"/>
      <c r="BN16" s="532"/>
      <c r="BO16" s="550"/>
      <c r="BP16" s="551"/>
      <c r="BQ16" s="532"/>
      <c r="BR16" s="532"/>
      <c r="BS16" s="550"/>
      <c r="BT16" s="551"/>
      <c r="BU16" s="532"/>
      <c r="BV16" s="532"/>
      <c r="BW16" s="550"/>
      <c r="BX16" s="551"/>
      <c r="BY16" s="532"/>
      <c r="BZ16" s="532"/>
      <c r="CA16" s="550"/>
      <c r="CB16" s="551"/>
      <c r="CC16" s="532"/>
      <c r="CD16" s="532"/>
      <c r="CE16" s="550"/>
      <c r="CF16" s="551"/>
      <c r="CG16" s="532"/>
      <c r="CH16" s="532"/>
      <c r="CI16" s="550"/>
      <c r="CJ16" s="551"/>
      <c r="CK16" s="532"/>
      <c r="CL16" s="532"/>
      <c r="CM16" s="550"/>
      <c r="CN16" s="551"/>
      <c r="CO16" s="532"/>
      <c r="CP16" s="532"/>
      <c r="CQ16" s="550"/>
      <c r="CR16" s="551"/>
      <c r="CS16" s="532"/>
      <c r="CT16" s="532"/>
      <c r="CU16" s="550"/>
      <c r="CV16" s="551"/>
      <c r="CW16" s="532"/>
      <c r="CX16" s="532"/>
      <c r="CY16" s="550"/>
      <c r="CZ16" s="551"/>
      <c r="DA16" s="532"/>
      <c r="DB16" s="532"/>
      <c r="DC16" s="550"/>
      <c r="DD16" s="551"/>
      <c r="DE16" s="532"/>
      <c r="DF16" s="532"/>
      <c r="DG16" s="550"/>
      <c r="DH16" s="551"/>
      <c r="DI16" s="532"/>
      <c r="DJ16" s="532"/>
      <c r="DK16" s="550"/>
      <c r="DL16" s="551"/>
      <c r="DM16" s="532"/>
      <c r="DN16" s="532"/>
      <c r="DO16" s="550"/>
      <c r="DP16" s="551"/>
      <c r="DQ16" s="532"/>
      <c r="DR16" s="532"/>
      <c r="DS16" s="550"/>
      <c r="DT16" s="551"/>
      <c r="DU16" s="532"/>
      <c r="DV16" s="532"/>
      <c r="DW16" s="550"/>
      <c r="DX16" s="551"/>
      <c r="DY16" s="532"/>
      <c r="DZ16" s="532"/>
      <c r="EA16" s="550"/>
      <c r="EB16" s="551"/>
      <c r="EC16" s="532"/>
      <c r="ED16" s="532"/>
      <c r="EE16" s="550"/>
      <c r="EF16" s="551"/>
      <c r="EG16" s="532"/>
      <c r="EH16" s="532"/>
      <c r="EI16" s="550"/>
      <c r="EJ16" s="551"/>
      <c r="EK16" s="532"/>
      <c r="EL16" s="532"/>
      <c r="EM16" s="550"/>
      <c r="EN16" s="551"/>
      <c r="EO16" s="532"/>
      <c r="EP16" s="532"/>
      <c r="EQ16" s="550"/>
      <c r="ER16" s="551"/>
      <c r="ES16" s="532"/>
      <c r="ET16" s="532"/>
      <c r="EU16" s="550"/>
      <c r="EV16" s="551"/>
      <c r="EW16" s="532"/>
      <c r="EX16" s="532"/>
      <c r="EY16" s="550"/>
      <c r="EZ16" s="551"/>
      <c r="FA16" s="532"/>
      <c r="FB16" s="532"/>
      <c r="FC16" s="550"/>
      <c r="FD16" s="551"/>
      <c r="FE16" s="532"/>
      <c r="FF16" s="532"/>
      <c r="FG16" s="550"/>
      <c r="FH16" s="551"/>
      <c r="FI16" s="532"/>
      <c r="FJ16" s="532"/>
      <c r="FK16" s="550"/>
      <c r="FL16" s="551"/>
      <c r="FM16" s="532"/>
      <c r="FN16" s="532"/>
      <c r="FO16" s="550"/>
      <c r="FP16" s="551"/>
      <c r="FQ16" s="532"/>
      <c r="FR16" s="532"/>
      <c r="FS16" s="550"/>
      <c r="FT16" s="551"/>
      <c r="FU16" s="532"/>
      <c r="FV16" s="532"/>
      <c r="FW16" s="550"/>
      <c r="FX16" s="551"/>
      <c r="FY16" s="532"/>
      <c r="FZ16" s="532"/>
      <c r="GA16" s="550"/>
      <c r="GB16" s="551"/>
      <c r="GC16" s="532"/>
      <c r="GD16" s="532"/>
      <c r="GE16" s="550"/>
      <c r="GF16" s="551"/>
      <c r="GG16" s="532"/>
      <c r="GH16" s="532"/>
      <c r="GI16" s="550"/>
      <c r="GJ16" s="551"/>
      <c r="GK16" s="532"/>
      <c r="GL16" s="532"/>
      <c r="GM16" s="550"/>
      <c r="GN16" s="551"/>
      <c r="GO16" s="532"/>
      <c r="GP16" s="532"/>
      <c r="GQ16" s="550"/>
      <c r="GR16" s="551"/>
      <c r="GS16" s="532"/>
      <c r="GT16" s="532"/>
      <c r="GU16" s="550"/>
      <c r="GV16" s="551"/>
      <c r="GW16" s="532"/>
      <c r="GX16" s="532"/>
      <c r="GY16" s="550"/>
      <c r="GZ16" s="551"/>
      <c r="HA16" s="532"/>
      <c r="HB16" s="532"/>
      <c r="HC16" s="550"/>
      <c r="HD16" s="551"/>
      <c r="HE16" s="532"/>
      <c r="HF16" s="532"/>
      <c r="HG16" s="550"/>
      <c r="HH16" s="551"/>
      <c r="HI16" s="532"/>
      <c r="HJ16" s="532"/>
      <c r="HK16" s="550"/>
      <c r="HL16" s="551"/>
      <c r="HM16" s="532"/>
      <c r="HN16" s="532"/>
      <c r="HO16" s="550"/>
      <c r="HP16" s="551"/>
      <c r="HQ16" s="532"/>
      <c r="HR16" s="532"/>
      <c r="HS16" s="550"/>
      <c r="HT16" s="551"/>
      <c r="HU16" s="532"/>
      <c r="HV16" s="532"/>
      <c r="HW16" s="550"/>
      <c r="HX16" s="551"/>
      <c r="HY16" s="532"/>
      <c r="HZ16" s="532"/>
      <c r="IA16" s="550"/>
      <c r="IB16" s="551"/>
      <c r="IC16" s="532"/>
      <c r="ID16" s="532"/>
      <c r="IE16" s="550"/>
      <c r="IF16" s="551"/>
      <c r="IG16" s="532"/>
      <c r="IH16" s="532"/>
      <c r="II16" s="550"/>
      <c r="IJ16" s="551"/>
      <c r="IK16" s="532"/>
      <c r="IL16" s="532"/>
      <c r="IM16" s="550"/>
      <c r="IN16" s="551"/>
      <c r="IO16" s="532"/>
      <c r="IP16" s="532"/>
      <c r="IQ16" s="550"/>
      <c r="IR16" s="551"/>
      <c r="IS16" s="532"/>
      <c r="IT16" s="532"/>
      <c r="IU16" s="550"/>
      <c r="IV16" s="551"/>
    </row>
    <row r="17" spans="1:256" outlineLevel="1" x14ac:dyDescent="0.25">
      <c r="A17" s="534" t="s">
        <v>469</v>
      </c>
      <c r="B17" s="535"/>
      <c r="C17" s="549">
        <f>-Bilan!E25+Bilan!D25</f>
        <v>-180166.66666666666</v>
      </c>
      <c r="D17" s="549">
        <f>-Bilan!F25+Bilan!E25</f>
        <v>-346453.33333333337</v>
      </c>
      <c r="E17" s="549">
        <f>-Bilan!G25+Bilan!F25</f>
        <v>5466.6666666666861</v>
      </c>
      <c r="F17" s="549">
        <f>-Bilan!H25+Bilan!G25</f>
        <v>321773.33333333326</v>
      </c>
      <c r="G17" s="549">
        <f>-Bilan!I25+Bilan!H25</f>
        <v>157366.66666666669</v>
      </c>
      <c r="H17" s="549">
        <f>-Bilan!J25+Bilan!I25</f>
        <v>14280.000000000004</v>
      </c>
      <c r="I17" s="549">
        <f>-Bilan!K25+Bilan!J25</f>
        <v>15266.666666666666</v>
      </c>
      <c r="J17" s="549">
        <f>-Bilan!L25+Bilan!K25</f>
        <v>9733.3333333333321</v>
      </c>
      <c r="K17" s="549">
        <f>-Bilan!M25+Bilan!L25</f>
        <v>1066.6666666666672</v>
      </c>
      <c r="L17" s="549">
        <f>-Bilan!N25+Bilan!M25</f>
        <v>-555.55555555555588</v>
      </c>
      <c r="M17" s="549">
        <f>-Bilan!O25+Bilan!N25</f>
        <v>-444.44444444444389</v>
      </c>
      <c r="N17" s="549">
        <f>-Bilan!P25+Bilan!O25</f>
        <v>-444.44444444444525</v>
      </c>
      <c r="O17" s="549">
        <f>-Bilan!Q25+Bilan!P25</f>
        <v>-444.4444444444448</v>
      </c>
      <c r="P17" s="549">
        <f>-Bilan!R25+Bilan!Q25</f>
        <v>-444.44444444444389</v>
      </c>
      <c r="Q17" s="549">
        <f>-Bilan!S25+Bilan!R25</f>
        <v>-1333.3333333333326</v>
      </c>
      <c r="R17" s="549">
        <f>-Bilan!T25+Bilan!S25</f>
        <v>-1333.3333333333339</v>
      </c>
      <c r="S17" s="549">
        <f>-Bilan!U25+Bilan!T25</f>
        <v>-444.44444444444616</v>
      </c>
      <c r="T17" s="549">
        <f>-Bilan!V25+Bilan!U25</f>
        <v>-444.44444444444161</v>
      </c>
      <c r="U17" s="549">
        <f>-Bilan!W25+Bilan!V25</f>
        <v>-111.11111111111313</v>
      </c>
      <c r="V17" s="549">
        <f>-Bilan!X25+Bilan!W25</f>
        <v>222.22222222222263</v>
      </c>
      <c r="W17" s="549">
        <f>-Bilan!Y25+Bilan!X25</f>
        <v>-666.66666666666697</v>
      </c>
      <c r="X17" s="549">
        <f>-Bilan!Z25+Bilan!Y25</f>
        <v>-777.77777777777646</v>
      </c>
      <c r="Y17" s="549">
        <f>-Bilan!AA25+Bilan!Z25</f>
        <v>0</v>
      </c>
      <c r="Z17" s="532"/>
      <c r="AA17" s="550"/>
      <c r="AB17" s="551"/>
      <c r="AC17" s="532"/>
      <c r="AD17" s="532"/>
      <c r="AE17" s="550"/>
      <c r="AF17" s="551"/>
      <c r="AG17" s="532"/>
      <c r="AH17" s="532"/>
      <c r="AI17" s="550"/>
      <c r="AJ17" s="551"/>
      <c r="AK17" s="532"/>
      <c r="AL17" s="532"/>
      <c r="AM17" s="550"/>
      <c r="AN17" s="551"/>
      <c r="AO17" s="532"/>
      <c r="AP17" s="532"/>
      <c r="AQ17" s="550"/>
      <c r="AR17" s="551"/>
      <c r="AS17" s="532"/>
      <c r="AT17" s="532"/>
      <c r="AU17" s="550"/>
      <c r="AV17" s="551"/>
      <c r="AW17" s="532"/>
      <c r="AX17" s="532"/>
      <c r="AY17" s="550"/>
      <c r="AZ17" s="551"/>
      <c r="BA17" s="532"/>
      <c r="BB17" s="532"/>
      <c r="BC17" s="550"/>
      <c r="BD17" s="551"/>
      <c r="BE17" s="532"/>
      <c r="BF17" s="532"/>
      <c r="BG17" s="550"/>
      <c r="BH17" s="551"/>
      <c r="BI17" s="532"/>
      <c r="BJ17" s="532"/>
      <c r="BK17" s="550"/>
      <c r="BL17" s="551"/>
      <c r="BM17" s="532"/>
      <c r="BN17" s="532"/>
      <c r="BO17" s="550"/>
      <c r="BP17" s="551"/>
      <c r="BQ17" s="532"/>
      <c r="BR17" s="532"/>
      <c r="BS17" s="550"/>
      <c r="BT17" s="551"/>
      <c r="BU17" s="532"/>
      <c r="BV17" s="532"/>
      <c r="BW17" s="550"/>
      <c r="BX17" s="551"/>
      <c r="BY17" s="532"/>
      <c r="BZ17" s="532"/>
      <c r="CA17" s="550"/>
      <c r="CB17" s="551"/>
      <c r="CC17" s="532"/>
      <c r="CD17" s="532"/>
      <c r="CE17" s="550"/>
      <c r="CF17" s="551"/>
      <c r="CG17" s="532"/>
      <c r="CH17" s="532"/>
      <c r="CI17" s="550"/>
      <c r="CJ17" s="551"/>
      <c r="CK17" s="532"/>
      <c r="CL17" s="532"/>
      <c r="CM17" s="550"/>
      <c r="CN17" s="551"/>
      <c r="CO17" s="532"/>
      <c r="CP17" s="532"/>
      <c r="CQ17" s="550"/>
      <c r="CR17" s="551"/>
      <c r="CS17" s="532"/>
      <c r="CT17" s="532"/>
      <c r="CU17" s="550"/>
      <c r="CV17" s="551"/>
      <c r="CW17" s="532"/>
      <c r="CX17" s="532"/>
      <c r="CY17" s="550"/>
      <c r="CZ17" s="551"/>
      <c r="DA17" s="532"/>
      <c r="DB17" s="532"/>
      <c r="DC17" s="550"/>
      <c r="DD17" s="551"/>
      <c r="DE17" s="532"/>
      <c r="DF17" s="532"/>
      <c r="DG17" s="550"/>
      <c r="DH17" s="551"/>
      <c r="DI17" s="532"/>
      <c r="DJ17" s="532"/>
      <c r="DK17" s="550"/>
      <c r="DL17" s="551"/>
      <c r="DM17" s="532"/>
      <c r="DN17" s="532"/>
      <c r="DO17" s="550"/>
      <c r="DP17" s="551"/>
      <c r="DQ17" s="532"/>
      <c r="DR17" s="532"/>
      <c r="DS17" s="550"/>
      <c r="DT17" s="551"/>
      <c r="DU17" s="532"/>
      <c r="DV17" s="532"/>
      <c r="DW17" s="550"/>
      <c r="DX17" s="551"/>
      <c r="DY17" s="532"/>
      <c r="DZ17" s="532"/>
      <c r="EA17" s="550"/>
      <c r="EB17" s="551"/>
      <c r="EC17" s="532"/>
      <c r="ED17" s="532"/>
      <c r="EE17" s="550"/>
      <c r="EF17" s="551"/>
      <c r="EG17" s="532"/>
      <c r="EH17" s="532"/>
      <c r="EI17" s="550"/>
      <c r="EJ17" s="551"/>
      <c r="EK17" s="532"/>
      <c r="EL17" s="532"/>
      <c r="EM17" s="550"/>
      <c r="EN17" s="551"/>
      <c r="EO17" s="532"/>
      <c r="EP17" s="532"/>
      <c r="EQ17" s="550"/>
      <c r="ER17" s="551"/>
      <c r="ES17" s="532"/>
      <c r="ET17" s="532"/>
      <c r="EU17" s="550"/>
      <c r="EV17" s="551"/>
      <c r="EW17" s="532"/>
      <c r="EX17" s="532"/>
      <c r="EY17" s="550"/>
      <c r="EZ17" s="551"/>
      <c r="FA17" s="532"/>
      <c r="FB17" s="532"/>
      <c r="FC17" s="550"/>
      <c r="FD17" s="551"/>
      <c r="FE17" s="532"/>
      <c r="FF17" s="532"/>
      <c r="FG17" s="550"/>
      <c r="FH17" s="551"/>
      <c r="FI17" s="532"/>
      <c r="FJ17" s="532"/>
      <c r="FK17" s="550"/>
      <c r="FL17" s="551"/>
      <c r="FM17" s="532"/>
      <c r="FN17" s="532"/>
      <c r="FO17" s="550"/>
      <c r="FP17" s="551"/>
      <c r="FQ17" s="532"/>
      <c r="FR17" s="532"/>
      <c r="FS17" s="550"/>
      <c r="FT17" s="551"/>
      <c r="FU17" s="532"/>
      <c r="FV17" s="532"/>
      <c r="FW17" s="550"/>
      <c r="FX17" s="551"/>
      <c r="FY17" s="532"/>
      <c r="FZ17" s="532"/>
      <c r="GA17" s="550"/>
      <c r="GB17" s="551"/>
      <c r="GC17" s="532"/>
      <c r="GD17" s="532"/>
      <c r="GE17" s="550"/>
      <c r="GF17" s="551"/>
      <c r="GG17" s="532"/>
      <c r="GH17" s="532"/>
      <c r="GI17" s="550"/>
      <c r="GJ17" s="551"/>
      <c r="GK17" s="532"/>
      <c r="GL17" s="532"/>
      <c r="GM17" s="550"/>
      <c r="GN17" s="551"/>
      <c r="GO17" s="532"/>
      <c r="GP17" s="532"/>
      <c r="GQ17" s="550"/>
      <c r="GR17" s="551"/>
      <c r="GS17" s="532"/>
      <c r="GT17" s="532"/>
      <c r="GU17" s="550"/>
      <c r="GV17" s="551"/>
      <c r="GW17" s="532"/>
      <c r="GX17" s="532"/>
      <c r="GY17" s="550"/>
      <c r="GZ17" s="551"/>
      <c r="HA17" s="532"/>
      <c r="HB17" s="532"/>
      <c r="HC17" s="550"/>
      <c r="HD17" s="551"/>
      <c r="HE17" s="532"/>
      <c r="HF17" s="532"/>
      <c r="HG17" s="550"/>
      <c r="HH17" s="551"/>
      <c r="HI17" s="532"/>
      <c r="HJ17" s="532"/>
      <c r="HK17" s="550"/>
      <c r="HL17" s="551"/>
      <c r="HM17" s="532"/>
      <c r="HN17" s="532"/>
      <c r="HO17" s="550"/>
      <c r="HP17" s="551"/>
      <c r="HQ17" s="532"/>
      <c r="HR17" s="532"/>
      <c r="HS17" s="550"/>
      <c r="HT17" s="551"/>
      <c r="HU17" s="532"/>
      <c r="HV17" s="532"/>
      <c r="HW17" s="550"/>
      <c r="HX17" s="551"/>
      <c r="HY17" s="532"/>
      <c r="HZ17" s="532"/>
      <c r="IA17" s="550"/>
      <c r="IB17" s="551"/>
      <c r="IC17" s="532"/>
      <c r="ID17" s="532"/>
      <c r="IE17" s="550"/>
      <c r="IF17" s="551"/>
      <c r="IG17" s="532"/>
      <c r="IH17" s="532"/>
      <c r="II17" s="550"/>
      <c r="IJ17" s="551"/>
      <c r="IK17" s="532"/>
      <c r="IL17" s="532"/>
      <c r="IM17" s="550"/>
      <c r="IN17" s="551"/>
      <c r="IO17" s="532"/>
      <c r="IP17" s="532"/>
      <c r="IQ17" s="550"/>
      <c r="IR17" s="551"/>
      <c r="IS17" s="532"/>
      <c r="IT17" s="532"/>
      <c r="IU17" s="550"/>
      <c r="IV17" s="551"/>
    </row>
    <row r="18" spans="1:256" outlineLevel="1" x14ac:dyDescent="0.25">
      <c r="A18" s="548"/>
      <c r="B18" s="535"/>
      <c r="C18" s="536"/>
      <c r="D18" s="536"/>
      <c r="E18" s="549"/>
      <c r="F18" s="549"/>
      <c r="G18" s="549"/>
      <c r="H18" s="549"/>
      <c r="I18" s="549"/>
      <c r="J18" s="549"/>
      <c r="K18" s="549"/>
      <c r="L18" s="549"/>
      <c r="M18" s="549"/>
      <c r="N18" s="549"/>
      <c r="O18" s="549"/>
      <c r="P18" s="549"/>
      <c r="Q18" s="549"/>
      <c r="R18" s="549"/>
      <c r="S18" s="549"/>
      <c r="T18" s="549"/>
      <c r="U18" s="549"/>
      <c r="V18" s="549"/>
      <c r="W18" s="549"/>
      <c r="X18" s="549"/>
      <c r="Y18" s="549"/>
      <c r="Z18" s="532"/>
      <c r="AA18" s="550"/>
      <c r="AB18" s="551"/>
      <c r="AC18" s="532"/>
      <c r="AD18" s="532"/>
      <c r="AE18" s="550"/>
      <c r="AF18" s="551"/>
      <c r="AG18" s="532"/>
      <c r="AH18" s="532"/>
      <c r="AI18" s="550"/>
      <c r="AJ18" s="551"/>
      <c r="AK18" s="532"/>
      <c r="AL18" s="532"/>
      <c r="AM18" s="550"/>
      <c r="AN18" s="551"/>
      <c r="AO18" s="532"/>
      <c r="AP18" s="532"/>
      <c r="AQ18" s="550"/>
      <c r="AR18" s="551"/>
      <c r="AS18" s="532"/>
      <c r="AT18" s="532"/>
      <c r="AU18" s="550"/>
      <c r="AV18" s="551"/>
      <c r="AW18" s="532"/>
      <c r="AX18" s="532"/>
      <c r="AY18" s="550"/>
      <c r="AZ18" s="551"/>
      <c r="BA18" s="532"/>
      <c r="BB18" s="532"/>
      <c r="BC18" s="550"/>
      <c r="BD18" s="551"/>
      <c r="BE18" s="532"/>
      <c r="BF18" s="532"/>
      <c r="BG18" s="550"/>
      <c r="BH18" s="551"/>
      <c r="BI18" s="532"/>
      <c r="BJ18" s="532"/>
      <c r="BK18" s="550"/>
      <c r="BL18" s="551"/>
      <c r="BM18" s="532"/>
      <c r="BN18" s="532"/>
      <c r="BO18" s="550"/>
      <c r="BP18" s="551"/>
      <c r="BQ18" s="532"/>
      <c r="BR18" s="532"/>
      <c r="BS18" s="550"/>
      <c r="BT18" s="551"/>
      <c r="BU18" s="532"/>
      <c r="BV18" s="532"/>
      <c r="BW18" s="550"/>
      <c r="BX18" s="551"/>
      <c r="BY18" s="532"/>
      <c r="BZ18" s="532"/>
      <c r="CA18" s="550"/>
      <c r="CB18" s="551"/>
      <c r="CC18" s="532"/>
      <c r="CD18" s="532"/>
      <c r="CE18" s="550"/>
      <c r="CF18" s="551"/>
      <c r="CG18" s="532"/>
      <c r="CH18" s="532"/>
      <c r="CI18" s="550"/>
      <c r="CJ18" s="551"/>
      <c r="CK18" s="532"/>
      <c r="CL18" s="532"/>
      <c r="CM18" s="550"/>
      <c r="CN18" s="551"/>
      <c r="CO18" s="532"/>
      <c r="CP18" s="532"/>
      <c r="CQ18" s="550"/>
      <c r="CR18" s="551"/>
      <c r="CS18" s="532"/>
      <c r="CT18" s="532"/>
      <c r="CU18" s="550"/>
      <c r="CV18" s="551"/>
      <c r="CW18" s="532"/>
      <c r="CX18" s="532"/>
      <c r="CY18" s="550"/>
      <c r="CZ18" s="551"/>
      <c r="DA18" s="532"/>
      <c r="DB18" s="532"/>
      <c r="DC18" s="550"/>
      <c r="DD18" s="551"/>
      <c r="DE18" s="532"/>
      <c r="DF18" s="532"/>
      <c r="DG18" s="550"/>
      <c r="DH18" s="551"/>
      <c r="DI18" s="532"/>
      <c r="DJ18" s="532"/>
      <c r="DK18" s="550"/>
      <c r="DL18" s="551"/>
      <c r="DM18" s="532"/>
      <c r="DN18" s="532"/>
      <c r="DO18" s="550"/>
      <c r="DP18" s="551"/>
      <c r="DQ18" s="532"/>
      <c r="DR18" s="532"/>
      <c r="DS18" s="550"/>
      <c r="DT18" s="551"/>
      <c r="DU18" s="532"/>
      <c r="DV18" s="532"/>
      <c r="DW18" s="550"/>
      <c r="DX18" s="551"/>
      <c r="DY18" s="532"/>
      <c r="DZ18" s="532"/>
      <c r="EA18" s="550"/>
      <c r="EB18" s="551"/>
      <c r="EC18" s="532"/>
      <c r="ED18" s="532"/>
      <c r="EE18" s="550"/>
      <c r="EF18" s="551"/>
      <c r="EG18" s="532"/>
      <c r="EH18" s="532"/>
      <c r="EI18" s="550"/>
      <c r="EJ18" s="551"/>
      <c r="EK18" s="532"/>
      <c r="EL18" s="532"/>
      <c r="EM18" s="550"/>
      <c r="EN18" s="551"/>
      <c r="EO18" s="532"/>
      <c r="EP18" s="532"/>
      <c r="EQ18" s="550"/>
      <c r="ER18" s="551"/>
      <c r="ES18" s="532"/>
      <c r="ET18" s="532"/>
      <c r="EU18" s="550"/>
      <c r="EV18" s="551"/>
      <c r="EW18" s="532"/>
      <c r="EX18" s="532"/>
      <c r="EY18" s="550"/>
      <c r="EZ18" s="551"/>
      <c r="FA18" s="532"/>
      <c r="FB18" s="532"/>
      <c r="FC18" s="550"/>
      <c r="FD18" s="551"/>
      <c r="FE18" s="532"/>
      <c r="FF18" s="532"/>
      <c r="FG18" s="550"/>
      <c r="FH18" s="551"/>
      <c r="FI18" s="532"/>
      <c r="FJ18" s="532"/>
      <c r="FK18" s="550"/>
      <c r="FL18" s="551"/>
      <c r="FM18" s="532"/>
      <c r="FN18" s="532"/>
      <c r="FO18" s="550"/>
      <c r="FP18" s="551"/>
      <c r="FQ18" s="532"/>
      <c r="FR18" s="532"/>
      <c r="FS18" s="550"/>
      <c r="FT18" s="551"/>
      <c r="FU18" s="532"/>
      <c r="FV18" s="532"/>
      <c r="FW18" s="550"/>
      <c r="FX18" s="551"/>
      <c r="FY18" s="532"/>
      <c r="FZ18" s="532"/>
      <c r="GA18" s="550"/>
      <c r="GB18" s="551"/>
      <c r="GC18" s="532"/>
      <c r="GD18" s="532"/>
      <c r="GE18" s="550"/>
      <c r="GF18" s="551"/>
      <c r="GG18" s="532"/>
      <c r="GH18" s="532"/>
      <c r="GI18" s="550"/>
      <c r="GJ18" s="551"/>
      <c r="GK18" s="532"/>
      <c r="GL18" s="532"/>
      <c r="GM18" s="550"/>
      <c r="GN18" s="551"/>
      <c r="GO18" s="532"/>
      <c r="GP18" s="532"/>
      <c r="GQ18" s="550"/>
      <c r="GR18" s="551"/>
      <c r="GS18" s="532"/>
      <c r="GT18" s="532"/>
      <c r="GU18" s="550"/>
      <c r="GV18" s="551"/>
      <c r="GW18" s="532"/>
      <c r="GX18" s="532"/>
      <c r="GY18" s="550"/>
      <c r="GZ18" s="551"/>
      <c r="HA18" s="532"/>
      <c r="HB18" s="532"/>
      <c r="HC18" s="550"/>
      <c r="HD18" s="551"/>
      <c r="HE18" s="532"/>
      <c r="HF18" s="532"/>
      <c r="HG18" s="550"/>
      <c r="HH18" s="551"/>
      <c r="HI18" s="532"/>
      <c r="HJ18" s="532"/>
      <c r="HK18" s="550"/>
      <c r="HL18" s="551"/>
      <c r="HM18" s="532"/>
      <c r="HN18" s="532"/>
      <c r="HO18" s="550"/>
      <c r="HP18" s="551"/>
      <c r="HQ18" s="532"/>
      <c r="HR18" s="532"/>
      <c r="HS18" s="550"/>
      <c r="HT18" s="551"/>
      <c r="HU18" s="532"/>
      <c r="HV18" s="532"/>
      <c r="HW18" s="550"/>
      <c r="HX18" s="551"/>
      <c r="HY18" s="532"/>
      <c r="HZ18" s="532"/>
      <c r="IA18" s="550"/>
      <c r="IB18" s="551"/>
      <c r="IC18" s="532"/>
      <c r="ID18" s="532"/>
      <c r="IE18" s="550"/>
      <c r="IF18" s="551"/>
      <c r="IG18" s="532"/>
      <c r="IH18" s="532"/>
      <c r="II18" s="550"/>
      <c r="IJ18" s="551"/>
      <c r="IK18" s="532"/>
      <c r="IL18" s="532"/>
      <c r="IM18" s="550"/>
      <c r="IN18" s="551"/>
      <c r="IO18" s="532"/>
      <c r="IP18" s="532"/>
      <c r="IQ18" s="550"/>
      <c r="IR18" s="551"/>
      <c r="IS18" s="532"/>
      <c r="IT18" s="532"/>
      <c r="IU18" s="550"/>
      <c r="IV18" s="551"/>
    </row>
    <row r="19" spans="1:256" x14ac:dyDescent="0.25">
      <c r="A19" s="541"/>
      <c r="B19" s="535"/>
      <c r="C19" s="536"/>
      <c r="D19" s="536"/>
      <c r="E19" s="546"/>
      <c r="F19" s="546"/>
      <c r="G19" s="546"/>
      <c r="H19" s="546"/>
      <c r="I19" s="546"/>
      <c r="J19" s="546"/>
      <c r="K19" s="546"/>
      <c r="L19" s="546"/>
      <c r="M19" s="546"/>
      <c r="N19" s="546"/>
      <c r="O19" s="546"/>
      <c r="P19" s="546"/>
      <c r="Q19" s="546"/>
      <c r="R19" s="546"/>
      <c r="S19" s="546"/>
      <c r="T19" s="546"/>
      <c r="U19" s="546"/>
      <c r="V19" s="546"/>
      <c r="W19" s="546"/>
      <c r="X19" s="546"/>
      <c r="Y19" s="546"/>
      <c r="Z19" s="532"/>
      <c r="AA19" s="547"/>
      <c r="AB19" s="543"/>
      <c r="AC19" s="532"/>
      <c r="AD19" s="532"/>
      <c r="AE19" s="547"/>
      <c r="AF19" s="543"/>
      <c r="AG19" s="532"/>
      <c r="AH19" s="532"/>
      <c r="AI19" s="547"/>
      <c r="AJ19" s="543"/>
      <c r="AK19" s="532"/>
      <c r="AL19" s="532"/>
      <c r="AM19" s="547"/>
      <c r="AN19" s="543"/>
      <c r="AO19" s="532"/>
      <c r="AP19" s="532"/>
      <c r="AQ19" s="547"/>
      <c r="AR19" s="543"/>
      <c r="AS19" s="532"/>
      <c r="AT19" s="532"/>
      <c r="AU19" s="547"/>
      <c r="AV19" s="543"/>
      <c r="AW19" s="532"/>
      <c r="AX19" s="532"/>
      <c r="AY19" s="547"/>
      <c r="AZ19" s="543"/>
      <c r="BA19" s="532"/>
      <c r="BB19" s="532"/>
      <c r="BC19" s="547"/>
      <c r="BD19" s="543"/>
      <c r="BE19" s="532"/>
      <c r="BF19" s="532"/>
      <c r="BG19" s="547"/>
      <c r="BH19" s="543"/>
      <c r="BI19" s="532"/>
      <c r="BJ19" s="532"/>
      <c r="BK19" s="547"/>
      <c r="BL19" s="543"/>
      <c r="BM19" s="532"/>
      <c r="BN19" s="532"/>
      <c r="BO19" s="547"/>
      <c r="BP19" s="543"/>
      <c r="BQ19" s="532"/>
      <c r="BR19" s="532"/>
      <c r="BS19" s="547"/>
      <c r="BT19" s="543"/>
      <c r="BU19" s="532"/>
      <c r="BV19" s="532"/>
      <c r="BW19" s="547"/>
      <c r="BX19" s="543"/>
      <c r="BY19" s="532"/>
      <c r="BZ19" s="532"/>
      <c r="CA19" s="547"/>
      <c r="CB19" s="543"/>
      <c r="CC19" s="532"/>
      <c r="CD19" s="532"/>
      <c r="CE19" s="547"/>
      <c r="CF19" s="543"/>
      <c r="CG19" s="532"/>
      <c r="CH19" s="532"/>
      <c r="CI19" s="547"/>
      <c r="CJ19" s="543"/>
      <c r="CK19" s="532"/>
      <c r="CL19" s="532"/>
      <c r="CM19" s="547"/>
      <c r="CN19" s="543"/>
      <c r="CO19" s="532"/>
      <c r="CP19" s="532"/>
      <c r="CQ19" s="547"/>
      <c r="CR19" s="543"/>
      <c r="CS19" s="532"/>
      <c r="CT19" s="532"/>
      <c r="CU19" s="547"/>
      <c r="CV19" s="543"/>
      <c r="CW19" s="532"/>
      <c r="CX19" s="532"/>
      <c r="CY19" s="547"/>
      <c r="CZ19" s="543"/>
      <c r="DA19" s="532"/>
      <c r="DB19" s="532"/>
      <c r="DC19" s="547"/>
      <c r="DD19" s="543"/>
      <c r="DE19" s="532"/>
      <c r="DF19" s="532"/>
      <c r="DG19" s="547"/>
      <c r="DH19" s="543"/>
      <c r="DI19" s="532"/>
      <c r="DJ19" s="532"/>
      <c r="DK19" s="547"/>
      <c r="DL19" s="543"/>
      <c r="DM19" s="532"/>
      <c r="DN19" s="532"/>
      <c r="DO19" s="547"/>
      <c r="DP19" s="543"/>
      <c r="DQ19" s="532"/>
      <c r="DR19" s="532"/>
      <c r="DS19" s="547"/>
      <c r="DT19" s="543"/>
      <c r="DU19" s="532"/>
      <c r="DV19" s="532"/>
      <c r="DW19" s="547"/>
      <c r="DX19" s="543"/>
      <c r="DY19" s="532"/>
      <c r="DZ19" s="532"/>
      <c r="EA19" s="547"/>
      <c r="EB19" s="543"/>
      <c r="EC19" s="532"/>
      <c r="ED19" s="532"/>
      <c r="EE19" s="547"/>
      <c r="EF19" s="543"/>
      <c r="EG19" s="532"/>
      <c r="EH19" s="532"/>
      <c r="EI19" s="547"/>
      <c r="EJ19" s="543"/>
      <c r="EK19" s="532"/>
      <c r="EL19" s="532"/>
      <c r="EM19" s="547"/>
      <c r="EN19" s="543"/>
      <c r="EO19" s="532"/>
      <c r="EP19" s="532"/>
      <c r="EQ19" s="547"/>
      <c r="ER19" s="543"/>
      <c r="ES19" s="532"/>
      <c r="ET19" s="532"/>
      <c r="EU19" s="547"/>
      <c r="EV19" s="543"/>
      <c r="EW19" s="532"/>
      <c r="EX19" s="532"/>
      <c r="EY19" s="547"/>
      <c r="EZ19" s="543"/>
      <c r="FA19" s="532"/>
      <c r="FB19" s="532"/>
      <c r="FC19" s="547"/>
      <c r="FD19" s="543"/>
      <c r="FE19" s="532"/>
      <c r="FF19" s="532"/>
      <c r="FG19" s="547"/>
      <c r="FH19" s="543"/>
      <c r="FI19" s="532"/>
      <c r="FJ19" s="532"/>
      <c r="FK19" s="547"/>
      <c r="FL19" s="543"/>
      <c r="FM19" s="532"/>
      <c r="FN19" s="532"/>
      <c r="FO19" s="547"/>
      <c r="FP19" s="543"/>
      <c r="FQ19" s="532"/>
      <c r="FR19" s="532"/>
      <c r="FS19" s="547"/>
      <c r="FT19" s="543"/>
      <c r="FU19" s="532"/>
      <c r="FV19" s="532"/>
      <c r="FW19" s="547"/>
      <c r="FX19" s="543"/>
      <c r="FY19" s="532"/>
      <c r="FZ19" s="532"/>
      <c r="GA19" s="547"/>
      <c r="GB19" s="543"/>
      <c r="GC19" s="532"/>
      <c r="GD19" s="532"/>
      <c r="GE19" s="547"/>
      <c r="GF19" s="543"/>
      <c r="GG19" s="532"/>
      <c r="GH19" s="532"/>
      <c r="GI19" s="547"/>
      <c r="GJ19" s="543"/>
      <c r="GK19" s="532"/>
      <c r="GL19" s="532"/>
      <c r="GM19" s="547"/>
      <c r="GN19" s="543"/>
      <c r="GO19" s="532"/>
      <c r="GP19" s="532"/>
      <c r="GQ19" s="547"/>
      <c r="GR19" s="543"/>
      <c r="GS19" s="532"/>
      <c r="GT19" s="532"/>
      <c r="GU19" s="547"/>
      <c r="GV19" s="543"/>
      <c r="GW19" s="532"/>
      <c r="GX19" s="532"/>
      <c r="GY19" s="547"/>
      <c r="GZ19" s="543"/>
      <c r="HA19" s="532"/>
      <c r="HB19" s="532"/>
      <c r="HC19" s="547"/>
      <c r="HD19" s="543"/>
      <c r="HE19" s="532"/>
      <c r="HF19" s="532"/>
      <c r="HG19" s="547"/>
      <c r="HH19" s="543"/>
      <c r="HI19" s="532"/>
      <c r="HJ19" s="532"/>
      <c r="HK19" s="547"/>
      <c r="HL19" s="543"/>
      <c r="HM19" s="532"/>
      <c r="HN19" s="532"/>
      <c r="HO19" s="547"/>
      <c r="HP19" s="543"/>
      <c r="HQ19" s="532"/>
      <c r="HR19" s="532"/>
      <c r="HS19" s="547"/>
      <c r="HT19" s="543"/>
      <c r="HU19" s="532"/>
      <c r="HV19" s="532"/>
      <c r="HW19" s="547"/>
      <c r="HX19" s="543"/>
      <c r="HY19" s="532"/>
      <c r="HZ19" s="532"/>
      <c r="IA19" s="547"/>
      <c r="IB19" s="543"/>
      <c r="IC19" s="532"/>
      <c r="ID19" s="532"/>
      <c r="IE19" s="547"/>
      <c r="IF19" s="543"/>
      <c r="IG19" s="532"/>
      <c r="IH19" s="532"/>
      <c r="II19" s="547"/>
      <c r="IJ19" s="543"/>
      <c r="IK19" s="532"/>
      <c r="IL19" s="532"/>
      <c r="IM19" s="547"/>
      <c r="IN19" s="543"/>
      <c r="IO19" s="532"/>
      <c r="IP19" s="532"/>
      <c r="IQ19" s="547"/>
      <c r="IR19" s="543"/>
      <c r="IS19" s="532"/>
      <c r="IT19" s="532"/>
      <c r="IU19" s="547"/>
      <c r="IV19" s="543"/>
    </row>
    <row r="20" spans="1:256" ht="18.75" x14ac:dyDescent="0.3">
      <c r="A20" s="552" t="s">
        <v>470</v>
      </c>
      <c r="B20" s="553"/>
      <c r="C20" s="554">
        <f>C10+C12</f>
        <v>-2839826.5391140641</v>
      </c>
      <c r="D20" s="554">
        <f t="shared" ref="D20:N20" si="4">D10+D12</f>
        <v>-2789015.1223544287</v>
      </c>
      <c r="E20" s="554">
        <f t="shared" si="4"/>
        <v>-3443129.4923365847</v>
      </c>
      <c r="F20" s="554">
        <f t="shared" si="4"/>
        <v>-42026.282774989028</v>
      </c>
      <c r="G20" s="554">
        <f t="shared" si="4"/>
        <v>3273010.5712876301</v>
      </c>
      <c r="H20" s="554">
        <f t="shared" si="4"/>
        <v>7356799.1365039954</v>
      </c>
      <c r="I20" s="554">
        <f t="shared" si="4"/>
        <v>10644472.450424377</v>
      </c>
      <c r="J20" s="554">
        <f t="shared" si="4"/>
        <v>12750980.812371016</v>
      </c>
      <c r="K20" s="554">
        <f t="shared" si="4"/>
        <v>13965524.078972651</v>
      </c>
      <c r="L20" s="554">
        <f t="shared" si="4"/>
        <v>14275642.188940799</v>
      </c>
      <c r="M20" s="554">
        <f t="shared" si="4"/>
        <v>14264243.29885366</v>
      </c>
      <c r="N20" s="554">
        <f t="shared" si="4"/>
        <v>14263212.927417787</v>
      </c>
      <c r="O20" s="554">
        <f t="shared" ref="O20:Y20" si="5">O10+O12</f>
        <v>14149677.088063814</v>
      </c>
      <c r="P20" s="554">
        <f t="shared" si="5"/>
        <v>13813712.397810116</v>
      </c>
      <c r="Q20" s="554">
        <f t="shared" si="5"/>
        <v>13583810.766988965</v>
      </c>
      <c r="R20" s="554">
        <f t="shared" si="5"/>
        <v>13353705.394404467</v>
      </c>
      <c r="S20" s="554">
        <f t="shared" si="5"/>
        <v>13149516.537885429</v>
      </c>
      <c r="T20" s="554">
        <f t="shared" si="5"/>
        <v>12897911.748772675</v>
      </c>
      <c r="U20" s="554">
        <f t="shared" si="5"/>
        <v>12632951.826404825</v>
      </c>
      <c r="V20" s="554">
        <f t="shared" si="5"/>
        <v>12349720.465579273</v>
      </c>
      <c r="W20" s="554">
        <f t="shared" si="5"/>
        <v>12090368.354794094</v>
      </c>
      <c r="X20" s="554">
        <f t="shared" si="5"/>
        <v>11854300.4070077</v>
      </c>
      <c r="Y20" s="554">
        <f t="shared" si="5"/>
        <v>11563588.388185158</v>
      </c>
      <c r="Z20" s="532"/>
      <c r="AA20" s="545"/>
      <c r="AB20" s="543"/>
      <c r="AC20" s="532"/>
      <c r="AD20" s="532"/>
      <c r="AE20" s="545"/>
      <c r="AF20" s="543"/>
      <c r="AG20" s="532"/>
      <c r="AH20" s="532"/>
      <c r="AI20" s="545"/>
      <c r="AJ20" s="543"/>
      <c r="AK20" s="532"/>
      <c r="AL20" s="532"/>
      <c r="AM20" s="545"/>
      <c r="AN20" s="543"/>
      <c r="AO20" s="532"/>
      <c r="AP20" s="532"/>
      <c r="AQ20" s="545"/>
      <c r="AR20" s="543"/>
      <c r="AS20" s="532"/>
      <c r="AT20" s="532"/>
      <c r="AU20" s="545"/>
      <c r="AV20" s="543"/>
      <c r="AW20" s="532"/>
      <c r="AX20" s="532"/>
      <c r="AY20" s="545"/>
      <c r="AZ20" s="543"/>
      <c r="BA20" s="532"/>
      <c r="BB20" s="532"/>
      <c r="BC20" s="545"/>
      <c r="BD20" s="543"/>
      <c r="BE20" s="532"/>
      <c r="BF20" s="532"/>
      <c r="BG20" s="545"/>
      <c r="BH20" s="543"/>
      <c r="BI20" s="532"/>
      <c r="BJ20" s="532"/>
      <c r="BK20" s="545"/>
      <c r="BL20" s="543"/>
      <c r="BM20" s="532"/>
      <c r="BN20" s="532"/>
      <c r="BO20" s="545"/>
      <c r="BP20" s="543"/>
      <c r="BQ20" s="532"/>
      <c r="BR20" s="532"/>
      <c r="BS20" s="545"/>
      <c r="BT20" s="543"/>
      <c r="BU20" s="532"/>
      <c r="BV20" s="532"/>
      <c r="BW20" s="545"/>
      <c r="BX20" s="543"/>
      <c r="BY20" s="532"/>
      <c r="BZ20" s="532"/>
      <c r="CA20" s="545"/>
      <c r="CB20" s="543"/>
      <c r="CC20" s="532"/>
      <c r="CD20" s="532"/>
      <c r="CE20" s="545"/>
      <c r="CF20" s="543"/>
      <c r="CG20" s="532"/>
      <c r="CH20" s="532"/>
      <c r="CI20" s="545"/>
      <c r="CJ20" s="543"/>
      <c r="CK20" s="532"/>
      <c r="CL20" s="532"/>
      <c r="CM20" s="545"/>
      <c r="CN20" s="543"/>
      <c r="CO20" s="532"/>
      <c r="CP20" s="532"/>
      <c r="CQ20" s="545"/>
      <c r="CR20" s="543"/>
      <c r="CS20" s="532"/>
      <c r="CT20" s="532"/>
      <c r="CU20" s="545"/>
      <c r="CV20" s="543"/>
      <c r="CW20" s="532"/>
      <c r="CX20" s="532"/>
      <c r="CY20" s="545"/>
      <c r="CZ20" s="543"/>
      <c r="DA20" s="532"/>
      <c r="DB20" s="532"/>
      <c r="DC20" s="545"/>
      <c r="DD20" s="543"/>
      <c r="DE20" s="532"/>
      <c r="DF20" s="532"/>
      <c r="DG20" s="545"/>
      <c r="DH20" s="543"/>
      <c r="DI20" s="532"/>
      <c r="DJ20" s="532"/>
      <c r="DK20" s="545"/>
      <c r="DL20" s="543"/>
      <c r="DM20" s="532"/>
      <c r="DN20" s="532"/>
      <c r="DO20" s="545"/>
      <c r="DP20" s="543"/>
      <c r="DQ20" s="532"/>
      <c r="DR20" s="532"/>
      <c r="DS20" s="545"/>
      <c r="DT20" s="543"/>
      <c r="DU20" s="532"/>
      <c r="DV20" s="532"/>
      <c r="DW20" s="545"/>
      <c r="DX20" s="543"/>
      <c r="DY20" s="532"/>
      <c r="DZ20" s="532"/>
      <c r="EA20" s="545"/>
      <c r="EB20" s="543"/>
      <c r="EC20" s="532"/>
      <c r="ED20" s="532"/>
      <c r="EE20" s="545"/>
      <c r="EF20" s="543"/>
      <c r="EG20" s="532"/>
      <c r="EH20" s="532"/>
      <c r="EI20" s="545"/>
      <c r="EJ20" s="543"/>
      <c r="EK20" s="532"/>
      <c r="EL20" s="532"/>
      <c r="EM20" s="545"/>
      <c r="EN20" s="543"/>
      <c r="EO20" s="532"/>
      <c r="EP20" s="532"/>
      <c r="EQ20" s="545"/>
      <c r="ER20" s="543"/>
      <c r="ES20" s="532"/>
      <c r="ET20" s="532"/>
      <c r="EU20" s="545"/>
      <c r="EV20" s="543"/>
      <c r="EW20" s="532"/>
      <c r="EX20" s="532"/>
      <c r="EY20" s="545"/>
      <c r="EZ20" s="543"/>
      <c r="FA20" s="532"/>
      <c r="FB20" s="532"/>
      <c r="FC20" s="545"/>
      <c r="FD20" s="543"/>
      <c r="FE20" s="532"/>
      <c r="FF20" s="532"/>
      <c r="FG20" s="545"/>
      <c r="FH20" s="543"/>
      <c r="FI20" s="532"/>
      <c r="FJ20" s="532"/>
      <c r="FK20" s="545"/>
      <c r="FL20" s="543"/>
      <c r="FM20" s="532"/>
      <c r="FN20" s="532"/>
      <c r="FO20" s="545"/>
      <c r="FP20" s="543"/>
      <c r="FQ20" s="532"/>
      <c r="FR20" s="532"/>
      <c r="FS20" s="545"/>
      <c r="FT20" s="543"/>
      <c r="FU20" s="532"/>
      <c r="FV20" s="532"/>
      <c r="FW20" s="545"/>
      <c r="FX20" s="543"/>
      <c r="FY20" s="532"/>
      <c r="FZ20" s="532"/>
      <c r="GA20" s="545"/>
      <c r="GB20" s="543"/>
      <c r="GC20" s="532"/>
      <c r="GD20" s="532"/>
      <c r="GE20" s="545"/>
      <c r="GF20" s="543"/>
      <c r="GG20" s="532"/>
      <c r="GH20" s="532"/>
      <c r="GI20" s="545"/>
      <c r="GJ20" s="543"/>
      <c r="GK20" s="532"/>
      <c r="GL20" s="532"/>
      <c r="GM20" s="545"/>
      <c r="GN20" s="543"/>
      <c r="GO20" s="532"/>
      <c r="GP20" s="532"/>
      <c r="GQ20" s="545"/>
      <c r="GR20" s="543"/>
      <c r="GS20" s="532"/>
      <c r="GT20" s="532"/>
      <c r="GU20" s="545"/>
      <c r="GV20" s="543"/>
      <c r="GW20" s="532"/>
      <c r="GX20" s="532"/>
      <c r="GY20" s="545"/>
      <c r="GZ20" s="543"/>
      <c r="HA20" s="532"/>
      <c r="HB20" s="532"/>
      <c r="HC20" s="545"/>
      <c r="HD20" s="543"/>
      <c r="HE20" s="532"/>
      <c r="HF20" s="532"/>
      <c r="HG20" s="545"/>
      <c r="HH20" s="543"/>
      <c r="HI20" s="532"/>
      <c r="HJ20" s="532"/>
      <c r="HK20" s="545"/>
      <c r="HL20" s="543"/>
      <c r="HM20" s="532"/>
      <c r="HN20" s="532"/>
      <c r="HO20" s="545"/>
      <c r="HP20" s="543"/>
      <c r="HQ20" s="532"/>
      <c r="HR20" s="532"/>
      <c r="HS20" s="545"/>
      <c r="HT20" s="543"/>
      <c r="HU20" s="532"/>
      <c r="HV20" s="532"/>
      <c r="HW20" s="545"/>
      <c r="HX20" s="543"/>
      <c r="HY20" s="532"/>
      <c r="HZ20" s="532"/>
      <c r="IA20" s="545"/>
      <c r="IB20" s="543"/>
      <c r="IC20" s="532"/>
      <c r="ID20" s="532"/>
      <c r="IE20" s="545"/>
      <c r="IF20" s="543"/>
      <c r="IG20" s="532"/>
      <c r="IH20" s="532"/>
      <c r="II20" s="545"/>
      <c r="IJ20" s="543"/>
      <c r="IK20" s="532"/>
      <c r="IL20" s="532"/>
      <c r="IM20" s="545"/>
      <c r="IN20" s="543"/>
      <c r="IO20" s="532"/>
      <c r="IP20" s="532"/>
      <c r="IQ20" s="545"/>
      <c r="IR20" s="543"/>
      <c r="IS20" s="532"/>
      <c r="IT20" s="532"/>
      <c r="IU20" s="545"/>
      <c r="IV20" s="543"/>
    </row>
    <row r="21" spans="1:256" x14ac:dyDescent="0.25">
      <c r="A21" s="534"/>
      <c r="B21" s="555"/>
      <c r="C21" s="556"/>
      <c r="D21" s="556"/>
      <c r="E21" s="546"/>
      <c r="F21" s="546"/>
      <c r="G21" s="546"/>
      <c r="H21" s="546"/>
      <c r="I21" s="546"/>
      <c r="J21" s="546"/>
      <c r="K21" s="546"/>
      <c r="L21" s="546"/>
      <c r="M21" s="546"/>
      <c r="N21" s="546"/>
      <c r="O21" s="546"/>
      <c r="P21" s="546"/>
      <c r="Q21" s="546"/>
      <c r="R21" s="546"/>
      <c r="S21" s="546"/>
      <c r="T21" s="546"/>
      <c r="U21" s="546"/>
      <c r="V21" s="546"/>
      <c r="W21" s="546"/>
      <c r="X21" s="546"/>
      <c r="Y21" s="546"/>
      <c r="Z21" s="532"/>
      <c r="AA21" s="547"/>
      <c r="AB21" s="532"/>
      <c r="AC21" s="543"/>
      <c r="AD21" s="532"/>
      <c r="AE21" s="547"/>
      <c r="AF21" s="532"/>
      <c r="AG21" s="543"/>
      <c r="AH21" s="532"/>
      <c r="AI21" s="547"/>
      <c r="AJ21" s="532"/>
      <c r="AK21" s="543"/>
      <c r="AL21" s="532"/>
      <c r="AM21" s="547"/>
      <c r="AN21" s="532"/>
      <c r="AO21" s="543"/>
      <c r="AP21" s="532"/>
      <c r="AQ21" s="547"/>
      <c r="AR21" s="532"/>
      <c r="AS21" s="543"/>
      <c r="AT21" s="532"/>
      <c r="AU21" s="547"/>
      <c r="AV21" s="532"/>
      <c r="AW21" s="543"/>
      <c r="AX21" s="532"/>
      <c r="AY21" s="547"/>
      <c r="AZ21" s="532"/>
      <c r="BA21" s="543"/>
      <c r="BB21" s="532"/>
      <c r="BC21" s="547"/>
      <c r="BD21" s="532"/>
      <c r="BE21" s="543"/>
      <c r="BF21" s="532"/>
      <c r="BG21" s="547"/>
      <c r="BH21" s="532"/>
      <c r="BI21" s="543"/>
      <c r="BJ21" s="532"/>
      <c r="BK21" s="547"/>
      <c r="BL21" s="532"/>
      <c r="BM21" s="543"/>
      <c r="BN21" s="532"/>
      <c r="BO21" s="547"/>
      <c r="BP21" s="532"/>
      <c r="BQ21" s="543"/>
      <c r="BR21" s="532"/>
      <c r="BS21" s="547"/>
      <c r="BT21" s="532"/>
      <c r="BU21" s="543"/>
      <c r="BV21" s="532"/>
      <c r="BW21" s="547"/>
      <c r="BX21" s="532"/>
      <c r="BY21" s="543"/>
      <c r="BZ21" s="532"/>
      <c r="CA21" s="547"/>
      <c r="CB21" s="532"/>
      <c r="CC21" s="543"/>
      <c r="CD21" s="532"/>
      <c r="CE21" s="547"/>
      <c r="CF21" s="532"/>
      <c r="CG21" s="543"/>
      <c r="CH21" s="532"/>
      <c r="CI21" s="547"/>
      <c r="CJ21" s="532"/>
      <c r="CK21" s="543"/>
      <c r="CL21" s="532"/>
      <c r="CM21" s="547"/>
      <c r="CN21" s="532"/>
      <c r="CO21" s="543"/>
      <c r="CP21" s="532"/>
      <c r="CQ21" s="547"/>
      <c r="CR21" s="532"/>
      <c r="CS21" s="543"/>
      <c r="CT21" s="532"/>
      <c r="CU21" s="547"/>
      <c r="CV21" s="532"/>
      <c r="CW21" s="543"/>
      <c r="CX21" s="532"/>
      <c r="CY21" s="547"/>
      <c r="CZ21" s="532"/>
      <c r="DA21" s="543"/>
      <c r="DB21" s="532"/>
      <c r="DC21" s="547"/>
      <c r="DD21" s="532"/>
      <c r="DE21" s="543"/>
      <c r="DF21" s="532"/>
      <c r="DG21" s="547"/>
      <c r="DH21" s="532"/>
      <c r="DI21" s="543"/>
      <c r="DJ21" s="532"/>
      <c r="DK21" s="547"/>
      <c r="DL21" s="532"/>
      <c r="DM21" s="543"/>
      <c r="DN21" s="532"/>
      <c r="DO21" s="547"/>
      <c r="DP21" s="532"/>
      <c r="DQ21" s="543"/>
      <c r="DR21" s="532"/>
      <c r="DS21" s="547"/>
      <c r="DT21" s="532"/>
      <c r="DU21" s="543"/>
      <c r="DV21" s="532"/>
      <c r="DW21" s="547"/>
      <c r="DX21" s="532"/>
      <c r="DY21" s="543"/>
      <c r="DZ21" s="532"/>
      <c r="EA21" s="547"/>
      <c r="EB21" s="532"/>
      <c r="EC21" s="543"/>
      <c r="ED21" s="532"/>
      <c r="EE21" s="547"/>
      <c r="EF21" s="532"/>
      <c r="EG21" s="543"/>
      <c r="EH21" s="532"/>
      <c r="EI21" s="547"/>
      <c r="EJ21" s="532"/>
      <c r="EK21" s="543"/>
      <c r="EL21" s="532"/>
      <c r="EM21" s="547"/>
      <c r="EN21" s="532"/>
      <c r="EO21" s="543"/>
      <c r="EP21" s="532"/>
      <c r="EQ21" s="547"/>
      <c r="ER21" s="532"/>
      <c r="ES21" s="543"/>
      <c r="ET21" s="532"/>
      <c r="EU21" s="547"/>
      <c r="EV21" s="532"/>
      <c r="EW21" s="543"/>
      <c r="EX21" s="532"/>
      <c r="EY21" s="547"/>
      <c r="EZ21" s="532"/>
      <c r="FA21" s="543"/>
      <c r="FB21" s="532"/>
      <c r="FC21" s="547"/>
      <c r="FD21" s="532"/>
      <c r="FE21" s="543"/>
      <c r="FF21" s="532"/>
      <c r="FG21" s="547"/>
      <c r="FH21" s="532"/>
      <c r="FI21" s="543"/>
      <c r="FJ21" s="532"/>
      <c r="FK21" s="547"/>
      <c r="FL21" s="532"/>
      <c r="FM21" s="543"/>
      <c r="FN21" s="532"/>
      <c r="FO21" s="547"/>
      <c r="FP21" s="532"/>
      <c r="FQ21" s="543"/>
      <c r="FR21" s="532"/>
      <c r="FS21" s="547"/>
      <c r="FT21" s="532"/>
      <c r="FU21" s="543"/>
      <c r="FV21" s="532"/>
      <c r="FW21" s="547"/>
      <c r="FX21" s="532"/>
      <c r="FY21" s="543"/>
      <c r="FZ21" s="532"/>
      <c r="GA21" s="547"/>
      <c r="GB21" s="532"/>
      <c r="GC21" s="543"/>
      <c r="GD21" s="532"/>
      <c r="GE21" s="547"/>
      <c r="GF21" s="532"/>
      <c r="GG21" s="543"/>
      <c r="GH21" s="532"/>
      <c r="GI21" s="547"/>
      <c r="GJ21" s="532"/>
      <c r="GK21" s="543"/>
      <c r="GL21" s="532"/>
      <c r="GM21" s="547"/>
      <c r="GN21" s="532"/>
      <c r="GO21" s="543"/>
      <c r="GP21" s="532"/>
      <c r="GQ21" s="547"/>
      <c r="GR21" s="532"/>
      <c r="GS21" s="543"/>
      <c r="GT21" s="532"/>
      <c r="GU21" s="547"/>
      <c r="GV21" s="532"/>
      <c r="GW21" s="543"/>
      <c r="GX21" s="532"/>
      <c r="GY21" s="547"/>
      <c r="GZ21" s="532"/>
      <c r="HA21" s="543"/>
      <c r="HB21" s="532"/>
      <c r="HC21" s="547"/>
      <c r="HD21" s="532"/>
      <c r="HE21" s="543"/>
      <c r="HF21" s="532"/>
      <c r="HG21" s="547"/>
      <c r="HH21" s="532"/>
      <c r="HI21" s="543"/>
      <c r="HJ21" s="532"/>
      <c r="HK21" s="547"/>
      <c r="HL21" s="532"/>
      <c r="HM21" s="543"/>
      <c r="HN21" s="532"/>
      <c r="HO21" s="547"/>
      <c r="HP21" s="532"/>
      <c r="HQ21" s="543"/>
      <c r="HR21" s="532"/>
      <c r="HS21" s="547"/>
      <c r="HT21" s="532"/>
      <c r="HU21" s="543"/>
      <c r="HV21" s="532"/>
      <c r="HW21" s="547"/>
      <c r="HX21" s="532"/>
      <c r="HY21" s="543"/>
      <c r="HZ21" s="532"/>
      <c r="IA21" s="547"/>
      <c r="IB21" s="532"/>
      <c r="IC21" s="543"/>
      <c r="ID21" s="532"/>
      <c r="IE21" s="547"/>
      <c r="IF21" s="532"/>
      <c r="IG21" s="543"/>
      <c r="IH21" s="532"/>
      <c r="II21" s="547"/>
      <c r="IJ21" s="532"/>
      <c r="IK21" s="543"/>
      <c r="IL21" s="532"/>
      <c r="IM21" s="547"/>
      <c r="IN21" s="532"/>
      <c r="IO21" s="543"/>
      <c r="IP21" s="532"/>
      <c r="IQ21" s="547"/>
      <c r="IR21" s="532"/>
      <c r="IS21" s="543"/>
      <c r="IT21" s="532"/>
      <c r="IU21" s="547"/>
      <c r="IV21" s="532"/>
    </row>
    <row r="22" spans="1:256" ht="18.75" outlineLevel="1" x14ac:dyDescent="0.3">
      <c r="A22" s="539" t="s">
        <v>474</v>
      </c>
      <c r="B22" s="511"/>
      <c r="C22" s="554">
        <f>Bilan!E43</f>
        <v>711100</v>
      </c>
      <c r="D22" s="554">
        <f>Bilan!F43-C22</f>
        <v>1110000</v>
      </c>
      <c r="E22" s="554">
        <f>(Bilan!G43-Bilan!F43)</f>
        <v>715900</v>
      </c>
      <c r="F22" s="554"/>
      <c r="G22" s="554"/>
      <c r="H22" s="554"/>
      <c r="I22" s="554"/>
      <c r="J22" s="554"/>
      <c r="K22" s="554"/>
      <c r="L22" s="554"/>
      <c r="M22" s="554"/>
      <c r="N22" s="554"/>
      <c r="O22" s="554"/>
      <c r="P22" s="554"/>
      <c r="Q22" s="554"/>
      <c r="R22" s="554"/>
      <c r="S22" s="554"/>
      <c r="T22" s="554"/>
      <c r="U22" s="554"/>
      <c r="V22" s="554"/>
      <c r="W22" s="554"/>
      <c r="X22" s="554"/>
      <c r="Y22" s="554"/>
      <c r="Z22" s="532"/>
      <c r="AA22" s="547"/>
      <c r="AB22" s="532"/>
      <c r="AC22" s="532"/>
      <c r="AD22" s="532"/>
      <c r="AE22" s="547"/>
      <c r="AF22" s="532"/>
      <c r="AG22" s="532"/>
      <c r="AH22" s="532"/>
      <c r="AI22" s="547"/>
      <c r="AJ22" s="532"/>
      <c r="AK22" s="532"/>
      <c r="AL22" s="532"/>
      <c r="AM22" s="547"/>
      <c r="AN22" s="532"/>
      <c r="AO22" s="532"/>
      <c r="AP22" s="532"/>
      <c r="AQ22" s="547"/>
      <c r="AR22" s="532"/>
      <c r="AS22" s="532"/>
      <c r="AT22" s="532"/>
      <c r="AU22" s="547"/>
      <c r="AV22" s="532"/>
      <c r="AW22" s="532"/>
      <c r="AX22" s="532"/>
      <c r="AY22" s="547"/>
      <c r="AZ22" s="532"/>
      <c r="BA22" s="532"/>
      <c r="BB22" s="532"/>
      <c r="BC22" s="547"/>
      <c r="BD22" s="532"/>
      <c r="BE22" s="532"/>
      <c r="BF22" s="532"/>
      <c r="BG22" s="547"/>
      <c r="BH22" s="532"/>
      <c r="BI22" s="532"/>
      <c r="BJ22" s="532"/>
      <c r="BK22" s="547"/>
      <c r="BL22" s="532"/>
      <c r="BM22" s="532"/>
      <c r="BN22" s="532"/>
      <c r="BO22" s="547"/>
      <c r="BP22" s="532"/>
      <c r="BQ22" s="532"/>
      <c r="BR22" s="532"/>
      <c r="BS22" s="547"/>
      <c r="BT22" s="532"/>
      <c r="BU22" s="532"/>
      <c r="BV22" s="532"/>
      <c r="BW22" s="547"/>
      <c r="BX22" s="532"/>
      <c r="BY22" s="532"/>
      <c r="BZ22" s="532"/>
      <c r="CA22" s="547"/>
      <c r="CB22" s="532"/>
      <c r="CC22" s="532"/>
      <c r="CD22" s="532"/>
      <c r="CE22" s="547"/>
      <c r="CF22" s="532"/>
      <c r="CG22" s="532"/>
      <c r="CH22" s="532"/>
      <c r="CI22" s="547"/>
      <c r="CJ22" s="532"/>
      <c r="CK22" s="532"/>
      <c r="CL22" s="532"/>
      <c r="CM22" s="547"/>
      <c r="CN22" s="532"/>
      <c r="CO22" s="532"/>
      <c r="CP22" s="532"/>
      <c r="CQ22" s="547"/>
      <c r="CR22" s="532"/>
      <c r="CS22" s="532"/>
      <c r="CT22" s="532"/>
      <c r="CU22" s="547"/>
      <c r="CV22" s="532"/>
      <c r="CW22" s="532"/>
      <c r="CX22" s="532"/>
      <c r="CY22" s="547"/>
      <c r="CZ22" s="532"/>
      <c r="DA22" s="532"/>
      <c r="DB22" s="532"/>
      <c r="DC22" s="547"/>
      <c r="DD22" s="532"/>
      <c r="DE22" s="532"/>
      <c r="DF22" s="532"/>
      <c r="DG22" s="547"/>
      <c r="DH22" s="532"/>
      <c r="DI22" s="532"/>
      <c r="DJ22" s="532"/>
      <c r="DK22" s="547"/>
      <c r="DL22" s="532"/>
      <c r="DM22" s="532"/>
      <c r="DN22" s="532"/>
      <c r="DO22" s="547"/>
      <c r="DP22" s="532"/>
      <c r="DQ22" s="532"/>
      <c r="DR22" s="532"/>
      <c r="DS22" s="547"/>
      <c r="DT22" s="532"/>
      <c r="DU22" s="532"/>
      <c r="DV22" s="532"/>
      <c r="DW22" s="547"/>
      <c r="DX22" s="532"/>
      <c r="DY22" s="532"/>
      <c r="DZ22" s="532"/>
      <c r="EA22" s="547"/>
      <c r="EB22" s="532"/>
      <c r="EC22" s="532"/>
      <c r="ED22" s="532"/>
      <c r="EE22" s="547"/>
      <c r="EF22" s="532"/>
      <c r="EG22" s="532"/>
      <c r="EH22" s="532"/>
      <c r="EI22" s="547"/>
      <c r="EJ22" s="532"/>
      <c r="EK22" s="532"/>
      <c r="EL22" s="532"/>
      <c r="EM22" s="547"/>
      <c r="EN22" s="532"/>
      <c r="EO22" s="532"/>
      <c r="EP22" s="532"/>
      <c r="EQ22" s="547"/>
      <c r="ER22" s="532"/>
      <c r="ES22" s="532"/>
      <c r="ET22" s="532"/>
      <c r="EU22" s="547"/>
      <c r="EV22" s="532"/>
      <c r="EW22" s="532"/>
      <c r="EX22" s="532"/>
      <c r="EY22" s="547"/>
      <c r="EZ22" s="532"/>
      <c r="FA22" s="532"/>
      <c r="FB22" s="532"/>
      <c r="FC22" s="547"/>
      <c r="FD22" s="532"/>
      <c r="FE22" s="532"/>
      <c r="FF22" s="532"/>
      <c r="FG22" s="547"/>
      <c r="FH22" s="532"/>
      <c r="FI22" s="532"/>
      <c r="FJ22" s="532"/>
      <c r="FK22" s="547"/>
      <c r="FL22" s="532"/>
      <c r="FM22" s="532"/>
      <c r="FN22" s="532"/>
      <c r="FO22" s="547"/>
      <c r="FP22" s="532"/>
      <c r="FQ22" s="532"/>
      <c r="FR22" s="532"/>
      <c r="FS22" s="547"/>
      <c r="FT22" s="532"/>
      <c r="FU22" s="532"/>
      <c r="FV22" s="532"/>
      <c r="FW22" s="547"/>
      <c r="FX22" s="532"/>
      <c r="FY22" s="532"/>
      <c r="FZ22" s="532"/>
      <c r="GA22" s="547"/>
      <c r="GB22" s="532"/>
      <c r="GC22" s="532"/>
      <c r="GD22" s="532"/>
      <c r="GE22" s="547"/>
      <c r="GF22" s="532"/>
      <c r="GG22" s="532"/>
      <c r="GH22" s="532"/>
      <c r="GI22" s="547"/>
      <c r="GJ22" s="532"/>
      <c r="GK22" s="532"/>
      <c r="GL22" s="532"/>
      <c r="GM22" s="547"/>
      <c r="GN22" s="532"/>
      <c r="GO22" s="532"/>
      <c r="GP22" s="532"/>
      <c r="GQ22" s="547"/>
      <c r="GR22" s="532"/>
      <c r="GS22" s="532"/>
      <c r="GT22" s="532"/>
      <c r="GU22" s="547"/>
      <c r="GV22" s="532"/>
      <c r="GW22" s="532"/>
      <c r="GX22" s="532"/>
      <c r="GY22" s="547"/>
      <c r="GZ22" s="532"/>
      <c r="HA22" s="532"/>
      <c r="HB22" s="532"/>
      <c r="HC22" s="547"/>
      <c r="HD22" s="532"/>
      <c r="HE22" s="532"/>
      <c r="HF22" s="532"/>
      <c r="HG22" s="547"/>
      <c r="HH22" s="532"/>
      <c r="HI22" s="532"/>
      <c r="HJ22" s="532"/>
      <c r="HK22" s="547"/>
      <c r="HL22" s="532"/>
      <c r="HM22" s="532"/>
      <c r="HN22" s="532"/>
      <c r="HO22" s="547"/>
      <c r="HP22" s="532"/>
      <c r="HQ22" s="532"/>
      <c r="HR22" s="532"/>
      <c r="HS22" s="547"/>
      <c r="HT22" s="532"/>
      <c r="HU22" s="532"/>
      <c r="HV22" s="532"/>
      <c r="HW22" s="547"/>
      <c r="HX22" s="532"/>
      <c r="HY22" s="532"/>
      <c r="HZ22" s="532"/>
      <c r="IA22" s="547"/>
      <c r="IB22" s="532"/>
      <c r="IC22" s="532"/>
      <c r="ID22" s="532"/>
      <c r="IE22" s="547"/>
      <c r="IF22" s="532"/>
      <c r="IG22" s="532"/>
      <c r="IH22" s="532"/>
      <c r="II22" s="547"/>
      <c r="IJ22" s="532"/>
      <c r="IK22" s="532"/>
      <c r="IL22" s="532"/>
      <c r="IM22" s="547"/>
      <c r="IN22" s="532"/>
      <c r="IO22" s="532"/>
      <c r="IP22" s="532"/>
      <c r="IQ22" s="547"/>
      <c r="IR22" s="532"/>
      <c r="IS22" s="532"/>
      <c r="IT22" s="532"/>
      <c r="IU22" s="547"/>
      <c r="IV22" s="532"/>
    </row>
    <row r="23" spans="1:256" ht="18.75" outlineLevel="1" x14ac:dyDescent="0.3">
      <c r="A23" s="539" t="s">
        <v>475</v>
      </c>
      <c r="B23" s="511"/>
      <c r="C23" s="554">
        <f>-'Données Investissement'!D145*1000000</f>
        <v>-13512500</v>
      </c>
      <c r="D23" s="554">
        <f>-'Données Investissement'!E145*1000000</f>
        <v>-25984000</v>
      </c>
      <c r="E23" s="554">
        <f>-'Données Investissement'!F145*1000000</f>
        <v>-13102500</v>
      </c>
      <c r="F23" s="554">
        <f>-'Données Investissement'!G145*1000000</f>
        <v>-1851000.0000000005</v>
      </c>
      <c r="G23" s="554">
        <f>-'Données Investissement'!H145*1000000</f>
        <v>-1300000</v>
      </c>
      <c r="H23" s="554">
        <f>-'Données Investissement'!I145*1000000</f>
        <v>-780000</v>
      </c>
      <c r="I23" s="554">
        <f>-'Données Investissement'!J145*1000000</f>
        <v>-155000</v>
      </c>
      <c r="J23" s="554">
        <f>-'Données Investissement'!K145*1000000</f>
        <v>-50000</v>
      </c>
      <c r="K23" s="554">
        <f>-'Données Investissement'!L145*1000000</f>
        <v>-75000</v>
      </c>
      <c r="L23" s="554">
        <f>-'Données Investissement'!M145*1000000</f>
        <v>-91666.666666666672</v>
      </c>
      <c r="M23" s="554">
        <f>-'Données Investissement'!N145*1000000</f>
        <v>-108333.33333333334</v>
      </c>
      <c r="N23" s="554">
        <f>-'Données Investissement'!O145*1000000</f>
        <v>-125000.00000000003</v>
      </c>
      <c r="O23" s="554">
        <f>-'Données Investissement'!P145*1000000</f>
        <v>-141666.66666666669</v>
      </c>
      <c r="P23" s="554">
        <f>-'Données Investissement'!Q145*1000000</f>
        <v>-158333.33333333334</v>
      </c>
      <c r="Q23" s="554">
        <f>-'Données Investissement'!R145*1000000</f>
        <v>-241666.66666666669</v>
      </c>
      <c r="R23" s="554">
        <f>-'Données Investissement'!S145*1000000</f>
        <v>-258333.33333333337</v>
      </c>
      <c r="S23" s="554">
        <f>-'Données Investissement'!T145*1000000</f>
        <v>-275000</v>
      </c>
      <c r="T23" s="554">
        <f>-'Données Investissement'!U145*1000000</f>
        <v>-291666.66666666669</v>
      </c>
      <c r="U23" s="554">
        <f>-'Données Investissement'!V145*1000000</f>
        <v>-283333.33333333337</v>
      </c>
      <c r="V23" s="554">
        <f>-'Données Investissement'!W145*1000000</f>
        <v>-275000</v>
      </c>
      <c r="W23" s="554">
        <f>-'Données Investissement'!X145*1000000</f>
        <v>-333333.33333333331</v>
      </c>
      <c r="X23" s="554">
        <f>-'Données Investissement'!Y145*1000000</f>
        <v>-333333.33333333331</v>
      </c>
      <c r="Y23" s="554">
        <f>-'Données Investissement'!Z145*1000000</f>
        <v>-333333.33333333331</v>
      </c>
      <c r="Z23" s="532"/>
      <c r="AA23" s="547"/>
      <c r="AB23" s="532"/>
      <c r="AC23" s="532"/>
      <c r="AD23" s="532"/>
      <c r="AE23" s="547"/>
      <c r="AF23" s="532"/>
      <c r="AG23" s="532"/>
      <c r="AH23" s="532"/>
      <c r="AI23" s="547"/>
      <c r="AJ23" s="532"/>
      <c r="AK23" s="532"/>
      <c r="AL23" s="532"/>
      <c r="AM23" s="547"/>
      <c r="AN23" s="532"/>
      <c r="AO23" s="532"/>
      <c r="AP23" s="532"/>
      <c r="AQ23" s="547"/>
      <c r="AR23" s="532"/>
      <c r="AS23" s="532"/>
      <c r="AT23" s="532"/>
      <c r="AU23" s="547"/>
      <c r="AV23" s="532"/>
      <c r="AW23" s="532"/>
      <c r="AX23" s="532"/>
      <c r="AY23" s="547"/>
      <c r="AZ23" s="532"/>
      <c r="BA23" s="532"/>
      <c r="BB23" s="532"/>
      <c r="BC23" s="547"/>
      <c r="BD23" s="532"/>
      <c r="BE23" s="532"/>
      <c r="BF23" s="532"/>
      <c r="BG23" s="547"/>
      <c r="BH23" s="532"/>
      <c r="BI23" s="532"/>
      <c r="BJ23" s="532"/>
      <c r="BK23" s="547"/>
      <c r="BL23" s="532"/>
      <c r="BM23" s="532"/>
      <c r="BN23" s="532"/>
      <c r="BO23" s="547"/>
      <c r="BP23" s="532"/>
      <c r="BQ23" s="532"/>
      <c r="BR23" s="532"/>
      <c r="BS23" s="547"/>
      <c r="BT23" s="532"/>
      <c r="BU23" s="532"/>
      <c r="BV23" s="532"/>
      <c r="BW23" s="547"/>
      <c r="BX23" s="532"/>
      <c r="BY23" s="532"/>
      <c r="BZ23" s="532"/>
      <c r="CA23" s="547"/>
      <c r="CB23" s="532"/>
      <c r="CC23" s="532"/>
      <c r="CD23" s="532"/>
      <c r="CE23" s="547"/>
      <c r="CF23" s="532"/>
      <c r="CG23" s="532"/>
      <c r="CH23" s="532"/>
      <c r="CI23" s="547"/>
      <c r="CJ23" s="532"/>
      <c r="CK23" s="532"/>
      <c r="CL23" s="532"/>
      <c r="CM23" s="547"/>
      <c r="CN23" s="532"/>
      <c r="CO23" s="532"/>
      <c r="CP23" s="532"/>
      <c r="CQ23" s="547"/>
      <c r="CR23" s="532"/>
      <c r="CS23" s="532"/>
      <c r="CT23" s="532"/>
      <c r="CU23" s="547"/>
      <c r="CV23" s="532"/>
      <c r="CW23" s="532"/>
      <c r="CX23" s="532"/>
      <c r="CY23" s="547"/>
      <c r="CZ23" s="532"/>
      <c r="DA23" s="532"/>
      <c r="DB23" s="532"/>
      <c r="DC23" s="547"/>
      <c r="DD23" s="532"/>
      <c r="DE23" s="532"/>
      <c r="DF23" s="532"/>
      <c r="DG23" s="547"/>
      <c r="DH23" s="532"/>
      <c r="DI23" s="532"/>
      <c r="DJ23" s="532"/>
      <c r="DK23" s="547"/>
      <c r="DL23" s="532"/>
      <c r="DM23" s="532"/>
      <c r="DN23" s="532"/>
      <c r="DO23" s="547"/>
      <c r="DP23" s="532"/>
      <c r="DQ23" s="532"/>
      <c r="DR23" s="532"/>
      <c r="DS23" s="547"/>
      <c r="DT23" s="532"/>
      <c r="DU23" s="532"/>
      <c r="DV23" s="532"/>
      <c r="DW23" s="547"/>
      <c r="DX23" s="532"/>
      <c r="DY23" s="532"/>
      <c r="DZ23" s="532"/>
      <c r="EA23" s="547"/>
      <c r="EB23" s="532"/>
      <c r="EC23" s="532"/>
      <c r="ED23" s="532"/>
      <c r="EE23" s="547"/>
      <c r="EF23" s="532"/>
      <c r="EG23" s="532"/>
      <c r="EH23" s="532"/>
      <c r="EI23" s="547"/>
      <c r="EJ23" s="532"/>
      <c r="EK23" s="532"/>
      <c r="EL23" s="532"/>
      <c r="EM23" s="547"/>
      <c r="EN23" s="532"/>
      <c r="EO23" s="532"/>
      <c r="EP23" s="532"/>
      <c r="EQ23" s="547"/>
      <c r="ER23" s="532"/>
      <c r="ES23" s="532"/>
      <c r="ET23" s="532"/>
      <c r="EU23" s="547"/>
      <c r="EV23" s="532"/>
      <c r="EW23" s="532"/>
      <c r="EX23" s="532"/>
      <c r="EY23" s="547"/>
      <c r="EZ23" s="532"/>
      <c r="FA23" s="532"/>
      <c r="FB23" s="532"/>
      <c r="FC23" s="547"/>
      <c r="FD23" s="532"/>
      <c r="FE23" s="532"/>
      <c r="FF23" s="532"/>
      <c r="FG23" s="547"/>
      <c r="FH23" s="532"/>
      <c r="FI23" s="532"/>
      <c r="FJ23" s="532"/>
      <c r="FK23" s="547"/>
      <c r="FL23" s="532"/>
      <c r="FM23" s="532"/>
      <c r="FN23" s="532"/>
      <c r="FO23" s="547"/>
      <c r="FP23" s="532"/>
      <c r="FQ23" s="532"/>
      <c r="FR23" s="532"/>
      <c r="FS23" s="547"/>
      <c r="FT23" s="532"/>
      <c r="FU23" s="532"/>
      <c r="FV23" s="532"/>
      <c r="FW23" s="547"/>
      <c r="FX23" s="532"/>
      <c r="FY23" s="532"/>
      <c r="FZ23" s="532"/>
      <c r="GA23" s="547"/>
      <c r="GB23" s="532"/>
      <c r="GC23" s="532"/>
      <c r="GD23" s="532"/>
      <c r="GE23" s="547"/>
      <c r="GF23" s="532"/>
      <c r="GG23" s="532"/>
      <c r="GH23" s="532"/>
      <c r="GI23" s="547"/>
      <c r="GJ23" s="532"/>
      <c r="GK23" s="532"/>
      <c r="GL23" s="532"/>
      <c r="GM23" s="547"/>
      <c r="GN23" s="532"/>
      <c r="GO23" s="532"/>
      <c r="GP23" s="532"/>
      <c r="GQ23" s="547"/>
      <c r="GR23" s="532"/>
      <c r="GS23" s="532"/>
      <c r="GT23" s="532"/>
      <c r="GU23" s="547"/>
      <c r="GV23" s="532"/>
      <c r="GW23" s="532"/>
      <c r="GX23" s="532"/>
      <c r="GY23" s="547"/>
      <c r="GZ23" s="532"/>
      <c r="HA23" s="532"/>
      <c r="HB23" s="532"/>
      <c r="HC23" s="547"/>
      <c r="HD23" s="532"/>
      <c r="HE23" s="532"/>
      <c r="HF23" s="532"/>
      <c r="HG23" s="547"/>
      <c r="HH23" s="532"/>
      <c r="HI23" s="532"/>
      <c r="HJ23" s="532"/>
      <c r="HK23" s="547"/>
      <c r="HL23" s="532"/>
      <c r="HM23" s="532"/>
      <c r="HN23" s="532"/>
      <c r="HO23" s="547"/>
      <c r="HP23" s="532"/>
      <c r="HQ23" s="532"/>
      <c r="HR23" s="532"/>
      <c r="HS23" s="547"/>
      <c r="HT23" s="532"/>
      <c r="HU23" s="532"/>
      <c r="HV23" s="532"/>
      <c r="HW23" s="547"/>
      <c r="HX23" s="532"/>
      <c r="HY23" s="532"/>
      <c r="HZ23" s="532"/>
      <c r="IA23" s="547"/>
      <c r="IB23" s="532"/>
      <c r="IC23" s="532"/>
      <c r="ID23" s="532"/>
      <c r="IE23" s="547"/>
      <c r="IF23" s="532"/>
      <c r="IG23" s="532"/>
      <c r="IH23" s="532"/>
      <c r="II23" s="547"/>
      <c r="IJ23" s="532"/>
      <c r="IK23" s="532"/>
      <c r="IL23" s="532"/>
      <c r="IM23" s="547"/>
      <c r="IN23" s="532"/>
      <c r="IO23" s="532"/>
      <c r="IP23" s="532"/>
      <c r="IQ23" s="547"/>
      <c r="IR23" s="532"/>
      <c r="IS23" s="532"/>
      <c r="IT23" s="532"/>
      <c r="IU23" s="547"/>
      <c r="IV23" s="532"/>
    </row>
    <row r="24" spans="1:256" outlineLevel="1" x14ac:dyDescent="0.25">
      <c r="A24" s="539" t="s">
        <v>476</v>
      </c>
      <c r="B24" s="511"/>
      <c r="C24" s="546">
        <f>Bilan!E30</f>
        <v>0</v>
      </c>
      <c r="D24" s="546">
        <f>Bilan!F30</f>
        <v>0</v>
      </c>
      <c r="E24" s="546"/>
      <c r="F24" s="546">
        <f>Bilan!H30</f>
        <v>0</v>
      </c>
      <c r="G24" s="546">
        <f>Bilan!I30</f>
        <v>0</v>
      </c>
      <c r="H24" s="546">
        <f>Bilan!J30</f>
        <v>0</v>
      </c>
      <c r="I24" s="546">
        <f>Bilan!K30</f>
        <v>0</v>
      </c>
      <c r="J24" s="546">
        <f>Bilan!L30</f>
        <v>0</v>
      </c>
      <c r="K24" s="546">
        <f>Bilan!M30</f>
        <v>0</v>
      </c>
      <c r="L24" s="546">
        <f>Bilan!N30</f>
        <v>0</v>
      </c>
      <c r="M24" s="546">
        <f>Bilan!O30</f>
        <v>0</v>
      </c>
      <c r="N24" s="546">
        <f>Bilan!P30</f>
        <v>0</v>
      </c>
      <c r="O24" s="546">
        <f>Bilan!Q30</f>
        <v>0</v>
      </c>
      <c r="P24" s="546">
        <f>Bilan!R30</f>
        <v>0</v>
      </c>
      <c r="Q24" s="546">
        <f>Bilan!S30</f>
        <v>0</v>
      </c>
      <c r="R24" s="546">
        <f>Bilan!T30</f>
        <v>0</v>
      </c>
      <c r="S24" s="546">
        <f>Bilan!U30</f>
        <v>0</v>
      </c>
      <c r="T24" s="546">
        <f>Bilan!V30</f>
        <v>0</v>
      </c>
      <c r="U24" s="546">
        <f>Bilan!W30</f>
        <v>0</v>
      </c>
      <c r="V24" s="546">
        <f>Bilan!X30</f>
        <v>0</v>
      </c>
      <c r="W24" s="546">
        <f>Bilan!Y30</f>
        <v>0</v>
      </c>
      <c r="X24" s="546">
        <f>Bilan!Z30</f>
        <v>0</v>
      </c>
      <c r="Y24" s="546">
        <f>Bilan!AA30</f>
        <v>0</v>
      </c>
      <c r="Z24" s="532"/>
      <c r="AA24" s="547"/>
      <c r="AB24" s="532"/>
      <c r="AC24" s="532"/>
      <c r="AD24" s="532"/>
      <c r="AE24" s="547"/>
      <c r="AF24" s="532"/>
      <c r="AG24" s="532"/>
      <c r="AH24" s="532"/>
      <c r="AI24" s="547"/>
      <c r="AJ24" s="532"/>
      <c r="AK24" s="532"/>
      <c r="AL24" s="532"/>
      <c r="AM24" s="547"/>
      <c r="AN24" s="532"/>
      <c r="AO24" s="532"/>
      <c r="AP24" s="532"/>
      <c r="AQ24" s="547"/>
      <c r="AR24" s="532"/>
      <c r="AS24" s="532"/>
      <c r="AT24" s="532"/>
      <c r="AU24" s="547"/>
      <c r="AV24" s="532"/>
      <c r="AW24" s="532"/>
      <c r="AX24" s="532"/>
      <c r="AY24" s="547"/>
      <c r="AZ24" s="532"/>
      <c r="BA24" s="532"/>
      <c r="BB24" s="532"/>
      <c r="BC24" s="547"/>
      <c r="BD24" s="532"/>
      <c r="BE24" s="532"/>
      <c r="BF24" s="532"/>
      <c r="BG24" s="547"/>
      <c r="BH24" s="532"/>
      <c r="BI24" s="532"/>
      <c r="BJ24" s="532"/>
      <c r="BK24" s="547"/>
      <c r="BL24" s="532"/>
      <c r="BM24" s="532"/>
      <c r="BN24" s="532"/>
      <c r="BO24" s="547"/>
      <c r="BP24" s="532"/>
      <c r="BQ24" s="532"/>
      <c r="BR24" s="532"/>
      <c r="BS24" s="547"/>
      <c r="BT24" s="532"/>
      <c r="BU24" s="532"/>
      <c r="BV24" s="532"/>
      <c r="BW24" s="547"/>
      <c r="BX24" s="532"/>
      <c r="BY24" s="532"/>
      <c r="BZ24" s="532"/>
      <c r="CA24" s="547"/>
      <c r="CB24" s="532"/>
      <c r="CC24" s="532"/>
      <c r="CD24" s="532"/>
      <c r="CE24" s="547"/>
      <c r="CF24" s="532"/>
      <c r="CG24" s="532"/>
      <c r="CH24" s="532"/>
      <c r="CI24" s="547"/>
      <c r="CJ24" s="532"/>
      <c r="CK24" s="532"/>
      <c r="CL24" s="532"/>
      <c r="CM24" s="547"/>
      <c r="CN24" s="532"/>
      <c r="CO24" s="532"/>
      <c r="CP24" s="532"/>
      <c r="CQ24" s="547"/>
      <c r="CR24" s="532"/>
      <c r="CS24" s="532"/>
      <c r="CT24" s="532"/>
      <c r="CU24" s="547"/>
      <c r="CV24" s="532"/>
      <c r="CW24" s="532"/>
      <c r="CX24" s="532"/>
      <c r="CY24" s="547"/>
      <c r="CZ24" s="532"/>
      <c r="DA24" s="532"/>
      <c r="DB24" s="532"/>
      <c r="DC24" s="547"/>
      <c r="DD24" s="532"/>
      <c r="DE24" s="532"/>
      <c r="DF24" s="532"/>
      <c r="DG24" s="547"/>
      <c r="DH24" s="532"/>
      <c r="DI24" s="532"/>
      <c r="DJ24" s="532"/>
      <c r="DK24" s="547"/>
      <c r="DL24" s="532"/>
      <c r="DM24" s="532"/>
      <c r="DN24" s="532"/>
      <c r="DO24" s="547"/>
      <c r="DP24" s="532"/>
      <c r="DQ24" s="532"/>
      <c r="DR24" s="532"/>
      <c r="DS24" s="547"/>
      <c r="DT24" s="532"/>
      <c r="DU24" s="532"/>
      <c r="DV24" s="532"/>
      <c r="DW24" s="547"/>
      <c r="DX24" s="532"/>
      <c r="DY24" s="532"/>
      <c r="DZ24" s="532"/>
      <c r="EA24" s="547"/>
      <c r="EB24" s="532"/>
      <c r="EC24" s="532"/>
      <c r="ED24" s="532"/>
      <c r="EE24" s="547"/>
      <c r="EF24" s="532"/>
      <c r="EG24" s="532"/>
      <c r="EH24" s="532"/>
      <c r="EI24" s="547"/>
      <c r="EJ24" s="532"/>
      <c r="EK24" s="532"/>
      <c r="EL24" s="532"/>
      <c r="EM24" s="547"/>
      <c r="EN24" s="532"/>
      <c r="EO24" s="532"/>
      <c r="EP24" s="532"/>
      <c r="EQ24" s="547"/>
      <c r="ER24" s="532"/>
      <c r="ES24" s="532"/>
      <c r="ET24" s="532"/>
      <c r="EU24" s="547"/>
      <c r="EV24" s="532"/>
      <c r="EW24" s="532"/>
      <c r="EX24" s="532"/>
      <c r="EY24" s="547"/>
      <c r="EZ24" s="532"/>
      <c r="FA24" s="532"/>
      <c r="FB24" s="532"/>
      <c r="FC24" s="547"/>
      <c r="FD24" s="532"/>
      <c r="FE24" s="532"/>
      <c r="FF24" s="532"/>
      <c r="FG24" s="547"/>
      <c r="FH24" s="532"/>
      <c r="FI24" s="532"/>
      <c r="FJ24" s="532"/>
      <c r="FK24" s="547"/>
      <c r="FL24" s="532"/>
      <c r="FM24" s="532"/>
      <c r="FN24" s="532"/>
      <c r="FO24" s="547"/>
      <c r="FP24" s="532"/>
      <c r="FQ24" s="532"/>
      <c r="FR24" s="532"/>
      <c r="FS24" s="547"/>
      <c r="FT24" s="532"/>
      <c r="FU24" s="532"/>
      <c r="FV24" s="532"/>
      <c r="FW24" s="547"/>
      <c r="FX24" s="532"/>
      <c r="FY24" s="532"/>
      <c r="FZ24" s="532"/>
      <c r="GA24" s="547"/>
      <c r="GB24" s="532"/>
      <c r="GC24" s="532"/>
      <c r="GD24" s="532"/>
      <c r="GE24" s="547"/>
      <c r="GF24" s="532"/>
      <c r="GG24" s="532"/>
      <c r="GH24" s="532"/>
      <c r="GI24" s="547"/>
      <c r="GJ24" s="532"/>
      <c r="GK24" s="532"/>
      <c r="GL24" s="532"/>
      <c r="GM24" s="547"/>
      <c r="GN24" s="532"/>
      <c r="GO24" s="532"/>
      <c r="GP24" s="532"/>
      <c r="GQ24" s="547"/>
      <c r="GR24" s="532"/>
      <c r="GS24" s="532"/>
      <c r="GT24" s="532"/>
      <c r="GU24" s="547"/>
      <c r="GV24" s="532"/>
      <c r="GW24" s="532"/>
      <c r="GX24" s="532"/>
      <c r="GY24" s="547"/>
      <c r="GZ24" s="532"/>
      <c r="HA24" s="532"/>
      <c r="HB24" s="532"/>
      <c r="HC24" s="547"/>
      <c r="HD24" s="532"/>
      <c r="HE24" s="532"/>
      <c r="HF24" s="532"/>
      <c r="HG24" s="547"/>
      <c r="HH24" s="532"/>
      <c r="HI24" s="532"/>
      <c r="HJ24" s="532"/>
      <c r="HK24" s="547"/>
      <c r="HL24" s="532"/>
      <c r="HM24" s="532"/>
      <c r="HN24" s="532"/>
      <c r="HO24" s="547"/>
      <c r="HP24" s="532"/>
      <c r="HQ24" s="532"/>
      <c r="HR24" s="532"/>
      <c r="HS24" s="547"/>
      <c r="HT24" s="532"/>
      <c r="HU24" s="532"/>
      <c r="HV24" s="532"/>
      <c r="HW24" s="547"/>
      <c r="HX24" s="532"/>
      <c r="HY24" s="532"/>
      <c r="HZ24" s="532"/>
      <c r="IA24" s="547"/>
      <c r="IB24" s="532"/>
      <c r="IC24" s="532"/>
      <c r="ID24" s="532"/>
      <c r="IE24" s="547"/>
      <c r="IF24" s="532"/>
      <c r="IG24" s="532"/>
      <c r="IH24" s="532"/>
      <c r="II24" s="547"/>
      <c r="IJ24" s="532"/>
      <c r="IK24" s="532"/>
      <c r="IL24" s="532"/>
      <c r="IM24" s="547"/>
      <c r="IN24" s="532"/>
      <c r="IO24" s="532"/>
      <c r="IP24" s="532"/>
      <c r="IQ24" s="547"/>
      <c r="IR24" s="532"/>
      <c r="IS24" s="532"/>
      <c r="IT24" s="532"/>
      <c r="IU24" s="547"/>
      <c r="IV24" s="532"/>
    </row>
    <row r="25" spans="1:256" outlineLevel="1" x14ac:dyDescent="0.25">
      <c r="A25" s="539" t="s">
        <v>477</v>
      </c>
      <c r="B25" s="511"/>
      <c r="C25" s="557"/>
      <c r="D25" s="557"/>
      <c r="E25" s="546"/>
      <c r="F25" s="546"/>
      <c r="G25" s="546"/>
      <c r="H25" s="546"/>
      <c r="I25" s="546"/>
      <c r="J25" s="546"/>
      <c r="K25" s="546"/>
      <c r="L25" s="546"/>
      <c r="M25" s="546"/>
      <c r="N25" s="546"/>
      <c r="O25" s="546"/>
      <c r="P25" s="546"/>
      <c r="Q25" s="546"/>
      <c r="R25" s="546"/>
      <c r="S25" s="546"/>
      <c r="T25" s="546"/>
      <c r="U25" s="546"/>
      <c r="V25" s="546"/>
      <c r="W25" s="546"/>
      <c r="X25" s="546"/>
      <c r="Y25" s="546"/>
      <c r="Z25" s="532"/>
      <c r="AA25" s="547"/>
      <c r="AB25" s="532"/>
      <c r="AC25" s="532"/>
      <c r="AD25" s="532"/>
      <c r="AE25" s="547"/>
      <c r="AF25" s="532"/>
      <c r="AG25" s="532"/>
      <c r="AH25" s="532"/>
      <c r="AI25" s="547"/>
      <c r="AJ25" s="532"/>
      <c r="AK25" s="532"/>
      <c r="AL25" s="532"/>
      <c r="AM25" s="547"/>
      <c r="AN25" s="532"/>
      <c r="AO25" s="532"/>
      <c r="AP25" s="532"/>
      <c r="AQ25" s="547"/>
      <c r="AR25" s="532"/>
      <c r="AS25" s="532"/>
      <c r="AT25" s="532"/>
      <c r="AU25" s="547"/>
      <c r="AV25" s="532"/>
      <c r="AW25" s="532"/>
      <c r="AX25" s="532"/>
      <c r="AY25" s="547"/>
      <c r="AZ25" s="532"/>
      <c r="BA25" s="532"/>
      <c r="BB25" s="532"/>
      <c r="BC25" s="547"/>
      <c r="BD25" s="532"/>
      <c r="BE25" s="532"/>
      <c r="BF25" s="532"/>
      <c r="BG25" s="547"/>
      <c r="BH25" s="532"/>
      <c r="BI25" s="532"/>
      <c r="BJ25" s="532"/>
      <c r="BK25" s="547"/>
      <c r="BL25" s="532"/>
      <c r="BM25" s="532"/>
      <c r="BN25" s="532"/>
      <c r="BO25" s="547"/>
      <c r="BP25" s="532"/>
      <c r="BQ25" s="532"/>
      <c r="BR25" s="532"/>
      <c r="BS25" s="547"/>
      <c r="BT25" s="532"/>
      <c r="BU25" s="532"/>
      <c r="BV25" s="532"/>
      <c r="BW25" s="547"/>
      <c r="BX25" s="532"/>
      <c r="BY25" s="532"/>
      <c r="BZ25" s="532"/>
      <c r="CA25" s="547"/>
      <c r="CB25" s="532"/>
      <c r="CC25" s="532"/>
      <c r="CD25" s="532"/>
      <c r="CE25" s="547"/>
      <c r="CF25" s="532"/>
      <c r="CG25" s="532"/>
      <c r="CH25" s="532"/>
      <c r="CI25" s="547"/>
      <c r="CJ25" s="532"/>
      <c r="CK25" s="532"/>
      <c r="CL25" s="532"/>
      <c r="CM25" s="547"/>
      <c r="CN25" s="532"/>
      <c r="CO25" s="532"/>
      <c r="CP25" s="532"/>
      <c r="CQ25" s="547"/>
      <c r="CR25" s="532"/>
      <c r="CS25" s="532"/>
      <c r="CT25" s="532"/>
      <c r="CU25" s="547"/>
      <c r="CV25" s="532"/>
      <c r="CW25" s="532"/>
      <c r="CX25" s="532"/>
      <c r="CY25" s="547"/>
      <c r="CZ25" s="532"/>
      <c r="DA25" s="532"/>
      <c r="DB25" s="532"/>
      <c r="DC25" s="547"/>
      <c r="DD25" s="532"/>
      <c r="DE25" s="532"/>
      <c r="DF25" s="532"/>
      <c r="DG25" s="547"/>
      <c r="DH25" s="532"/>
      <c r="DI25" s="532"/>
      <c r="DJ25" s="532"/>
      <c r="DK25" s="547"/>
      <c r="DL25" s="532"/>
      <c r="DM25" s="532"/>
      <c r="DN25" s="532"/>
      <c r="DO25" s="547"/>
      <c r="DP25" s="532"/>
      <c r="DQ25" s="532"/>
      <c r="DR25" s="532"/>
      <c r="DS25" s="547"/>
      <c r="DT25" s="532"/>
      <c r="DU25" s="532"/>
      <c r="DV25" s="532"/>
      <c r="DW25" s="547"/>
      <c r="DX25" s="532"/>
      <c r="DY25" s="532"/>
      <c r="DZ25" s="532"/>
      <c r="EA25" s="547"/>
      <c r="EB25" s="532"/>
      <c r="EC25" s="532"/>
      <c r="ED25" s="532"/>
      <c r="EE25" s="547"/>
      <c r="EF25" s="532"/>
      <c r="EG25" s="532"/>
      <c r="EH25" s="532"/>
      <c r="EI25" s="547"/>
      <c r="EJ25" s="532"/>
      <c r="EK25" s="532"/>
      <c r="EL25" s="532"/>
      <c r="EM25" s="547"/>
      <c r="EN25" s="532"/>
      <c r="EO25" s="532"/>
      <c r="EP25" s="532"/>
      <c r="EQ25" s="547"/>
      <c r="ER25" s="532"/>
      <c r="ES25" s="532"/>
      <c r="ET25" s="532"/>
      <c r="EU25" s="547"/>
      <c r="EV25" s="532"/>
      <c r="EW25" s="532"/>
      <c r="EX25" s="532"/>
      <c r="EY25" s="547"/>
      <c r="EZ25" s="532"/>
      <c r="FA25" s="532"/>
      <c r="FB25" s="532"/>
      <c r="FC25" s="547"/>
      <c r="FD25" s="532"/>
      <c r="FE25" s="532"/>
      <c r="FF25" s="532"/>
      <c r="FG25" s="547"/>
      <c r="FH25" s="532"/>
      <c r="FI25" s="532"/>
      <c r="FJ25" s="532"/>
      <c r="FK25" s="547"/>
      <c r="FL25" s="532"/>
      <c r="FM25" s="532"/>
      <c r="FN25" s="532"/>
      <c r="FO25" s="547"/>
      <c r="FP25" s="532"/>
      <c r="FQ25" s="532"/>
      <c r="FR25" s="532"/>
      <c r="FS25" s="547"/>
      <c r="FT25" s="532"/>
      <c r="FU25" s="532"/>
      <c r="FV25" s="532"/>
      <c r="FW25" s="547"/>
      <c r="FX25" s="532"/>
      <c r="FY25" s="532"/>
      <c r="FZ25" s="532"/>
      <c r="GA25" s="547"/>
      <c r="GB25" s="532"/>
      <c r="GC25" s="532"/>
      <c r="GD25" s="532"/>
      <c r="GE25" s="547"/>
      <c r="GF25" s="532"/>
      <c r="GG25" s="532"/>
      <c r="GH25" s="532"/>
      <c r="GI25" s="547"/>
      <c r="GJ25" s="532"/>
      <c r="GK25" s="532"/>
      <c r="GL25" s="532"/>
      <c r="GM25" s="547"/>
      <c r="GN25" s="532"/>
      <c r="GO25" s="532"/>
      <c r="GP25" s="532"/>
      <c r="GQ25" s="547"/>
      <c r="GR25" s="532"/>
      <c r="GS25" s="532"/>
      <c r="GT25" s="532"/>
      <c r="GU25" s="547"/>
      <c r="GV25" s="532"/>
      <c r="GW25" s="532"/>
      <c r="GX25" s="532"/>
      <c r="GY25" s="547"/>
      <c r="GZ25" s="532"/>
      <c r="HA25" s="532"/>
      <c r="HB25" s="532"/>
      <c r="HC25" s="547"/>
      <c r="HD25" s="532"/>
      <c r="HE25" s="532"/>
      <c r="HF25" s="532"/>
      <c r="HG25" s="547"/>
      <c r="HH25" s="532"/>
      <c r="HI25" s="532"/>
      <c r="HJ25" s="532"/>
      <c r="HK25" s="547"/>
      <c r="HL25" s="532"/>
      <c r="HM25" s="532"/>
      <c r="HN25" s="532"/>
      <c r="HO25" s="547"/>
      <c r="HP25" s="532"/>
      <c r="HQ25" s="532"/>
      <c r="HR25" s="532"/>
      <c r="HS25" s="547"/>
      <c r="HT25" s="532"/>
      <c r="HU25" s="532"/>
      <c r="HV25" s="532"/>
      <c r="HW25" s="547"/>
      <c r="HX25" s="532"/>
      <c r="HY25" s="532"/>
      <c r="HZ25" s="532"/>
      <c r="IA25" s="547"/>
      <c r="IB25" s="532"/>
      <c r="IC25" s="532"/>
      <c r="ID25" s="532"/>
      <c r="IE25" s="547"/>
      <c r="IF25" s="532"/>
      <c r="IG25" s="532"/>
      <c r="IH25" s="532"/>
      <c r="II25" s="547"/>
      <c r="IJ25" s="532"/>
      <c r="IK25" s="532"/>
      <c r="IL25" s="532"/>
      <c r="IM25" s="547"/>
      <c r="IN25" s="532"/>
      <c r="IO25" s="532"/>
      <c r="IP25" s="532"/>
      <c r="IQ25" s="547"/>
      <c r="IR25" s="532"/>
      <c r="IS25" s="532"/>
      <c r="IT25" s="532"/>
      <c r="IU25" s="547"/>
      <c r="IV25" s="532"/>
    </row>
    <row r="26" spans="1:256" outlineLevel="1" x14ac:dyDescent="0.25">
      <c r="A26" s="534"/>
      <c r="B26" s="535"/>
      <c r="C26" s="536"/>
      <c r="D26" s="536"/>
      <c r="E26" s="546"/>
      <c r="F26" s="546"/>
      <c r="G26" s="546"/>
      <c r="H26" s="546"/>
      <c r="I26" s="546"/>
      <c r="J26" s="546"/>
      <c r="K26" s="546"/>
      <c r="L26" s="546"/>
      <c r="M26" s="546"/>
      <c r="N26" s="546"/>
      <c r="O26" s="546"/>
      <c r="P26" s="546"/>
      <c r="Q26" s="546"/>
      <c r="R26" s="546"/>
      <c r="S26" s="546"/>
      <c r="T26" s="546"/>
      <c r="U26" s="546"/>
      <c r="V26" s="546"/>
      <c r="W26" s="546"/>
      <c r="X26" s="546"/>
      <c r="Y26" s="546"/>
      <c r="Z26" s="532"/>
      <c r="AA26" s="547"/>
      <c r="AB26" s="532"/>
      <c r="AC26" s="532"/>
      <c r="AD26" s="532"/>
      <c r="AE26" s="547"/>
      <c r="AF26" s="532"/>
      <c r="AG26" s="532"/>
      <c r="AH26" s="532"/>
      <c r="AI26" s="547"/>
      <c r="AJ26" s="532"/>
      <c r="AK26" s="532"/>
      <c r="AL26" s="532"/>
      <c r="AM26" s="547"/>
      <c r="AN26" s="532"/>
      <c r="AO26" s="532"/>
      <c r="AP26" s="532"/>
      <c r="AQ26" s="547"/>
      <c r="AR26" s="532"/>
      <c r="AS26" s="532"/>
      <c r="AT26" s="532"/>
      <c r="AU26" s="547"/>
      <c r="AV26" s="532"/>
      <c r="AW26" s="532"/>
      <c r="AX26" s="532"/>
      <c r="AY26" s="547"/>
      <c r="AZ26" s="532"/>
      <c r="BA26" s="532"/>
      <c r="BB26" s="532"/>
      <c r="BC26" s="547"/>
      <c r="BD26" s="532"/>
      <c r="BE26" s="532"/>
      <c r="BF26" s="532"/>
      <c r="BG26" s="547"/>
      <c r="BH26" s="532"/>
      <c r="BI26" s="532"/>
      <c r="BJ26" s="532"/>
      <c r="BK26" s="547"/>
      <c r="BL26" s="532"/>
      <c r="BM26" s="532"/>
      <c r="BN26" s="532"/>
      <c r="BO26" s="547"/>
      <c r="BP26" s="532"/>
      <c r="BQ26" s="532"/>
      <c r="BR26" s="532"/>
      <c r="BS26" s="547"/>
      <c r="BT26" s="532"/>
      <c r="BU26" s="532"/>
      <c r="BV26" s="532"/>
      <c r="BW26" s="547"/>
      <c r="BX26" s="532"/>
      <c r="BY26" s="532"/>
      <c r="BZ26" s="532"/>
      <c r="CA26" s="547"/>
      <c r="CB26" s="532"/>
      <c r="CC26" s="532"/>
      <c r="CD26" s="532"/>
      <c r="CE26" s="547"/>
      <c r="CF26" s="532"/>
      <c r="CG26" s="532"/>
      <c r="CH26" s="532"/>
      <c r="CI26" s="547"/>
      <c r="CJ26" s="532"/>
      <c r="CK26" s="532"/>
      <c r="CL26" s="532"/>
      <c r="CM26" s="547"/>
      <c r="CN26" s="532"/>
      <c r="CO26" s="532"/>
      <c r="CP26" s="532"/>
      <c r="CQ26" s="547"/>
      <c r="CR26" s="532"/>
      <c r="CS26" s="532"/>
      <c r="CT26" s="532"/>
      <c r="CU26" s="547"/>
      <c r="CV26" s="532"/>
      <c r="CW26" s="532"/>
      <c r="CX26" s="532"/>
      <c r="CY26" s="547"/>
      <c r="CZ26" s="532"/>
      <c r="DA26" s="532"/>
      <c r="DB26" s="532"/>
      <c r="DC26" s="547"/>
      <c r="DD26" s="532"/>
      <c r="DE26" s="532"/>
      <c r="DF26" s="532"/>
      <c r="DG26" s="547"/>
      <c r="DH26" s="532"/>
      <c r="DI26" s="532"/>
      <c r="DJ26" s="532"/>
      <c r="DK26" s="547"/>
      <c r="DL26" s="532"/>
      <c r="DM26" s="532"/>
      <c r="DN26" s="532"/>
      <c r="DO26" s="547"/>
      <c r="DP26" s="532"/>
      <c r="DQ26" s="532"/>
      <c r="DR26" s="532"/>
      <c r="DS26" s="547"/>
      <c r="DT26" s="532"/>
      <c r="DU26" s="532"/>
      <c r="DV26" s="532"/>
      <c r="DW26" s="547"/>
      <c r="DX26" s="532"/>
      <c r="DY26" s="532"/>
      <c r="DZ26" s="532"/>
      <c r="EA26" s="547"/>
      <c r="EB26" s="532"/>
      <c r="EC26" s="532"/>
      <c r="ED26" s="532"/>
      <c r="EE26" s="547"/>
      <c r="EF26" s="532"/>
      <c r="EG26" s="532"/>
      <c r="EH26" s="532"/>
      <c r="EI26" s="547"/>
      <c r="EJ26" s="532"/>
      <c r="EK26" s="532"/>
      <c r="EL26" s="532"/>
      <c r="EM26" s="547"/>
      <c r="EN26" s="532"/>
      <c r="EO26" s="532"/>
      <c r="EP26" s="532"/>
      <c r="EQ26" s="547"/>
      <c r="ER26" s="532"/>
      <c r="ES26" s="532"/>
      <c r="ET26" s="532"/>
      <c r="EU26" s="547"/>
      <c r="EV26" s="532"/>
      <c r="EW26" s="532"/>
      <c r="EX26" s="532"/>
      <c r="EY26" s="547"/>
      <c r="EZ26" s="532"/>
      <c r="FA26" s="532"/>
      <c r="FB26" s="532"/>
      <c r="FC26" s="547"/>
      <c r="FD26" s="532"/>
      <c r="FE26" s="532"/>
      <c r="FF26" s="532"/>
      <c r="FG26" s="547"/>
      <c r="FH26" s="532"/>
      <c r="FI26" s="532"/>
      <c r="FJ26" s="532"/>
      <c r="FK26" s="547"/>
      <c r="FL26" s="532"/>
      <c r="FM26" s="532"/>
      <c r="FN26" s="532"/>
      <c r="FO26" s="547"/>
      <c r="FP26" s="532"/>
      <c r="FQ26" s="532"/>
      <c r="FR26" s="532"/>
      <c r="FS26" s="547"/>
      <c r="FT26" s="532"/>
      <c r="FU26" s="532"/>
      <c r="FV26" s="532"/>
      <c r="FW26" s="547"/>
      <c r="FX26" s="532"/>
      <c r="FY26" s="532"/>
      <c r="FZ26" s="532"/>
      <c r="GA26" s="547"/>
      <c r="GB26" s="532"/>
      <c r="GC26" s="532"/>
      <c r="GD26" s="532"/>
      <c r="GE26" s="547"/>
      <c r="GF26" s="532"/>
      <c r="GG26" s="532"/>
      <c r="GH26" s="532"/>
      <c r="GI26" s="547"/>
      <c r="GJ26" s="532"/>
      <c r="GK26" s="532"/>
      <c r="GL26" s="532"/>
      <c r="GM26" s="547"/>
      <c r="GN26" s="532"/>
      <c r="GO26" s="532"/>
      <c r="GP26" s="532"/>
      <c r="GQ26" s="547"/>
      <c r="GR26" s="532"/>
      <c r="GS26" s="532"/>
      <c r="GT26" s="532"/>
      <c r="GU26" s="547"/>
      <c r="GV26" s="532"/>
      <c r="GW26" s="532"/>
      <c r="GX26" s="532"/>
      <c r="GY26" s="547"/>
      <c r="GZ26" s="532"/>
      <c r="HA26" s="532"/>
      <c r="HB26" s="532"/>
      <c r="HC26" s="547"/>
      <c r="HD26" s="532"/>
      <c r="HE26" s="532"/>
      <c r="HF26" s="532"/>
      <c r="HG26" s="547"/>
      <c r="HH26" s="532"/>
      <c r="HI26" s="532"/>
      <c r="HJ26" s="532"/>
      <c r="HK26" s="547"/>
      <c r="HL26" s="532"/>
      <c r="HM26" s="532"/>
      <c r="HN26" s="532"/>
      <c r="HO26" s="547"/>
      <c r="HP26" s="532"/>
      <c r="HQ26" s="532"/>
      <c r="HR26" s="532"/>
      <c r="HS26" s="547"/>
      <c r="HT26" s="532"/>
      <c r="HU26" s="532"/>
      <c r="HV26" s="532"/>
      <c r="HW26" s="547"/>
      <c r="HX26" s="532"/>
      <c r="HY26" s="532"/>
      <c r="HZ26" s="532"/>
      <c r="IA26" s="547"/>
      <c r="IB26" s="532"/>
      <c r="IC26" s="532"/>
      <c r="ID26" s="532"/>
      <c r="IE26" s="547"/>
      <c r="IF26" s="532"/>
      <c r="IG26" s="532"/>
      <c r="IH26" s="532"/>
      <c r="II26" s="547"/>
      <c r="IJ26" s="532"/>
      <c r="IK26" s="532"/>
      <c r="IL26" s="532"/>
      <c r="IM26" s="547"/>
      <c r="IN26" s="532"/>
      <c r="IO26" s="532"/>
      <c r="IP26" s="532"/>
      <c r="IQ26" s="547"/>
      <c r="IR26" s="532"/>
      <c r="IS26" s="532"/>
      <c r="IT26" s="532"/>
      <c r="IU26" s="547"/>
      <c r="IV26" s="532"/>
    </row>
    <row r="27" spans="1:256" x14ac:dyDescent="0.25">
      <c r="A27" s="534"/>
      <c r="B27" s="535"/>
      <c r="C27" s="536"/>
      <c r="D27" s="536"/>
      <c r="E27" s="546">
        <v>0</v>
      </c>
      <c r="F27" s="546"/>
      <c r="G27" s="546"/>
      <c r="H27" s="546"/>
      <c r="I27" s="546"/>
      <c r="J27" s="546"/>
      <c r="K27" s="546"/>
      <c r="L27" s="546"/>
      <c r="M27" s="546"/>
      <c r="N27" s="546"/>
      <c r="O27" s="546"/>
      <c r="P27" s="546"/>
      <c r="Q27" s="546"/>
      <c r="R27" s="546"/>
      <c r="S27" s="546"/>
      <c r="T27" s="546"/>
      <c r="U27" s="546"/>
      <c r="V27" s="546"/>
      <c r="W27" s="546"/>
      <c r="X27" s="546"/>
      <c r="Y27" s="546"/>
      <c r="Z27" s="532"/>
      <c r="AA27" s="547"/>
      <c r="AB27" s="532"/>
      <c r="AC27" s="532"/>
      <c r="AD27" s="532"/>
      <c r="AE27" s="547"/>
      <c r="AF27" s="532"/>
      <c r="AG27" s="532"/>
      <c r="AH27" s="532"/>
      <c r="AI27" s="547"/>
      <c r="AJ27" s="532"/>
      <c r="AK27" s="532"/>
      <c r="AL27" s="532"/>
      <c r="AM27" s="547"/>
      <c r="AN27" s="532"/>
      <c r="AO27" s="532"/>
      <c r="AP27" s="532"/>
      <c r="AQ27" s="547"/>
      <c r="AR27" s="532"/>
      <c r="AS27" s="532"/>
      <c r="AT27" s="532"/>
      <c r="AU27" s="547"/>
      <c r="AV27" s="532"/>
      <c r="AW27" s="532"/>
      <c r="AX27" s="532"/>
      <c r="AY27" s="547"/>
      <c r="AZ27" s="532"/>
      <c r="BA27" s="532"/>
      <c r="BB27" s="532"/>
      <c r="BC27" s="547"/>
      <c r="BD27" s="532"/>
      <c r="BE27" s="532"/>
      <c r="BF27" s="532"/>
      <c r="BG27" s="547"/>
      <c r="BH27" s="532"/>
      <c r="BI27" s="532"/>
      <c r="BJ27" s="532"/>
      <c r="BK27" s="547"/>
      <c r="BL27" s="532"/>
      <c r="BM27" s="532"/>
      <c r="BN27" s="532"/>
      <c r="BO27" s="547"/>
      <c r="BP27" s="532"/>
      <c r="BQ27" s="532"/>
      <c r="BR27" s="532"/>
      <c r="BS27" s="547"/>
      <c r="BT27" s="532"/>
      <c r="BU27" s="532"/>
      <c r="BV27" s="532"/>
      <c r="BW27" s="547"/>
      <c r="BX27" s="532"/>
      <c r="BY27" s="532"/>
      <c r="BZ27" s="532"/>
      <c r="CA27" s="547"/>
      <c r="CB27" s="532"/>
      <c r="CC27" s="532"/>
      <c r="CD27" s="532"/>
      <c r="CE27" s="547"/>
      <c r="CF27" s="532"/>
      <c r="CG27" s="532"/>
      <c r="CH27" s="532"/>
      <c r="CI27" s="547"/>
      <c r="CJ27" s="532"/>
      <c r="CK27" s="532"/>
      <c r="CL27" s="532"/>
      <c r="CM27" s="547"/>
      <c r="CN27" s="532"/>
      <c r="CO27" s="532"/>
      <c r="CP27" s="532"/>
      <c r="CQ27" s="547"/>
      <c r="CR27" s="532"/>
      <c r="CS27" s="532"/>
      <c r="CT27" s="532"/>
      <c r="CU27" s="547"/>
      <c r="CV27" s="532"/>
      <c r="CW27" s="532"/>
      <c r="CX27" s="532"/>
      <c r="CY27" s="547"/>
      <c r="CZ27" s="532"/>
      <c r="DA27" s="532"/>
      <c r="DB27" s="532"/>
      <c r="DC27" s="547"/>
      <c r="DD27" s="532"/>
      <c r="DE27" s="532"/>
      <c r="DF27" s="532"/>
      <c r="DG27" s="547"/>
      <c r="DH27" s="532"/>
      <c r="DI27" s="532"/>
      <c r="DJ27" s="532"/>
      <c r="DK27" s="547"/>
      <c r="DL27" s="532"/>
      <c r="DM27" s="532"/>
      <c r="DN27" s="532"/>
      <c r="DO27" s="547"/>
      <c r="DP27" s="532"/>
      <c r="DQ27" s="532"/>
      <c r="DR27" s="532"/>
      <c r="DS27" s="547"/>
      <c r="DT27" s="532"/>
      <c r="DU27" s="532"/>
      <c r="DV27" s="532"/>
      <c r="DW27" s="547"/>
      <c r="DX27" s="532"/>
      <c r="DY27" s="532"/>
      <c r="DZ27" s="532"/>
      <c r="EA27" s="547"/>
      <c r="EB27" s="532"/>
      <c r="EC27" s="532"/>
      <c r="ED27" s="532"/>
      <c r="EE27" s="547"/>
      <c r="EF27" s="532"/>
      <c r="EG27" s="532"/>
      <c r="EH27" s="532"/>
      <c r="EI27" s="547"/>
      <c r="EJ27" s="532"/>
      <c r="EK27" s="532"/>
      <c r="EL27" s="532"/>
      <c r="EM27" s="547"/>
      <c r="EN27" s="532"/>
      <c r="EO27" s="532"/>
      <c r="EP27" s="532"/>
      <c r="EQ27" s="547"/>
      <c r="ER27" s="532"/>
      <c r="ES27" s="532"/>
      <c r="ET27" s="532"/>
      <c r="EU27" s="547"/>
      <c r="EV27" s="532"/>
      <c r="EW27" s="532"/>
      <c r="EX27" s="532"/>
      <c r="EY27" s="547"/>
      <c r="EZ27" s="532"/>
      <c r="FA27" s="532"/>
      <c r="FB27" s="532"/>
      <c r="FC27" s="547"/>
      <c r="FD27" s="532"/>
      <c r="FE27" s="532"/>
      <c r="FF27" s="532"/>
      <c r="FG27" s="547"/>
      <c r="FH27" s="532"/>
      <c r="FI27" s="532"/>
      <c r="FJ27" s="532"/>
      <c r="FK27" s="547"/>
      <c r="FL27" s="532"/>
      <c r="FM27" s="532"/>
      <c r="FN27" s="532"/>
      <c r="FO27" s="547"/>
      <c r="FP27" s="532"/>
      <c r="FQ27" s="532"/>
      <c r="FR27" s="532"/>
      <c r="FS27" s="547"/>
      <c r="FT27" s="532"/>
      <c r="FU27" s="532"/>
      <c r="FV27" s="532"/>
      <c r="FW27" s="547"/>
      <c r="FX27" s="532"/>
      <c r="FY27" s="532"/>
      <c r="FZ27" s="532"/>
      <c r="GA27" s="547"/>
      <c r="GB27" s="532"/>
      <c r="GC27" s="532"/>
      <c r="GD27" s="532"/>
      <c r="GE27" s="547"/>
      <c r="GF27" s="532"/>
      <c r="GG27" s="532"/>
      <c r="GH27" s="532"/>
      <c r="GI27" s="547"/>
      <c r="GJ27" s="532"/>
      <c r="GK27" s="532"/>
      <c r="GL27" s="532"/>
      <c r="GM27" s="547"/>
      <c r="GN27" s="532"/>
      <c r="GO27" s="532"/>
      <c r="GP27" s="532"/>
      <c r="GQ27" s="547"/>
      <c r="GR27" s="532"/>
      <c r="GS27" s="532"/>
      <c r="GT27" s="532"/>
      <c r="GU27" s="547"/>
      <c r="GV27" s="532"/>
      <c r="GW27" s="532"/>
      <c r="GX27" s="532"/>
      <c r="GY27" s="547"/>
      <c r="GZ27" s="532"/>
      <c r="HA27" s="532"/>
      <c r="HB27" s="532"/>
      <c r="HC27" s="547"/>
      <c r="HD27" s="532"/>
      <c r="HE27" s="532"/>
      <c r="HF27" s="532"/>
      <c r="HG27" s="547"/>
      <c r="HH27" s="532"/>
      <c r="HI27" s="532"/>
      <c r="HJ27" s="532"/>
      <c r="HK27" s="547"/>
      <c r="HL27" s="532"/>
      <c r="HM27" s="532"/>
      <c r="HN27" s="532"/>
      <c r="HO27" s="547"/>
      <c r="HP27" s="532"/>
      <c r="HQ27" s="532"/>
      <c r="HR27" s="532"/>
      <c r="HS27" s="547"/>
      <c r="HT27" s="532"/>
      <c r="HU27" s="532"/>
      <c r="HV27" s="532"/>
      <c r="HW27" s="547"/>
      <c r="HX27" s="532"/>
      <c r="HY27" s="532"/>
      <c r="HZ27" s="532"/>
      <c r="IA27" s="547"/>
      <c r="IB27" s="532"/>
      <c r="IC27" s="532"/>
      <c r="ID27" s="532"/>
      <c r="IE27" s="547"/>
      <c r="IF27" s="532"/>
      <c r="IG27" s="532"/>
      <c r="IH27" s="532"/>
      <c r="II27" s="547"/>
      <c r="IJ27" s="532"/>
      <c r="IK27" s="532"/>
      <c r="IL27" s="532"/>
      <c r="IM27" s="547"/>
      <c r="IN27" s="532"/>
      <c r="IO27" s="532"/>
      <c r="IP27" s="532"/>
      <c r="IQ27" s="547"/>
      <c r="IR27" s="532"/>
      <c r="IS27" s="532"/>
      <c r="IT27" s="532"/>
      <c r="IU27" s="547"/>
      <c r="IV27" s="532"/>
    </row>
    <row r="28" spans="1:256" ht="18.75" x14ac:dyDescent="0.3">
      <c r="A28" s="552" t="s">
        <v>478</v>
      </c>
      <c r="B28" s="553"/>
      <c r="C28" s="554">
        <f t="shared" ref="C28:N28" si="6">SUM(C22:C25)</f>
        <v>-12801400</v>
      </c>
      <c r="D28" s="554">
        <f>SUM(D22:D25)</f>
        <v>-24874000</v>
      </c>
      <c r="E28" s="554">
        <f t="shared" si="6"/>
        <v>-12386600</v>
      </c>
      <c r="F28" s="554">
        <f t="shared" si="6"/>
        <v>-1851000.0000000005</v>
      </c>
      <c r="G28" s="554">
        <f t="shared" si="6"/>
        <v>-1300000</v>
      </c>
      <c r="H28" s="554">
        <f t="shared" si="6"/>
        <v>-780000</v>
      </c>
      <c r="I28" s="554">
        <f t="shared" si="6"/>
        <v>-155000</v>
      </c>
      <c r="J28" s="554">
        <f t="shared" si="6"/>
        <v>-50000</v>
      </c>
      <c r="K28" s="554">
        <f t="shared" si="6"/>
        <v>-75000</v>
      </c>
      <c r="L28" s="554">
        <f t="shared" si="6"/>
        <v>-91666.666666666672</v>
      </c>
      <c r="M28" s="554">
        <f t="shared" si="6"/>
        <v>-108333.33333333334</v>
      </c>
      <c r="N28" s="554">
        <f t="shared" si="6"/>
        <v>-125000.00000000003</v>
      </c>
      <c r="O28" s="554">
        <f t="shared" ref="O28:Y28" si="7">SUM(O22:O25)</f>
        <v>-141666.66666666669</v>
      </c>
      <c r="P28" s="554">
        <f t="shared" si="7"/>
        <v>-158333.33333333334</v>
      </c>
      <c r="Q28" s="554">
        <f t="shared" si="7"/>
        <v>-241666.66666666669</v>
      </c>
      <c r="R28" s="554">
        <f t="shared" si="7"/>
        <v>-258333.33333333337</v>
      </c>
      <c r="S28" s="554">
        <f t="shared" si="7"/>
        <v>-275000</v>
      </c>
      <c r="T28" s="554">
        <f t="shared" si="7"/>
        <v>-291666.66666666669</v>
      </c>
      <c r="U28" s="554">
        <f t="shared" si="7"/>
        <v>-283333.33333333337</v>
      </c>
      <c r="V28" s="554">
        <f t="shared" si="7"/>
        <v>-275000</v>
      </c>
      <c r="W28" s="554">
        <f t="shared" si="7"/>
        <v>-333333.33333333331</v>
      </c>
      <c r="X28" s="554">
        <f t="shared" si="7"/>
        <v>-333333.33333333331</v>
      </c>
      <c r="Y28" s="554">
        <f t="shared" si="7"/>
        <v>-333333.33333333331</v>
      </c>
      <c r="Z28" s="532"/>
      <c r="AA28" s="545"/>
      <c r="AB28" s="543"/>
      <c r="AC28" s="532"/>
      <c r="AD28" s="532"/>
      <c r="AE28" s="545"/>
      <c r="AF28" s="543"/>
      <c r="AG28" s="532"/>
      <c r="AH28" s="532"/>
      <c r="AI28" s="545"/>
      <c r="AJ28" s="543"/>
      <c r="AK28" s="532"/>
      <c r="AL28" s="532"/>
      <c r="AM28" s="545"/>
      <c r="AN28" s="543"/>
      <c r="AO28" s="532"/>
      <c r="AP28" s="532"/>
      <c r="AQ28" s="545"/>
      <c r="AR28" s="543"/>
      <c r="AS28" s="532"/>
      <c r="AT28" s="532"/>
      <c r="AU28" s="545"/>
      <c r="AV28" s="543"/>
      <c r="AW28" s="532"/>
      <c r="AX28" s="532"/>
      <c r="AY28" s="545"/>
      <c r="AZ28" s="543"/>
      <c r="BA28" s="532"/>
      <c r="BB28" s="532"/>
      <c r="BC28" s="545"/>
      <c r="BD28" s="543"/>
      <c r="BE28" s="532"/>
      <c r="BF28" s="532"/>
      <c r="BG28" s="545"/>
      <c r="BH28" s="543"/>
      <c r="BI28" s="532"/>
      <c r="BJ28" s="532"/>
      <c r="BK28" s="545"/>
      <c r="BL28" s="543"/>
      <c r="BM28" s="532"/>
      <c r="BN28" s="532"/>
      <c r="BO28" s="545"/>
      <c r="BP28" s="543"/>
      <c r="BQ28" s="532"/>
      <c r="BR28" s="532"/>
      <c r="BS28" s="545"/>
      <c r="BT28" s="543"/>
      <c r="BU28" s="532"/>
      <c r="BV28" s="532"/>
      <c r="BW28" s="545"/>
      <c r="BX28" s="543"/>
      <c r="BY28" s="532"/>
      <c r="BZ28" s="532"/>
      <c r="CA28" s="545"/>
      <c r="CB28" s="543"/>
      <c r="CC28" s="532"/>
      <c r="CD28" s="532"/>
      <c r="CE28" s="545"/>
      <c r="CF28" s="543"/>
      <c r="CG28" s="532"/>
      <c r="CH28" s="532"/>
      <c r="CI28" s="545"/>
      <c r="CJ28" s="543"/>
      <c r="CK28" s="532"/>
      <c r="CL28" s="532"/>
      <c r="CM28" s="545"/>
      <c r="CN28" s="543"/>
      <c r="CO28" s="532"/>
      <c r="CP28" s="532"/>
      <c r="CQ28" s="545"/>
      <c r="CR28" s="543"/>
      <c r="CS28" s="532"/>
      <c r="CT28" s="532"/>
      <c r="CU28" s="545"/>
      <c r="CV28" s="543"/>
      <c r="CW28" s="532"/>
      <c r="CX28" s="532"/>
      <c r="CY28" s="545"/>
      <c r="CZ28" s="543"/>
      <c r="DA28" s="532"/>
      <c r="DB28" s="532"/>
      <c r="DC28" s="545"/>
      <c r="DD28" s="543"/>
      <c r="DE28" s="532"/>
      <c r="DF28" s="532"/>
      <c r="DG28" s="545"/>
      <c r="DH28" s="543"/>
      <c r="DI28" s="532"/>
      <c r="DJ28" s="532"/>
      <c r="DK28" s="545"/>
      <c r="DL28" s="543"/>
      <c r="DM28" s="532"/>
      <c r="DN28" s="532"/>
      <c r="DO28" s="545"/>
      <c r="DP28" s="543"/>
      <c r="DQ28" s="532"/>
      <c r="DR28" s="532"/>
      <c r="DS28" s="545"/>
      <c r="DT28" s="543"/>
      <c r="DU28" s="532"/>
      <c r="DV28" s="532"/>
      <c r="DW28" s="545"/>
      <c r="DX28" s="543"/>
      <c r="DY28" s="532"/>
      <c r="DZ28" s="532"/>
      <c r="EA28" s="545"/>
      <c r="EB28" s="543"/>
      <c r="EC28" s="532"/>
      <c r="ED28" s="532"/>
      <c r="EE28" s="545"/>
      <c r="EF28" s="543"/>
      <c r="EG28" s="532"/>
      <c r="EH28" s="532"/>
      <c r="EI28" s="545"/>
      <c r="EJ28" s="543"/>
      <c r="EK28" s="532"/>
      <c r="EL28" s="532"/>
      <c r="EM28" s="545"/>
      <c r="EN28" s="543"/>
      <c r="EO28" s="532"/>
      <c r="EP28" s="532"/>
      <c r="EQ28" s="545"/>
      <c r="ER28" s="543"/>
      <c r="ES28" s="532"/>
      <c r="ET28" s="532"/>
      <c r="EU28" s="545"/>
      <c r="EV28" s="543"/>
      <c r="EW28" s="532"/>
      <c r="EX28" s="532"/>
      <c r="EY28" s="545"/>
      <c r="EZ28" s="543"/>
      <c r="FA28" s="532"/>
      <c r="FB28" s="532"/>
      <c r="FC28" s="545"/>
      <c r="FD28" s="543"/>
      <c r="FE28" s="532"/>
      <c r="FF28" s="532"/>
      <c r="FG28" s="545"/>
      <c r="FH28" s="543"/>
      <c r="FI28" s="532"/>
      <c r="FJ28" s="532"/>
      <c r="FK28" s="545"/>
      <c r="FL28" s="543"/>
      <c r="FM28" s="532"/>
      <c r="FN28" s="532"/>
      <c r="FO28" s="545"/>
      <c r="FP28" s="543"/>
      <c r="FQ28" s="532"/>
      <c r="FR28" s="532"/>
      <c r="FS28" s="545"/>
      <c r="FT28" s="543"/>
      <c r="FU28" s="532"/>
      <c r="FV28" s="532"/>
      <c r="FW28" s="545"/>
      <c r="FX28" s="543"/>
      <c r="FY28" s="532"/>
      <c r="FZ28" s="532"/>
      <c r="GA28" s="545"/>
      <c r="GB28" s="543"/>
      <c r="GC28" s="532"/>
      <c r="GD28" s="532"/>
      <c r="GE28" s="545"/>
      <c r="GF28" s="543"/>
      <c r="GG28" s="532"/>
      <c r="GH28" s="532"/>
      <c r="GI28" s="545"/>
      <c r="GJ28" s="543"/>
      <c r="GK28" s="532"/>
      <c r="GL28" s="532"/>
      <c r="GM28" s="545"/>
      <c r="GN28" s="543"/>
      <c r="GO28" s="532"/>
      <c r="GP28" s="532"/>
      <c r="GQ28" s="545"/>
      <c r="GR28" s="543"/>
      <c r="GS28" s="532"/>
      <c r="GT28" s="532"/>
      <c r="GU28" s="545"/>
      <c r="GV28" s="543"/>
      <c r="GW28" s="532"/>
      <c r="GX28" s="532"/>
      <c r="GY28" s="545"/>
      <c r="GZ28" s="543"/>
      <c r="HA28" s="532"/>
      <c r="HB28" s="532"/>
      <c r="HC28" s="545"/>
      <c r="HD28" s="543"/>
      <c r="HE28" s="532"/>
      <c r="HF28" s="532"/>
      <c r="HG28" s="545"/>
      <c r="HH28" s="543"/>
      <c r="HI28" s="532"/>
      <c r="HJ28" s="532"/>
      <c r="HK28" s="545"/>
      <c r="HL28" s="543"/>
      <c r="HM28" s="532"/>
      <c r="HN28" s="532"/>
      <c r="HO28" s="545"/>
      <c r="HP28" s="543"/>
      <c r="HQ28" s="532"/>
      <c r="HR28" s="532"/>
      <c r="HS28" s="545"/>
      <c r="HT28" s="543"/>
      <c r="HU28" s="532"/>
      <c r="HV28" s="532"/>
      <c r="HW28" s="545"/>
      <c r="HX28" s="543"/>
      <c r="HY28" s="532"/>
      <c r="HZ28" s="532"/>
      <c r="IA28" s="545"/>
      <c r="IB28" s="543"/>
      <c r="IC28" s="532"/>
      <c r="ID28" s="532"/>
      <c r="IE28" s="545"/>
      <c r="IF28" s="543"/>
      <c r="IG28" s="532"/>
      <c r="IH28" s="532"/>
      <c r="II28" s="545"/>
      <c r="IJ28" s="543"/>
      <c r="IK28" s="532"/>
      <c r="IL28" s="532"/>
      <c r="IM28" s="545"/>
      <c r="IN28" s="543"/>
      <c r="IO28" s="532"/>
      <c r="IP28" s="532"/>
      <c r="IQ28" s="545"/>
      <c r="IR28" s="543"/>
      <c r="IS28" s="532"/>
      <c r="IT28" s="532"/>
      <c r="IU28" s="545"/>
      <c r="IV28" s="543"/>
    </row>
    <row r="29" spans="1:256" ht="18.75" x14ac:dyDescent="0.3">
      <c r="A29" s="541"/>
      <c r="B29" s="535"/>
      <c r="C29" s="536"/>
      <c r="D29" s="536"/>
      <c r="E29" s="558"/>
      <c r="F29" s="558"/>
      <c r="G29" s="558"/>
      <c r="H29" s="558"/>
      <c r="I29" s="558"/>
      <c r="J29" s="558"/>
      <c r="K29" s="558"/>
      <c r="L29" s="558"/>
      <c r="M29" s="558"/>
      <c r="N29" s="558"/>
      <c r="O29" s="558"/>
      <c r="P29" s="558"/>
      <c r="Q29" s="558"/>
      <c r="R29" s="558"/>
      <c r="S29" s="558"/>
      <c r="T29" s="558"/>
      <c r="U29" s="558"/>
      <c r="V29" s="558"/>
      <c r="W29" s="558"/>
      <c r="X29" s="558"/>
      <c r="Y29" s="558"/>
      <c r="Z29" s="532"/>
      <c r="AA29" s="545"/>
      <c r="AB29" s="543"/>
      <c r="AC29" s="532"/>
      <c r="AD29" s="532"/>
      <c r="AE29" s="545"/>
      <c r="AF29" s="543"/>
      <c r="AG29" s="532"/>
      <c r="AH29" s="532"/>
      <c r="AI29" s="545"/>
      <c r="AJ29" s="543"/>
      <c r="AK29" s="532"/>
      <c r="AL29" s="532"/>
      <c r="AM29" s="545"/>
      <c r="AN29" s="543"/>
      <c r="AO29" s="532"/>
      <c r="AP29" s="532"/>
      <c r="AQ29" s="545"/>
      <c r="AR29" s="543"/>
      <c r="AS29" s="532"/>
      <c r="AT29" s="532"/>
      <c r="AU29" s="545"/>
      <c r="AV29" s="543"/>
      <c r="AW29" s="532"/>
      <c r="AX29" s="532"/>
      <c r="AY29" s="545"/>
      <c r="AZ29" s="543"/>
      <c r="BA29" s="532"/>
      <c r="BB29" s="532"/>
      <c r="BC29" s="545"/>
      <c r="BD29" s="543"/>
      <c r="BE29" s="532"/>
      <c r="BF29" s="532"/>
      <c r="BG29" s="545"/>
      <c r="BH29" s="543"/>
      <c r="BI29" s="532"/>
      <c r="BJ29" s="532"/>
      <c r="BK29" s="545"/>
      <c r="BL29" s="543"/>
      <c r="BM29" s="532"/>
      <c r="BN29" s="532"/>
      <c r="BO29" s="545"/>
      <c r="BP29" s="543"/>
      <c r="BQ29" s="532"/>
      <c r="BR29" s="532"/>
      <c r="BS29" s="545"/>
      <c r="BT29" s="543"/>
      <c r="BU29" s="532"/>
      <c r="BV29" s="532"/>
      <c r="BW29" s="545"/>
      <c r="BX29" s="543"/>
      <c r="BY29" s="532"/>
      <c r="BZ29" s="532"/>
      <c r="CA29" s="545"/>
      <c r="CB29" s="543"/>
      <c r="CC29" s="532"/>
      <c r="CD29" s="532"/>
      <c r="CE29" s="545"/>
      <c r="CF29" s="543"/>
      <c r="CG29" s="532"/>
      <c r="CH29" s="532"/>
      <c r="CI29" s="545"/>
      <c r="CJ29" s="543"/>
      <c r="CK29" s="532"/>
      <c r="CL29" s="532"/>
      <c r="CM29" s="545"/>
      <c r="CN29" s="543"/>
      <c r="CO29" s="532"/>
      <c r="CP29" s="532"/>
      <c r="CQ29" s="545"/>
      <c r="CR29" s="543"/>
      <c r="CS29" s="532"/>
      <c r="CT29" s="532"/>
      <c r="CU29" s="545"/>
      <c r="CV29" s="543"/>
      <c r="CW29" s="532"/>
      <c r="CX29" s="532"/>
      <c r="CY29" s="545"/>
      <c r="CZ29" s="543"/>
      <c r="DA29" s="532"/>
      <c r="DB29" s="532"/>
      <c r="DC29" s="545"/>
      <c r="DD29" s="543"/>
      <c r="DE29" s="532"/>
      <c r="DF29" s="532"/>
      <c r="DG29" s="545"/>
      <c r="DH29" s="543"/>
      <c r="DI29" s="532"/>
      <c r="DJ29" s="532"/>
      <c r="DK29" s="545"/>
      <c r="DL29" s="543"/>
      <c r="DM29" s="532"/>
      <c r="DN29" s="532"/>
      <c r="DO29" s="545"/>
      <c r="DP29" s="543"/>
      <c r="DQ29" s="532"/>
      <c r="DR29" s="532"/>
      <c r="DS29" s="545"/>
      <c r="DT29" s="543"/>
      <c r="DU29" s="532"/>
      <c r="DV29" s="532"/>
      <c r="DW29" s="545"/>
      <c r="DX29" s="543"/>
      <c r="DY29" s="532"/>
      <c r="DZ29" s="532"/>
      <c r="EA29" s="545"/>
      <c r="EB29" s="543"/>
      <c r="EC29" s="532"/>
      <c r="ED29" s="532"/>
      <c r="EE29" s="545"/>
      <c r="EF29" s="543"/>
      <c r="EG29" s="532"/>
      <c r="EH29" s="532"/>
      <c r="EI29" s="545"/>
      <c r="EJ29" s="543"/>
      <c r="EK29" s="532"/>
      <c r="EL29" s="532"/>
      <c r="EM29" s="545"/>
      <c r="EN29" s="543"/>
      <c r="EO29" s="532"/>
      <c r="EP29" s="532"/>
      <c r="EQ29" s="545"/>
      <c r="ER29" s="543"/>
      <c r="ES29" s="532"/>
      <c r="ET29" s="532"/>
      <c r="EU29" s="545"/>
      <c r="EV29" s="543"/>
      <c r="EW29" s="532"/>
      <c r="EX29" s="532"/>
      <c r="EY29" s="545"/>
      <c r="EZ29" s="543"/>
      <c r="FA29" s="532"/>
      <c r="FB29" s="532"/>
      <c r="FC29" s="545"/>
      <c r="FD29" s="543"/>
      <c r="FE29" s="532"/>
      <c r="FF29" s="532"/>
      <c r="FG29" s="545"/>
      <c r="FH29" s="543"/>
      <c r="FI29" s="532"/>
      <c r="FJ29" s="532"/>
      <c r="FK29" s="545"/>
      <c r="FL29" s="543"/>
      <c r="FM29" s="532"/>
      <c r="FN29" s="532"/>
      <c r="FO29" s="545"/>
      <c r="FP29" s="543"/>
      <c r="FQ29" s="532"/>
      <c r="FR29" s="532"/>
      <c r="FS29" s="545"/>
      <c r="FT29" s="543"/>
      <c r="FU29" s="532"/>
      <c r="FV29" s="532"/>
      <c r="FW29" s="545"/>
      <c r="FX29" s="543"/>
      <c r="FY29" s="532"/>
      <c r="FZ29" s="532"/>
      <c r="GA29" s="545"/>
      <c r="GB29" s="543"/>
      <c r="GC29" s="532"/>
      <c r="GD29" s="532"/>
      <c r="GE29" s="545"/>
      <c r="GF29" s="543"/>
      <c r="GG29" s="532"/>
      <c r="GH29" s="532"/>
      <c r="GI29" s="545"/>
      <c r="GJ29" s="543"/>
      <c r="GK29" s="532"/>
      <c r="GL29" s="532"/>
      <c r="GM29" s="545"/>
      <c r="GN29" s="543"/>
      <c r="GO29" s="532"/>
      <c r="GP29" s="532"/>
      <c r="GQ29" s="545"/>
      <c r="GR29" s="543"/>
      <c r="GS29" s="532"/>
      <c r="GT29" s="532"/>
      <c r="GU29" s="545"/>
      <c r="GV29" s="543"/>
      <c r="GW29" s="532"/>
      <c r="GX29" s="532"/>
      <c r="GY29" s="545"/>
      <c r="GZ29" s="543"/>
      <c r="HA29" s="532"/>
      <c r="HB29" s="532"/>
      <c r="HC29" s="545"/>
      <c r="HD29" s="543"/>
      <c r="HE29" s="532"/>
      <c r="HF29" s="532"/>
      <c r="HG29" s="545"/>
      <c r="HH29" s="543"/>
      <c r="HI29" s="532"/>
      <c r="HJ29" s="532"/>
      <c r="HK29" s="545"/>
      <c r="HL29" s="543"/>
      <c r="HM29" s="532"/>
      <c r="HN29" s="532"/>
      <c r="HO29" s="545"/>
      <c r="HP29" s="543"/>
      <c r="HQ29" s="532"/>
      <c r="HR29" s="532"/>
      <c r="HS29" s="545"/>
      <c r="HT29" s="543"/>
      <c r="HU29" s="532"/>
      <c r="HV29" s="532"/>
      <c r="HW29" s="545"/>
      <c r="HX29" s="543"/>
      <c r="HY29" s="532"/>
      <c r="HZ29" s="532"/>
      <c r="IA29" s="545"/>
      <c r="IB29" s="543"/>
      <c r="IC29" s="532"/>
      <c r="ID29" s="532"/>
      <c r="IE29" s="545"/>
      <c r="IF29" s="543"/>
      <c r="IG29" s="532"/>
      <c r="IH29" s="532"/>
      <c r="II29" s="545"/>
      <c r="IJ29" s="543"/>
      <c r="IK29" s="532"/>
      <c r="IL29" s="532"/>
      <c r="IM29" s="545"/>
      <c r="IN29" s="543"/>
      <c r="IO29" s="532"/>
      <c r="IP29" s="532"/>
      <c r="IQ29" s="545"/>
      <c r="IR29" s="543"/>
      <c r="IS29" s="532"/>
      <c r="IT29" s="532"/>
      <c r="IU29" s="545"/>
      <c r="IV29" s="543"/>
    </row>
    <row r="30" spans="1:256" ht="18.75" outlineLevel="1" x14ac:dyDescent="0.3">
      <c r="A30" s="539" t="s">
        <v>479</v>
      </c>
      <c r="B30" s="535"/>
      <c r="C30" s="558">
        <f>Bilan!E39</f>
        <v>13639242.009134063</v>
      </c>
      <c r="D30" s="558">
        <f>Bilan!F39-C30</f>
        <v>9360757.9908659365</v>
      </c>
      <c r="E30" s="558">
        <f>Bilan!G39-D30-C30</f>
        <v>0</v>
      </c>
      <c r="F30" s="558"/>
      <c r="G30" s="558"/>
      <c r="H30" s="558"/>
      <c r="I30" s="558"/>
      <c r="J30" s="558"/>
      <c r="K30" s="558"/>
      <c r="L30" s="558"/>
      <c r="M30" s="558"/>
      <c r="N30" s="546"/>
      <c r="O30" s="546"/>
      <c r="P30" s="546"/>
      <c r="Q30" s="546"/>
      <c r="R30" s="546"/>
      <c r="S30" s="546"/>
      <c r="T30" s="546"/>
      <c r="U30" s="546"/>
      <c r="V30" s="546"/>
      <c r="W30" s="546"/>
      <c r="X30" s="546"/>
      <c r="Y30" s="546"/>
      <c r="Z30" s="532"/>
      <c r="AA30" s="545"/>
      <c r="AB30" s="543"/>
      <c r="AC30" s="532"/>
      <c r="AD30" s="532"/>
      <c r="AE30" s="545"/>
      <c r="AF30" s="543"/>
      <c r="AG30" s="532"/>
      <c r="AH30" s="532"/>
      <c r="AI30" s="545"/>
      <c r="AJ30" s="543"/>
      <c r="AK30" s="532"/>
      <c r="AL30" s="532"/>
      <c r="AM30" s="545"/>
      <c r="AN30" s="543"/>
      <c r="AO30" s="532"/>
      <c r="AP30" s="532"/>
      <c r="AQ30" s="545"/>
      <c r="AR30" s="543"/>
      <c r="AS30" s="532"/>
      <c r="AT30" s="532"/>
      <c r="AU30" s="545"/>
      <c r="AV30" s="543"/>
      <c r="AW30" s="532"/>
      <c r="AX30" s="532"/>
      <c r="AY30" s="545"/>
      <c r="AZ30" s="543"/>
      <c r="BA30" s="532"/>
      <c r="BB30" s="532"/>
      <c r="BC30" s="545"/>
      <c r="BD30" s="543"/>
      <c r="BE30" s="532"/>
      <c r="BF30" s="532"/>
      <c r="BG30" s="545"/>
      <c r="BH30" s="543"/>
      <c r="BI30" s="532"/>
      <c r="BJ30" s="532"/>
      <c r="BK30" s="545"/>
      <c r="BL30" s="543"/>
      <c r="BM30" s="532"/>
      <c r="BN30" s="532"/>
      <c r="BO30" s="545"/>
      <c r="BP30" s="543"/>
      <c r="BQ30" s="532"/>
      <c r="BR30" s="532"/>
      <c r="BS30" s="545"/>
      <c r="BT30" s="543"/>
      <c r="BU30" s="532"/>
      <c r="BV30" s="532"/>
      <c r="BW30" s="545"/>
      <c r="BX30" s="543"/>
      <c r="BY30" s="532"/>
      <c r="BZ30" s="532"/>
      <c r="CA30" s="545"/>
      <c r="CB30" s="543"/>
      <c r="CC30" s="532"/>
      <c r="CD30" s="532"/>
      <c r="CE30" s="545"/>
      <c r="CF30" s="543"/>
      <c r="CG30" s="532"/>
      <c r="CH30" s="532"/>
      <c r="CI30" s="545"/>
      <c r="CJ30" s="543"/>
      <c r="CK30" s="532"/>
      <c r="CL30" s="532"/>
      <c r="CM30" s="545"/>
      <c r="CN30" s="543"/>
      <c r="CO30" s="532"/>
      <c r="CP30" s="532"/>
      <c r="CQ30" s="545"/>
      <c r="CR30" s="543"/>
      <c r="CS30" s="532"/>
      <c r="CT30" s="532"/>
      <c r="CU30" s="545"/>
      <c r="CV30" s="543"/>
      <c r="CW30" s="532"/>
      <c r="CX30" s="532"/>
      <c r="CY30" s="545"/>
      <c r="CZ30" s="543"/>
      <c r="DA30" s="532"/>
      <c r="DB30" s="532"/>
      <c r="DC30" s="545"/>
      <c r="DD30" s="543"/>
      <c r="DE30" s="532"/>
      <c r="DF30" s="532"/>
      <c r="DG30" s="545"/>
      <c r="DH30" s="543"/>
      <c r="DI30" s="532"/>
      <c r="DJ30" s="532"/>
      <c r="DK30" s="545"/>
      <c r="DL30" s="543"/>
      <c r="DM30" s="532"/>
      <c r="DN30" s="532"/>
      <c r="DO30" s="545"/>
      <c r="DP30" s="543"/>
      <c r="DQ30" s="532"/>
      <c r="DR30" s="532"/>
      <c r="DS30" s="545"/>
      <c r="DT30" s="543"/>
      <c r="DU30" s="532"/>
      <c r="DV30" s="532"/>
      <c r="DW30" s="545"/>
      <c r="DX30" s="543"/>
      <c r="DY30" s="532"/>
      <c r="DZ30" s="532"/>
      <c r="EA30" s="545"/>
      <c r="EB30" s="543"/>
      <c r="EC30" s="532"/>
      <c r="ED30" s="532"/>
      <c r="EE30" s="545"/>
      <c r="EF30" s="543"/>
      <c r="EG30" s="532"/>
      <c r="EH30" s="532"/>
      <c r="EI30" s="545"/>
      <c r="EJ30" s="543"/>
      <c r="EK30" s="532"/>
      <c r="EL30" s="532"/>
      <c r="EM30" s="545"/>
      <c r="EN30" s="543"/>
      <c r="EO30" s="532"/>
      <c r="EP30" s="532"/>
      <c r="EQ30" s="545"/>
      <c r="ER30" s="543"/>
      <c r="ES30" s="532"/>
      <c r="ET30" s="532"/>
      <c r="EU30" s="545"/>
      <c r="EV30" s="543"/>
      <c r="EW30" s="532"/>
      <c r="EX30" s="532"/>
      <c r="EY30" s="545"/>
      <c r="EZ30" s="543"/>
      <c r="FA30" s="532"/>
      <c r="FB30" s="532"/>
      <c r="FC30" s="545"/>
      <c r="FD30" s="543"/>
      <c r="FE30" s="532"/>
      <c r="FF30" s="532"/>
      <c r="FG30" s="545"/>
      <c r="FH30" s="543"/>
      <c r="FI30" s="532"/>
      <c r="FJ30" s="532"/>
      <c r="FK30" s="545"/>
      <c r="FL30" s="543"/>
      <c r="FM30" s="532"/>
      <c r="FN30" s="532"/>
      <c r="FO30" s="545"/>
      <c r="FP30" s="543"/>
      <c r="FQ30" s="532"/>
      <c r="FR30" s="532"/>
      <c r="FS30" s="545"/>
      <c r="FT30" s="543"/>
      <c r="FU30" s="532"/>
      <c r="FV30" s="532"/>
      <c r="FW30" s="545"/>
      <c r="FX30" s="543"/>
      <c r="FY30" s="532"/>
      <c r="FZ30" s="532"/>
      <c r="GA30" s="545"/>
      <c r="GB30" s="543"/>
      <c r="GC30" s="532"/>
      <c r="GD30" s="532"/>
      <c r="GE30" s="545"/>
      <c r="GF30" s="543"/>
      <c r="GG30" s="532"/>
      <c r="GH30" s="532"/>
      <c r="GI30" s="545"/>
      <c r="GJ30" s="543"/>
      <c r="GK30" s="532"/>
      <c r="GL30" s="532"/>
      <c r="GM30" s="545"/>
      <c r="GN30" s="543"/>
      <c r="GO30" s="532"/>
      <c r="GP30" s="532"/>
      <c r="GQ30" s="545"/>
      <c r="GR30" s="543"/>
      <c r="GS30" s="532"/>
      <c r="GT30" s="532"/>
      <c r="GU30" s="545"/>
      <c r="GV30" s="543"/>
      <c r="GW30" s="532"/>
      <c r="GX30" s="532"/>
      <c r="GY30" s="545"/>
      <c r="GZ30" s="543"/>
      <c r="HA30" s="532"/>
      <c r="HB30" s="532"/>
      <c r="HC30" s="545"/>
      <c r="HD30" s="543"/>
      <c r="HE30" s="532"/>
      <c r="HF30" s="532"/>
      <c r="HG30" s="545"/>
      <c r="HH30" s="543"/>
      <c r="HI30" s="532"/>
      <c r="HJ30" s="532"/>
      <c r="HK30" s="545"/>
      <c r="HL30" s="543"/>
      <c r="HM30" s="532"/>
      <c r="HN30" s="532"/>
      <c r="HO30" s="545"/>
      <c r="HP30" s="543"/>
      <c r="HQ30" s="532"/>
      <c r="HR30" s="532"/>
      <c r="HS30" s="545"/>
      <c r="HT30" s="543"/>
      <c r="HU30" s="532"/>
      <c r="HV30" s="532"/>
      <c r="HW30" s="545"/>
      <c r="HX30" s="543"/>
      <c r="HY30" s="532"/>
      <c r="HZ30" s="532"/>
      <c r="IA30" s="545"/>
      <c r="IB30" s="543"/>
      <c r="IC30" s="532"/>
      <c r="ID30" s="532"/>
      <c r="IE30" s="545"/>
      <c r="IF30" s="543"/>
      <c r="IG30" s="532"/>
      <c r="IH30" s="532"/>
      <c r="II30" s="545"/>
      <c r="IJ30" s="543"/>
      <c r="IK30" s="532"/>
      <c r="IL30" s="532"/>
      <c r="IM30" s="545"/>
      <c r="IN30" s="543"/>
      <c r="IO30" s="532"/>
      <c r="IP30" s="532"/>
      <c r="IQ30" s="545"/>
      <c r="IR30" s="543"/>
      <c r="IS30" s="532"/>
      <c r="IT30" s="532"/>
      <c r="IU30" s="545"/>
      <c r="IV30" s="543"/>
    </row>
    <row r="31" spans="1:256" ht="18.75" outlineLevel="1" x14ac:dyDescent="0.3">
      <c r="A31" s="539" t="s">
        <v>1519</v>
      </c>
      <c r="B31" s="535"/>
      <c r="C31" s="558">
        <f>Bilan!E44</f>
        <v>2001984.5299800001</v>
      </c>
      <c r="D31" s="558">
        <f>Bilan!F44-Bilan!E44</f>
        <v>1328452.2014884986</v>
      </c>
      <c r="E31" s="558">
        <f>Bilan!G44-Bilan!F44</f>
        <v>2437382.5524365827</v>
      </c>
      <c r="F31" s="558">
        <f>Bilan!H44-Bilan!G44</f>
        <v>277659.08267498016</v>
      </c>
      <c r="G31" s="558">
        <f>Bilan!I44-Bilan!H44</f>
        <v>-885861.47128762305</v>
      </c>
      <c r="H31" s="558">
        <f>Bilan!J44-Bilan!I44</f>
        <v>-5032368.02650401</v>
      </c>
      <c r="I31" s="558">
        <f>Bilan!K44-Bilan!J44</f>
        <v>-127248.8687884286</v>
      </c>
      <c r="J31" s="558">
        <f>Bilan!L44-Bilan!K44</f>
        <v>0</v>
      </c>
      <c r="K31" s="558">
        <f>Bilan!M44-Bilan!L44</f>
        <v>0</v>
      </c>
      <c r="L31" s="558">
        <f>Bilan!N44-Bilan!M44</f>
        <v>0</v>
      </c>
      <c r="M31" s="558">
        <f>Bilan!O44-Bilan!N44</f>
        <v>0</v>
      </c>
      <c r="N31" s="558">
        <f>Bilan!P44-Bilan!O44</f>
        <v>0</v>
      </c>
      <c r="O31" s="558">
        <f>Bilan!Q44-Bilan!P44</f>
        <v>0</v>
      </c>
      <c r="P31" s="558">
        <f>Bilan!R44-Bilan!Q44</f>
        <v>0</v>
      </c>
      <c r="Q31" s="558">
        <f>Bilan!S44-Bilan!R44</f>
        <v>0</v>
      </c>
      <c r="R31" s="558">
        <f>Bilan!T44-Bilan!S44</f>
        <v>0</v>
      </c>
      <c r="S31" s="558">
        <f>Bilan!U44-Bilan!T44</f>
        <v>0</v>
      </c>
      <c r="T31" s="558">
        <f>Bilan!V44-Bilan!U44</f>
        <v>0</v>
      </c>
      <c r="U31" s="558">
        <f>Bilan!W44-Bilan!V44</f>
        <v>0</v>
      </c>
      <c r="V31" s="558">
        <f>Bilan!X44-Bilan!W44</f>
        <v>0</v>
      </c>
      <c r="W31" s="558">
        <f>Bilan!Y44-Bilan!X44</f>
        <v>0</v>
      </c>
      <c r="X31" s="558">
        <f>Bilan!Z44-Bilan!Y44</f>
        <v>0</v>
      </c>
      <c r="Y31" s="558">
        <f>Bilan!AA44-Bilan!Z44</f>
        <v>0</v>
      </c>
      <c r="Z31" s="532"/>
      <c r="AA31" s="545"/>
      <c r="AB31" s="543"/>
      <c r="AC31" s="532"/>
      <c r="AD31" s="532"/>
      <c r="AE31" s="545"/>
      <c r="AF31" s="543"/>
      <c r="AG31" s="532"/>
      <c r="AH31" s="532"/>
      <c r="AI31" s="545"/>
      <c r="AJ31" s="543"/>
      <c r="AK31" s="532"/>
      <c r="AL31" s="532"/>
      <c r="AM31" s="545"/>
      <c r="AN31" s="543"/>
      <c r="AO31" s="532"/>
      <c r="AP31" s="532"/>
      <c r="AQ31" s="545"/>
      <c r="AR31" s="543"/>
      <c r="AS31" s="532"/>
      <c r="AT31" s="532"/>
      <c r="AU31" s="545"/>
      <c r="AV31" s="543"/>
      <c r="AW31" s="532"/>
      <c r="AX31" s="532"/>
      <c r="AY31" s="545"/>
      <c r="AZ31" s="543"/>
      <c r="BA31" s="532"/>
      <c r="BB31" s="532"/>
      <c r="BC31" s="545"/>
      <c r="BD31" s="543"/>
      <c r="BE31" s="532"/>
      <c r="BF31" s="532"/>
      <c r="BG31" s="545"/>
      <c r="BH31" s="543"/>
      <c r="BI31" s="532"/>
      <c r="BJ31" s="532"/>
      <c r="BK31" s="545"/>
      <c r="BL31" s="543"/>
      <c r="BM31" s="532"/>
      <c r="BN31" s="532"/>
      <c r="BO31" s="545"/>
      <c r="BP31" s="543"/>
      <c r="BQ31" s="532"/>
      <c r="BR31" s="532"/>
      <c r="BS31" s="545"/>
      <c r="BT31" s="543"/>
      <c r="BU31" s="532"/>
      <c r="BV31" s="532"/>
      <c r="BW31" s="545"/>
      <c r="BX31" s="543"/>
      <c r="BY31" s="532"/>
      <c r="BZ31" s="532"/>
      <c r="CA31" s="545"/>
      <c r="CB31" s="543"/>
      <c r="CC31" s="532"/>
      <c r="CD31" s="532"/>
      <c r="CE31" s="545"/>
      <c r="CF31" s="543"/>
      <c r="CG31" s="532"/>
      <c r="CH31" s="532"/>
      <c r="CI31" s="545"/>
      <c r="CJ31" s="543"/>
      <c r="CK31" s="532"/>
      <c r="CL31" s="532"/>
      <c r="CM31" s="545"/>
      <c r="CN31" s="543"/>
      <c r="CO31" s="532"/>
      <c r="CP31" s="532"/>
      <c r="CQ31" s="545"/>
      <c r="CR31" s="543"/>
      <c r="CS31" s="532"/>
      <c r="CT31" s="532"/>
      <c r="CU31" s="545"/>
      <c r="CV31" s="543"/>
      <c r="CW31" s="532"/>
      <c r="CX31" s="532"/>
      <c r="CY31" s="545"/>
      <c r="CZ31" s="543"/>
      <c r="DA31" s="532"/>
      <c r="DB31" s="532"/>
      <c r="DC31" s="545"/>
      <c r="DD31" s="543"/>
      <c r="DE31" s="532"/>
      <c r="DF31" s="532"/>
      <c r="DG31" s="545"/>
      <c r="DH31" s="543"/>
      <c r="DI31" s="532"/>
      <c r="DJ31" s="532"/>
      <c r="DK31" s="545"/>
      <c r="DL31" s="543"/>
      <c r="DM31" s="532"/>
      <c r="DN31" s="532"/>
      <c r="DO31" s="545"/>
      <c r="DP31" s="543"/>
      <c r="DQ31" s="532"/>
      <c r="DR31" s="532"/>
      <c r="DS31" s="545"/>
      <c r="DT31" s="543"/>
      <c r="DU31" s="532"/>
      <c r="DV31" s="532"/>
      <c r="DW31" s="545"/>
      <c r="DX31" s="543"/>
      <c r="DY31" s="532"/>
      <c r="DZ31" s="532"/>
      <c r="EA31" s="545"/>
      <c r="EB31" s="543"/>
      <c r="EC31" s="532"/>
      <c r="ED31" s="532"/>
      <c r="EE31" s="545"/>
      <c r="EF31" s="543"/>
      <c r="EG31" s="532"/>
      <c r="EH31" s="532"/>
      <c r="EI31" s="545"/>
      <c r="EJ31" s="543"/>
      <c r="EK31" s="532"/>
      <c r="EL31" s="532"/>
      <c r="EM31" s="545"/>
      <c r="EN31" s="543"/>
      <c r="EO31" s="532"/>
      <c r="EP31" s="532"/>
      <c r="EQ31" s="545"/>
      <c r="ER31" s="543"/>
      <c r="ES31" s="532"/>
      <c r="ET31" s="532"/>
      <c r="EU31" s="545"/>
      <c r="EV31" s="543"/>
      <c r="EW31" s="532"/>
      <c r="EX31" s="532"/>
      <c r="EY31" s="545"/>
      <c r="EZ31" s="543"/>
      <c r="FA31" s="532"/>
      <c r="FB31" s="532"/>
      <c r="FC31" s="545"/>
      <c r="FD31" s="543"/>
      <c r="FE31" s="532"/>
      <c r="FF31" s="532"/>
      <c r="FG31" s="545"/>
      <c r="FH31" s="543"/>
      <c r="FI31" s="532"/>
      <c r="FJ31" s="532"/>
      <c r="FK31" s="545"/>
      <c r="FL31" s="543"/>
      <c r="FM31" s="532"/>
      <c r="FN31" s="532"/>
      <c r="FO31" s="545"/>
      <c r="FP31" s="543"/>
      <c r="FQ31" s="532"/>
      <c r="FR31" s="532"/>
      <c r="FS31" s="545"/>
      <c r="FT31" s="543"/>
      <c r="FU31" s="532"/>
      <c r="FV31" s="532"/>
      <c r="FW31" s="545"/>
      <c r="FX31" s="543"/>
      <c r="FY31" s="532"/>
      <c r="FZ31" s="532"/>
      <c r="GA31" s="545"/>
      <c r="GB31" s="543"/>
      <c r="GC31" s="532"/>
      <c r="GD31" s="532"/>
      <c r="GE31" s="545"/>
      <c r="GF31" s="543"/>
      <c r="GG31" s="532"/>
      <c r="GH31" s="532"/>
      <c r="GI31" s="545"/>
      <c r="GJ31" s="543"/>
      <c r="GK31" s="532"/>
      <c r="GL31" s="532"/>
      <c r="GM31" s="545"/>
      <c r="GN31" s="543"/>
      <c r="GO31" s="532"/>
      <c r="GP31" s="532"/>
      <c r="GQ31" s="545"/>
      <c r="GR31" s="543"/>
      <c r="GS31" s="532"/>
      <c r="GT31" s="532"/>
      <c r="GU31" s="545"/>
      <c r="GV31" s="543"/>
      <c r="GW31" s="532"/>
      <c r="GX31" s="532"/>
      <c r="GY31" s="545"/>
      <c r="GZ31" s="543"/>
      <c r="HA31" s="532"/>
      <c r="HB31" s="532"/>
      <c r="HC31" s="545"/>
      <c r="HD31" s="543"/>
      <c r="HE31" s="532"/>
      <c r="HF31" s="532"/>
      <c r="HG31" s="545"/>
      <c r="HH31" s="543"/>
      <c r="HI31" s="532"/>
      <c r="HJ31" s="532"/>
      <c r="HK31" s="545"/>
      <c r="HL31" s="543"/>
      <c r="HM31" s="532"/>
      <c r="HN31" s="532"/>
      <c r="HO31" s="545"/>
      <c r="HP31" s="543"/>
      <c r="HQ31" s="532"/>
      <c r="HR31" s="532"/>
      <c r="HS31" s="545"/>
      <c r="HT31" s="543"/>
      <c r="HU31" s="532"/>
      <c r="HV31" s="532"/>
      <c r="HW31" s="545"/>
      <c r="HX31" s="543"/>
      <c r="HY31" s="532"/>
      <c r="HZ31" s="532"/>
      <c r="IA31" s="545"/>
      <c r="IB31" s="543"/>
      <c r="IC31" s="532"/>
      <c r="ID31" s="532"/>
      <c r="IE31" s="545"/>
      <c r="IF31" s="543"/>
      <c r="IG31" s="532"/>
      <c r="IH31" s="532"/>
      <c r="II31" s="545"/>
      <c r="IJ31" s="543"/>
      <c r="IK31" s="532"/>
      <c r="IL31" s="532"/>
      <c r="IM31" s="545"/>
      <c r="IN31" s="543"/>
      <c r="IO31" s="532"/>
      <c r="IP31" s="532"/>
      <c r="IQ31" s="545"/>
      <c r="IR31" s="543"/>
      <c r="IS31" s="532"/>
      <c r="IT31" s="532"/>
      <c r="IU31" s="545"/>
      <c r="IV31" s="543"/>
    </row>
    <row r="32" spans="1:256" ht="18.75" outlineLevel="1" x14ac:dyDescent="0.3">
      <c r="A32" s="539" t="s">
        <v>480</v>
      </c>
      <c r="B32" s="535"/>
      <c r="C32" s="558">
        <f>'Emprunt 2015'!D3</f>
        <v>0</v>
      </c>
      <c r="D32" s="558">
        <f>'Emprunt 2016'!D3</f>
        <v>16973804.931508496</v>
      </c>
      <c r="E32" s="558">
        <f>'Emprunt 2017'!D3</f>
        <v>13392346.941649646</v>
      </c>
      <c r="F32" s="558">
        <f>'Emprunt 2018'!D3</f>
        <v>3296712.4745155601</v>
      </c>
      <c r="G32" s="558">
        <f>'Emprunt 2019'!D3</f>
        <v>2145203.1031069644</v>
      </c>
      <c r="H32" s="558">
        <f>'Emprunt 2020'!D3</f>
        <v>2269192.7927520806</v>
      </c>
      <c r="I32" s="558"/>
      <c r="J32" s="558"/>
      <c r="K32" s="558"/>
      <c r="L32" s="558"/>
      <c r="M32" s="558"/>
      <c r="N32" s="546"/>
      <c r="O32" s="546"/>
      <c r="P32" s="546"/>
      <c r="Q32" s="546"/>
      <c r="R32" s="546"/>
      <c r="S32" s="546"/>
      <c r="T32" s="546"/>
      <c r="U32" s="546"/>
      <c r="V32" s="546"/>
      <c r="W32" s="546"/>
      <c r="X32" s="546"/>
      <c r="Y32" s="546"/>
      <c r="Z32" s="532"/>
      <c r="AA32" s="545"/>
      <c r="AB32" s="543"/>
      <c r="AC32" s="532"/>
      <c r="AD32" s="532"/>
      <c r="AE32" s="545"/>
      <c r="AF32" s="543"/>
      <c r="AG32" s="532"/>
      <c r="AH32" s="532"/>
      <c r="AI32" s="545"/>
      <c r="AJ32" s="543"/>
      <c r="AK32" s="532"/>
      <c r="AL32" s="532"/>
      <c r="AM32" s="545"/>
      <c r="AN32" s="543"/>
      <c r="AO32" s="532"/>
      <c r="AP32" s="532"/>
      <c r="AQ32" s="545"/>
      <c r="AR32" s="543"/>
      <c r="AS32" s="532"/>
      <c r="AT32" s="532"/>
      <c r="AU32" s="545"/>
      <c r="AV32" s="543"/>
      <c r="AW32" s="532"/>
      <c r="AX32" s="532"/>
      <c r="AY32" s="545"/>
      <c r="AZ32" s="543"/>
      <c r="BA32" s="532"/>
      <c r="BB32" s="532"/>
      <c r="BC32" s="545"/>
      <c r="BD32" s="543"/>
      <c r="BE32" s="532"/>
      <c r="BF32" s="532"/>
      <c r="BG32" s="545"/>
      <c r="BH32" s="543"/>
      <c r="BI32" s="532"/>
      <c r="BJ32" s="532"/>
      <c r="BK32" s="545"/>
      <c r="BL32" s="543"/>
      <c r="BM32" s="532"/>
      <c r="BN32" s="532"/>
      <c r="BO32" s="545"/>
      <c r="BP32" s="543"/>
      <c r="BQ32" s="532"/>
      <c r="BR32" s="532"/>
      <c r="BS32" s="545"/>
      <c r="BT32" s="543"/>
      <c r="BU32" s="532"/>
      <c r="BV32" s="532"/>
      <c r="BW32" s="545"/>
      <c r="BX32" s="543"/>
      <c r="BY32" s="532"/>
      <c r="BZ32" s="532"/>
      <c r="CA32" s="545"/>
      <c r="CB32" s="543"/>
      <c r="CC32" s="532"/>
      <c r="CD32" s="532"/>
      <c r="CE32" s="545"/>
      <c r="CF32" s="543"/>
      <c r="CG32" s="532"/>
      <c r="CH32" s="532"/>
      <c r="CI32" s="545"/>
      <c r="CJ32" s="543"/>
      <c r="CK32" s="532"/>
      <c r="CL32" s="532"/>
      <c r="CM32" s="545"/>
      <c r="CN32" s="543"/>
      <c r="CO32" s="532"/>
      <c r="CP32" s="532"/>
      <c r="CQ32" s="545"/>
      <c r="CR32" s="543"/>
      <c r="CS32" s="532"/>
      <c r="CT32" s="532"/>
      <c r="CU32" s="545"/>
      <c r="CV32" s="543"/>
      <c r="CW32" s="532"/>
      <c r="CX32" s="532"/>
      <c r="CY32" s="545"/>
      <c r="CZ32" s="543"/>
      <c r="DA32" s="532"/>
      <c r="DB32" s="532"/>
      <c r="DC32" s="545"/>
      <c r="DD32" s="543"/>
      <c r="DE32" s="532"/>
      <c r="DF32" s="532"/>
      <c r="DG32" s="545"/>
      <c r="DH32" s="543"/>
      <c r="DI32" s="532"/>
      <c r="DJ32" s="532"/>
      <c r="DK32" s="545"/>
      <c r="DL32" s="543"/>
      <c r="DM32" s="532"/>
      <c r="DN32" s="532"/>
      <c r="DO32" s="545"/>
      <c r="DP32" s="543"/>
      <c r="DQ32" s="532"/>
      <c r="DR32" s="532"/>
      <c r="DS32" s="545"/>
      <c r="DT32" s="543"/>
      <c r="DU32" s="532"/>
      <c r="DV32" s="532"/>
      <c r="DW32" s="545"/>
      <c r="DX32" s="543"/>
      <c r="DY32" s="532"/>
      <c r="DZ32" s="532"/>
      <c r="EA32" s="545"/>
      <c r="EB32" s="543"/>
      <c r="EC32" s="532"/>
      <c r="ED32" s="532"/>
      <c r="EE32" s="545"/>
      <c r="EF32" s="543"/>
      <c r="EG32" s="532"/>
      <c r="EH32" s="532"/>
      <c r="EI32" s="545"/>
      <c r="EJ32" s="543"/>
      <c r="EK32" s="532"/>
      <c r="EL32" s="532"/>
      <c r="EM32" s="545"/>
      <c r="EN32" s="543"/>
      <c r="EO32" s="532"/>
      <c r="EP32" s="532"/>
      <c r="EQ32" s="545"/>
      <c r="ER32" s="543"/>
      <c r="ES32" s="532"/>
      <c r="ET32" s="532"/>
      <c r="EU32" s="545"/>
      <c r="EV32" s="543"/>
      <c r="EW32" s="532"/>
      <c r="EX32" s="532"/>
      <c r="EY32" s="545"/>
      <c r="EZ32" s="543"/>
      <c r="FA32" s="532"/>
      <c r="FB32" s="532"/>
      <c r="FC32" s="545"/>
      <c r="FD32" s="543"/>
      <c r="FE32" s="532"/>
      <c r="FF32" s="532"/>
      <c r="FG32" s="545"/>
      <c r="FH32" s="543"/>
      <c r="FI32" s="532"/>
      <c r="FJ32" s="532"/>
      <c r="FK32" s="545"/>
      <c r="FL32" s="543"/>
      <c r="FM32" s="532"/>
      <c r="FN32" s="532"/>
      <c r="FO32" s="545"/>
      <c r="FP32" s="543"/>
      <c r="FQ32" s="532"/>
      <c r="FR32" s="532"/>
      <c r="FS32" s="545"/>
      <c r="FT32" s="543"/>
      <c r="FU32" s="532"/>
      <c r="FV32" s="532"/>
      <c r="FW32" s="545"/>
      <c r="FX32" s="543"/>
      <c r="FY32" s="532"/>
      <c r="FZ32" s="532"/>
      <c r="GA32" s="545"/>
      <c r="GB32" s="543"/>
      <c r="GC32" s="532"/>
      <c r="GD32" s="532"/>
      <c r="GE32" s="545"/>
      <c r="GF32" s="543"/>
      <c r="GG32" s="532"/>
      <c r="GH32" s="532"/>
      <c r="GI32" s="545"/>
      <c r="GJ32" s="543"/>
      <c r="GK32" s="532"/>
      <c r="GL32" s="532"/>
      <c r="GM32" s="545"/>
      <c r="GN32" s="543"/>
      <c r="GO32" s="532"/>
      <c r="GP32" s="532"/>
      <c r="GQ32" s="545"/>
      <c r="GR32" s="543"/>
      <c r="GS32" s="532"/>
      <c r="GT32" s="532"/>
      <c r="GU32" s="545"/>
      <c r="GV32" s="543"/>
      <c r="GW32" s="532"/>
      <c r="GX32" s="532"/>
      <c r="GY32" s="545"/>
      <c r="GZ32" s="543"/>
      <c r="HA32" s="532"/>
      <c r="HB32" s="532"/>
      <c r="HC32" s="545"/>
      <c r="HD32" s="543"/>
      <c r="HE32" s="532"/>
      <c r="HF32" s="532"/>
      <c r="HG32" s="545"/>
      <c r="HH32" s="543"/>
      <c r="HI32" s="532"/>
      <c r="HJ32" s="532"/>
      <c r="HK32" s="545"/>
      <c r="HL32" s="543"/>
      <c r="HM32" s="532"/>
      <c r="HN32" s="532"/>
      <c r="HO32" s="545"/>
      <c r="HP32" s="543"/>
      <c r="HQ32" s="532"/>
      <c r="HR32" s="532"/>
      <c r="HS32" s="545"/>
      <c r="HT32" s="543"/>
      <c r="HU32" s="532"/>
      <c r="HV32" s="532"/>
      <c r="HW32" s="545"/>
      <c r="HX32" s="543"/>
      <c r="HY32" s="532"/>
      <c r="HZ32" s="532"/>
      <c r="IA32" s="545"/>
      <c r="IB32" s="543"/>
      <c r="IC32" s="532"/>
      <c r="ID32" s="532"/>
      <c r="IE32" s="545"/>
      <c r="IF32" s="543"/>
      <c r="IG32" s="532"/>
      <c r="IH32" s="532"/>
      <c r="II32" s="545"/>
      <c r="IJ32" s="543"/>
      <c r="IK32" s="532"/>
      <c r="IL32" s="532"/>
      <c r="IM32" s="545"/>
      <c r="IN32" s="543"/>
      <c r="IO32" s="532"/>
      <c r="IP32" s="532"/>
      <c r="IQ32" s="545"/>
      <c r="IR32" s="543"/>
      <c r="IS32" s="532"/>
      <c r="IT32" s="532"/>
      <c r="IU32" s="545"/>
      <c r="IV32" s="543"/>
    </row>
    <row r="33" spans="1:256" ht="18.75" outlineLevel="1" x14ac:dyDescent="0.3">
      <c r="A33" s="539" t="s">
        <v>481</v>
      </c>
      <c r="B33" s="535"/>
      <c r="C33" s="558">
        <f>-'Emprunt 2015'!J23</f>
        <v>0</v>
      </c>
      <c r="D33" s="558">
        <f>-'Emprunt 2015'!J35-'Emprunt 2016'!J23</f>
        <v>0</v>
      </c>
      <c r="E33" s="558">
        <f>-'Emprunt 2015'!J47-'Emprunt 2016'!J35-'Emprunt 2017'!J23</f>
        <v>0</v>
      </c>
      <c r="F33" s="558">
        <f>-'Emprunt 2015'!J59-'Emprunt 2016'!J47-'Emprunt 2017'!J35-'Emprunt 2018'!J23</f>
        <v>-1681345.2699999996</v>
      </c>
      <c r="G33" s="558">
        <f>-'Emprunt 2015'!J71-'Emprunt 2016'!J59-'Emprunt 2017'!J47-'Emprunt 2018'!J35-'Emprunt 2019'!J23</f>
        <v>-3232352.2000000011</v>
      </c>
      <c r="H33" s="558">
        <f>-'Emprunt 2015'!J83-'Emprunt 2016'!J71-'Emprunt 2017'!J59-'Emprunt 2018'!J47-'Emprunt 2019'!J35-'Emprunt 2020'!J23</f>
        <v>-3813623.8999999976</v>
      </c>
      <c r="I33" s="558">
        <f>-'Emprunt 2015'!J95-'Emprunt 2016'!J83-'Emprunt 2017'!J71-'Emprunt 2018'!J59-'Emprunt 2019'!J47-'Emprunt 2020'!J35</f>
        <v>-4211774.5600000015</v>
      </c>
      <c r="J33" s="558">
        <f>-'Emprunt 2015'!J107-'Emprunt 2016'!J95-'Emprunt 2017'!J83-'Emprunt 2018'!J71-'Emprunt 2019'!J59-'Emprunt 2020'!J47</f>
        <v>-4627850.4699999988</v>
      </c>
      <c r="K33" s="558">
        <f>-'Emprunt 2015'!J119-'Emprunt 2016'!J107-'Emprunt 2017'!J95-'Emprunt 2018'!J83-'Emprunt 2019'!J71-'Emprunt 2020'!J59</f>
        <v>-4837241.34</v>
      </c>
      <c r="L33" s="558">
        <f>-'Emprunt 2015'!J131-'Emprunt 2016'!J119-'Emprunt 2017'!J107-'Emprunt 2018'!J95-'Emprunt 2019'!J83-'Emprunt 2020'!J71</f>
        <v>-5034318</v>
      </c>
      <c r="M33" s="558">
        <f>-'Emprunt 2016'!J131-'Emprunt 2017'!J119-'Emprunt 2018'!J107-'Emprunt 2019'!J95-'Emprunt 2020'!J83</f>
        <v>-5445635.0000000037</v>
      </c>
      <c r="N33" s="558">
        <f>-'Emprunt 2017'!J131-'Emprunt 2018'!J119-'Emprunt 2019'!J107-'Emprunt 2020'!J95</f>
        <v>-3095180.7499999986</v>
      </c>
      <c r="O33" s="558">
        <f>-'Emprunt 2018'!J131-'Emprunt 2019'!J119-'Emprunt 2020'!J107</f>
        <v>-1103401.1999999993</v>
      </c>
      <c r="P33" s="558">
        <f>-'Emprunt 2019'!J131-'Emprunt 2020'!J119</f>
        <v>-643212.50999999978</v>
      </c>
      <c r="Q33" s="558">
        <f>-'Emprunt 2020'!J131</f>
        <v>-351325.03</v>
      </c>
      <c r="R33" s="558"/>
      <c r="S33" s="558"/>
      <c r="T33" s="558"/>
      <c r="U33" s="558"/>
      <c r="V33" s="558"/>
      <c r="W33" s="558"/>
      <c r="X33" s="558"/>
      <c r="Y33" s="558"/>
      <c r="Z33" s="532"/>
      <c r="AA33" s="545"/>
      <c r="AB33" s="543"/>
      <c r="AC33" s="532"/>
      <c r="AD33" s="532"/>
      <c r="AE33" s="545"/>
      <c r="AF33" s="543"/>
      <c r="AG33" s="532"/>
      <c r="AH33" s="532"/>
      <c r="AI33" s="545"/>
      <c r="AJ33" s="543"/>
      <c r="AK33" s="532"/>
      <c r="AL33" s="532"/>
      <c r="AM33" s="545"/>
      <c r="AN33" s="543"/>
      <c r="AO33" s="532"/>
      <c r="AP33" s="532"/>
      <c r="AQ33" s="545"/>
      <c r="AR33" s="543"/>
      <c r="AS33" s="532"/>
      <c r="AT33" s="532"/>
      <c r="AU33" s="545"/>
      <c r="AV33" s="543"/>
      <c r="AW33" s="532"/>
      <c r="AX33" s="532"/>
      <c r="AY33" s="545"/>
      <c r="AZ33" s="543"/>
      <c r="BA33" s="532"/>
      <c r="BB33" s="532"/>
      <c r="BC33" s="545"/>
      <c r="BD33" s="543"/>
      <c r="BE33" s="532"/>
      <c r="BF33" s="532"/>
      <c r="BG33" s="545"/>
      <c r="BH33" s="543"/>
      <c r="BI33" s="532"/>
      <c r="BJ33" s="532"/>
      <c r="BK33" s="545"/>
      <c r="BL33" s="543"/>
      <c r="BM33" s="532"/>
      <c r="BN33" s="532"/>
      <c r="BO33" s="545"/>
      <c r="BP33" s="543"/>
      <c r="BQ33" s="532"/>
      <c r="BR33" s="532"/>
      <c r="BS33" s="545"/>
      <c r="BT33" s="543"/>
      <c r="BU33" s="532"/>
      <c r="BV33" s="532"/>
      <c r="BW33" s="545"/>
      <c r="BX33" s="543"/>
      <c r="BY33" s="532"/>
      <c r="BZ33" s="532"/>
      <c r="CA33" s="545"/>
      <c r="CB33" s="543"/>
      <c r="CC33" s="532"/>
      <c r="CD33" s="532"/>
      <c r="CE33" s="545"/>
      <c r="CF33" s="543"/>
      <c r="CG33" s="532"/>
      <c r="CH33" s="532"/>
      <c r="CI33" s="545"/>
      <c r="CJ33" s="543"/>
      <c r="CK33" s="532"/>
      <c r="CL33" s="532"/>
      <c r="CM33" s="545"/>
      <c r="CN33" s="543"/>
      <c r="CO33" s="532"/>
      <c r="CP33" s="532"/>
      <c r="CQ33" s="545"/>
      <c r="CR33" s="543"/>
      <c r="CS33" s="532"/>
      <c r="CT33" s="532"/>
      <c r="CU33" s="545"/>
      <c r="CV33" s="543"/>
      <c r="CW33" s="532"/>
      <c r="CX33" s="532"/>
      <c r="CY33" s="545"/>
      <c r="CZ33" s="543"/>
      <c r="DA33" s="532"/>
      <c r="DB33" s="532"/>
      <c r="DC33" s="545"/>
      <c r="DD33" s="543"/>
      <c r="DE33" s="532"/>
      <c r="DF33" s="532"/>
      <c r="DG33" s="545"/>
      <c r="DH33" s="543"/>
      <c r="DI33" s="532"/>
      <c r="DJ33" s="532"/>
      <c r="DK33" s="545"/>
      <c r="DL33" s="543"/>
      <c r="DM33" s="532"/>
      <c r="DN33" s="532"/>
      <c r="DO33" s="545"/>
      <c r="DP33" s="543"/>
      <c r="DQ33" s="532"/>
      <c r="DR33" s="532"/>
      <c r="DS33" s="545"/>
      <c r="DT33" s="543"/>
      <c r="DU33" s="532"/>
      <c r="DV33" s="532"/>
      <c r="DW33" s="545"/>
      <c r="DX33" s="543"/>
      <c r="DY33" s="532"/>
      <c r="DZ33" s="532"/>
      <c r="EA33" s="545"/>
      <c r="EB33" s="543"/>
      <c r="EC33" s="532"/>
      <c r="ED33" s="532"/>
      <c r="EE33" s="545"/>
      <c r="EF33" s="543"/>
      <c r="EG33" s="532"/>
      <c r="EH33" s="532"/>
      <c r="EI33" s="545"/>
      <c r="EJ33" s="543"/>
      <c r="EK33" s="532"/>
      <c r="EL33" s="532"/>
      <c r="EM33" s="545"/>
      <c r="EN33" s="543"/>
      <c r="EO33" s="532"/>
      <c r="EP33" s="532"/>
      <c r="EQ33" s="545"/>
      <c r="ER33" s="543"/>
      <c r="ES33" s="532"/>
      <c r="ET33" s="532"/>
      <c r="EU33" s="545"/>
      <c r="EV33" s="543"/>
      <c r="EW33" s="532"/>
      <c r="EX33" s="532"/>
      <c r="EY33" s="545"/>
      <c r="EZ33" s="543"/>
      <c r="FA33" s="532"/>
      <c r="FB33" s="532"/>
      <c r="FC33" s="545"/>
      <c r="FD33" s="543"/>
      <c r="FE33" s="532"/>
      <c r="FF33" s="532"/>
      <c r="FG33" s="545"/>
      <c r="FH33" s="543"/>
      <c r="FI33" s="532"/>
      <c r="FJ33" s="532"/>
      <c r="FK33" s="545"/>
      <c r="FL33" s="543"/>
      <c r="FM33" s="532"/>
      <c r="FN33" s="532"/>
      <c r="FO33" s="545"/>
      <c r="FP33" s="543"/>
      <c r="FQ33" s="532"/>
      <c r="FR33" s="532"/>
      <c r="FS33" s="545"/>
      <c r="FT33" s="543"/>
      <c r="FU33" s="532"/>
      <c r="FV33" s="532"/>
      <c r="FW33" s="545"/>
      <c r="FX33" s="543"/>
      <c r="FY33" s="532"/>
      <c r="FZ33" s="532"/>
      <c r="GA33" s="545"/>
      <c r="GB33" s="543"/>
      <c r="GC33" s="532"/>
      <c r="GD33" s="532"/>
      <c r="GE33" s="545"/>
      <c r="GF33" s="543"/>
      <c r="GG33" s="532"/>
      <c r="GH33" s="532"/>
      <c r="GI33" s="545"/>
      <c r="GJ33" s="543"/>
      <c r="GK33" s="532"/>
      <c r="GL33" s="532"/>
      <c r="GM33" s="545"/>
      <c r="GN33" s="543"/>
      <c r="GO33" s="532"/>
      <c r="GP33" s="532"/>
      <c r="GQ33" s="545"/>
      <c r="GR33" s="543"/>
      <c r="GS33" s="532"/>
      <c r="GT33" s="532"/>
      <c r="GU33" s="545"/>
      <c r="GV33" s="543"/>
      <c r="GW33" s="532"/>
      <c r="GX33" s="532"/>
      <c r="GY33" s="545"/>
      <c r="GZ33" s="543"/>
      <c r="HA33" s="532"/>
      <c r="HB33" s="532"/>
      <c r="HC33" s="545"/>
      <c r="HD33" s="543"/>
      <c r="HE33" s="532"/>
      <c r="HF33" s="532"/>
      <c r="HG33" s="545"/>
      <c r="HH33" s="543"/>
      <c r="HI33" s="532"/>
      <c r="HJ33" s="532"/>
      <c r="HK33" s="545"/>
      <c r="HL33" s="543"/>
      <c r="HM33" s="532"/>
      <c r="HN33" s="532"/>
      <c r="HO33" s="545"/>
      <c r="HP33" s="543"/>
      <c r="HQ33" s="532"/>
      <c r="HR33" s="532"/>
      <c r="HS33" s="545"/>
      <c r="HT33" s="543"/>
      <c r="HU33" s="532"/>
      <c r="HV33" s="532"/>
      <c r="HW33" s="545"/>
      <c r="HX33" s="543"/>
      <c r="HY33" s="532"/>
      <c r="HZ33" s="532"/>
      <c r="IA33" s="545"/>
      <c r="IB33" s="543"/>
      <c r="IC33" s="532"/>
      <c r="ID33" s="532"/>
      <c r="IE33" s="545"/>
      <c r="IF33" s="543"/>
      <c r="IG33" s="532"/>
      <c r="IH33" s="532"/>
      <c r="II33" s="545"/>
      <c r="IJ33" s="543"/>
      <c r="IK33" s="532"/>
      <c r="IL33" s="532"/>
      <c r="IM33" s="545"/>
      <c r="IN33" s="543"/>
      <c r="IO33" s="532"/>
      <c r="IP33" s="532"/>
      <c r="IQ33" s="545"/>
      <c r="IR33" s="543"/>
      <c r="IS33" s="532"/>
      <c r="IT33" s="532"/>
      <c r="IU33" s="545"/>
      <c r="IV33" s="543"/>
    </row>
    <row r="34" spans="1:256" x14ac:dyDescent="0.25">
      <c r="A34" s="541" t="s">
        <v>428</v>
      </c>
      <c r="B34" s="535"/>
      <c r="C34" s="536"/>
      <c r="D34" s="536"/>
      <c r="E34" s="546" t="s">
        <v>428</v>
      </c>
      <c r="F34" s="546"/>
      <c r="G34" s="546"/>
      <c r="H34" s="546"/>
      <c r="I34" s="546"/>
      <c r="J34" s="546"/>
      <c r="K34" s="546"/>
      <c r="L34" s="546"/>
      <c r="M34" s="546"/>
      <c r="N34" s="546"/>
      <c r="O34" s="546"/>
      <c r="P34" s="546"/>
      <c r="Q34" s="546"/>
      <c r="R34" s="546"/>
      <c r="S34" s="546"/>
      <c r="T34" s="546"/>
      <c r="U34" s="546"/>
      <c r="V34" s="546"/>
      <c r="W34" s="546"/>
      <c r="X34" s="546"/>
      <c r="Y34" s="546"/>
      <c r="Z34" s="532"/>
      <c r="AA34" s="547"/>
      <c r="AB34" s="543"/>
      <c r="AC34" s="532"/>
      <c r="AD34" s="532"/>
      <c r="AE34" s="547"/>
      <c r="AF34" s="543"/>
      <c r="AG34" s="532"/>
      <c r="AH34" s="532"/>
      <c r="AI34" s="547"/>
      <c r="AJ34" s="543"/>
      <c r="AK34" s="532"/>
      <c r="AL34" s="532"/>
      <c r="AM34" s="547"/>
      <c r="AN34" s="543"/>
      <c r="AO34" s="532"/>
      <c r="AP34" s="532"/>
      <c r="AQ34" s="547"/>
      <c r="AR34" s="543"/>
      <c r="AS34" s="532"/>
      <c r="AT34" s="532"/>
      <c r="AU34" s="547"/>
      <c r="AV34" s="543"/>
      <c r="AW34" s="532"/>
      <c r="AX34" s="532"/>
      <c r="AY34" s="547"/>
      <c r="AZ34" s="543"/>
      <c r="BA34" s="532"/>
      <c r="BB34" s="532"/>
      <c r="BC34" s="547"/>
      <c r="BD34" s="543"/>
      <c r="BE34" s="532"/>
      <c r="BF34" s="532"/>
      <c r="BG34" s="547"/>
      <c r="BH34" s="543"/>
      <c r="BI34" s="532"/>
      <c r="BJ34" s="532"/>
      <c r="BK34" s="547"/>
      <c r="BL34" s="543"/>
      <c r="BM34" s="532"/>
      <c r="BN34" s="532"/>
      <c r="BO34" s="547"/>
      <c r="BP34" s="543"/>
      <c r="BQ34" s="532"/>
      <c r="BR34" s="532"/>
      <c r="BS34" s="547"/>
      <c r="BT34" s="543"/>
      <c r="BU34" s="532"/>
      <c r="BV34" s="532"/>
      <c r="BW34" s="547"/>
      <c r="BX34" s="543"/>
      <c r="BY34" s="532"/>
      <c r="BZ34" s="532"/>
      <c r="CA34" s="547"/>
      <c r="CB34" s="543"/>
      <c r="CC34" s="532"/>
      <c r="CD34" s="532"/>
      <c r="CE34" s="547"/>
      <c r="CF34" s="543"/>
      <c r="CG34" s="532"/>
      <c r="CH34" s="532"/>
      <c r="CI34" s="547"/>
      <c r="CJ34" s="543"/>
      <c r="CK34" s="532"/>
      <c r="CL34" s="532"/>
      <c r="CM34" s="547"/>
      <c r="CN34" s="543"/>
      <c r="CO34" s="532"/>
      <c r="CP34" s="532"/>
      <c r="CQ34" s="547"/>
      <c r="CR34" s="543"/>
      <c r="CS34" s="532"/>
      <c r="CT34" s="532"/>
      <c r="CU34" s="547"/>
      <c r="CV34" s="543"/>
      <c r="CW34" s="532"/>
      <c r="CX34" s="532"/>
      <c r="CY34" s="547"/>
      <c r="CZ34" s="543"/>
      <c r="DA34" s="532"/>
      <c r="DB34" s="532"/>
      <c r="DC34" s="547"/>
      <c r="DD34" s="543"/>
      <c r="DE34" s="532"/>
      <c r="DF34" s="532"/>
      <c r="DG34" s="547"/>
      <c r="DH34" s="543"/>
      <c r="DI34" s="532"/>
      <c r="DJ34" s="532"/>
      <c r="DK34" s="547"/>
      <c r="DL34" s="543"/>
      <c r="DM34" s="532"/>
      <c r="DN34" s="532"/>
      <c r="DO34" s="547"/>
      <c r="DP34" s="543"/>
      <c r="DQ34" s="532"/>
      <c r="DR34" s="532"/>
      <c r="DS34" s="547"/>
      <c r="DT34" s="543"/>
      <c r="DU34" s="532"/>
      <c r="DV34" s="532"/>
      <c r="DW34" s="547"/>
      <c r="DX34" s="543"/>
      <c r="DY34" s="532"/>
      <c r="DZ34" s="532"/>
      <c r="EA34" s="547"/>
      <c r="EB34" s="543"/>
      <c r="EC34" s="532"/>
      <c r="ED34" s="532"/>
      <c r="EE34" s="547"/>
      <c r="EF34" s="543"/>
      <c r="EG34" s="532"/>
      <c r="EH34" s="532"/>
      <c r="EI34" s="547"/>
      <c r="EJ34" s="543"/>
      <c r="EK34" s="532"/>
      <c r="EL34" s="532"/>
      <c r="EM34" s="547"/>
      <c r="EN34" s="543"/>
      <c r="EO34" s="532"/>
      <c r="EP34" s="532"/>
      <c r="EQ34" s="547"/>
      <c r="ER34" s="543"/>
      <c r="ES34" s="532"/>
      <c r="ET34" s="532"/>
      <c r="EU34" s="547"/>
      <c r="EV34" s="543"/>
      <c r="EW34" s="532"/>
      <c r="EX34" s="532"/>
      <c r="EY34" s="547"/>
      <c r="EZ34" s="543"/>
      <c r="FA34" s="532"/>
      <c r="FB34" s="532"/>
      <c r="FC34" s="547"/>
      <c r="FD34" s="543"/>
      <c r="FE34" s="532"/>
      <c r="FF34" s="532"/>
      <c r="FG34" s="547"/>
      <c r="FH34" s="543"/>
      <c r="FI34" s="532"/>
      <c r="FJ34" s="532"/>
      <c r="FK34" s="547"/>
      <c r="FL34" s="543"/>
      <c r="FM34" s="532"/>
      <c r="FN34" s="532"/>
      <c r="FO34" s="547"/>
      <c r="FP34" s="543"/>
      <c r="FQ34" s="532"/>
      <c r="FR34" s="532"/>
      <c r="FS34" s="547"/>
      <c r="FT34" s="543"/>
      <c r="FU34" s="532"/>
      <c r="FV34" s="532"/>
      <c r="FW34" s="547"/>
      <c r="FX34" s="543"/>
      <c r="FY34" s="532"/>
      <c r="FZ34" s="532"/>
      <c r="GA34" s="547"/>
      <c r="GB34" s="543"/>
      <c r="GC34" s="532"/>
      <c r="GD34" s="532"/>
      <c r="GE34" s="547"/>
      <c r="GF34" s="543"/>
      <c r="GG34" s="532"/>
      <c r="GH34" s="532"/>
      <c r="GI34" s="547"/>
      <c r="GJ34" s="543"/>
      <c r="GK34" s="532"/>
      <c r="GL34" s="532"/>
      <c r="GM34" s="547"/>
      <c r="GN34" s="543"/>
      <c r="GO34" s="532"/>
      <c r="GP34" s="532"/>
      <c r="GQ34" s="547"/>
      <c r="GR34" s="543"/>
      <c r="GS34" s="532"/>
      <c r="GT34" s="532"/>
      <c r="GU34" s="547"/>
      <c r="GV34" s="543"/>
      <c r="GW34" s="532"/>
      <c r="GX34" s="532"/>
      <c r="GY34" s="547"/>
      <c r="GZ34" s="543"/>
      <c r="HA34" s="532"/>
      <c r="HB34" s="532"/>
      <c r="HC34" s="547"/>
      <c r="HD34" s="543"/>
      <c r="HE34" s="532"/>
      <c r="HF34" s="532"/>
      <c r="HG34" s="547"/>
      <c r="HH34" s="543"/>
      <c r="HI34" s="532"/>
      <c r="HJ34" s="532"/>
      <c r="HK34" s="547"/>
      <c r="HL34" s="543"/>
      <c r="HM34" s="532"/>
      <c r="HN34" s="532"/>
      <c r="HO34" s="547"/>
      <c r="HP34" s="543"/>
      <c r="HQ34" s="532"/>
      <c r="HR34" s="532"/>
      <c r="HS34" s="547"/>
      <c r="HT34" s="543"/>
      <c r="HU34" s="532"/>
      <c r="HV34" s="532"/>
      <c r="HW34" s="547"/>
      <c r="HX34" s="543"/>
      <c r="HY34" s="532"/>
      <c r="HZ34" s="532"/>
      <c r="IA34" s="547"/>
      <c r="IB34" s="543"/>
      <c r="IC34" s="532"/>
      <c r="ID34" s="532"/>
      <c r="IE34" s="547"/>
      <c r="IF34" s="543"/>
      <c r="IG34" s="532"/>
      <c r="IH34" s="532"/>
      <c r="II34" s="547"/>
      <c r="IJ34" s="543"/>
      <c r="IK34" s="532"/>
      <c r="IL34" s="532"/>
      <c r="IM34" s="547"/>
      <c r="IN34" s="543"/>
      <c r="IO34" s="532"/>
      <c r="IP34" s="532"/>
      <c r="IQ34" s="547"/>
      <c r="IR34" s="543"/>
      <c r="IS34" s="532"/>
      <c r="IT34" s="532"/>
      <c r="IU34" s="547"/>
      <c r="IV34" s="543"/>
    </row>
    <row r="35" spans="1:256" ht="18.75" x14ac:dyDescent="0.3">
      <c r="A35" s="552" t="s">
        <v>482</v>
      </c>
      <c r="B35" s="553"/>
      <c r="C35" s="554">
        <f>C30+C28+C20+C31</f>
        <v>0</v>
      </c>
      <c r="D35" s="554">
        <f t="shared" ref="D35:Y35" si="8">D30+D28+D20+D31</f>
        <v>-16973804.929999992</v>
      </c>
      <c r="E35" s="554">
        <f t="shared" si="8"/>
        <v>-13392346.939900002</v>
      </c>
      <c r="F35" s="554">
        <f t="shared" si="8"/>
        <v>-1615367.2001000093</v>
      </c>
      <c r="G35" s="554">
        <f t="shared" si="8"/>
        <v>1087149.1000000071</v>
      </c>
      <c r="H35" s="554">
        <f t="shared" si="8"/>
        <v>1544431.1099999854</v>
      </c>
      <c r="I35" s="554">
        <f t="shared" si="8"/>
        <v>10362223.581635948</v>
      </c>
      <c r="J35" s="554">
        <f t="shared" si="8"/>
        <v>12700980.812371016</v>
      </c>
      <c r="K35" s="554">
        <f t="shared" si="8"/>
        <v>13890524.078972651</v>
      </c>
      <c r="L35" s="554">
        <f t="shared" si="8"/>
        <v>14183975.522274133</v>
      </c>
      <c r="M35" s="554">
        <f t="shared" si="8"/>
        <v>14155909.965520326</v>
      </c>
      <c r="N35" s="554">
        <f t="shared" si="8"/>
        <v>14138212.927417787</v>
      </c>
      <c r="O35" s="554">
        <f t="shared" si="8"/>
        <v>14008010.421397148</v>
      </c>
      <c r="P35" s="554">
        <f t="shared" si="8"/>
        <v>13655379.064476782</v>
      </c>
      <c r="Q35" s="554">
        <f t="shared" si="8"/>
        <v>13342144.100322299</v>
      </c>
      <c r="R35" s="554">
        <f t="shared" si="8"/>
        <v>13095372.061071133</v>
      </c>
      <c r="S35" s="554">
        <f t="shared" si="8"/>
        <v>12874516.537885429</v>
      </c>
      <c r="T35" s="554">
        <f t="shared" si="8"/>
        <v>12606245.082106009</v>
      </c>
      <c r="U35" s="554">
        <f t="shared" si="8"/>
        <v>12349618.493071491</v>
      </c>
      <c r="V35" s="554">
        <f t="shared" si="8"/>
        <v>12074720.465579273</v>
      </c>
      <c r="W35" s="554">
        <f t="shared" si="8"/>
        <v>11757035.02146076</v>
      </c>
      <c r="X35" s="554">
        <f t="shared" si="8"/>
        <v>11520967.073674366</v>
      </c>
      <c r="Y35" s="554">
        <f t="shared" si="8"/>
        <v>11230255.054851824</v>
      </c>
      <c r="Z35" s="532"/>
      <c r="AA35" s="545"/>
      <c r="AB35" s="543"/>
      <c r="AC35" s="532"/>
      <c r="AD35" s="532"/>
      <c r="AE35" s="545"/>
      <c r="AF35" s="543"/>
      <c r="AG35" s="532"/>
      <c r="AH35" s="532"/>
      <c r="AI35" s="545"/>
      <c r="AJ35" s="543"/>
      <c r="AK35" s="532"/>
      <c r="AL35" s="532"/>
      <c r="AM35" s="545"/>
      <c r="AN35" s="543"/>
      <c r="AO35" s="532"/>
      <c r="AP35" s="532"/>
      <c r="AQ35" s="545"/>
      <c r="AR35" s="543"/>
      <c r="AS35" s="532"/>
      <c r="AT35" s="532"/>
      <c r="AU35" s="545"/>
      <c r="AV35" s="543"/>
      <c r="AW35" s="532"/>
      <c r="AX35" s="532"/>
      <c r="AY35" s="545"/>
      <c r="AZ35" s="543"/>
      <c r="BA35" s="532"/>
      <c r="BB35" s="532"/>
      <c r="BC35" s="545"/>
      <c r="BD35" s="543"/>
      <c r="BE35" s="532"/>
      <c r="BF35" s="532"/>
      <c r="BG35" s="545"/>
      <c r="BH35" s="543"/>
      <c r="BI35" s="532"/>
      <c r="BJ35" s="532"/>
      <c r="BK35" s="545"/>
      <c r="BL35" s="543"/>
      <c r="BM35" s="532"/>
      <c r="BN35" s="532"/>
      <c r="BO35" s="545"/>
      <c r="BP35" s="543"/>
      <c r="BQ35" s="532"/>
      <c r="BR35" s="532"/>
      <c r="BS35" s="545"/>
      <c r="BT35" s="543"/>
      <c r="BU35" s="532"/>
      <c r="BV35" s="532"/>
      <c r="BW35" s="545"/>
      <c r="BX35" s="543"/>
      <c r="BY35" s="532"/>
      <c r="BZ35" s="532"/>
      <c r="CA35" s="545"/>
      <c r="CB35" s="543"/>
      <c r="CC35" s="532"/>
      <c r="CD35" s="532"/>
      <c r="CE35" s="545"/>
      <c r="CF35" s="543"/>
      <c r="CG35" s="532"/>
      <c r="CH35" s="532"/>
      <c r="CI35" s="545"/>
      <c r="CJ35" s="543"/>
      <c r="CK35" s="532"/>
      <c r="CL35" s="532"/>
      <c r="CM35" s="545"/>
      <c r="CN35" s="543"/>
      <c r="CO35" s="532"/>
      <c r="CP35" s="532"/>
      <c r="CQ35" s="545"/>
      <c r="CR35" s="543"/>
      <c r="CS35" s="532"/>
      <c r="CT35" s="532"/>
      <c r="CU35" s="545"/>
      <c r="CV35" s="543"/>
      <c r="CW35" s="532"/>
      <c r="CX35" s="532"/>
      <c r="CY35" s="545"/>
      <c r="CZ35" s="543"/>
      <c r="DA35" s="532"/>
      <c r="DB35" s="532"/>
      <c r="DC35" s="545"/>
      <c r="DD35" s="543"/>
      <c r="DE35" s="532"/>
      <c r="DF35" s="532"/>
      <c r="DG35" s="545"/>
      <c r="DH35" s="543"/>
      <c r="DI35" s="532"/>
      <c r="DJ35" s="532"/>
      <c r="DK35" s="545"/>
      <c r="DL35" s="543"/>
      <c r="DM35" s="532"/>
      <c r="DN35" s="532"/>
      <c r="DO35" s="545"/>
      <c r="DP35" s="543"/>
      <c r="DQ35" s="532"/>
      <c r="DR35" s="532"/>
      <c r="DS35" s="545"/>
      <c r="DT35" s="543"/>
      <c r="DU35" s="532"/>
      <c r="DV35" s="532"/>
      <c r="DW35" s="545"/>
      <c r="DX35" s="543"/>
      <c r="DY35" s="532"/>
      <c r="DZ35" s="532"/>
      <c r="EA35" s="545"/>
      <c r="EB35" s="543"/>
      <c r="EC35" s="532"/>
      <c r="ED35" s="532"/>
      <c r="EE35" s="545"/>
      <c r="EF35" s="543"/>
      <c r="EG35" s="532"/>
      <c r="EH35" s="532"/>
      <c r="EI35" s="545"/>
      <c r="EJ35" s="543"/>
      <c r="EK35" s="532"/>
      <c r="EL35" s="532"/>
      <c r="EM35" s="545"/>
      <c r="EN35" s="543"/>
      <c r="EO35" s="532"/>
      <c r="EP35" s="532"/>
      <c r="EQ35" s="545"/>
      <c r="ER35" s="543"/>
      <c r="ES35" s="532"/>
      <c r="ET35" s="532"/>
      <c r="EU35" s="545"/>
      <c r="EV35" s="543"/>
      <c r="EW35" s="532"/>
      <c r="EX35" s="532"/>
      <c r="EY35" s="545"/>
      <c r="EZ35" s="543"/>
      <c r="FA35" s="532"/>
      <c r="FB35" s="532"/>
      <c r="FC35" s="545"/>
      <c r="FD35" s="543"/>
      <c r="FE35" s="532"/>
      <c r="FF35" s="532"/>
      <c r="FG35" s="545"/>
      <c r="FH35" s="543"/>
      <c r="FI35" s="532"/>
      <c r="FJ35" s="532"/>
      <c r="FK35" s="545"/>
      <c r="FL35" s="543"/>
      <c r="FM35" s="532"/>
      <c r="FN35" s="532"/>
      <c r="FO35" s="545"/>
      <c r="FP35" s="543"/>
      <c r="FQ35" s="532"/>
      <c r="FR35" s="532"/>
      <c r="FS35" s="545"/>
      <c r="FT35" s="543"/>
      <c r="FU35" s="532"/>
      <c r="FV35" s="532"/>
      <c r="FW35" s="545"/>
      <c r="FX35" s="543"/>
      <c r="FY35" s="532"/>
      <c r="FZ35" s="532"/>
      <c r="GA35" s="545"/>
      <c r="GB35" s="543"/>
      <c r="GC35" s="532"/>
      <c r="GD35" s="532"/>
      <c r="GE35" s="545"/>
      <c r="GF35" s="543"/>
      <c r="GG35" s="532"/>
      <c r="GH35" s="532"/>
      <c r="GI35" s="545"/>
      <c r="GJ35" s="543"/>
      <c r="GK35" s="532"/>
      <c r="GL35" s="532"/>
      <c r="GM35" s="545"/>
      <c r="GN35" s="543"/>
      <c r="GO35" s="532"/>
      <c r="GP35" s="532"/>
      <c r="GQ35" s="545"/>
      <c r="GR35" s="543"/>
      <c r="GS35" s="532"/>
      <c r="GT35" s="532"/>
      <c r="GU35" s="545"/>
      <c r="GV35" s="543"/>
      <c r="GW35" s="532"/>
      <c r="GX35" s="532"/>
      <c r="GY35" s="545"/>
      <c r="GZ35" s="543"/>
      <c r="HA35" s="532"/>
      <c r="HB35" s="532"/>
      <c r="HC35" s="545"/>
      <c r="HD35" s="543"/>
      <c r="HE35" s="532"/>
      <c r="HF35" s="532"/>
      <c r="HG35" s="545"/>
      <c r="HH35" s="543"/>
      <c r="HI35" s="532"/>
      <c r="HJ35" s="532"/>
      <c r="HK35" s="545"/>
      <c r="HL35" s="543"/>
      <c r="HM35" s="532"/>
      <c r="HN35" s="532"/>
      <c r="HO35" s="545"/>
      <c r="HP35" s="543"/>
      <c r="HQ35" s="532"/>
      <c r="HR35" s="532"/>
      <c r="HS35" s="545"/>
      <c r="HT35" s="543"/>
      <c r="HU35" s="532"/>
      <c r="HV35" s="532"/>
      <c r="HW35" s="545"/>
      <c r="HX35" s="543"/>
      <c r="HY35" s="532"/>
      <c r="HZ35" s="532"/>
      <c r="IA35" s="545"/>
      <c r="IB35" s="543"/>
      <c r="IC35" s="532"/>
      <c r="ID35" s="532"/>
      <c r="IE35" s="545"/>
      <c r="IF35" s="543"/>
      <c r="IG35" s="532"/>
      <c r="IH35" s="532"/>
      <c r="II35" s="545"/>
      <c r="IJ35" s="543"/>
      <c r="IK35" s="532"/>
      <c r="IL35" s="532"/>
      <c r="IM35" s="545"/>
      <c r="IN35" s="543"/>
      <c r="IO35" s="532"/>
      <c r="IP35" s="532"/>
      <c r="IQ35" s="545"/>
      <c r="IR35" s="543"/>
      <c r="IS35" s="532"/>
      <c r="IT35" s="532"/>
      <c r="IU35" s="545"/>
      <c r="IV35" s="543"/>
    </row>
    <row r="36" spans="1:256" x14ac:dyDescent="0.25">
      <c r="A36" s="534"/>
      <c r="B36" s="535" t="s">
        <v>428</v>
      </c>
      <c r="C36" s="536"/>
      <c r="D36" s="536"/>
      <c r="E36" s="542" t="s">
        <v>428</v>
      </c>
      <c r="F36" s="542"/>
      <c r="G36" s="542"/>
      <c r="H36" s="542"/>
      <c r="I36" s="542"/>
      <c r="J36" s="542"/>
      <c r="K36" s="542"/>
      <c r="L36" s="542"/>
      <c r="M36" s="542"/>
      <c r="N36" s="542"/>
      <c r="O36" s="542"/>
      <c r="P36" s="542"/>
      <c r="Q36" s="542"/>
      <c r="R36" s="542"/>
      <c r="S36" s="542"/>
      <c r="T36" s="542"/>
      <c r="U36" s="542"/>
      <c r="V36" s="542"/>
      <c r="W36" s="542"/>
      <c r="X36" s="542"/>
      <c r="Y36" s="542"/>
      <c r="Z36" s="532"/>
      <c r="AA36" s="545"/>
      <c r="AB36" s="532"/>
      <c r="AC36" s="532"/>
      <c r="AD36" s="532"/>
      <c r="AE36" s="545"/>
      <c r="AF36" s="532"/>
      <c r="AG36" s="532"/>
      <c r="AH36" s="532"/>
      <c r="AI36" s="545"/>
      <c r="AJ36" s="532"/>
      <c r="AK36" s="532"/>
      <c r="AL36" s="532"/>
      <c r="AM36" s="545"/>
      <c r="AN36" s="532"/>
      <c r="AO36" s="532"/>
      <c r="AP36" s="532"/>
      <c r="AQ36" s="545"/>
      <c r="AR36" s="532"/>
      <c r="AS36" s="532"/>
      <c r="AT36" s="532"/>
      <c r="AU36" s="545"/>
      <c r="AV36" s="532"/>
      <c r="AW36" s="532"/>
      <c r="AX36" s="532"/>
      <c r="AY36" s="545"/>
      <c r="AZ36" s="532"/>
      <c r="BA36" s="532"/>
      <c r="BB36" s="532"/>
      <c r="BC36" s="545"/>
      <c r="BD36" s="532"/>
      <c r="BE36" s="532"/>
      <c r="BF36" s="532"/>
      <c r="BG36" s="545"/>
      <c r="BH36" s="532"/>
      <c r="BI36" s="532"/>
      <c r="BJ36" s="532"/>
      <c r="BK36" s="545"/>
      <c r="BL36" s="532"/>
      <c r="BM36" s="532"/>
      <c r="BN36" s="532"/>
      <c r="BO36" s="545"/>
      <c r="BP36" s="532"/>
      <c r="BQ36" s="532"/>
      <c r="BR36" s="532"/>
      <c r="BS36" s="545"/>
      <c r="BT36" s="532"/>
      <c r="BU36" s="532"/>
      <c r="BV36" s="532"/>
      <c r="BW36" s="545"/>
      <c r="BX36" s="532"/>
      <c r="BY36" s="532"/>
      <c r="BZ36" s="532"/>
      <c r="CA36" s="545"/>
      <c r="CB36" s="532"/>
      <c r="CC36" s="532"/>
      <c r="CD36" s="532"/>
      <c r="CE36" s="545"/>
      <c r="CF36" s="532"/>
      <c r="CG36" s="532"/>
      <c r="CH36" s="532"/>
      <c r="CI36" s="545"/>
      <c r="CJ36" s="532"/>
      <c r="CK36" s="532"/>
      <c r="CL36" s="532"/>
      <c r="CM36" s="545"/>
      <c r="CN36" s="532"/>
      <c r="CO36" s="532"/>
      <c r="CP36" s="532"/>
      <c r="CQ36" s="545"/>
      <c r="CR36" s="532"/>
      <c r="CS36" s="532"/>
      <c r="CT36" s="532"/>
      <c r="CU36" s="545"/>
      <c r="CV36" s="532"/>
      <c r="CW36" s="532"/>
      <c r="CX36" s="532"/>
      <c r="CY36" s="545"/>
      <c r="CZ36" s="532"/>
      <c r="DA36" s="532"/>
      <c r="DB36" s="532"/>
      <c r="DC36" s="545"/>
      <c r="DD36" s="532"/>
      <c r="DE36" s="532"/>
      <c r="DF36" s="532"/>
      <c r="DG36" s="545"/>
      <c r="DH36" s="532"/>
      <c r="DI36" s="532"/>
      <c r="DJ36" s="532"/>
      <c r="DK36" s="545"/>
      <c r="DL36" s="532"/>
      <c r="DM36" s="532"/>
      <c r="DN36" s="532"/>
      <c r="DO36" s="545"/>
      <c r="DP36" s="532"/>
      <c r="DQ36" s="532"/>
      <c r="DR36" s="532"/>
      <c r="DS36" s="545"/>
      <c r="DT36" s="532"/>
      <c r="DU36" s="532"/>
      <c r="DV36" s="532"/>
      <c r="DW36" s="545"/>
      <c r="DX36" s="532"/>
      <c r="DY36" s="532"/>
      <c r="DZ36" s="532"/>
      <c r="EA36" s="545"/>
      <c r="EB36" s="532"/>
      <c r="EC36" s="532"/>
      <c r="ED36" s="532"/>
      <c r="EE36" s="545"/>
      <c r="EF36" s="532"/>
      <c r="EG36" s="532"/>
      <c r="EH36" s="532"/>
      <c r="EI36" s="545"/>
      <c r="EJ36" s="532"/>
      <c r="EK36" s="532"/>
      <c r="EL36" s="532"/>
      <c r="EM36" s="545"/>
      <c r="EN36" s="532"/>
      <c r="EO36" s="532"/>
      <c r="EP36" s="532"/>
      <c r="EQ36" s="545"/>
      <c r="ER36" s="532"/>
      <c r="ES36" s="532"/>
      <c r="ET36" s="532"/>
      <c r="EU36" s="545"/>
      <c r="EV36" s="532"/>
      <c r="EW36" s="532"/>
      <c r="EX36" s="532"/>
      <c r="EY36" s="545"/>
      <c r="EZ36" s="532"/>
      <c r="FA36" s="532"/>
      <c r="FB36" s="532"/>
      <c r="FC36" s="545"/>
      <c r="FD36" s="532"/>
      <c r="FE36" s="532"/>
      <c r="FF36" s="532"/>
      <c r="FG36" s="545"/>
      <c r="FH36" s="532"/>
      <c r="FI36" s="532"/>
      <c r="FJ36" s="532"/>
      <c r="FK36" s="545"/>
      <c r="FL36" s="532"/>
      <c r="FM36" s="532"/>
      <c r="FN36" s="532"/>
      <c r="FO36" s="545"/>
      <c r="FP36" s="532"/>
      <c r="FQ36" s="532"/>
      <c r="FR36" s="532"/>
      <c r="FS36" s="545"/>
      <c r="FT36" s="532"/>
      <c r="FU36" s="532"/>
      <c r="FV36" s="532"/>
      <c r="FW36" s="545"/>
      <c r="FX36" s="532"/>
      <c r="FY36" s="532"/>
      <c r="FZ36" s="532"/>
      <c r="GA36" s="545"/>
      <c r="GB36" s="532"/>
      <c r="GC36" s="532"/>
      <c r="GD36" s="532"/>
      <c r="GE36" s="545"/>
      <c r="GF36" s="532"/>
      <c r="GG36" s="532"/>
      <c r="GH36" s="532"/>
      <c r="GI36" s="545"/>
      <c r="GJ36" s="532"/>
      <c r="GK36" s="532"/>
      <c r="GL36" s="532"/>
      <c r="GM36" s="545"/>
      <c r="GN36" s="532"/>
      <c r="GO36" s="532"/>
      <c r="GP36" s="532"/>
      <c r="GQ36" s="545"/>
      <c r="GR36" s="532"/>
      <c r="GS36" s="532"/>
      <c r="GT36" s="532"/>
      <c r="GU36" s="545"/>
      <c r="GV36" s="532"/>
      <c r="GW36" s="532"/>
      <c r="GX36" s="532"/>
      <c r="GY36" s="545"/>
      <c r="GZ36" s="532"/>
      <c r="HA36" s="532"/>
      <c r="HB36" s="532"/>
      <c r="HC36" s="545"/>
      <c r="HD36" s="532"/>
      <c r="HE36" s="532"/>
      <c r="HF36" s="532"/>
      <c r="HG36" s="545"/>
      <c r="HH36" s="532"/>
      <c r="HI36" s="532"/>
      <c r="HJ36" s="532"/>
      <c r="HK36" s="545"/>
      <c r="HL36" s="532"/>
      <c r="HM36" s="532"/>
      <c r="HN36" s="532"/>
      <c r="HO36" s="545"/>
      <c r="HP36" s="532"/>
      <c r="HQ36" s="532"/>
      <c r="HR36" s="532"/>
      <c r="HS36" s="545"/>
      <c r="HT36" s="532"/>
      <c r="HU36" s="532"/>
      <c r="HV36" s="532"/>
      <c r="HW36" s="545"/>
      <c r="HX36" s="532"/>
      <c r="HY36" s="532"/>
      <c r="HZ36" s="532"/>
      <c r="IA36" s="545"/>
      <c r="IB36" s="532"/>
      <c r="IC36" s="532"/>
      <c r="ID36" s="532"/>
      <c r="IE36" s="545"/>
      <c r="IF36" s="532"/>
      <c r="IG36" s="532"/>
      <c r="IH36" s="532"/>
      <c r="II36" s="545"/>
      <c r="IJ36" s="532"/>
      <c r="IK36" s="532"/>
      <c r="IL36" s="532"/>
      <c r="IM36" s="545"/>
      <c r="IN36" s="532"/>
      <c r="IO36" s="532"/>
      <c r="IP36" s="532"/>
      <c r="IQ36" s="545"/>
      <c r="IR36" s="532"/>
      <c r="IS36" s="532"/>
      <c r="IT36" s="532"/>
      <c r="IU36" s="545"/>
      <c r="IV36" s="532"/>
    </row>
    <row r="37" spans="1:256" outlineLevel="1" x14ac:dyDescent="0.25">
      <c r="A37" s="539" t="s">
        <v>483</v>
      </c>
      <c r="B37" s="511"/>
      <c r="C37" s="559">
        <v>0</v>
      </c>
      <c r="D37" s="559">
        <f t="shared" ref="D37:L37" si="9">C38/1000</f>
        <v>0</v>
      </c>
      <c r="E37" s="559">
        <f t="shared" si="9"/>
        <v>16973.804929999998</v>
      </c>
      <c r="F37" s="559">
        <f t="shared" si="9"/>
        <v>30366.151869999998</v>
      </c>
      <c r="G37" s="559">
        <f t="shared" si="9"/>
        <v>31981.519070000002</v>
      </c>
      <c r="H37" s="559">
        <f t="shared" si="9"/>
        <v>30894.36997</v>
      </c>
      <c r="I37" s="559">
        <f t="shared" si="9"/>
        <v>29349.938860000002</v>
      </c>
      <c r="J37" s="559">
        <f t="shared" si="9"/>
        <v>18987.715278364056</v>
      </c>
      <c r="K37" s="559">
        <f t="shared" si="9"/>
        <v>6286.7344659930432</v>
      </c>
      <c r="L37" s="559">
        <f t="shared" si="9"/>
        <v>-7603.7896129796209</v>
      </c>
      <c r="M37" s="559">
        <f>L38/1000</f>
        <v>-21787.765135253758</v>
      </c>
      <c r="N37" s="559">
        <f>M38/1000</f>
        <v>-35943.675100774082</v>
      </c>
      <c r="O37" s="559">
        <f t="shared" ref="O37:Y37" si="10">N38/1000</f>
        <v>-50081.88802819189</v>
      </c>
      <c r="P37" s="559">
        <f t="shared" si="10"/>
        <v>-64089.898449589004</v>
      </c>
      <c r="Q37" s="559">
        <f t="shared" si="10"/>
        <v>-77745.27751406579</v>
      </c>
      <c r="R37" s="559">
        <f t="shared" si="10"/>
        <v>-91087.421614388091</v>
      </c>
      <c r="S37" s="559">
        <f t="shared" si="10"/>
        <v>-120563.44029591113</v>
      </c>
      <c r="T37" s="559">
        <f t="shared" si="10"/>
        <v>-149477.54156152776</v>
      </c>
      <c r="U37" s="559">
        <f t="shared" si="10"/>
        <v>-177722.17117383869</v>
      </c>
      <c r="V37" s="559">
        <f t="shared" si="10"/>
        <v>-205532.51273809175</v>
      </c>
      <c r="W37" s="559">
        <f t="shared" si="10"/>
        <v>-232672.26468688395</v>
      </c>
      <c r="X37" s="559">
        <f t="shared" si="10"/>
        <v>-259021.29015445651</v>
      </c>
      <c r="Y37" s="559">
        <f t="shared" si="10"/>
        <v>-284765.17430840526</v>
      </c>
      <c r="Z37" s="532"/>
      <c r="AA37" s="547"/>
      <c r="AB37" s="532"/>
      <c r="AC37" s="532"/>
      <c r="AD37" s="532"/>
      <c r="AE37" s="547"/>
      <c r="AF37" s="532"/>
      <c r="AG37" s="532"/>
      <c r="AH37" s="532"/>
      <c r="AI37" s="547"/>
      <c r="AJ37" s="532"/>
      <c r="AK37" s="532"/>
      <c r="AL37" s="532"/>
      <c r="AM37" s="547"/>
      <c r="AN37" s="532"/>
      <c r="AO37" s="532"/>
      <c r="AP37" s="532"/>
      <c r="AQ37" s="547"/>
      <c r="AR37" s="532"/>
      <c r="AS37" s="532"/>
      <c r="AT37" s="532"/>
      <c r="AU37" s="547"/>
      <c r="AV37" s="532"/>
      <c r="AW37" s="532"/>
      <c r="AX37" s="532"/>
      <c r="AY37" s="547"/>
      <c r="AZ37" s="532"/>
      <c r="BA37" s="532"/>
      <c r="BB37" s="532"/>
      <c r="BC37" s="547"/>
      <c r="BD37" s="532"/>
      <c r="BE37" s="532"/>
      <c r="BF37" s="532"/>
      <c r="BG37" s="547"/>
      <c r="BH37" s="532"/>
      <c r="BI37" s="532"/>
      <c r="BJ37" s="532"/>
      <c r="BK37" s="547"/>
      <c r="BL37" s="532"/>
      <c r="BM37" s="532"/>
      <c r="BN37" s="532"/>
      <c r="BO37" s="547"/>
      <c r="BP37" s="532"/>
      <c r="BQ37" s="532"/>
      <c r="BR37" s="532"/>
      <c r="BS37" s="547"/>
      <c r="BT37" s="532"/>
      <c r="BU37" s="532"/>
      <c r="BV37" s="532"/>
      <c r="BW37" s="547"/>
      <c r="BX37" s="532"/>
      <c r="BY37" s="532"/>
      <c r="BZ37" s="532"/>
      <c r="CA37" s="547"/>
      <c r="CB37" s="532"/>
      <c r="CC37" s="532"/>
      <c r="CD37" s="532"/>
      <c r="CE37" s="547"/>
      <c r="CF37" s="532"/>
      <c r="CG37" s="532"/>
      <c r="CH37" s="532"/>
      <c r="CI37" s="547"/>
      <c r="CJ37" s="532"/>
      <c r="CK37" s="532"/>
      <c r="CL37" s="532"/>
      <c r="CM37" s="547"/>
      <c r="CN37" s="532"/>
      <c r="CO37" s="532"/>
      <c r="CP37" s="532"/>
      <c r="CQ37" s="547"/>
      <c r="CR37" s="532"/>
      <c r="CS37" s="532"/>
      <c r="CT37" s="532"/>
      <c r="CU37" s="547"/>
      <c r="CV37" s="532"/>
      <c r="CW37" s="532"/>
      <c r="CX37" s="532"/>
      <c r="CY37" s="547"/>
      <c r="CZ37" s="532"/>
      <c r="DA37" s="532"/>
      <c r="DB37" s="532"/>
      <c r="DC37" s="547"/>
      <c r="DD37" s="532"/>
      <c r="DE37" s="532"/>
      <c r="DF37" s="532"/>
      <c r="DG37" s="547"/>
      <c r="DH37" s="532"/>
      <c r="DI37" s="532"/>
      <c r="DJ37" s="532"/>
      <c r="DK37" s="547"/>
      <c r="DL37" s="532"/>
      <c r="DM37" s="532"/>
      <c r="DN37" s="532"/>
      <c r="DO37" s="547"/>
      <c r="DP37" s="532"/>
      <c r="DQ37" s="532"/>
      <c r="DR37" s="532"/>
      <c r="DS37" s="547"/>
      <c r="DT37" s="532"/>
      <c r="DU37" s="532"/>
      <c r="DV37" s="532"/>
      <c r="DW37" s="547"/>
      <c r="DX37" s="532"/>
      <c r="DY37" s="532"/>
      <c r="DZ37" s="532"/>
      <c r="EA37" s="547"/>
      <c r="EB37" s="532"/>
      <c r="EC37" s="532"/>
      <c r="ED37" s="532"/>
      <c r="EE37" s="547"/>
      <c r="EF37" s="532"/>
      <c r="EG37" s="532"/>
      <c r="EH37" s="532"/>
      <c r="EI37" s="547"/>
      <c r="EJ37" s="532"/>
      <c r="EK37" s="532"/>
      <c r="EL37" s="532"/>
      <c r="EM37" s="547"/>
      <c r="EN37" s="532"/>
      <c r="EO37" s="532"/>
      <c r="EP37" s="532"/>
      <c r="EQ37" s="547"/>
      <c r="ER37" s="532"/>
      <c r="ES37" s="532"/>
      <c r="ET37" s="532"/>
      <c r="EU37" s="547"/>
      <c r="EV37" s="532"/>
      <c r="EW37" s="532"/>
      <c r="EX37" s="532"/>
      <c r="EY37" s="547"/>
      <c r="EZ37" s="532"/>
      <c r="FA37" s="532"/>
      <c r="FB37" s="532"/>
      <c r="FC37" s="547"/>
      <c r="FD37" s="532"/>
      <c r="FE37" s="532"/>
      <c r="FF37" s="532"/>
      <c r="FG37" s="547"/>
      <c r="FH37" s="532"/>
      <c r="FI37" s="532"/>
      <c r="FJ37" s="532"/>
      <c r="FK37" s="547"/>
      <c r="FL37" s="532"/>
      <c r="FM37" s="532"/>
      <c r="FN37" s="532"/>
      <c r="FO37" s="547"/>
      <c r="FP37" s="532"/>
      <c r="FQ37" s="532"/>
      <c r="FR37" s="532"/>
      <c r="FS37" s="547"/>
      <c r="FT37" s="532"/>
      <c r="FU37" s="532"/>
      <c r="FV37" s="532"/>
      <c r="FW37" s="547"/>
      <c r="FX37" s="532"/>
      <c r="FY37" s="532"/>
      <c r="FZ37" s="532"/>
      <c r="GA37" s="547"/>
      <c r="GB37" s="532"/>
      <c r="GC37" s="532"/>
      <c r="GD37" s="532"/>
      <c r="GE37" s="547"/>
      <c r="GF37" s="532"/>
      <c r="GG37" s="532"/>
      <c r="GH37" s="532"/>
      <c r="GI37" s="547"/>
      <c r="GJ37" s="532"/>
      <c r="GK37" s="532"/>
      <c r="GL37" s="532"/>
      <c r="GM37" s="547"/>
      <c r="GN37" s="532"/>
      <c r="GO37" s="532"/>
      <c r="GP37" s="532"/>
      <c r="GQ37" s="547"/>
      <c r="GR37" s="532"/>
      <c r="GS37" s="532"/>
      <c r="GT37" s="532"/>
      <c r="GU37" s="547"/>
      <c r="GV37" s="532"/>
      <c r="GW37" s="532"/>
      <c r="GX37" s="532"/>
      <c r="GY37" s="547"/>
      <c r="GZ37" s="532"/>
      <c r="HA37" s="532"/>
      <c r="HB37" s="532"/>
      <c r="HC37" s="547"/>
      <c r="HD37" s="532"/>
      <c r="HE37" s="532"/>
      <c r="HF37" s="532"/>
      <c r="HG37" s="547"/>
      <c r="HH37" s="532"/>
      <c r="HI37" s="532"/>
      <c r="HJ37" s="532"/>
      <c r="HK37" s="547"/>
      <c r="HL37" s="532"/>
      <c r="HM37" s="532"/>
      <c r="HN37" s="532"/>
      <c r="HO37" s="547"/>
      <c r="HP37" s="532"/>
      <c r="HQ37" s="532"/>
      <c r="HR37" s="532"/>
      <c r="HS37" s="547"/>
      <c r="HT37" s="532"/>
      <c r="HU37" s="532"/>
      <c r="HV37" s="532"/>
      <c r="HW37" s="547"/>
      <c r="HX37" s="532"/>
      <c r="HY37" s="532"/>
      <c r="HZ37" s="532"/>
      <c r="IA37" s="547"/>
      <c r="IB37" s="532"/>
      <c r="IC37" s="532"/>
      <c r="ID37" s="532"/>
      <c r="IE37" s="547"/>
      <c r="IF37" s="532"/>
      <c r="IG37" s="532"/>
      <c r="IH37" s="532"/>
      <c r="II37" s="547"/>
      <c r="IJ37" s="532"/>
      <c r="IK37" s="532"/>
      <c r="IL37" s="532"/>
      <c r="IM37" s="547"/>
      <c r="IN37" s="532"/>
      <c r="IO37" s="532"/>
      <c r="IP37" s="532"/>
      <c r="IQ37" s="547"/>
      <c r="IR37" s="532"/>
      <c r="IS37" s="532"/>
      <c r="IT37" s="532"/>
      <c r="IU37" s="547"/>
      <c r="IV37" s="532"/>
    </row>
    <row r="38" spans="1:256" outlineLevel="1" x14ac:dyDescent="0.25">
      <c r="A38" s="539" t="s">
        <v>484</v>
      </c>
      <c r="B38" s="511"/>
      <c r="C38" s="546">
        <f>Bilan!E62</f>
        <v>0</v>
      </c>
      <c r="D38" s="546">
        <f>Bilan!F62</f>
        <v>16973804.93</v>
      </c>
      <c r="E38" s="546">
        <f>Bilan!G62</f>
        <v>30366151.869999997</v>
      </c>
      <c r="F38" s="546">
        <f>Bilan!H62</f>
        <v>31981519.07</v>
      </c>
      <c r="G38" s="546">
        <f>Bilan!I62</f>
        <v>30894369.969999999</v>
      </c>
      <c r="H38" s="546">
        <f>Bilan!J62</f>
        <v>29349938.860000003</v>
      </c>
      <c r="I38" s="546">
        <f>Bilan!K62</f>
        <v>18987715.278364055</v>
      </c>
      <c r="J38" s="546">
        <f>Bilan!L62</f>
        <v>6286734.465993043</v>
      </c>
      <c r="K38" s="546">
        <f>Bilan!M62</f>
        <v>-7603789.6129796207</v>
      </c>
      <c r="L38" s="546">
        <f>Bilan!N62</f>
        <v>-21787765.135253757</v>
      </c>
      <c r="M38" s="546">
        <f>Bilan!O62</f>
        <v>-35943675.10077408</v>
      </c>
      <c r="N38" s="546">
        <f>Bilan!P62</f>
        <v>-50081888.028191887</v>
      </c>
      <c r="O38" s="546">
        <f>Bilan!Q62</f>
        <v>-64089898.449589007</v>
      </c>
      <c r="P38" s="546">
        <f>Bilan!R62</f>
        <v>-77745277.514065787</v>
      </c>
      <c r="Q38" s="546">
        <f>Bilan!S62</f>
        <v>-91087421.614388093</v>
      </c>
      <c r="R38" s="546">
        <f>Bilan!T62</f>
        <v>-120563440.29591113</v>
      </c>
      <c r="S38" s="546">
        <f>Bilan!U62</f>
        <v>-149477541.56152776</v>
      </c>
      <c r="T38" s="546">
        <f>Bilan!V62</f>
        <v>-177722171.1738387</v>
      </c>
      <c r="U38" s="546">
        <f>Bilan!W62</f>
        <v>-205532512.73809177</v>
      </c>
      <c r="V38" s="546">
        <f>Bilan!X62</f>
        <v>-232672264.68688396</v>
      </c>
      <c r="W38" s="546">
        <f>Bilan!Y62</f>
        <v>-259021290.1544565</v>
      </c>
      <c r="X38" s="546">
        <f>Bilan!Z62</f>
        <v>-284765174.30840528</v>
      </c>
      <c r="Y38" s="546">
        <f>Bilan!AA62</f>
        <v>-309782516.41205883</v>
      </c>
      <c r="Z38" s="532"/>
      <c r="AA38" s="547"/>
      <c r="AB38" s="532"/>
      <c r="AC38" s="532"/>
      <c r="AD38" s="532"/>
      <c r="AE38" s="547"/>
      <c r="AF38" s="532"/>
      <c r="AG38" s="532"/>
      <c r="AH38" s="532"/>
      <c r="AI38" s="547"/>
      <c r="AJ38" s="532"/>
      <c r="AK38" s="532"/>
      <c r="AL38" s="532"/>
      <c r="AM38" s="547"/>
      <c r="AN38" s="532"/>
      <c r="AO38" s="532"/>
      <c r="AP38" s="532"/>
      <c r="AQ38" s="547"/>
      <c r="AR38" s="532"/>
      <c r="AS38" s="532"/>
      <c r="AT38" s="532"/>
      <c r="AU38" s="547"/>
      <c r="AV38" s="532"/>
      <c r="AW38" s="532"/>
      <c r="AX38" s="532"/>
      <c r="AY38" s="547"/>
      <c r="AZ38" s="532"/>
      <c r="BA38" s="532"/>
      <c r="BB38" s="532"/>
      <c r="BC38" s="547"/>
      <c r="BD38" s="532"/>
      <c r="BE38" s="532"/>
      <c r="BF38" s="532"/>
      <c r="BG38" s="547"/>
      <c r="BH38" s="532"/>
      <c r="BI38" s="532"/>
      <c r="BJ38" s="532"/>
      <c r="BK38" s="547"/>
      <c r="BL38" s="532"/>
      <c r="BM38" s="532"/>
      <c r="BN38" s="532"/>
      <c r="BO38" s="547"/>
      <c r="BP38" s="532"/>
      <c r="BQ38" s="532"/>
      <c r="BR38" s="532"/>
      <c r="BS38" s="547"/>
      <c r="BT38" s="532"/>
      <c r="BU38" s="532"/>
      <c r="BV38" s="532"/>
      <c r="BW38" s="547"/>
      <c r="BX38" s="532"/>
      <c r="BY38" s="532"/>
      <c r="BZ38" s="532"/>
      <c r="CA38" s="547"/>
      <c r="CB38" s="532"/>
      <c r="CC38" s="532"/>
      <c r="CD38" s="532"/>
      <c r="CE38" s="547"/>
      <c r="CF38" s="532"/>
      <c r="CG38" s="532"/>
      <c r="CH38" s="532"/>
      <c r="CI38" s="547"/>
      <c r="CJ38" s="532"/>
      <c r="CK38" s="532"/>
      <c r="CL38" s="532"/>
      <c r="CM38" s="547"/>
      <c r="CN38" s="532"/>
      <c r="CO38" s="532"/>
      <c r="CP38" s="532"/>
      <c r="CQ38" s="547"/>
      <c r="CR38" s="532"/>
      <c r="CS38" s="532"/>
      <c r="CT38" s="532"/>
      <c r="CU38" s="547"/>
      <c r="CV38" s="532"/>
      <c r="CW38" s="532"/>
      <c r="CX38" s="532"/>
      <c r="CY38" s="547"/>
      <c r="CZ38" s="532"/>
      <c r="DA38" s="532"/>
      <c r="DB38" s="532"/>
      <c r="DC38" s="547"/>
      <c r="DD38" s="532"/>
      <c r="DE38" s="532"/>
      <c r="DF38" s="532"/>
      <c r="DG38" s="547"/>
      <c r="DH38" s="532"/>
      <c r="DI38" s="532"/>
      <c r="DJ38" s="532"/>
      <c r="DK38" s="547"/>
      <c r="DL38" s="532"/>
      <c r="DM38" s="532"/>
      <c r="DN38" s="532"/>
      <c r="DO38" s="547"/>
      <c r="DP38" s="532"/>
      <c r="DQ38" s="532"/>
      <c r="DR38" s="532"/>
      <c r="DS38" s="547"/>
      <c r="DT38" s="532"/>
      <c r="DU38" s="532"/>
      <c r="DV38" s="532"/>
      <c r="DW38" s="547"/>
      <c r="DX38" s="532"/>
      <c r="DY38" s="532"/>
      <c r="DZ38" s="532"/>
      <c r="EA38" s="547"/>
      <c r="EB38" s="532"/>
      <c r="EC38" s="532"/>
      <c r="ED38" s="532"/>
      <c r="EE38" s="547"/>
      <c r="EF38" s="532"/>
      <c r="EG38" s="532"/>
      <c r="EH38" s="532"/>
      <c r="EI38" s="547"/>
      <c r="EJ38" s="532"/>
      <c r="EK38" s="532"/>
      <c r="EL38" s="532"/>
      <c r="EM38" s="547"/>
      <c r="EN38" s="532"/>
      <c r="EO38" s="532"/>
      <c r="EP38" s="532"/>
      <c r="EQ38" s="547"/>
      <c r="ER38" s="532"/>
      <c r="ES38" s="532"/>
      <c r="ET38" s="532"/>
      <c r="EU38" s="547"/>
      <c r="EV38" s="532"/>
      <c r="EW38" s="532"/>
      <c r="EX38" s="532"/>
      <c r="EY38" s="547"/>
      <c r="EZ38" s="532"/>
      <c r="FA38" s="532"/>
      <c r="FB38" s="532"/>
      <c r="FC38" s="547"/>
      <c r="FD38" s="532"/>
      <c r="FE38" s="532"/>
      <c r="FF38" s="532"/>
      <c r="FG38" s="547"/>
      <c r="FH38" s="532"/>
      <c r="FI38" s="532"/>
      <c r="FJ38" s="532"/>
      <c r="FK38" s="547"/>
      <c r="FL38" s="532"/>
      <c r="FM38" s="532"/>
      <c r="FN38" s="532"/>
      <c r="FO38" s="547"/>
      <c r="FP38" s="532"/>
      <c r="FQ38" s="532"/>
      <c r="FR38" s="532"/>
      <c r="FS38" s="547"/>
      <c r="FT38" s="532"/>
      <c r="FU38" s="532"/>
      <c r="FV38" s="532"/>
      <c r="FW38" s="547"/>
      <c r="FX38" s="532"/>
      <c r="FY38" s="532"/>
      <c r="FZ38" s="532"/>
      <c r="GA38" s="547"/>
      <c r="GB38" s="532"/>
      <c r="GC38" s="532"/>
      <c r="GD38" s="532"/>
      <c r="GE38" s="547"/>
      <c r="GF38" s="532"/>
      <c r="GG38" s="532"/>
      <c r="GH38" s="532"/>
      <c r="GI38" s="547"/>
      <c r="GJ38" s="532"/>
      <c r="GK38" s="532"/>
      <c r="GL38" s="532"/>
      <c r="GM38" s="547"/>
      <c r="GN38" s="532"/>
      <c r="GO38" s="532"/>
      <c r="GP38" s="532"/>
      <c r="GQ38" s="547"/>
      <c r="GR38" s="532"/>
      <c r="GS38" s="532"/>
      <c r="GT38" s="532"/>
      <c r="GU38" s="547"/>
      <c r="GV38" s="532"/>
      <c r="GW38" s="532"/>
      <c r="GX38" s="532"/>
      <c r="GY38" s="547"/>
      <c r="GZ38" s="532"/>
      <c r="HA38" s="532"/>
      <c r="HB38" s="532"/>
      <c r="HC38" s="547"/>
      <c r="HD38" s="532"/>
      <c r="HE38" s="532"/>
      <c r="HF38" s="532"/>
      <c r="HG38" s="547"/>
      <c r="HH38" s="532"/>
      <c r="HI38" s="532"/>
      <c r="HJ38" s="532"/>
      <c r="HK38" s="547"/>
      <c r="HL38" s="532"/>
      <c r="HM38" s="532"/>
      <c r="HN38" s="532"/>
      <c r="HO38" s="547"/>
      <c r="HP38" s="532"/>
      <c r="HQ38" s="532"/>
      <c r="HR38" s="532"/>
      <c r="HS38" s="547"/>
      <c r="HT38" s="532"/>
      <c r="HU38" s="532"/>
      <c r="HV38" s="532"/>
      <c r="HW38" s="547"/>
      <c r="HX38" s="532"/>
      <c r="HY38" s="532"/>
      <c r="HZ38" s="532"/>
      <c r="IA38" s="547"/>
      <c r="IB38" s="532"/>
      <c r="IC38" s="532"/>
      <c r="ID38" s="532"/>
      <c r="IE38" s="547"/>
      <c r="IF38" s="532"/>
      <c r="IG38" s="532"/>
      <c r="IH38" s="532"/>
      <c r="II38" s="547"/>
      <c r="IJ38" s="532"/>
      <c r="IK38" s="532"/>
      <c r="IL38" s="532"/>
      <c r="IM38" s="547"/>
      <c r="IN38" s="532"/>
      <c r="IO38" s="532"/>
      <c r="IP38" s="532"/>
      <c r="IQ38" s="547"/>
      <c r="IR38" s="532"/>
      <c r="IS38" s="532"/>
      <c r="IT38" s="532"/>
      <c r="IU38" s="547"/>
      <c r="IV38" s="532"/>
    </row>
    <row r="39" spans="1:256" hidden="1" x14ac:dyDescent="0.25">
      <c r="A39" s="534"/>
      <c r="B39" s="535"/>
      <c r="C39" s="536"/>
      <c r="D39" s="536"/>
      <c r="E39" s="546"/>
      <c r="F39" s="546"/>
      <c r="G39" s="546"/>
      <c r="H39" s="546"/>
      <c r="I39" s="546"/>
      <c r="J39" s="546"/>
      <c r="K39" s="546"/>
      <c r="L39" s="546"/>
      <c r="M39" s="546"/>
      <c r="N39" s="546"/>
      <c r="O39" s="546"/>
      <c r="P39" s="546"/>
      <c r="Q39" s="546"/>
      <c r="R39" s="546"/>
      <c r="S39" s="546"/>
      <c r="T39" s="546"/>
      <c r="U39" s="546"/>
      <c r="V39" s="546"/>
      <c r="W39" s="546"/>
      <c r="X39" s="546"/>
      <c r="Y39" s="546"/>
      <c r="Z39" s="532"/>
      <c r="AA39" s="547"/>
      <c r="AB39" s="532"/>
      <c r="AC39" s="532"/>
      <c r="AD39" s="532"/>
      <c r="AE39" s="547"/>
      <c r="AF39" s="532"/>
      <c r="AG39" s="532"/>
      <c r="AH39" s="532"/>
      <c r="AI39" s="547"/>
      <c r="AJ39" s="532"/>
      <c r="AK39" s="532"/>
      <c r="AL39" s="532"/>
      <c r="AM39" s="547"/>
      <c r="AN39" s="532"/>
      <c r="AO39" s="532"/>
      <c r="AP39" s="532"/>
      <c r="AQ39" s="547"/>
      <c r="AR39" s="532"/>
      <c r="AS39" s="532"/>
      <c r="AT39" s="532"/>
      <c r="AU39" s="547"/>
      <c r="AV39" s="532"/>
      <c r="AW39" s="532"/>
      <c r="AX39" s="532"/>
      <c r="AY39" s="547"/>
      <c r="AZ39" s="532"/>
      <c r="BA39" s="532"/>
      <c r="BB39" s="532"/>
      <c r="BC39" s="547"/>
      <c r="BD39" s="532"/>
      <c r="BE39" s="532"/>
      <c r="BF39" s="532"/>
      <c r="BG39" s="547"/>
      <c r="BH39" s="532"/>
      <c r="BI39" s="532"/>
      <c r="BJ39" s="532"/>
      <c r="BK39" s="547"/>
      <c r="BL39" s="532"/>
      <c r="BM39" s="532"/>
      <c r="BN39" s="532"/>
      <c r="BO39" s="547"/>
      <c r="BP39" s="532"/>
      <c r="BQ39" s="532"/>
      <c r="BR39" s="532"/>
      <c r="BS39" s="547"/>
      <c r="BT39" s="532"/>
      <c r="BU39" s="532"/>
      <c r="BV39" s="532"/>
      <c r="BW39" s="547"/>
      <c r="BX39" s="532"/>
      <c r="BY39" s="532"/>
      <c r="BZ39" s="532"/>
      <c r="CA39" s="547"/>
      <c r="CB39" s="532"/>
      <c r="CC39" s="532"/>
      <c r="CD39" s="532"/>
      <c r="CE39" s="547"/>
      <c r="CF39" s="532"/>
      <c r="CG39" s="532"/>
      <c r="CH39" s="532"/>
      <c r="CI39" s="547"/>
      <c r="CJ39" s="532"/>
      <c r="CK39" s="532"/>
      <c r="CL39" s="532"/>
      <c r="CM39" s="547"/>
      <c r="CN39" s="532"/>
      <c r="CO39" s="532"/>
      <c r="CP39" s="532"/>
      <c r="CQ39" s="547"/>
      <c r="CR39" s="532"/>
      <c r="CS39" s="532"/>
      <c r="CT39" s="532"/>
      <c r="CU39" s="547"/>
      <c r="CV39" s="532"/>
      <c r="CW39" s="532"/>
      <c r="CX39" s="532"/>
      <c r="CY39" s="547"/>
      <c r="CZ39" s="532"/>
      <c r="DA39" s="532"/>
      <c r="DB39" s="532"/>
      <c r="DC39" s="547"/>
      <c r="DD39" s="532"/>
      <c r="DE39" s="532"/>
      <c r="DF39" s="532"/>
      <c r="DG39" s="547"/>
      <c r="DH39" s="532"/>
      <c r="DI39" s="532"/>
      <c r="DJ39" s="532"/>
      <c r="DK39" s="547"/>
      <c r="DL39" s="532"/>
      <c r="DM39" s="532"/>
      <c r="DN39" s="532"/>
      <c r="DO39" s="547"/>
      <c r="DP39" s="532"/>
      <c r="DQ39" s="532"/>
      <c r="DR39" s="532"/>
      <c r="DS39" s="547"/>
      <c r="DT39" s="532"/>
      <c r="DU39" s="532"/>
      <c r="DV39" s="532"/>
      <c r="DW39" s="547"/>
      <c r="DX39" s="532"/>
      <c r="DY39" s="532"/>
      <c r="DZ39" s="532"/>
      <c r="EA39" s="547"/>
      <c r="EB39" s="532"/>
      <c r="EC39" s="532"/>
      <c r="ED39" s="532"/>
      <c r="EE39" s="547"/>
      <c r="EF39" s="532"/>
      <c r="EG39" s="532"/>
      <c r="EH39" s="532"/>
      <c r="EI39" s="547"/>
      <c r="EJ39" s="532"/>
      <c r="EK39" s="532"/>
      <c r="EL39" s="532"/>
      <c r="EM39" s="547"/>
      <c r="EN39" s="532"/>
      <c r="EO39" s="532"/>
      <c r="EP39" s="532"/>
      <c r="EQ39" s="547"/>
      <c r="ER39" s="532"/>
      <c r="ES39" s="532"/>
      <c r="ET39" s="532"/>
      <c r="EU39" s="547"/>
      <c r="EV39" s="532"/>
      <c r="EW39" s="532"/>
      <c r="EX39" s="532"/>
      <c r="EY39" s="547"/>
      <c r="EZ39" s="532"/>
      <c r="FA39" s="532"/>
      <c r="FB39" s="532"/>
      <c r="FC39" s="547"/>
      <c r="FD39" s="532"/>
      <c r="FE39" s="532"/>
      <c r="FF39" s="532"/>
      <c r="FG39" s="547"/>
      <c r="FH39" s="532"/>
      <c r="FI39" s="532"/>
      <c r="FJ39" s="532"/>
      <c r="FK39" s="547"/>
      <c r="FL39" s="532"/>
      <c r="FM39" s="532"/>
      <c r="FN39" s="532"/>
      <c r="FO39" s="547"/>
      <c r="FP39" s="532"/>
      <c r="FQ39" s="532"/>
      <c r="FR39" s="532"/>
      <c r="FS39" s="547"/>
      <c r="FT39" s="532"/>
      <c r="FU39" s="532"/>
      <c r="FV39" s="532"/>
      <c r="FW39" s="547"/>
      <c r="FX39" s="532"/>
      <c r="FY39" s="532"/>
      <c r="FZ39" s="532"/>
      <c r="GA39" s="547"/>
      <c r="GB39" s="532"/>
      <c r="GC39" s="532"/>
      <c r="GD39" s="532"/>
      <c r="GE39" s="547"/>
      <c r="GF39" s="532"/>
      <c r="GG39" s="532"/>
      <c r="GH39" s="532"/>
      <c r="GI39" s="547"/>
      <c r="GJ39" s="532"/>
      <c r="GK39" s="532"/>
      <c r="GL39" s="532"/>
      <c r="GM39" s="547"/>
      <c r="GN39" s="532"/>
      <c r="GO39" s="532"/>
      <c r="GP39" s="532"/>
      <c r="GQ39" s="547"/>
      <c r="GR39" s="532"/>
      <c r="GS39" s="532"/>
      <c r="GT39" s="532"/>
      <c r="GU39" s="547"/>
      <c r="GV39" s="532"/>
      <c r="GW39" s="532"/>
      <c r="GX39" s="532"/>
      <c r="GY39" s="547"/>
      <c r="GZ39" s="532"/>
      <c r="HA39" s="532"/>
      <c r="HB39" s="532"/>
      <c r="HC39" s="547"/>
      <c r="HD39" s="532"/>
      <c r="HE39" s="532"/>
      <c r="HF39" s="532"/>
      <c r="HG39" s="547"/>
      <c r="HH39" s="532"/>
      <c r="HI39" s="532"/>
      <c r="HJ39" s="532"/>
      <c r="HK39" s="547"/>
      <c r="HL39" s="532"/>
      <c r="HM39" s="532"/>
      <c r="HN39" s="532"/>
      <c r="HO39" s="547"/>
      <c r="HP39" s="532"/>
      <c r="HQ39" s="532"/>
      <c r="HR39" s="532"/>
      <c r="HS39" s="547"/>
      <c r="HT39" s="532"/>
      <c r="HU39" s="532"/>
      <c r="HV39" s="532"/>
      <c r="HW39" s="547"/>
      <c r="HX39" s="532"/>
      <c r="HY39" s="532"/>
      <c r="HZ39" s="532"/>
      <c r="IA39" s="547"/>
      <c r="IB39" s="532"/>
      <c r="IC39" s="532"/>
      <c r="ID39" s="532"/>
      <c r="IE39" s="547"/>
      <c r="IF39" s="532"/>
      <c r="IG39" s="532"/>
      <c r="IH39" s="532"/>
      <c r="II39" s="547"/>
      <c r="IJ39" s="532"/>
      <c r="IK39" s="532"/>
      <c r="IL39" s="532"/>
      <c r="IM39" s="547"/>
      <c r="IN39" s="532"/>
      <c r="IO39" s="532"/>
      <c r="IP39" s="532"/>
      <c r="IQ39" s="547"/>
      <c r="IR39" s="532"/>
      <c r="IS39" s="532"/>
      <c r="IT39" s="532"/>
      <c r="IU39" s="547"/>
      <c r="IV39" s="532"/>
    </row>
    <row r="40" spans="1:256" ht="16.5" thickBot="1" x14ac:dyDescent="0.3">
      <c r="A40" s="560"/>
      <c r="B40" s="561"/>
      <c r="C40" s="562"/>
      <c r="D40" s="562"/>
      <c r="E40" s="563"/>
      <c r="F40" s="563"/>
      <c r="G40" s="563"/>
      <c r="H40" s="563"/>
      <c r="I40" s="563"/>
      <c r="J40" s="563"/>
      <c r="K40" s="563"/>
      <c r="L40" s="563"/>
      <c r="M40" s="563"/>
      <c r="N40" s="563"/>
      <c r="O40" s="563"/>
      <c r="P40" s="563"/>
      <c r="Q40" s="563"/>
      <c r="R40" s="563"/>
      <c r="S40" s="563"/>
      <c r="T40" s="563"/>
      <c r="U40" s="563"/>
      <c r="V40" s="563"/>
      <c r="W40" s="563"/>
      <c r="X40" s="563"/>
      <c r="Y40" s="563"/>
      <c r="Z40" s="514"/>
      <c r="AA40" s="547"/>
      <c r="AB40" s="514"/>
      <c r="AC40" s="514"/>
      <c r="AD40" s="514"/>
      <c r="AE40" s="547"/>
      <c r="AF40" s="514"/>
      <c r="AG40" s="514"/>
      <c r="AH40" s="514"/>
      <c r="AI40" s="547"/>
      <c r="AJ40" s="514"/>
      <c r="AK40" s="514"/>
      <c r="AL40" s="514"/>
      <c r="AM40" s="547"/>
      <c r="AN40" s="514"/>
      <c r="AO40" s="514"/>
      <c r="AP40" s="514"/>
      <c r="AQ40" s="547"/>
      <c r="AR40" s="514"/>
      <c r="AS40" s="514"/>
      <c r="AT40" s="514"/>
      <c r="AU40" s="547"/>
      <c r="AV40" s="514"/>
      <c r="AW40" s="514"/>
      <c r="AX40" s="514"/>
      <c r="AY40" s="547"/>
      <c r="AZ40" s="514"/>
      <c r="BA40" s="514"/>
      <c r="BB40" s="514"/>
      <c r="BC40" s="547"/>
      <c r="BD40" s="514"/>
      <c r="BE40" s="514"/>
      <c r="BF40" s="514"/>
      <c r="BG40" s="547"/>
      <c r="BH40" s="514"/>
      <c r="BI40" s="514"/>
      <c r="BJ40" s="514"/>
      <c r="BK40" s="547"/>
      <c r="BL40" s="514"/>
      <c r="BM40" s="514"/>
      <c r="BN40" s="514"/>
      <c r="BO40" s="547"/>
      <c r="BP40" s="514"/>
      <c r="BQ40" s="514"/>
      <c r="BR40" s="514"/>
      <c r="BS40" s="547"/>
      <c r="BT40" s="514"/>
      <c r="BU40" s="514"/>
      <c r="BV40" s="514"/>
      <c r="BW40" s="547"/>
      <c r="BX40" s="514"/>
      <c r="BY40" s="514"/>
      <c r="BZ40" s="514"/>
      <c r="CA40" s="547"/>
      <c r="CB40" s="514"/>
      <c r="CC40" s="514"/>
      <c r="CD40" s="514"/>
      <c r="CE40" s="547"/>
      <c r="CF40" s="514"/>
      <c r="CG40" s="514"/>
      <c r="CH40" s="514"/>
      <c r="CI40" s="547"/>
      <c r="CJ40" s="514"/>
      <c r="CK40" s="514"/>
      <c r="CL40" s="514"/>
      <c r="CM40" s="547"/>
      <c r="CN40" s="514"/>
      <c r="CO40" s="514"/>
      <c r="CP40" s="514"/>
      <c r="CQ40" s="547"/>
      <c r="CR40" s="514"/>
      <c r="CS40" s="514"/>
      <c r="CT40" s="514"/>
      <c r="CU40" s="547"/>
      <c r="CV40" s="514"/>
      <c r="CW40" s="514"/>
      <c r="CX40" s="514"/>
      <c r="CY40" s="547"/>
      <c r="CZ40" s="514"/>
      <c r="DA40" s="514"/>
      <c r="DB40" s="514"/>
      <c r="DC40" s="547"/>
      <c r="DD40" s="514"/>
      <c r="DE40" s="514"/>
      <c r="DF40" s="514"/>
      <c r="DG40" s="547"/>
      <c r="DH40" s="514"/>
      <c r="DI40" s="514"/>
      <c r="DJ40" s="514"/>
      <c r="DK40" s="547"/>
      <c r="DL40" s="514"/>
      <c r="DM40" s="514"/>
      <c r="DN40" s="514"/>
      <c r="DO40" s="547"/>
      <c r="DP40" s="514"/>
      <c r="DQ40" s="514"/>
      <c r="DR40" s="514"/>
      <c r="DS40" s="547"/>
      <c r="DT40" s="514"/>
      <c r="DU40" s="514"/>
      <c r="DV40" s="514"/>
      <c r="DW40" s="547"/>
      <c r="DX40" s="514"/>
      <c r="DY40" s="514"/>
      <c r="DZ40" s="514"/>
      <c r="EA40" s="547"/>
      <c r="EB40" s="514"/>
      <c r="EC40" s="514"/>
      <c r="ED40" s="514"/>
      <c r="EE40" s="547"/>
      <c r="EF40" s="514"/>
      <c r="EG40" s="514"/>
      <c r="EH40" s="514"/>
      <c r="EI40" s="547"/>
      <c r="EJ40" s="514"/>
      <c r="EK40" s="514"/>
      <c r="EL40" s="514"/>
      <c r="EM40" s="547"/>
      <c r="EN40" s="514"/>
      <c r="EO40" s="514"/>
      <c r="EP40" s="514"/>
      <c r="EQ40" s="547"/>
      <c r="ER40" s="514"/>
      <c r="ES40" s="514"/>
      <c r="ET40" s="514"/>
      <c r="EU40" s="547"/>
      <c r="EV40" s="514"/>
      <c r="EW40" s="514"/>
      <c r="EX40" s="514"/>
      <c r="EY40" s="547"/>
      <c r="EZ40" s="514"/>
      <c r="FA40" s="514"/>
      <c r="FB40" s="514"/>
      <c r="FC40" s="547"/>
      <c r="FD40" s="514"/>
      <c r="FE40" s="514"/>
      <c r="FF40" s="514"/>
      <c r="FG40" s="547"/>
      <c r="FH40" s="514"/>
      <c r="FI40" s="514"/>
      <c r="FJ40" s="514"/>
      <c r="FK40" s="547"/>
      <c r="FL40" s="514"/>
      <c r="FM40" s="514"/>
      <c r="FN40" s="514"/>
      <c r="FO40" s="547"/>
      <c r="FP40" s="514"/>
      <c r="FQ40" s="514"/>
      <c r="FR40" s="514"/>
      <c r="FS40" s="547"/>
      <c r="FT40" s="514"/>
      <c r="FU40" s="514"/>
      <c r="FV40" s="514"/>
      <c r="FW40" s="547"/>
      <c r="FX40" s="514"/>
      <c r="FY40" s="514"/>
      <c r="FZ40" s="514"/>
      <c r="GA40" s="547"/>
      <c r="GB40" s="514"/>
      <c r="GC40" s="514"/>
      <c r="GD40" s="514"/>
      <c r="GE40" s="547"/>
      <c r="GF40" s="514"/>
      <c r="GG40" s="514"/>
      <c r="GH40" s="514"/>
      <c r="GI40" s="547"/>
      <c r="GJ40" s="514"/>
      <c r="GK40" s="514"/>
      <c r="GL40" s="514"/>
      <c r="GM40" s="547"/>
      <c r="GN40" s="514"/>
      <c r="GO40" s="514"/>
      <c r="GP40" s="514"/>
      <c r="GQ40" s="547"/>
      <c r="GR40" s="514"/>
      <c r="GS40" s="514"/>
      <c r="GT40" s="514"/>
      <c r="GU40" s="547"/>
      <c r="GV40" s="514"/>
      <c r="GW40" s="514"/>
      <c r="GX40" s="514"/>
      <c r="GY40" s="547"/>
      <c r="GZ40" s="514"/>
      <c r="HA40" s="514"/>
      <c r="HB40" s="514"/>
      <c r="HC40" s="547"/>
      <c r="HD40" s="514"/>
      <c r="HE40" s="514"/>
      <c r="HF40" s="514"/>
      <c r="HG40" s="547"/>
      <c r="HH40" s="514"/>
      <c r="HI40" s="514"/>
      <c r="HJ40" s="514"/>
      <c r="HK40" s="547"/>
      <c r="HL40" s="514"/>
      <c r="HM40" s="514"/>
      <c r="HN40" s="514"/>
      <c r="HO40" s="547"/>
      <c r="HP40" s="514"/>
      <c r="HQ40" s="514"/>
      <c r="HR40" s="514"/>
      <c r="HS40" s="547"/>
      <c r="HT40" s="514"/>
      <c r="HU40" s="514"/>
      <c r="HV40" s="514"/>
      <c r="HW40" s="547"/>
      <c r="HX40" s="514"/>
      <c r="HY40" s="514"/>
      <c r="HZ40" s="514"/>
      <c r="IA40" s="547"/>
      <c r="IB40" s="514"/>
      <c r="IC40" s="514"/>
      <c r="ID40" s="514"/>
      <c r="IE40" s="547"/>
      <c r="IF40" s="514"/>
      <c r="IG40" s="514"/>
      <c r="IH40" s="514"/>
      <c r="II40" s="547"/>
      <c r="IJ40" s="514"/>
      <c r="IK40" s="514"/>
      <c r="IL40" s="514"/>
      <c r="IM40" s="547"/>
      <c r="IN40" s="514"/>
      <c r="IO40" s="514"/>
      <c r="IP40" s="514"/>
      <c r="IQ40" s="547"/>
      <c r="IR40" s="514"/>
      <c r="IS40" s="514"/>
      <c r="IT40" s="514"/>
      <c r="IU40" s="547"/>
      <c r="IV40" s="514"/>
    </row>
    <row r="41" spans="1:256" x14ac:dyDescent="0.25">
      <c r="C41" s="1210">
        <f>-C23-C12</f>
        <v>13639242.009134063</v>
      </c>
      <c r="D41" s="1211"/>
      <c r="E41" s="1212"/>
      <c r="F41" s="1212"/>
      <c r="G41" s="1212"/>
      <c r="H41" s="1212"/>
    </row>
    <row r="42" spans="1:256" x14ac:dyDescent="0.25">
      <c r="C42" s="1210">
        <f t="shared" ref="C42:H42" si="11">-C23-C12-C30</f>
        <v>0</v>
      </c>
      <c r="D42" s="1210">
        <f t="shared" si="11"/>
        <v>16973804.931508496</v>
      </c>
      <c r="E42" s="1210">
        <f t="shared" si="11"/>
        <v>13392346.941649646</v>
      </c>
      <c r="F42" s="1210">
        <f t="shared" si="11"/>
        <v>3296712.4745155601</v>
      </c>
      <c r="G42" s="1210">
        <f t="shared" si="11"/>
        <v>2145203.1031069644</v>
      </c>
      <c r="H42" s="1210">
        <f t="shared" si="11"/>
        <v>2269192.7927520806</v>
      </c>
      <c r="I42" s="566"/>
      <c r="J42" s="566"/>
      <c r="K42" s="566"/>
      <c r="L42" s="566"/>
      <c r="M42" s="566"/>
      <c r="N42" s="566"/>
      <c r="O42" s="566"/>
      <c r="P42" s="566"/>
      <c r="Q42" s="566"/>
      <c r="R42" s="566"/>
      <c r="S42" s="566"/>
      <c r="T42" s="566"/>
      <c r="U42" s="566"/>
      <c r="V42" s="566"/>
      <c r="W42" s="566"/>
      <c r="X42" s="566"/>
      <c r="AA42" s="568"/>
      <c r="AE42" s="568"/>
      <c r="AI42" s="568"/>
      <c r="AM42" s="568"/>
      <c r="AQ42" s="568"/>
      <c r="AU42" s="568"/>
      <c r="AY42" s="568"/>
      <c r="BC42" s="568"/>
      <c r="BG42" s="568"/>
      <c r="BK42" s="568"/>
      <c r="BO42" s="568"/>
      <c r="BS42" s="568"/>
      <c r="BW42" s="568"/>
      <c r="CA42" s="568"/>
      <c r="CE42" s="568"/>
      <c r="CI42" s="568"/>
      <c r="CM42" s="568"/>
      <c r="CQ42" s="568"/>
      <c r="CU42" s="568"/>
      <c r="CY42" s="568"/>
      <c r="DC42" s="568"/>
      <c r="DG42" s="568"/>
      <c r="DK42" s="568"/>
      <c r="DO42" s="568"/>
      <c r="DS42" s="568"/>
      <c r="DW42" s="568"/>
      <c r="EA42" s="568"/>
      <c r="EE42" s="568"/>
      <c r="EI42" s="568"/>
      <c r="EM42" s="568"/>
      <c r="EQ42" s="568"/>
      <c r="EU42" s="568"/>
      <c r="EY42" s="568"/>
      <c r="FC42" s="568"/>
      <c r="FG42" s="568"/>
      <c r="FK42" s="568"/>
      <c r="FO42" s="568"/>
      <c r="FS42" s="568"/>
      <c r="FW42" s="568"/>
      <c r="GA42" s="568"/>
      <c r="GE42" s="568"/>
      <c r="GI42" s="568"/>
      <c r="GM42" s="568"/>
      <c r="GQ42" s="568"/>
      <c r="GU42" s="568"/>
      <c r="GY42" s="568"/>
      <c r="HC42" s="568"/>
      <c r="HG42" s="568"/>
      <c r="HK42" s="568"/>
      <c r="HO42" s="568"/>
      <c r="HS42" s="568"/>
      <c r="HW42" s="568"/>
      <c r="IA42" s="568"/>
      <c r="IE42" s="568"/>
      <c r="II42" s="568"/>
      <c r="IM42" s="568"/>
      <c r="IQ42" s="568"/>
      <c r="IU42" s="568"/>
    </row>
    <row r="43" spans="1:256" x14ac:dyDescent="0.25">
      <c r="C43" s="565"/>
      <c r="D43" s="565"/>
      <c r="E43" s="565"/>
      <c r="F43" s="565"/>
      <c r="G43" s="565"/>
      <c r="H43" s="565"/>
      <c r="I43" s="565"/>
      <c r="J43" s="565"/>
      <c r="K43" s="565"/>
      <c r="L43" s="565"/>
      <c r="M43" s="569"/>
      <c r="N43" s="569"/>
      <c r="O43" s="569"/>
      <c r="P43" s="569"/>
      <c r="Q43" s="569"/>
      <c r="R43" s="569"/>
      <c r="S43" s="569"/>
      <c r="T43" s="569"/>
      <c r="U43" s="569"/>
      <c r="V43" s="569"/>
      <c r="W43" s="569"/>
      <c r="X43" s="569"/>
    </row>
    <row r="44" spans="1:256" x14ac:dyDescent="0.25">
      <c r="C44" s="565"/>
      <c r="D44" s="565"/>
      <c r="E44" s="565"/>
      <c r="F44" s="565"/>
      <c r="G44" s="565"/>
      <c r="H44" s="565"/>
      <c r="I44" s="565"/>
      <c r="J44" s="569"/>
      <c r="K44" s="569"/>
      <c r="L44" s="569"/>
      <c r="M44" s="569"/>
      <c r="N44" s="569"/>
      <c r="O44" s="569"/>
      <c r="P44" s="569"/>
      <c r="Q44" s="569"/>
      <c r="R44" s="569"/>
      <c r="S44" s="569"/>
      <c r="T44" s="569"/>
      <c r="U44" s="569"/>
      <c r="V44" s="569"/>
      <c r="W44" s="569"/>
      <c r="X44" s="569"/>
    </row>
    <row r="45" spans="1:256" x14ac:dyDescent="0.25">
      <c r="C45" s="565"/>
      <c r="D45" s="565"/>
      <c r="E45" s="571"/>
      <c r="F45" s="565"/>
      <c r="G45" s="565"/>
      <c r="H45" s="565"/>
      <c r="I45" s="565"/>
      <c r="J45" s="565"/>
      <c r="K45" s="565"/>
      <c r="L45" s="565"/>
    </row>
    <row r="46" spans="1:256" x14ac:dyDescent="0.25">
      <c r="D46" s="565"/>
    </row>
    <row r="49" spans="4:4" x14ac:dyDescent="0.25">
      <c r="D49" s="571"/>
    </row>
    <row r="60" spans="4:4" ht="12" customHeight="1" x14ac:dyDescent="0.25"/>
  </sheetData>
  <mergeCells count="1">
    <mergeCell ref="A1:L1"/>
  </mergeCells>
  <phoneticPr fontId="32" type="noConversion"/>
  <printOptions horizontalCentered="1" verticalCentered="1"/>
  <pageMargins left="0" right="0" top="0" bottom="0" header="0" footer="0"/>
  <pageSetup paperSize="9" scale="78" orientation="landscape" r:id="rId1"/>
  <headerFooter alignWithMargins="0">
    <oddFooter>&amp;L&amp;F - &amp;D&amp;RPage &amp;P/&amp;N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ofitability">
    <pageSetUpPr fitToPage="1"/>
  </sheetPr>
  <dimension ref="A1:AC108"/>
  <sheetViews>
    <sheetView showGridLines="0" showZeros="0" topLeftCell="A16" workbookViewId="0">
      <selection activeCell="I26" sqref="I26"/>
    </sheetView>
  </sheetViews>
  <sheetFormatPr baseColWidth="10" defaultColWidth="10.28515625" defaultRowHeight="11.25" x14ac:dyDescent="0.2"/>
  <cols>
    <col min="1" max="1" width="16.7109375" style="205" customWidth="1"/>
    <col min="2" max="2" width="3.28515625" style="205" customWidth="1"/>
    <col min="3" max="3" width="35.5703125" style="205" bestFit="1" customWidth="1"/>
    <col min="4" max="4" width="10.28515625" style="205" customWidth="1"/>
    <col min="5" max="7" width="8" style="205" customWidth="1"/>
    <col min="8" max="8" width="8.42578125" style="205" customWidth="1"/>
    <col min="9" max="14" width="8" style="205" customWidth="1"/>
    <col min="15" max="15" width="9.42578125" style="205" customWidth="1"/>
    <col min="16" max="16" width="8" style="205" customWidth="1"/>
    <col min="17" max="17" width="8" style="204" customWidth="1"/>
    <col min="18" max="24" width="8" style="205" customWidth="1"/>
    <col min="25" max="25" width="27.42578125" style="205" customWidth="1"/>
    <col min="26" max="26" width="14.7109375" style="205" bestFit="1" customWidth="1"/>
    <col min="27" max="27" width="12.85546875" style="205" customWidth="1"/>
    <col min="28" max="28" width="11.5703125" style="205" customWidth="1"/>
    <col min="29" max="29" width="36.85546875" style="205" customWidth="1"/>
    <col min="30" max="16384" width="10.28515625" style="205"/>
  </cols>
  <sheetData>
    <row r="1" spans="1:29" ht="22.5" customHeight="1" x14ac:dyDescent="0.2">
      <c r="A1" s="1438" t="s">
        <v>644</v>
      </c>
      <c r="B1" s="1438"/>
      <c r="C1" s="1438"/>
      <c r="D1" s="1438"/>
      <c r="E1" s="1438"/>
      <c r="F1" s="1438"/>
      <c r="G1" s="1438"/>
      <c r="H1" s="1438"/>
      <c r="I1" s="1438"/>
      <c r="J1" s="1438"/>
      <c r="K1" s="1438"/>
      <c r="L1" s="1438"/>
      <c r="M1" s="1438"/>
      <c r="N1" s="1438"/>
      <c r="O1" s="1438"/>
      <c r="P1" s="1438"/>
    </row>
    <row r="2" spans="1:29" ht="14.25" customHeight="1" x14ac:dyDescent="0.2">
      <c r="B2" s="206"/>
    </row>
    <row r="3" spans="1:29" ht="14.25" customHeight="1" x14ac:dyDescent="0.2">
      <c r="A3" s="204" t="s">
        <v>645</v>
      </c>
      <c r="B3" s="207" t="s">
        <v>646</v>
      </c>
      <c r="C3" s="207"/>
      <c r="D3" s="207"/>
      <c r="E3" s="207"/>
      <c r="F3" s="207"/>
      <c r="G3" s="207"/>
      <c r="L3" s="1441" t="s">
        <v>647</v>
      </c>
      <c r="M3" s="1442"/>
      <c r="N3" s="1442"/>
      <c r="O3" s="208">
        <f>'Données Investissement'!F5*1000+'Données gestion'!E75/1000</f>
        <v>56660</v>
      </c>
      <c r="P3" s="209" t="str">
        <f>B7</f>
        <v>k€</v>
      </c>
    </row>
    <row r="4" spans="1:29" ht="14.25" customHeight="1" x14ac:dyDescent="0.2">
      <c r="A4" s="204" t="s">
        <v>654</v>
      </c>
      <c r="B4" s="1379" t="s">
        <v>655</v>
      </c>
      <c r="C4" s="1379"/>
      <c r="D4" s="1379"/>
      <c r="E4" s="1379"/>
      <c r="F4" s="1379"/>
      <c r="G4" s="1379"/>
      <c r="L4" s="1436" t="s">
        <v>656</v>
      </c>
      <c r="M4" s="1437"/>
      <c r="N4" s="1437"/>
      <c r="O4" s="210">
        <f>O3-'Données gestion'!E75/1000</f>
        <v>56660</v>
      </c>
      <c r="P4" s="211" t="str">
        <f>B7</f>
        <v>k€</v>
      </c>
      <c r="Q4" s="580"/>
    </row>
    <row r="5" spans="1:29" ht="14.25" customHeight="1" x14ac:dyDescent="0.2">
      <c r="A5" s="204" t="s">
        <v>657</v>
      </c>
      <c r="B5" s="1382" t="s">
        <v>832</v>
      </c>
      <c r="C5" s="1379"/>
      <c r="D5" s="1379"/>
      <c r="E5" s="1379"/>
      <c r="F5" s="1379"/>
      <c r="G5" s="1379"/>
      <c r="L5" s="1439" t="s">
        <v>658</v>
      </c>
      <c r="M5" s="1440"/>
      <c r="N5" s="1440"/>
      <c r="O5" s="1375" t="s">
        <v>1127</v>
      </c>
      <c r="P5" s="1376"/>
    </row>
    <row r="6" spans="1:29" ht="14.25" customHeight="1" x14ac:dyDescent="0.2">
      <c r="A6" s="204" t="s">
        <v>659</v>
      </c>
      <c r="B6" s="327" t="s">
        <v>272</v>
      </c>
      <c r="C6" s="212"/>
      <c r="D6" s="212"/>
      <c r="E6" s="212"/>
      <c r="F6" s="212"/>
      <c r="G6" s="212"/>
      <c r="L6" s="1444" t="s">
        <v>660</v>
      </c>
      <c r="M6" s="1445"/>
      <c r="N6" s="1445"/>
      <c r="O6" s="1401" t="s">
        <v>1128</v>
      </c>
      <c r="P6" s="1402"/>
    </row>
    <row r="7" spans="1:29" ht="14.25" customHeight="1" x14ac:dyDescent="0.2">
      <c r="A7" s="204" t="s">
        <v>661</v>
      </c>
      <c r="B7" s="1443" t="s">
        <v>984</v>
      </c>
      <c r="C7" s="1443"/>
      <c r="D7" s="1443"/>
      <c r="E7" s="1443"/>
      <c r="F7" s="1443"/>
      <c r="G7" s="1443"/>
      <c r="Q7" s="213"/>
    </row>
    <row r="8" spans="1:29" ht="14.25" customHeight="1" x14ac:dyDescent="0.2">
      <c r="B8" s="206"/>
      <c r="E8" s="424" t="s">
        <v>349</v>
      </c>
      <c r="F8" s="425" t="s">
        <v>834</v>
      </c>
      <c r="G8" s="425" t="s">
        <v>835</v>
      </c>
      <c r="H8" s="425" t="s">
        <v>945</v>
      </c>
      <c r="I8" s="425" t="s">
        <v>946</v>
      </c>
      <c r="J8" s="425" t="s">
        <v>947</v>
      </c>
      <c r="K8" s="425" t="s">
        <v>948</v>
      </c>
      <c r="L8" s="425" t="s">
        <v>949</v>
      </c>
      <c r="M8" s="425" t="s">
        <v>846</v>
      </c>
      <c r="N8" s="425" t="s">
        <v>847</v>
      </c>
      <c r="O8" s="425" t="s">
        <v>848</v>
      </c>
      <c r="P8" s="426" t="s">
        <v>849</v>
      </c>
    </row>
    <row r="9" spans="1:29" ht="14.25" customHeight="1" x14ac:dyDescent="0.2">
      <c r="B9" s="206"/>
      <c r="C9" s="216" t="s">
        <v>662</v>
      </c>
      <c r="D9" s="217"/>
      <c r="E9" s="218">
        <v>2013</v>
      </c>
      <c r="F9" s="219">
        <f t="shared" ref="F9:X9" si="0">E9+1</f>
        <v>2014</v>
      </c>
      <c r="G9" s="219">
        <f t="shared" si="0"/>
        <v>2015</v>
      </c>
      <c r="H9" s="219">
        <f t="shared" si="0"/>
        <v>2016</v>
      </c>
      <c r="I9" s="219">
        <f t="shared" si="0"/>
        <v>2017</v>
      </c>
      <c r="J9" s="219">
        <f t="shared" si="0"/>
        <v>2018</v>
      </c>
      <c r="K9" s="219">
        <f t="shared" si="0"/>
        <v>2019</v>
      </c>
      <c r="L9" s="219">
        <f t="shared" si="0"/>
        <v>2020</v>
      </c>
      <c r="M9" s="219">
        <f t="shared" si="0"/>
        <v>2021</v>
      </c>
      <c r="N9" s="219">
        <f t="shared" si="0"/>
        <v>2022</v>
      </c>
      <c r="O9" s="219">
        <f t="shared" si="0"/>
        <v>2023</v>
      </c>
      <c r="P9" s="219">
        <f t="shared" si="0"/>
        <v>2024</v>
      </c>
      <c r="Q9" s="219">
        <f t="shared" si="0"/>
        <v>2025</v>
      </c>
      <c r="R9" s="219">
        <f t="shared" si="0"/>
        <v>2026</v>
      </c>
      <c r="S9" s="219">
        <f t="shared" si="0"/>
        <v>2027</v>
      </c>
      <c r="T9" s="219">
        <f t="shared" si="0"/>
        <v>2028</v>
      </c>
      <c r="U9" s="219">
        <f t="shared" si="0"/>
        <v>2029</v>
      </c>
      <c r="V9" s="219">
        <f t="shared" si="0"/>
        <v>2030</v>
      </c>
      <c r="W9" s="219">
        <f t="shared" si="0"/>
        <v>2031</v>
      </c>
      <c r="X9" s="219">
        <f t="shared" si="0"/>
        <v>2032</v>
      </c>
      <c r="Y9" s="221" t="s">
        <v>663</v>
      </c>
      <c r="Z9" s="222">
        <f ca="1">D35</f>
        <v>0</v>
      </c>
      <c r="AA9" s="222" t="str">
        <f>E35</f>
        <v>k€</v>
      </c>
    </row>
    <row r="10" spans="1:29" ht="14.25" customHeight="1" x14ac:dyDescent="0.2">
      <c r="B10" s="206"/>
      <c r="Q10" s="220"/>
      <c r="R10" s="220"/>
      <c r="S10" s="220"/>
      <c r="T10" s="220"/>
      <c r="Y10" s="223" t="s">
        <v>664</v>
      </c>
      <c r="Z10" s="224">
        <f ca="1">O36</f>
        <v>0</v>
      </c>
      <c r="AA10" s="224" t="str">
        <f>AA9</f>
        <v>k€</v>
      </c>
    </row>
    <row r="11" spans="1:29" ht="14.25" customHeight="1" x14ac:dyDescent="0.2">
      <c r="B11" s="206"/>
      <c r="C11" s="216" t="s">
        <v>665</v>
      </c>
      <c r="D11" s="225">
        <f>'Project Data'!H26</f>
        <v>0</v>
      </c>
      <c r="E11" s="226">
        <f>'Project Data'!H16</f>
        <v>0</v>
      </c>
      <c r="F11" s="226">
        <f>'Project Data'!I16</f>
        <v>0</v>
      </c>
      <c r="G11" s="226">
        <f>'Project Data'!J16</f>
        <v>0</v>
      </c>
      <c r="H11" s="226">
        <f>'Project Data'!K16</f>
        <v>0</v>
      </c>
      <c r="I11" s="226">
        <f>'Project Data'!L16</f>
        <v>0</v>
      </c>
      <c r="J11" s="226">
        <f>'Project Data'!M16</f>
        <v>0</v>
      </c>
      <c r="K11" s="226">
        <f>'Project Data'!N16</f>
        <v>0</v>
      </c>
      <c r="L11" s="226">
        <f>'Project Data'!O16</f>
        <v>0</v>
      </c>
      <c r="M11" s="226">
        <f>'Project Data'!P16</f>
        <v>0</v>
      </c>
      <c r="N11" s="226">
        <f>'Project Data'!Q16</f>
        <v>0</v>
      </c>
      <c r="O11" s="226">
        <f>'Project Data'!R16</f>
        <v>0</v>
      </c>
      <c r="P11" s="226">
        <f>'Project Data'!S16</f>
        <v>0</v>
      </c>
      <c r="Q11" s="220"/>
      <c r="R11" s="220"/>
      <c r="S11" s="220"/>
      <c r="T11" s="220"/>
      <c r="Y11" s="227" t="s">
        <v>666</v>
      </c>
      <c r="Z11" s="228">
        <f ca="1">D37</f>
        <v>0.10817638202155688</v>
      </c>
      <c r="AA11" s="229"/>
    </row>
    <row r="12" spans="1:29" ht="14.25" customHeight="1" x14ac:dyDescent="0.2">
      <c r="A12" s="1429" t="s">
        <v>667</v>
      </c>
      <c r="B12" s="230" t="s">
        <v>668</v>
      </c>
      <c r="C12" s="231" t="s">
        <v>669</v>
      </c>
      <c r="D12" s="232">
        <f>SUM(E12:P12)</f>
        <v>132571.24654842494</v>
      </c>
      <c r="E12" s="233">
        <f>-'Données gestion'!B75/1000</f>
        <v>0</v>
      </c>
      <c r="F12" s="233">
        <f>-'Données gestion'!C75/1000</f>
        <v>0</v>
      </c>
      <c r="G12" s="233">
        <f>Exploitation!B31/1000+Exploitation!B28/1000</f>
        <v>-1938.6364306869389</v>
      </c>
      <c r="H12" s="233">
        <f>Exploitation!C31/1000+Exploitation!C28/1000</f>
        <v>2716.76037174057</v>
      </c>
      <c r="I12" s="233">
        <f>Exploitation!D31/1000+Exploitation!D28/1000</f>
        <v>5415.8583143945953</v>
      </c>
      <c r="J12" s="233">
        <f>Exploitation!E31/1000+Exploitation!E28/1000</f>
        <v>10090.947409256076</v>
      </c>
      <c r="K12" s="233">
        <f>Exploitation!F31/1000+Exploitation!F28/1000</f>
        <v>14871.532974677637</v>
      </c>
      <c r="L12" s="233">
        <f>Exploitation!G31/1000+Exploitation!G28/1000</f>
        <v>19905.381558407822</v>
      </c>
      <c r="M12" s="233">
        <f>Exploitation!H31/1000+Exploitation!H28/1000</f>
        <v>20375.386963298184</v>
      </c>
      <c r="N12" s="233">
        <f>Exploitation!I31/1000+Exploitation!I28/1000</f>
        <v>20609.717987224161</v>
      </c>
      <c r="O12" s="233">
        <f>Exploitation!J31/1000+Exploitation!J28/1000</f>
        <v>20325.36373408289</v>
      </c>
      <c r="P12" s="233">
        <f>Exploitation!K31/1000+Exploitation!K28/1000</f>
        <v>20198.933666029945</v>
      </c>
      <c r="Q12" s="328" t="s">
        <v>536</v>
      </c>
      <c r="R12" s="220"/>
      <c r="S12" s="220"/>
      <c r="T12" s="220"/>
      <c r="Y12" s="223" t="s">
        <v>670</v>
      </c>
      <c r="Z12" s="234">
        <f ca="1">D39</f>
        <v>9</v>
      </c>
      <c r="AA12" s="235">
        <f ca="1">E39</f>
        <v>10.084424401022822</v>
      </c>
    </row>
    <row r="13" spans="1:29" ht="14.25" customHeight="1" x14ac:dyDescent="0.2">
      <c r="A13" s="1429"/>
      <c r="B13" s="236" t="s">
        <v>671</v>
      </c>
      <c r="C13" s="231" t="s">
        <v>673</v>
      </c>
      <c r="D13" s="231"/>
      <c r="E13" s="237"/>
      <c r="F13" s="237"/>
      <c r="G13" s="237"/>
      <c r="H13" s="237"/>
      <c r="I13" s="237"/>
      <c r="J13" s="237"/>
      <c r="K13" s="237"/>
      <c r="L13" s="237"/>
      <c r="M13" s="237"/>
      <c r="N13" s="237"/>
      <c r="O13" s="237"/>
      <c r="P13" s="237"/>
      <c r="Q13" s="220"/>
      <c r="R13" s="220"/>
      <c r="S13" s="220"/>
      <c r="T13" s="220"/>
    </row>
    <row r="14" spans="1:29" ht="14.25" customHeight="1" x14ac:dyDescent="0.2">
      <c r="A14" s="1429"/>
      <c r="B14" s="238" t="s">
        <v>674</v>
      </c>
      <c r="C14" s="239" t="s">
        <v>675</v>
      </c>
      <c r="D14" s="239"/>
      <c r="E14" s="240">
        <f>'Project Data'!H19</f>
        <v>0</v>
      </c>
      <c r="F14" s="240">
        <f>'Project Data'!I19</f>
        <v>0</v>
      </c>
      <c r="G14" s="240">
        <f>'Project Data'!J19</f>
        <v>0</v>
      </c>
      <c r="H14" s="240">
        <f>'Project Data'!K19</f>
        <v>0</v>
      </c>
      <c r="I14" s="240">
        <f>'Project Data'!L19</f>
        <v>0</v>
      </c>
      <c r="J14" s="240">
        <f>'Project Data'!M19</f>
        <v>0</v>
      </c>
      <c r="K14" s="240">
        <f>'Project Data'!N19</f>
        <v>0</v>
      </c>
      <c r="L14" s="240">
        <f>'Project Data'!O19</f>
        <v>0</v>
      </c>
      <c r="M14" s="240">
        <f>'Project Data'!P19</f>
        <v>0</v>
      </c>
      <c r="N14" s="240">
        <f>'Project Data'!Q19</f>
        <v>0</v>
      </c>
      <c r="O14" s="240">
        <f>'Project Data'!R19</f>
        <v>0</v>
      </c>
      <c r="P14" s="240">
        <f>'Project Data'!S19</f>
        <v>0</v>
      </c>
      <c r="Q14" s="220"/>
      <c r="R14" s="220"/>
      <c r="S14" s="220"/>
      <c r="T14" s="220"/>
    </row>
    <row r="15" spans="1:29" ht="14.25" customHeight="1" x14ac:dyDescent="0.2">
      <c r="A15" s="1429" t="s">
        <v>676</v>
      </c>
      <c r="B15" s="230">
        <v>1</v>
      </c>
      <c r="C15" s="231" t="s">
        <v>669</v>
      </c>
      <c r="D15" s="241"/>
      <c r="E15" s="242">
        <f t="shared" ref="E15:P15" si="1">E12*E$50</f>
        <v>0</v>
      </c>
      <c r="F15" s="242">
        <f t="shared" si="1"/>
        <v>0</v>
      </c>
      <c r="G15" s="242">
        <f t="shared" si="1"/>
        <v>-2016.9573424866912</v>
      </c>
      <c r="H15" s="242">
        <f t="shared" si="1"/>
        <v>2883.0478405740664</v>
      </c>
      <c r="I15" s="242">
        <f t="shared" si="1"/>
        <v>5862.2992135041004</v>
      </c>
      <c r="J15" s="242">
        <f t="shared" si="1"/>
        <v>11141.221320660408</v>
      </c>
      <c r="K15" s="242">
        <f t="shared" si="1"/>
        <v>16747.761552927321</v>
      </c>
      <c r="L15" s="242">
        <f t="shared" si="1"/>
        <v>22865.026505233356</v>
      </c>
      <c r="M15" s="242">
        <f t="shared" si="1"/>
        <v>23873.013277099584</v>
      </c>
      <c r="N15" s="242">
        <f t="shared" si="1"/>
        <v>24630.520807933168</v>
      </c>
      <c r="O15" s="242">
        <f t="shared" si="1"/>
        <v>24776.504976210847</v>
      </c>
      <c r="P15" s="242">
        <f t="shared" si="1"/>
        <v>25114.835177309444</v>
      </c>
      <c r="Q15" s="220"/>
      <c r="R15" s="220"/>
      <c r="S15" s="220"/>
      <c r="T15" s="220"/>
      <c r="AB15" s="243" t="s">
        <v>677</v>
      </c>
      <c r="AC15" s="244" t="str">
        <f>B3</f>
        <v>AD</v>
      </c>
    </row>
    <row r="16" spans="1:29" ht="14.25" customHeight="1" x14ac:dyDescent="0.2">
      <c r="A16" s="1429"/>
      <c r="B16" s="236">
        <v>2</v>
      </c>
      <c r="C16" s="231" t="s">
        <v>673</v>
      </c>
      <c r="D16" s="231"/>
      <c r="E16" s="245">
        <f t="shared" ref="E16:P16" si="2">E13*E$50</f>
        <v>0</v>
      </c>
      <c r="F16" s="245">
        <f t="shared" si="2"/>
        <v>0</v>
      </c>
      <c r="G16" s="245">
        <f t="shared" si="2"/>
        <v>0</v>
      </c>
      <c r="H16" s="245">
        <f t="shared" si="2"/>
        <v>0</v>
      </c>
      <c r="I16" s="245">
        <f t="shared" si="2"/>
        <v>0</v>
      </c>
      <c r="J16" s="245">
        <f t="shared" si="2"/>
        <v>0</v>
      </c>
      <c r="K16" s="245">
        <f t="shared" si="2"/>
        <v>0</v>
      </c>
      <c r="L16" s="245">
        <f t="shared" si="2"/>
        <v>0</v>
      </c>
      <c r="M16" s="245">
        <f t="shared" si="2"/>
        <v>0</v>
      </c>
      <c r="N16" s="245">
        <f t="shared" si="2"/>
        <v>0</v>
      </c>
      <c r="O16" s="245">
        <f t="shared" si="2"/>
        <v>0</v>
      </c>
      <c r="P16" s="245">
        <f t="shared" si="2"/>
        <v>0</v>
      </c>
      <c r="Q16" s="220"/>
      <c r="R16" s="220"/>
      <c r="S16" s="220"/>
      <c r="T16" s="220"/>
      <c r="AB16" s="243" t="s">
        <v>645</v>
      </c>
      <c r="AC16" s="244" t="str">
        <f>B4</f>
        <v>Les Ancizes</v>
      </c>
    </row>
    <row r="17" spans="1:29" ht="14.25" customHeight="1" x14ac:dyDescent="0.2">
      <c r="A17" s="1429"/>
      <c r="B17" s="236">
        <v>3</v>
      </c>
      <c r="C17" s="231" t="s">
        <v>675</v>
      </c>
      <c r="D17" s="231"/>
      <c r="E17" s="245">
        <f t="shared" ref="E17:P17" si="3">E14*E$50</f>
        <v>0</v>
      </c>
      <c r="F17" s="245">
        <f t="shared" si="3"/>
        <v>0</v>
      </c>
      <c r="G17" s="245">
        <f t="shared" si="3"/>
        <v>0</v>
      </c>
      <c r="H17" s="245">
        <f t="shared" si="3"/>
        <v>0</v>
      </c>
      <c r="I17" s="245">
        <f t="shared" si="3"/>
        <v>0</v>
      </c>
      <c r="J17" s="245">
        <f t="shared" si="3"/>
        <v>0</v>
      </c>
      <c r="K17" s="245">
        <f t="shared" si="3"/>
        <v>0</v>
      </c>
      <c r="L17" s="245">
        <f t="shared" si="3"/>
        <v>0</v>
      </c>
      <c r="M17" s="245">
        <f t="shared" si="3"/>
        <v>0</v>
      </c>
      <c r="N17" s="245">
        <f t="shared" si="3"/>
        <v>0</v>
      </c>
      <c r="O17" s="245">
        <f t="shared" si="3"/>
        <v>0</v>
      </c>
      <c r="P17" s="245">
        <f t="shared" si="3"/>
        <v>0</v>
      </c>
      <c r="Q17" s="220"/>
      <c r="R17" s="220"/>
      <c r="S17" s="220"/>
      <c r="T17" s="220"/>
      <c r="AB17" s="243" t="s">
        <v>654</v>
      </c>
      <c r="AC17" s="244" t="str">
        <f>B5</f>
        <v>Nouvelle Unité</v>
      </c>
    </row>
    <row r="18" spans="1:29" ht="14.25" customHeight="1" x14ac:dyDescent="0.2">
      <c r="A18" s="1429"/>
      <c r="B18" s="236">
        <v>4</v>
      </c>
      <c r="C18" s="231" t="s">
        <v>678</v>
      </c>
      <c r="D18" s="231"/>
      <c r="E18" s="245">
        <f>'Project Data'!H20</f>
        <v>0</v>
      </c>
      <c r="F18" s="245">
        <f>'Project Data'!I20</f>
        <v>0</v>
      </c>
      <c r="G18" s="245">
        <f>'Project Data'!J20</f>
        <v>0</v>
      </c>
      <c r="H18" s="245">
        <f>'Project Data'!K20</f>
        <v>0</v>
      </c>
      <c r="I18" s="245">
        <f>'Project Data'!L20</f>
        <v>0</v>
      </c>
      <c r="J18" s="245">
        <f>'Project Data'!M20</f>
        <v>0</v>
      </c>
      <c r="K18" s="245">
        <f>'Project Data'!N20</f>
        <v>0</v>
      </c>
      <c r="L18" s="245">
        <f>'Project Data'!O20</f>
        <v>0</v>
      </c>
      <c r="M18" s="245">
        <f>'Project Data'!P20</f>
        <v>0</v>
      </c>
      <c r="N18" s="245">
        <f>'Project Data'!Q20</f>
        <v>0</v>
      </c>
      <c r="O18" s="245">
        <f>'Project Data'!R20</f>
        <v>0</v>
      </c>
      <c r="P18" s="245">
        <f>'Project Data'!S20</f>
        <v>0</v>
      </c>
      <c r="Q18" s="328"/>
      <c r="R18" s="220"/>
      <c r="S18" s="220"/>
      <c r="T18" s="220"/>
      <c r="AB18" s="243" t="s">
        <v>659</v>
      </c>
      <c r="AC18" s="244" t="str">
        <f>B6</f>
        <v>PAMCHR</v>
      </c>
    </row>
    <row r="19" spans="1:29" ht="14.25" customHeight="1" x14ac:dyDescent="0.2">
      <c r="A19" s="1429"/>
      <c r="B19" s="246">
        <v>5</v>
      </c>
      <c r="C19" s="247" t="s">
        <v>679</v>
      </c>
      <c r="D19" s="247"/>
      <c r="E19" s="248">
        <f t="shared" ref="E19:P19" si="4">E15+E16-E17-E18</f>
        <v>0</v>
      </c>
      <c r="F19" s="248">
        <f t="shared" si="4"/>
        <v>0</v>
      </c>
      <c r="G19" s="248">
        <f t="shared" si="4"/>
        <v>-2016.9573424866912</v>
      </c>
      <c r="H19" s="248">
        <f t="shared" si="4"/>
        <v>2883.0478405740664</v>
      </c>
      <c r="I19" s="248">
        <f t="shared" si="4"/>
        <v>5862.2992135041004</v>
      </c>
      <c r="J19" s="248">
        <f t="shared" si="4"/>
        <v>11141.221320660408</v>
      </c>
      <c r="K19" s="248">
        <f t="shared" si="4"/>
        <v>16747.761552927321</v>
      </c>
      <c r="L19" s="248">
        <f t="shared" si="4"/>
        <v>22865.026505233356</v>
      </c>
      <c r="M19" s="248">
        <f t="shared" si="4"/>
        <v>23873.013277099584</v>
      </c>
      <c r="N19" s="248">
        <f t="shared" si="4"/>
        <v>24630.520807933168</v>
      </c>
      <c r="O19" s="248">
        <f t="shared" si="4"/>
        <v>24776.504976210847</v>
      </c>
      <c r="P19" s="248">
        <f t="shared" si="4"/>
        <v>25114.835177309444</v>
      </c>
      <c r="Q19" s="220"/>
      <c r="R19" s="220"/>
      <c r="S19" s="220"/>
      <c r="T19" s="220"/>
      <c r="Y19" s="249"/>
    </row>
    <row r="20" spans="1:29" ht="14.25" customHeight="1" x14ac:dyDescent="0.2">
      <c r="A20" s="1429"/>
      <c r="B20" s="236">
        <v>6</v>
      </c>
      <c r="C20" s="231" t="s">
        <v>680</v>
      </c>
      <c r="D20" s="231"/>
      <c r="E20" s="245">
        <f>'Project Data'!H21</f>
        <v>0</v>
      </c>
      <c r="F20" s="245">
        <f>'Project Data'!I21</f>
        <v>0</v>
      </c>
      <c r="G20" s="245">
        <f>'Project Data'!J21</f>
        <v>0</v>
      </c>
      <c r="H20" s="245">
        <f>'Project Data'!K21</f>
        <v>0</v>
      </c>
      <c r="I20" s="245">
        <f>'Project Data'!L21</f>
        <v>0</v>
      </c>
      <c r="J20" s="245">
        <f>'Project Data'!M21</f>
        <v>0</v>
      </c>
      <c r="K20" s="245">
        <f>'Project Data'!N21</f>
        <v>0</v>
      </c>
      <c r="L20" s="245">
        <f>'Project Data'!O21</f>
        <v>0</v>
      </c>
      <c r="M20" s="245">
        <f>'Project Data'!P21</f>
        <v>0</v>
      </c>
      <c r="N20" s="245">
        <f>'Project Data'!Q21</f>
        <v>0</v>
      </c>
      <c r="O20" s="245">
        <f>'Project Data'!R21</f>
        <v>0</v>
      </c>
      <c r="P20" s="245">
        <f>'Project Data'!S21</f>
        <v>0</v>
      </c>
      <c r="Q20" s="220"/>
      <c r="R20" s="220"/>
      <c r="S20" s="220"/>
      <c r="T20" s="220"/>
    </row>
    <row r="21" spans="1:29" ht="14.25" customHeight="1" x14ac:dyDescent="0.2">
      <c r="A21" s="1429"/>
      <c r="B21" s="236">
        <v>7</v>
      </c>
      <c r="C21" s="231" t="s">
        <v>681</v>
      </c>
      <c r="D21" s="231"/>
      <c r="E21" s="250">
        <f t="shared" ref="E21:P21" si="5">E25</f>
        <v>0</v>
      </c>
      <c r="F21" s="250">
        <f t="shared" si="5"/>
        <v>-382.85416666666674</v>
      </c>
      <c r="G21" s="250">
        <f t="shared" si="5"/>
        <v>-1804.8329964454751</v>
      </c>
      <c r="H21" s="250">
        <f t="shared" si="5"/>
        <v>-510.06873420481747</v>
      </c>
      <c r="I21" s="250">
        <f t="shared" si="5"/>
        <v>450.43173259139417</v>
      </c>
      <c r="J21" s="250">
        <f t="shared" si="5"/>
        <v>2208.4319156912056</v>
      </c>
      <c r="K21" s="250">
        <f t="shared" si="5"/>
        <v>4092.5555946619565</v>
      </c>
      <c r="L21" s="250">
        <f t="shared" si="5"/>
        <v>6168.7423451126742</v>
      </c>
      <c r="M21" s="250">
        <f t="shared" si="5"/>
        <v>6511.4578475471917</v>
      </c>
      <c r="N21" s="250">
        <f t="shared" si="5"/>
        <v>6769.0104080306101</v>
      </c>
      <c r="O21" s="250">
        <f t="shared" si="5"/>
        <v>6818.6450252450213</v>
      </c>
      <c r="P21" s="250">
        <f t="shared" si="5"/>
        <v>6933.6772936185444</v>
      </c>
      <c r="Q21" s="220"/>
      <c r="R21" s="220"/>
      <c r="S21" s="220"/>
      <c r="T21" s="220"/>
    </row>
    <row r="22" spans="1:29" ht="14.25" customHeight="1" x14ac:dyDescent="0.2">
      <c r="A22" s="1429"/>
      <c r="B22" s="251">
        <v>8</v>
      </c>
      <c r="C22" s="252" t="s">
        <v>682</v>
      </c>
      <c r="D22" s="252"/>
      <c r="E22" s="253">
        <f t="shared" ref="E22:P22" si="6">E19-E20-E21</f>
        <v>0</v>
      </c>
      <c r="F22" s="253">
        <f t="shared" si="6"/>
        <v>382.85416666666674</v>
      </c>
      <c r="G22" s="253">
        <f t="shared" si="6"/>
        <v>-212.12434604121609</v>
      </c>
      <c r="H22" s="253">
        <f t="shared" si="6"/>
        <v>3393.1165747788837</v>
      </c>
      <c r="I22" s="253">
        <f t="shared" si="6"/>
        <v>5411.867480912706</v>
      </c>
      <c r="J22" s="253">
        <f t="shared" si="6"/>
        <v>8932.7894049692022</v>
      </c>
      <c r="K22" s="253">
        <f t="shared" si="6"/>
        <v>12655.205958265364</v>
      </c>
      <c r="L22" s="253">
        <f t="shared" si="6"/>
        <v>16696.284160120682</v>
      </c>
      <c r="M22" s="253">
        <f t="shared" si="6"/>
        <v>17361.555429552391</v>
      </c>
      <c r="N22" s="253">
        <f t="shared" si="6"/>
        <v>17861.51039990256</v>
      </c>
      <c r="O22" s="253">
        <f t="shared" si="6"/>
        <v>17957.859950965823</v>
      </c>
      <c r="P22" s="253">
        <f t="shared" si="6"/>
        <v>18181.157883690899</v>
      </c>
      <c r="Q22" s="220"/>
      <c r="R22" s="220"/>
      <c r="S22" s="220"/>
      <c r="T22" s="220"/>
    </row>
    <row r="23" spans="1:29" ht="14.25" customHeight="1" x14ac:dyDescent="0.2">
      <c r="A23" s="1429" t="s">
        <v>683</v>
      </c>
      <c r="B23" s="230">
        <v>9</v>
      </c>
      <c r="C23" s="241" t="s">
        <v>684</v>
      </c>
      <c r="D23" s="241"/>
      <c r="E23" s="242">
        <f>E106</f>
        <v>0</v>
      </c>
      <c r="F23" s="242">
        <f t="shared" ref="F23:P23" si="7">F106</f>
        <v>1126.0416666666667</v>
      </c>
      <c r="G23" s="242">
        <f t="shared" si="7"/>
        <v>3291.375</v>
      </c>
      <c r="H23" s="242">
        <f t="shared" si="7"/>
        <v>4383.25</v>
      </c>
      <c r="I23" s="242">
        <f t="shared" si="7"/>
        <v>4537.5</v>
      </c>
      <c r="J23" s="242">
        <f t="shared" si="7"/>
        <v>4645.833333333333</v>
      </c>
      <c r="K23" s="242">
        <f t="shared" si="7"/>
        <v>4710.833333333333</v>
      </c>
      <c r="L23" s="242">
        <f t="shared" si="7"/>
        <v>4721.666666666667</v>
      </c>
      <c r="M23" s="242">
        <f t="shared" si="7"/>
        <v>4721.666666666667</v>
      </c>
      <c r="N23" s="242">
        <f t="shared" si="7"/>
        <v>4721.666666666667</v>
      </c>
      <c r="O23" s="242">
        <f t="shared" si="7"/>
        <v>4721.666666666667</v>
      </c>
      <c r="P23" s="242">
        <f t="shared" si="7"/>
        <v>4721.666666666667</v>
      </c>
      <c r="Q23" s="328"/>
      <c r="R23" s="220"/>
      <c r="S23" s="220"/>
      <c r="T23" s="220"/>
    </row>
    <row r="24" spans="1:29" ht="14.25" customHeight="1" x14ac:dyDescent="0.2">
      <c r="A24" s="1429"/>
      <c r="B24" s="236"/>
      <c r="C24" s="231" t="s">
        <v>685</v>
      </c>
      <c r="D24" s="231"/>
      <c r="E24" s="254">
        <f>IF(ISBLANK('Project Data'!H22), $E41,'Project Data'!H22)</f>
        <v>0.34</v>
      </c>
      <c r="F24" s="254">
        <f>IF(ISBLANK('Project Data'!I22), $E41,'Project Data'!I22)</f>
        <v>0.34</v>
      </c>
      <c r="G24" s="254">
        <f>IF(ISBLANK('Project Data'!J22), $E41,'Project Data'!J22)</f>
        <v>0.34</v>
      </c>
      <c r="H24" s="254">
        <f>IF(ISBLANK('Project Data'!K22), $E41,'Project Data'!K22)</f>
        <v>0.34</v>
      </c>
      <c r="I24" s="254">
        <f>IF(ISBLANK('Project Data'!L22), $E41,'Project Data'!L22)</f>
        <v>0.34</v>
      </c>
      <c r="J24" s="254">
        <f>IF(ISBLANK('Project Data'!M22), $E41,'Project Data'!M22)</f>
        <v>0.34</v>
      </c>
      <c r="K24" s="254">
        <f>IF(ISBLANK('Project Data'!N22), $E41,'Project Data'!N22)</f>
        <v>0.34</v>
      </c>
      <c r="L24" s="254">
        <f>IF(ISBLANK('Project Data'!O22), $E41,'Project Data'!O22)</f>
        <v>0.34</v>
      </c>
      <c r="M24" s="254">
        <f>IF(ISBLANK('Project Data'!P22), $E41,'Project Data'!P22)</f>
        <v>0.34</v>
      </c>
      <c r="N24" s="254">
        <f>IF(ISBLANK('Project Data'!Q22), $E41,'Project Data'!Q22)</f>
        <v>0.34</v>
      </c>
      <c r="O24" s="254">
        <f>IF(ISBLANK('Project Data'!R22), $E41,'Project Data'!R22)</f>
        <v>0.34</v>
      </c>
      <c r="P24" s="254">
        <f>IF(ISBLANK('Project Data'!S22), $E41,'Project Data'!S22)</f>
        <v>0.34</v>
      </c>
      <c r="Q24" s="220"/>
      <c r="R24" s="220"/>
      <c r="S24" s="220"/>
      <c r="T24" s="220"/>
    </row>
    <row r="25" spans="1:29" ht="14.25" customHeight="1" x14ac:dyDescent="0.2">
      <c r="A25" s="1429"/>
      <c r="B25" s="251">
        <v>10</v>
      </c>
      <c r="C25" s="252" t="s">
        <v>686</v>
      </c>
      <c r="D25" s="252"/>
      <c r="E25" s="253">
        <f>E24*(E19-E20-E23)</f>
        <v>0</v>
      </c>
      <c r="F25" s="253">
        <f t="shared" ref="F25:P25" si="8">F24*(F19-F20-F23)</f>
        <v>-382.85416666666674</v>
      </c>
      <c r="G25" s="253">
        <f t="shared" si="8"/>
        <v>-1804.8329964454751</v>
      </c>
      <c r="H25" s="253">
        <f t="shared" si="8"/>
        <v>-510.06873420481747</v>
      </c>
      <c r="I25" s="253">
        <f t="shared" si="8"/>
        <v>450.43173259139417</v>
      </c>
      <c r="J25" s="253">
        <f t="shared" si="8"/>
        <v>2208.4319156912056</v>
      </c>
      <c r="K25" s="253">
        <f t="shared" si="8"/>
        <v>4092.5555946619565</v>
      </c>
      <c r="L25" s="253">
        <f t="shared" si="8"/>
        <v>6168.7423451126742</v>
      </c>
      <c r="M25" s="253">
        <f t="shared" si="8"/>
        <v>6511.4578475471917</v>
      </c>
      <c r="N25" s="253">
        <f t="shared" si="8"/>
        <v>6769.0104080306101</v>
      </c>
      <c r="O25" s="253">
        <f t="shared" si="8"/>
        <v>6818.6450252450213</v>
      </c>
      <c r="P25" s="253">
        <f t="shared" si="8"/>
        <v>6933.6772936185444</v>
      </c>
      <c r="Q25" s="328"/>
      <c r="R25" s="220"/>
      <c r="S25" s="220"/>
      <c r="T25" s="220"/>
    </row>
    <row r="26" spans="1:29" ht="14.25" customHeight="1" x14ac:dyDescent="0.2">
      <c r="A26" s="1429" t="s">
        <v>687</v>
      </c>
      <c r="B26" s="230">
        <v>11</v>
      </c>
      <c r="C26" s="241" t="s">
        <v>688</v>
      </c>
      <c r="D26" s="255" t="str">
        <f>SUM(E26:P26)&amp;" "&amp;B7</f>
        <v>56660 k€</v>
      </c>
      <c r="E26" s="233">
        <f>'Données Investissement'!D140*1000</f>
        <v>13512.5</v>
      </c>
      <c r="F26" s="233">
        <f>'Données Investissement'!E140*1000</f>
        <v>25984</v>
      </c>
      <c r="G26" s="233">
        <f>'Données Investissement'!F140*1000</f>
        <v>13102.500000000002</v>
      </c>
      <c r="H26" s="233">
        <f>'Données Investissement'!G140*1000</f>
        <v>1851.0000000000005</v>
      </c>
      <c r="I26" s="233">
        <f>'Données Investissement'!H140*1000</f>
        <v>1300</v>
      </c>
      <c r="J26" s="233">
        <f>'Données Investissement'!I140*1000</f>
        <v>780</v>
      </c>
      <c r="K26" s="233">
        <f>'Données Investissement'!J140*1000</f>
        <v>130</v>
      </c>
      <c r="L26" s="233">
        <f>'Données Investissement'!K140*1000</f>
        <v>0</v>
      </c>
      <c r="M26" s="233">
        <f>'Données Investissement'!L140*1000</f>
        <v>0</v>
      </c>
      <c r="N26" s="233">
        <f>'Données Investissement'!M140*1000</f>
        <v>0</v>
      </c>
      <c r="O26" s="233">
        <f>'Données Investissement'!N140*1000</f>
        <v>0</v>
      </c>
      <c r="P26" s="233"/>
      <c r="Q26" s="220"/>
      <c r="R26" s="220"/>
      <c r="S26" s="220"/>
      <c r="T26" s="220"/>
    </row>
    <row r="27" spans="1:29" ht="14.25" customHeight="1" x14ac:dyDescent="0.2">
      <c r="A27" s="1429"/>
      <c r="B27" s="236">
        <v>12</v>
      </c>
      <c r="C27" s="231" t="s">
        <v>689</v>
      </c>
      <c r="D27" s="256" t="str">
        <f>SUM(E27:P27)&amp;" "&amp;B7</f>
        <v>0 k€</v>
      </c>
      <c r="E27" s="257"/>
      <c r="F27" s="257"/>
      <c r="G27" s="257"/>
      <c r="H27" s="257"/>
      <c r="I27" s="257"/>
      <c r="J27" s="257"/>
      <c r="K27" s="257"/>
      <c r="L27" s="257"/>
      <c r="M27" s="257"/>
      <c r="N27" s="257"/>
      <c r="O27" s="257"/>
      <c r="P27" s="257"/>
      <c r="Q27" s="220"/>
      <c r="R27" s="220"/>
      <c r="S27" s="220"/>
      <c r="T27" s="220"/>
    </row>
    <row r="28" spans="1:29" ht="14.25" customHeight="1" x14ac:dyDescent="0.2">
      <c r="A28" s="1429"/>
      <c r="B28" s="236">
        <v>13</v>
      </c>
      <c r="C28" s="231" t="s">
        <v>690</v>
      </c>
      <c r="D28" s="258" t="str">
        <f>INT(SUM(E28:P28))&amp;" "&amp;B7</f>
        <v>4995 k€</v>
      </c>
      <c r="E28" s="237"/>
      <c r="F28" s="237"/>
      <c r="G28" s="237">
        <f>Exploitation!B41/1000</f>
        <v>288.95138511211036</v>
      </c>
      <c r="H28" s="237">
        <f>(Exploitation!C41-Exploitation!B41)/1000</f>
        <v>1474.9776139255257</v>
      </c>
      <c r="I28" s="237">
        <f>(Exploitation!D41-Exploitation!C41)/1000</f>
        <v>863.91363137680241</v>
      </c>
      <c r="J28" s="237">
        <f>(Exploitation!E41-Exploitation!D41)/1000</f>
        <v>1200.606018557718</v>
      </c>
      <c r="K28" s="237">
        <f>(Exploitation!F41-Exploitation!E41)/1000</f>
        <v>686.2736115310704</v>
      </c>
      <c r="L28" s="237">
        <f>(Exploitation!G41-Exploitation!F41)/1000</f>
        <v>403.7535344025232</v>
      </c>
      <c r="M28" s="237">
        <f>(Exploitation!H41-Exploitation!G41)/1000</f>
        <v>-12.365344074513763</v>
      </c>
      <c r="N28" s="237">
        <f>(Exploitation!I41-Exploitation!H41)/1000</f>
        <v>-0.32791032398119568</v>
      </c>
      <c r="O28" s="237">
        <f>(Exploitation!J41-Exploitation!I41)/1000</f>
        <v>38.883781328096056</v>
      </c>
      <c r="P28" s="237">
        <f>(Exploitation!K41-Exploitation!J41)/1000</f>
        <v>50.691408710586842</v>
      </c>
      <c r="Q28" s="220"/>
      <c r="R28" s="220"/>
      <c r="S28" s="220"/>
      <c r="T28" s="220"/>
    </row>
    <row r="29" spans="1:29" ht="14.25" customHeight="1" x14ac:dyDescent="0.2">
      <c r="A29" s="1429"/>
      <c r="B29" s="251">
        <v>14</v>
      </c>
      <c r="C29" s="252" t="s">
        <v>691</v>
      </c>
      <c r="D29" s="252"/>
      <c r="E29" s="253">
        <f t="shared" ref="E29:P29" si="9">E26+E27+E28</f>
        <v>13512.5</v>
      </c>
      <c r="F29" s="253">
        <f t="shared" si="9"/>
        <v>25984</v>
      </c>
      <c r="G29" s="253">
        <f t="shared" si="9"/>
        <v>13391.451385112112</v>
      </c>
      <c r="H29" s="253">
        <f t="shared" si="9"/>
        <v>3325.9776139255264</v>
      </c>
      <c r="I29" s="253">
        <f t="shared" si="9"/>
        <v>2163.9136313768022</v>
      </c>
      <c r="J29" s="253">
        <f t="shared" si="9"/>
        <v>1980.606018557718</v>
      </c>
      <c r="K29" s="253">
        <f t="shared" si="9"/>
        <v>816.2736115310704</v>
      </c>
      <c r="L29" s="253">
        <f t="shared" si="9"/>
        <v>403.7535344025232</v>
      </c>
      <c r="M29" s="253">
        <f t="shared" si="9"/>
        <v>-12.365344074513763</v>
      </c>
      <c r="N29" s="253">
        <f t="shared" si="9"/>
        <v>-0.32791032398119568</v>
      </c>
      <c r="O29" s="253">
        <f t="shared" si="9"/>
        <v>38.883781328096056</v>
      </c>
      <c r="P29" s="253">
        <f t="shared" si="9"/>
        <v>50.691408710586842</v>
      </c>
      <c r="Q29" s="220"/>
      <c r="R29" s="220"/>
      <c r="S29" s="220"/>
      <c r="T29" s="220"/>
    </row>
    <row r="30" spans="1:29" ht="14.25" customHeight="1" x14ac:dyDescent="0.2">
      <c r="A30" s="259"/>
      <c r="B30" s="260">
        <v>15</v>
      </c>
      <c r="C30" s="261" t="s">
        <v>692</v>
      </c>
      <c r="D30" s="261"/>
      <c r="E30" s="262">
        <f t="shared" ref="E30:P30" si="10">E22-E29</f>
        <v>-13512.5</v>
      </c>
      <c r="F30" s="262">
        <f t="shared" si="10"/>
        <v>-25601.145833333332</v>
      </c>
      <c r="G30" s="262">
        <f t="shared" si="10"/>
        <v>-13603.575731153327</v>
      </c>
      <c r="H30" s="262">
        <f t="shared" si="10"/>
        <v>67.138960853357275</v>
      </c>
      <c r="I30" s="262">
        <f t="shared" si="10"/>
        <v>3247.9538495359038</v>
      </c>
      <c r="J30" s="262">
        <f t="shared" si="10"/>
        <v>6952.1833864114842</v>
      </c>
      <c r="K30" s="262">
        <f t="shared" si="10"/>
        <v>11838.932346734293</v>
      </c>
      <c r="L30" s="262">
        <f t="shared" si="10"/>
        <v>16292.530625718158</v>
      </c>
      <c r="M30" s="262">
        <f t="shared" si="10"/>
        <v>17373.920773626905</v>
      </c>
      <c r="N30" s="262">
        <f t="shared" si="10"/>
        <v>17861.83831022654</v>
      </c>
      <c r="O30" s="262">
        <f t="shared" si="10"/>
        <v>17918.976169637728</v>
      </c>
      <c r="P30" s="262">
        <f t="shared" si="10"/>
        <v>18130.466474980312</v>
      </c>
      <c r="Q30" s="220"/>
      <c r="R30" s="220"/>
      <c r="S30" s="220"/>
      <c r="T30" s="220"/>
    </row>
    <row r="31" spans="1:29" ht="14.25" customHeight="1" x14ac:dyDescent="0.2">
      <c r="B31" s="206"/>
      <c r="C31" s="261"/>
      <c r="E31" s="263"/>
      <c r="F31" s="263"/>
      <c r="G31" s="263"/>
      <c r="H31" s="263"/>
      <c r="I31" s="263"/>
      <c r="J31" s="263"/>
      <c r="K31" s="263"/>
      <c r="L31" s="263"/>
      <c r="M31" s="263"/>
      <c r="N31" s="263"/>
      <c r="O31" s="263"/>
      <c r="P31" s="263"/>
      <c r="Q31" s="220"/>
      <c r="R31" s="220"/>
      <c r="S31" s="220"/>
      <c r="T31" s="220"/>
    </row>
    <row r="32" spans="1:29" ht="14.25" customHeight="1" x14ac:dyDescent="0.2">
      <c r="A32" s="264">
        <f>E40</f>
        <v>0.105</v>
      </c>
      <c r="B32" s="230">
        <v>16</v>
      </c>
      <c r="C32" s="231" t="s">
        <v>693</v>
      </c>
      <c r="D32" s="241"/>
      <c r="E32" s="265">
        <f t="shared" ref="E32:P32" si="11">E30/E51</f>
        <v>-13512.5</v>
      </c>
      <c r="F32" s="265">
        <f t="shared" si="11"/>
        <v>-23168.457767722473</v>
      </c>
      <c r="G32" s="265">
        <f t="shared" si="11"/>
        <v>-11141.111550667125</v>
      </c>
      <c r="H32" s="265">
        <f t="shared" si="11"/>
        <v>49.760848951719709</v>
      </c>
      <c r="I32" s="265">
        <f t="shared" si="11"/>
        <v>2178.5159180472865</v>
      </c>
      <c r="J32" s="265">
        <f t="shared" si="11"/>
        <v>4219.9745267289845</v>
      </c>
      <c r="K32" s="265">
        <f t="shared" si="11"/>
        <v>6503.3761006105606</v>
      </c>
      <c r="L32" s="265">
        <f t="shared" si="11"/>
        <v>8099.3953778134264</v>
      </c>
      <c r="M32" s="265">
        <f t="shared" si="11"/>
        <v>7816.2710735492019</v>
      </c>
      <c r="N32" s="265">
        <f t="shared" si="11"/>
        <v>7272.1972735137897</v>
      </c>
      <c r="O32" s="265">
        <f t="shared" si="11"/>
        <v>6602.2263824716201</v>
      </c>
      <c r="P32" s="265">
        <f t="shared" si="11"/>
        <v>6045.3843844823432</v>
      </c>
      <c r="Q32" s="220"/>
      <c r="R32" s="220"/>
      <c r="S32" s="220"/>
      <c r="T32" s="220"/>
    </row>
    <row r="33" spans="1:21" ht="14.25" customHeight="1" x14ac:dyDescent="0.2">
      <c r="A33" s="266"/>
      <c r="B33" s="238">
        <v>17</v>
      </c>
      <c r="C33" s="239" t="s">
        <v>694</v>
      </c>
      <c r="D33" s="239"/>
      <c r="E33" s="267">
        <f>SUM(E32:$E32)</f>
        <v>-13512.5</v>
      </c>
      <c r="F33" s="267">
        <f>SUM($E32:F32)</f>
        <v>-36680.957767722473</v>
      </c>
      <c r="G33" s="267">
        <f>SUM($E32:G32)</f>
        <v>-47822.0693183896</v>
      </c>
      <c r="H33" s="267">
        <f>SUM($E32:H32)</f>
        <v>-47772.308469437878</v>
      </c>
      <c r="I33" s="267">
        <f>SUM($E32:I32)</f>
        <v>-45593.792551390594</v>
      </c>
      <c r="J33" s="267">
        <f>SUM($E32:J32)</f>
        <v>-41373.81802466161</v>
      </c>
      <c r="K33" s="267">
        <f>SUM($E32:K32)</f>
        <v>-34870.441924051047</v>
      </c>
      <c r="L33" s="267">
        <f>SUM($E32:L32)</f>
        <v>-26771.04654623762</v>
      </c>
      <c r="M33" s="267">
        <f>SUM($E32:M32)</f>
        <v>-18954.775472688416</v>
      </c>
      <c r="N33" s="267">
        <f>SUM($E32:N32)</f>
        <v>-11682.578199174626</v>
      </c>
      <c r="O33" s="267">
        <f>SUM($E32:O32)</f>
        <v>-5080.3518167030061</v>
      </c>
      <c r="P33" s="267">
        <f>SUM($E32:P32)</f>
        <v>965.03256777933711</v>
      </c>
      <c r="Q33" s="220"/>
      <c r="R33" s="220"/>
      <c r="S33" s="220"/>
      <c r="T33" s="220"/>
    </row>
    <row r="34" spans="1:21" ht="14.25" customHeight="1" x14ac:dyDescent="0.2">
      <c r="B34" s="206"/>
      <c r="Q34" s="268"/>
    </row>
    <row r="35" spans="1:21" ht="14.25" customHeight="1" x14ac:dyDescent="0.2">
      <c r="B35" s="206">
        <v>18</v>
      </c>
      <c r="C35" s="269" t="s">
        <v>695</v>
      </c>
      <c r="D35" s="270">
        <f ca="1">OFFSET(E33,0,prof_nr_years-1)+O36</f>
        <v>0</v>
      </c>
      <c r="E35" s="271" t="str">
        <f>B7</f>
        <v>k€</v>
      </c>
      <c r="I35" s="205">
        <v>21</v>
      </c>
      <c r="J35" s="1423" t="s">
        <v>696</v>
      </c>
      <c r="K35" s="1424"/>
      <c r="L35" s="1424"/>
      <c r="M35" s="1424"/>
      <c r="N35" s="1424"/>
      <c r="O35" s="1434">
        <f ca="1">SUM(OFFSET(E30, 0, prof_nr_years-5,1,5))/5/(E40-O38)</f>
        <v>0</v>
      </c>
      <c r="P35" s="1435"/>
    </row>
    <row r="36" spans="1:21" ht="14.25" customHeight="1" x14ac:dyDescent="0.2">
      <c r="B36" s="206"/>
      <c r="I36" s="205">
        <v>22</v>
      </c>
      <c r="J36" s="1427" t="s">
        <v>697</v>
      </c>
      <c r="K36" s="1428"/>
      <c r="L36" s="1428"/>
      <c r="M36" s="1428"/>
      <c r="N36" s="1428"/>
      <c r="O36" s="1421">
        <f ca="1">O35/P51</f>
        <v>0</v>
      </c>
      <c r="P36" s="1422"/>
    </row>
    <row r="37" spans="1:21" ht="14.25" customHeight="1" x14ac:dyDescent="0.2">
      <c r="B37" s="206">
        <v>19</v>
      </c>
      <c r="C37" s="269" t="s">
        <v>698</v>
      </c>
      <c r="D37" s="1432">
        <f ca="1">IRR(OFFSET(E53,0,0,1,prof_nr_years))</f>
        <v>0.10817638202155688</v>
      </c>
      <c r="E37" s="1433"/>
      <c r="I37" s="205">
        <v>23</v>
      </c>
      <c r="J37" s="1423" t="s">
        <v>699</v>
      </c>
      <c r="K37" s="1424"/>
      <c r="L37" s="1424"/>
      <c r="M37" s="1424"/>
      <c r="N37" s="1424"/>
      <c r="O37" s="1425" t="e">
        <f ca="1">5*O35/SUM(OFFSET(E30, 0, prof_nr_years-5,1,5))</f>
        <v>#DIV/0!</v>
      </c>
      <c r="P37" s="1426"/>
    </row>
    <row r="38" spans="1:21" ht="14.25" customHeight="1" x14ac:dyDescent="0.2">
      <c r="B38" s="206"/>
      <c r="I38" s="272">
        <v>24</v>
      </c>
      <c r="J38" s="1417" t="s">
        <v>700</v>
      </c>
      <c r="K38" s="1418"/>
      <c r="L38" s="1418"/>
      <c r="M38" s="1418"/>
      <c r="N38" s="1418"/>
      <c r="O38" s="1430">
        <f>'Project Data'!H29</f>
        <v>0</v>
      </c>
      <c r="P38" s="1431"/>
    </row>
    <row r="39" spans="1:21" ht="14.25" customHeight="1" x14ac:dyDescent="0.2">
      <c r="B39" s="206">
        <v>20</v>
      </c>
      <c r="C39" s="269" t="s">
        <v>670</v>
      </c>
      <c r="D39" s="273">
        <f ca="1">IF(OFFSET(E33,0,prof_nr_years-1)&lt;0, "&gt; " &amp; 'Project Data'!H13 &amp; " years", SUM(E59:X59)+1)</f>
        <v>9</v>
      </c>
      <c r="E39" s="274">
        <f ca="1">IF(OFFSET(E33,0,prof_nr_years-1)&lt;0, "", SUM(E60:X60))</f>
        <v>10.084424401022822</v>
      </c>
      <c r="I39" s="275">
        <v>25</v>
      </c>
      <c r="J39" s="1415" t="s">
        <v>701</v>
      </c>
      <c r="K39" s="1416"/>
      <c r="L39" s="1416"/>
      <c r="M39" s="1416"/>
      <c r="N39" s="1416"/>
      <c r="O39" s="1419">
        <v>0.02</v>
      </c>
      <c r="P39" s="1420"/>
      <c r="T39" s="677"/>
      <c r="U39" s="263"/>
    </row>
    <row r="40" spans="1:21" ht="14.25" customHeight="1" x14ac:dyDescent="0.2">
      <c r="D40" s="204" t="s">
        <v>702</v>
      </c>
      <c r="E40" s="276">
        <v>0.105</v>
      </c>
      <c r="O40" s="204" t="s">
        <v>703</v>
      </c>
      <c r="P40" s="277">
        <f>'Project Data'!H31</f>
        <v>12</v>
      </c>
      <c r="T40" s="677"/>
    </row>
    <row r="41" spans="1:21" ht="14.25" customHeight="1" x14ac:dyDescent="0.2">
      <c r="A41" s="214"/>
      <c r="D41" s="204" t="s">
        <v>704</v>
      </c>
      <c r="E41" s="278">
        <f>'Project Data'!H28</f>
        <v>0.34</v>
      </c>
      <c r="O41" s="204" t="s">
        <v>705</v>
      </c>
      <c r="P41" s="277">
        <f>'Project Data'!H32</f>
        <v>5</v>
      </c>
      <c r="T41" s="677"/>
    </row>
    <row r="42" spans="1:21" ht="18" customHeight="1" x14ac:dyDescent="0.2">
      <c r="B42" s="206"/>
      <c r="D42" s="204" t="s">
        <v>706</v>
      </c>
      <c r="E42" s="279">
        <f ca="1">DATE(E9 + D58-1, OFFSET(D58, 0, D58), 1)</f>
        <v>41791</v>
      </c>
      <c r="T42" s="677"/>
    </row>
    <row r="43" spans="1:21" ht="18" customHeight="1" x14ac:dyDescent="0.2">
      <c r="B43" s="206"/>
      <c r="D43" s="204"/>
      <c r="E43" s="280"/>
      <c r="T43" s="677"/>
    </row>
    <row r="44" spans="1:21" ht="18" customHeight="1" x14ac:dyDescent="0.2">
      <c r="B44" s="206"/>
      <c r="E44" s="215"/>
      <c r="F44" s="215"/>
      <c r="G44" s="215"/>
      <c r="H44" s="215"/>
      <c r="I44" s="215"/>
      <c r="J44" s="215"/>
      <c r="K44" s="215"/>
      <c r="L44" s="215"/>
      <c r="M44" s="215"/>
      <c r="N44" s="215"/>
      <c r="O44" s="215"/>
      <c r="P44" s="215"/>
    </row>
    <row r="45" spans="1:21" x14ac:dyDescent="0.2">
      <c r="B45" s="206"/>
      <c r="E45" s="215"/>
      <c r="F45" s="215"/>
      <c r="G45" s="215"/>
      <c r="H45" s="215"/>
      <c r="I45" s="215"/>
      <c r="J45" s="215"/>
      <c r="K45" s="215"/>
      <c r="L45" s="215"/>
      <c r="M45" s="215"/>
      <c r="N45" s="215"/>
      <c r="O45" s="215"/>
      <c r="P45" s="215"/>
    </row>
    <row r="46" spans="1:21" x14ac:dyDescent="0.2">
      <c r="B46" s="206"/>
      <c r="E46" s="215"/>
      <c r="F46" s="215"/>
      <c r="G46" s="215"/>
      <c r="H46" s="215"/>
      <c r="I46" s="215"/>
      <c r="J46" s="215"/>
      <c r="K46" s="215"/>
      <c r="L46" s="215"/>
      <c r="M46" s="215"/>
      <c r="N46" s="215"/>
      <c r="O46" s="215"/>
      <c r="P46" s="215"/>
    </row>
    <row r="47" spans="1:21" x14ac:dyDescent="0.2">
      <c r="B47" s="206"/>
      <c r="E47" s="215"/>
      <c r="F47" s="215"/>
      <c r="G47" s="215"/>
      <c r="H47" s="215"/>
      <c r="I47" s="215"/>
      <c r="J47" s="215"/>
      <c r="K47" s="215"/>
      <c r="L47" s="215"/>
      <c r="M47" s="215"/>
      <c r="N47" s="215"/>
      <c r="O47" s="215"/>
      <c r="P47" s="215"/>
    </row>
    <row r="48" spans="1:21" x14ac:dyDescent="0.2">
      <c r="B48" s="206"/>
      <c r="E48" s="281"/>
      <c r="F48" s="215"/>
      <c r="G48" s="215"/>
      <c r="H48" s="215"/>
      <c r="I48" s="215"/>
      <c r="J48" s="215"/>
      <c r="K48" s="215"/>
      <c r="L48" s="215"/>
      <c r="M48" s="215"/>
      <c r="N48" s="215"/>
      <c r="O48" s="215"/>
      <c r="P48" s="215"/>
      <c r="Q48" s="215"/>
      <c r="R48" s="215"/>
      <c r="S48" s="215"/>
    </row>
    <row r="49" spans="2:24" x14ac:dyDescent="0.2">
      <c r="B49" s="206"/>
      <c r="E49" s="215">
        <v>2013</v>
      </c>
      <c r="F49" s="215">
        <v>2014</v>
      </c>
      <c r="G49" s="215">
        <v>2015</v>
      </c>
      <c r="H49" s="215">
        <v>2016</v>
      </c>
      <c r="I49" s="215">
        <v>2017</v>
      </c>
      <c r="J49" s="215">
        <v>2018</v>
      </c>
      <c r="K49" s="215">
        <v>2019</v>
      </c>
      <c r="L49" s="215">
        <v>2020</v>
      </c>
      <c r="M49" s="215">
        <v>2021</v>
      </c>
      <c r="N49" s="215">
        <v>2022</v>
      </c>
      <c r="O49" s="215">
        <v>2023</v>
      </c>
      <c r="P49" s="215">
        <v>2024</v>
      </c>
      <c r="Q49" s="215">
        <v>2025</v>
      </c>
      <c r="R49" s="215">
        <v>2026</v>
      </c>
      <c r="S49" s="215">
        <v>2027</v>
      </c>
      <c r="T49" s="215">
        <v>2028</v>
      </c>
      <c r="U49" s="215">
        <v>2029</v>
      </c>
      <c r="V49" s="215">
        <v>2030</v>
      </c>
      <c r="W49" s="215">
        <v>2031</v>
      </c>
      <c r="X49" s="215">
        <v>2032</v>
      </c>
    </row>
    <row r="50" spans="2:24" x14ac:dyDescent="0.2">
      <c r="B50" s="206"/>
      <c r="C50" s="204"/>
      <c r="D50" s="282" t="s">
        <v>707</v>
      </c>
      <c r="E50" s="215">
        <v>1</v>
      </c>
      <c r="F50" s="215">
        <f t="shared" ref="F50:X50" si="12">E50*(1+$O39)</f>
        <v>1.02</v>
      </c>
      <c r="G50" s="215">
        <f t="shared" si="12"/>
        <v>1.0404</v>
      </c>
      <c r="H50" s="215">
        <f t="shared" si="12"/>
        <v>1.0612079999999999</v>
      </c>
      <c r="I50" s="215">
        <f t="shared" si="12"/>
        <v>1.08243216</v>
      </c>
      <c r="J50" s="215">
        <f t="shared" si="12"/>
        <v>1.1040808032</v>
      </c>
      <c r="K50" s="215">
        <f t="shared" si="12"/>
        <v>1.1261624192640001</v>
      </c>
      <c r="L50" s="215">
        <f t="shared" si="12"/>
        <v>1.14868566764928</v>
      </c>
      <c r="M50" s="215">
        <f t="shared" si="12"/>
        <v>1.1716593810022657</v>
      </c>
      <c r="N50" s="215">
        <f t="shared" si="12"/>
        <v>1.1950925686223111</v>
      </c>
      <c r="O50" s="215">
        <f t="shared" si="12"/>
        <v>1.2189944199947573</v>
      </c>
      <c r="P50" s="215">
        <f t="shared" si="12"/>
        <v>1.2433743083946525</v>
      </c>
      <c r="Q50" s="215">
        <f t="shared" si="12"/>
        <v>1.2682417945625455</v>
      </c>
      <c r="R50" s="215">
        <f t="shared" si="12"/>
        <v>1.2936066304537963</v>
      </c>
      <c r="S50" s="215">
        <f t="shared" si="12"/>
        <v>1.3194787630628724</v>
      </c>
      <c r="T50" s="215">
        <f t="shared" si="12"/>
        <v>1.3458683383241299</v>
      </c>
      <c r="U50" s="215">
        <f t="shared" si="12"/>
        <v>1.3727857050906125</v>
      </c>
      <c r="V50" s="215">
        <f t="shared" si="12"/>
        <v>1.4002414191924248</v>
      </c>
      <c r="W50" s="215">
        <f t="shared" si="12"/>
        <v>1.4282462475762734</v>
      </c>
      <c r="X50" s="215">
        <f t="shared" si="12"/>
        <v>1.4568111725277988</v>
      </c>
    </row>
    <row r="51" spans="2:24" x14ac:dyDescent="0.2">
      <c r="D51" s="282" t="s">
        <v>708</v>
      </c>
      <c r="E51" s="215">
        <v>1</v>
      </c>
      <c r="F51" s="215">
        <f t="shared" ref="F51:X51" si="13">E51*(1+$E40)</f>
        <v>1.105</v>
      </c>
      <c r="G51" s="215">
        <f t="shared" si="13"/>
        <v>1.221025</v>
      </c>
      <c r="H51" s="215">
        <f t="shared" si="13"/>
        <v>1.349232625</v>
      </c>
      <c r="I51" s="215">
        <f t="shared" si="13"/>
        <v>1.4909020506249999</v>
      </c>
      <c r="J51" s="215">
        <f t="shared" si="13"/>
        <v>1.6474467659406249</v>
      </c>
      <c r="K51" s="215">
        <f t="shared" si="13"/>
        <v>1.8204286763643904</v>
      </c>
      <c r="L51" s="215">
        <f t="shared" si="13"/>
        <v>2.0115736873826515</v>
      </c>
      <c r="M51" s="215">
        <f t="shared" si="13"/>
        <v>2.2227889245578298</v>
      </c>
      <c r="N51" s="215">
        <f t="shared" si="13"/>
        <v>2.4561817616364019</v>
      </c>
      <c r="O51" s="215">
        <f t="shared" si="13"/>
        <v>2.714080846608224</v>
      </c>
      <c r="P51" s="215">
        <f t="shared" si="13"/>
        <v>2.9990593355020874</v>
      </c>
      <c r="Q51" s="215">
        <f t="shared" si="13"/>
        <v>3.3139605657298064</v>
      </c>
      <c r="R51" s="215">
        <f t="shared" si="13"/>
        <v>3.6619264251314361</v>
      </c>
      <c r="S51" s="215">
        <f t="shared" si="13"/>
        <v>4.046428699770237</v>
      </c>
      <c r="T51" s="215">
        <f t="shared" si="13"/>
        <v>4.4713037132461118</v>
      </c>
      <c r="U51" s="215">
        <f t="shared" si="13"/>
        <v>4.9407906031369535</v>
      </c>
      <c r="V51" s="215">
        <f t="shared" si="13"/>
        <v>5.4595736164663338</v>
      </c>
      <c r="W51" s="215">
        <f t="shared" si="13"/>
        <v>6.032828846195299</v>
      </c>
      <c r="X51" s="215">
        <f t="shared" si="13"/>
        <v>6.6662758750458053</v>
      </c>
    </row>
    <row r="52" spans="2:24" x14ac:dyDescent="0.2">
      <c r="B52" s="206"/>
      <c r="E52" s="215"/>
      <c r="F52" s="215"/>
      <c r="G52" s="215"/>
      <c r="H52" s="215"/>
      <c r="I52" s="215"/>
      <c r="J52" s="215"/>
      <c r="K52" s="215"/>
      <c r="L52" s="215"/>
      <c r="M52" s="215"/>
      <c r="N52" s="215"/>
      <c r="O52" s="215"/>
      <c r="P52" s="215"/>
    </row>
    <row r="53" spans="2:24" x14ac:dyDescent="0.2">
      <c r="B53" s="206"/>
      <c r="D53" s="204" t="s">
        <v>709</v>
      </c>
      <c r="E53" s="205">
        <f>E30</f>
        <v>-13512.5</v>
      </c>
      <c r="F53" s="263">
        <f>F30+IF(prof_nr_years=2, $O35, 0)</f>
        <v>-25601.145833333332</v>
      </c>
      <c r="G53" s="263">
        <f>G30+IF(prof_nr_years=3, $O35, 0)</f>
        <v>-13603.575731153327</v>
      </c>
      <c r="H53" s="263">
        <f>H30+IF(prof_nr_years=4, $O35, 0)</f>
        <v>67.138960853357275</v>
      </c>
      <c r="I53" s="263">
        <f>I30+IF(prof_nr_years=5, $O35, 0)</f>
        <v>3247.9538495359038</v>
      </c>
      <c r="J53" s="263">
        <f>J30+IF(prof_nr_years=6, $O35, 0)</f>
        <v>6952.1833864114842</v>
      </c>
      <c r="K53" s="263">
        <f>K30+IF(prof_nr_years=7, $O35, 0)</f>
        <v>11838.932346734293</v>
      </c>
      <c r="L53" s="263">
        <f>L30+IF(prof_nr_years=8, $O35, 0)</f>
        <v>16292.530625718158</v>
      </c>
      <c r="M53" s="263">
        <f>M30+IF(prof_nr_years=9, $O35, 0)</f>
        <v>17373.920773626905</v>
      </c>
      <c r="N53" s="263">
        <f>N30+IF(prof_nr_years=10, $O35, 0)</f>
        <v>17861.83831022654</v>
      </c>
      <c r="O53" s="263">
        <f>O30+IF(prof_nr_years=11, $O35, 0)</f>
        <v>17918.976169637728</v>
      </c>
      <c r="P53" s="283">
        <f t="shared" ref="P53:X53" si="14">P30+IF(prof_nr_years=12, $O35, 0)</f>
        <v>18130.466474980312</v>
      </c>
      <c r="Q53" s="283">
        <f t="shared" si="14"/>
        <v>0</v>
      </c>
      <c r="R53" s="283">
        <f t="shared" si="14"/>
        <v>0</v>
      </c>
      <c r="S53" s="283">
        <f t="shared" si="14"/>
        <v>0</v>
      </c>
      <c r="T53" s="283">
        <f t="shared" si="14"/>
        <v>0</v>
      </c>
      <c r="U53" s="283">
        <f t="shared" si="14"/>
        <v>0</v>
      </c>
      <c r="V53" s="283">
        <f t="shared" si="14"/>
        <v>0</v>
      </c>
      <c r="W53" s="283">
        <f t="shared" si="14"/>
        <v>0</v>
      </c>
      <c r="X53" s="283">
        <f t="shared" si="14"/>
        <v>0</v>
      </c>
    </row>
    <row r="54" spans="2:24" x14ac:dyDescent="0.2">
      <c r="B54" s="206"/>
      <c r="E54" s="748"/>
    </row>
    <row r="55" spans="2:24" x14ac:dyDescent="0.2">
      <c r="B55" s="206"/>
      <c r="C55" s="204" t="s">
        <v>710</v>
      </c>
      <c r="D55" s="205" t="s">
        <v>711</v>
      </c>
      <c r="E55" s="263">
        <f>E26</f>
        <v>13512.5</v>
      </c>
      <c r="F55" s="263">
        <f>SUM($E26:F26)</f>
        <v>39496.5</v>
      </c>
      <c r="G55" s="263">
        <f>SUM($E26:G26)</f>
        <v>52599</v>
      </c>
      <c r="H55" s="263">
        <f>SUM($E26:H26)</f>
        <v>54450</v>
      </c>
      <c r="I55" s="263">
        <f>SUM($E26:I26)</f>
        <v>55750</v>
      </c>
      <c r="J55" s="263">
        <f>SUM($E26:J26)</f>
        <v>56530</v>
      </c>
      <c r="K55" s="263">
        <f>SUM($E26:K26)</f>
        <v>56660</v>
      </c>
      <c r="L55" s="263">
        <f>SUM($E26:L26)</f>
        <v>56660</v>
      </c>
      <c r="M55" s="263">
        <f>SUM($E26:M26)</f>
        <v>56660</v>
      </c>
      <c r="N55" s="263">
        <f>SUM($E26:N26)</f>
        <v>56660</v>
      </c>
      <c r="O55" s="263">
        <f>SUM($E26:O26)</f>
        <v>56660</v>
      </c>
      <c r="P55" s="263">
        <f>SUM($E26:P26)</f>
        <v>56660</v>
      </c>
      <c r="Q55" s="263">
        <f>SUM($E26:Q26)</f>
        <v>56660</v>
      </c>
      <c r="R55" s="263">
        <f>SUM($E26:R26)</f>
        <v>56660</v>
      </c>
      <c r="S55" s="263">
        <f>SUM($E26:S26)</f>
        <v>56660</v>
      </c>
      <c r="T55" s="263">
        <f>SUM($E26:T26)</f>
        <v>56660</v>
      </c>
      <c r="U55" s="263">
        <f>SUM($E26:U26)</f>
        <v>56660</v>
      </c>
      <c r="V55" s="263">
        <f>SUM($E26:V26)</f>
        <v>56660</v>
      </c>
      <c r="W55" s="263">
        <f>SUM($E26:W26)</f>
        <v>56660</v>
      </c>
      <c r="X55" s="263">
        <f>SUM($E26:X26)</f>
        <v>56660</v>
      </c>
    </row>
    <row r="56" spans="2:24" x14ac:dyDescent="0.2">
      <c r="B56" s="206"/>
      <c r="C56" s="204"/>
      <c r="D56" s="205" t="s">
        <v>712</v>
      </c>
      <c r="E56" s="263">
        <f>X55/2</f>
        <v>28330</v>
      </c>
      <c r="F56" s="263"/>
      <c r="G56" s="263"/>
      <c r="H56" s="263"/>
      <c r="I56" s="263"/>
      <c r="J56" s="263"/>
      <c r="K56" s="263"/>
      <c r="L56" s="263"/>
      <c r="M56" s="263"/>
      <c r="N56" s="263"/>
      <c r="O56" s="263"/>
      <c r="P56" s="263"/>
      <c r="Q56" s="263"/>
      <c r="R56" s="263"/>
      <c r="S56" s="263"/>
      <c r="T56" s="263"/>
      <c r="U56" s="263"/>
      <c r="V56" s="263"/>
      <c r="W56" s="263"/>
      <c r="X56" s="263"/>
    </row>
    <row r="57" spans="2:24" x14ac:dyDescent="0.2">
      <c r="B57" s="206"/>
      <c r="E57" s="205" t="b">
        <f t="shared" ref="E57:X57" si="15">IF(E58&lt;=0, FALSE, TRUE)</f>
        <v>0</v>
      </c>
      <c r="F57" s="205" t="b">
        <f t="shared" si="15"/>
        <v>1</v>
      </c>
      <c r="G57" s="205" t="b">
        <f t="shared" si="15"/>
        <v>1</v>
      </c>
      <c r="H57" s="205" t="b">
        <f t="shared" si="15"/>
        <v>1</v>
      </c>
      <c r="I57" s="205" t="b">
        <f t="shared" si="15"/>
        <v>1</v>
      </c>
      <c r="J57" s="205" t="b">
        <f t="shared" si="15"/>
        <v>1</v>
      </c>
      <c r="K57" s="205" t="b">
        <f t="shared" si="15"/>
        <v>1</v>
      </c>
      <c r="L57" s="205" t="b">
        <f t="shared" si="15"/>
        <v>1</v>
      </c>
      <c r="M57" s="205" t="b">
        <f t="shared" si="15"/>
        <v>1</v>
      </c>
      <c r="N57" s="205" t="b">
        <f t="shared" si="15"/>
        <v>1</v>
      </c>
      <c r="O57" s="205" t="b">
        <f t="shared" si="15"/>
        <v>1</v>
      </c>
      <c r="P57" s="205" t="b">
        <f t="shared" si="15"/>
        <v>1</v>
      </c>
      <c r="Q57" s="205" t="b">
        <f t="shared" si="15"/>
        <v>1</v>
      </c>
      <c r="R57" s="205" t="b">
        <f t="shared" si="15"/>
        <v>1</v>
      </c>
      <c r="S57" s="205" t="b">
        <f t="shared" si="15"/>
        <v>1</v>
      </c>
      <c r="T57" s="205" t="b">
        <f t="shared" si="15"/>
        <v>1</v>
      </c>
      <c r="U57" s="205" t="b">
        <f t="shared" si="15"/>
        <v>1</v>
      </c>
      <c r="V57" s="205" t="b">
        <f t="shared" si="15"/>
        <v>1</v>
      </c>
      <c r="W57" s="205" t="b">
        <f t="shared" si="15"/>
        <v>1</v>
      </c>
      <c r="X57" s="205" t="b">
        <f t="shared" si="15"/>
        <v>1</v>
      </c>
    </row>
    <row r="58" spans="2:24" x14ac:dyDescent="0.2">
      <c r="B58" s="206"/>
      <c r="C58" s="204"/>
      <c r="D58" s="678">
        <f>MATCH(TRUE,E57:X57,0)</f>
        <v>2</v>
      </c>
      <c r="E58" s="263">
        <f>IF(E55&lt;$E56, 0, IF(E55=E$56, 13, 12*((E55-$E56)/E55)))</f>
        <v>0</v>
      </c>
      <c r="F58" s="263">
        <f t="shared" ref="F58:P58" si="16">IF(F55&lt;$E56, 0, IF(F55=$E56, 13, IF(E58&gt;0, 12, 12 * (($E$56 - E55) / (F55-E55)))))</f>
        <v>6.8430572660098523</v>
      </c>
      <c r="G58" s="263">
        <f t="shared" si="16"/>
        <v>12</v>
      </c>
      <c r="H58" s="263">
        <f t="shared" si="16"/>
        <v>12</v>
      </c>
      <c r="I58" s="263">
        <f t="shared" si="16"/>
        <v>12</v>
      </c>
      <c r="J58" s="263">
        <f t="shared" si="16"/>
        <v>12</v>
      </c>
      <c r="K58" s="263">
        <f t="shared" si="16"/>
        <v>12</v>
      </c>
      <c r="L58" s="263">
        <f t="shared" si="16"/>
        <v>12</v>
      </c>
      <c r="M58" s="263">
        <f t="shared" si="16"/>
        <v>12</v>
      </c>
      <c r="N58" s="263">
        <f t="shared" si="16"/>
        <v>12</v>
      </c>
      <c r="O58" s="263">
        <f t="shared" si="16"/>
        <v>12</v>
      </c>
      <c r="P58" s="263">
        <f t="shared" si="16"/>
        <v>12</v>
      </c>
      <c r="Q58" s="263">
        <f t="shared" ref="Q58:X58" si="17">IF(Q55&lt;$E56, 0, IF(Q55=$E56, 13, IF(P58&gt;0, 12, 12 * (($E$56 - P55) / (Q55-P55)))))</f>
        <v>12</v>
      </c>
      <c r="R58" s="263">
        <f t="shared" si="17"/>
        <v>12</v>
      </c>
      <c r="S58" s="263">
        <f t="shared" si="17"/>
        <v>12</v>
      </c>
      <c r="T58" s="263">
        <f t="shared" si="17"/>
        <v>12</v>
      </c>
      <c r="U58" s="263">
        <f t="shared" si="17"/>
        <v>12</v>
      </c>
      <c r="V58" s="263">
        <f t="shared" si="17"/>
        <v>12</v>
      </c>
      <c r="W58" s="263">
        <f t="shared" si="17"/>
        <v>12</v>
      </c>
      <c r="X58" s="263">
        <f t="shared" si="17"/>
        <v>12</v>
      </c>
    </row>
    <row r="59" spans="2:24" x14ac:dyDescent="0.2">
      <c r="B59" s="206"/>
      <c r="D59" s="205" t="s">
        <v>713</v>
      </c>
      <c r="E59" s="205">
        <f>IF(E58&lt;&gt;12, 0, IF(F33&lt;0,1,0))</f>
        <v>0</v>
      </c>
      <c r="F59" s="205">
        <f t="shared" ref="F59:O59" si="18">IF(F58&lt;&gt;12, 0, IF(G33&lt;0,1,0))</f>
        <v>0</v>
      </c>
      <c r="G59" s="205">
        <f>IF(G58&lt;&gt;12, 0, IF(H33&lt;0,1,0))</f>
        <v>1</v>
      </c>
      <c r="H59" s="205">
        <f t="shared" si="18"/>
        <v>1</v>
      </c>
      <c r="I59" s="205">
        <f t="shared" si="18"/>
        <v>1</v>
      </c>
      <c r="J59" s="205">
        <f t="shared" si="18"/>
        <v>1</v>
      </c>
      <c r="K59" s="205">
        <f t="shared" si="18"/>
        <v>1</v>
      </c>
      <c r="L59" s="205">
        <f t="shared" si="18"/>
        <v>1</v>
      </c>
      <c r="M59" s="205">
        <f t="shared" si="18"/>
        <v>1</v>
      </c>
      <c r="N59" s="205">
        <f t="shared" si="18"/>
        <v>1</v>
      </c>
      <c r="O59" s="205">
        <f t="shared" si="18"/>
        <v>0</v>
      </c>
      <c r="P59" s="205">
        <f>IF(P58&lt;&gt;12, 0, IF(Q33&lt;0,1,0))</f>
        <v>0</v>
      </c>
      <c r="Q59" s="205">
        <f t="shared" ref="Q59:X59" si="19">IF(Q58&lt;&gt;12, 0, IF(R33&lt;0,1,0))</f>
        <v>0</v>
      </c>
      <c r="R59" s="205">
        <f t="shared" si="19"/>
        <v>0</v>
      </c>
      <c r="S59" s="205">
        <f t="shared" si="19"/>
        <v>0</v>
      </c>
      <c r="T59" s="205">
        <f t="shared" si="19"/>
        <v>0</v>
      </c>
      <c r="U59" s="205">
        <f t="shared" si="19"/>
        <v>0</v>
      </c>
      <c r="V59" s="205">
        <f t="shared" si="19"/>
        <v>0</v>
      </c>
      <c r="W59" s="205">
        <f t="shared" si="19"/>
        <v>0</v>
      </c>
      <c r="X59" s="205">
        <f t="shared" si="19"/>
        <v>0</v>
      </c>
    </row>
    <row r="60" spans="2:24" x14ac:dyDescent="0.2">
      <c r="B60" s="206"/>
      <c r="D60" s="205" t="s">
        <v>714</v>
      </c>
      <c r="E60" s="205">
        <f t="shared" ref="E60:P60" si="20">IF(E33*F33&lt;0,-E58*E33/(F33-E33),0)</f>
        <v>0</v>
      </c>
      <c r="F60" s="205">
        <f t="shared" si="20"/>
        <v>0</v>
      </c>
      <c r="G60" s="205">
        <f t="shared" si="20"/>
        <v>0</v>
      </c>
      <c r="H60" s="205">
        <f t="shared" si="20"/>
        <v>0</v>
      </c>
      <c r="I60" s="205">
        <f t="shared" si="20"/>
        <v>0</v>
      </c>
      <c r="J60" s="205">
        <f t="shared" si="20"/>
        <v>0</v>
      </c>
      <c r="K60" s="205">
        <f t="shared" si="20"/>
        <v>0</v>
      </c>
      <c r="L60" s="205">
        <f t="shared" si="20"/>
        <v>0</v>
      </c>
      <c r="M60" s="205">
        <f t="shared" si="20"/>
        <v>0</v>
      </c>
      <c r="N60" s="205">
        <f t="shared" si="20"/>
        <v>0</v>
      </c>
      <c r="O60" s="205">
        <f t="shared" si="20"/>
        <v>10.084424401022822</v>
      </c>
      <c r="P60" s="205">
        <f t="shared" si="20"/>
        <v>0</v>
      </c>
      <c r="Q60" s="205"/>
      <c r="X60" s="205">
        <f>IF(X33&lt;0,X58,0)</f>
        <v>0</v>
      </c>
    </row>
    <row r="61" spans="2:24" x14ac:dyDescent="0.2">
      <c r="B61" s="206"/>
      <c r="Q61" s="205"/>
    </row>
    <row r="62" spans="2:24" x14ac:dyDescent="0.2">
      <c r="B62" s="206"/>
      <c r="C62" s="204" t="s">
        <v>715</v>
      </c>
    </row>
    <row r="63" spans="2:24" x14ac:dyDescent="0.2">
      <c r="B63" s="206"/>
      <c r="C63" s="204"/>
    </row>
    <row r="64" spans="2:24" x14ac:dyDescent="0.2">
      <c r="B64" s="206"/>
      <c r="C64" s="204" t="s">
        <v>716</v>
      </c>
      <c r="D64" s="205">
        <f>E9</f>
        <v>2013</v>
      </c>
      <c r="F64" s="205">
        <f>IF($P$40&gt;0,$E$26,0)</f>
        <v>13512.5</v>
      </c>
      <c r="G64" s="205">
        <f>IF($P$40&gt;1,$E$26,0)</f>
        <v>13512.5</v>
      </c>
      <c r="H64" s="205">
        <f>IF($P$40&gt;2,$E$26,0)</f>
        <v>13512.5</v>
      </c>
      <c r="I64" s="205">
        <f>IF($P$40&gt;3,$E$26,0)</f>
        <v>13512.5</v>
      </c>
      <c r="J64" s="205">
        <f>IF($P$40&gt;4,$E$26,0)</f>
        <v>13512.5</v>
      </c>
      <c r="K64" s="205">
        <f>IF($P$40&gt;5,$E$26,0)</f>
        <v>13512.5</v>
      </c>
      <c r="L64" s="205">
        <f>IF($P$40&gt;6,$E$26,0)</f>
        <v>13512.5</v>
      </c>
      <c r="M64" s="205">
        <f>IF($P$40&gt;7,$E$26,0)</f>
        <v>13512.5</v>
      </c>
      <c r="N64" s="205">
        <f>IF($P$40&gt;8,$E$26,0)</f>
        <v>13512.5</v>
      </c>
      <c r="O64" s="205">
        <f>IF($P$40&gt;9,$E$26,0)</f>
        <v>13512.5</v>
      </c>
      <c r="P64" s="205">
        <f>IF($P$40&gt;10,$E$26,0)</f>
        <v>13512.5</v>
      </c>
      <c r="Q64" s="205">
        <f>IF($P$40&gt;11,$E$26,0)</f>
        <v>13512.5</v>
      </c>
      <c r="R64" s="205">
        <f>IF($P$40&gt;12,$E$26,0)</f>
        <v>0</v>
      </c>
      <c r="S64" s="205">
        <f>IF($P$40&gt;13,$E$26,0)</f>
        <v>0</v>
      </c>
      <c r="T64" s="205">
        <f>IF($P$40&gt;14,$E$26,0)</f>
        <v>0</v>
      </c>
      <c r="U64" s="205">
        <f>IF($P$40&gt;15,$E$26,0)</f>
        <v>0</v>
      </c>
      <c r="V64" s="205">
        <f>IF($P$40&gt;16,$E$26,0)</f>
        <v>0</v>
      </c>
      <c r="W64" s="205">
        <f>IF($P$40&gt;17,$E$26,0)</f>
        <v>0</v>
      </c>
      <c r="X64" s="205">
        <f>IF($P$40&gt;18,$E$26,0)</f>
        <v>0</v>
      </c>
    </row>
    <row r="65" spans="2:24" x14ac:dyDescent="0.2">
      <c r="B65" s="206"/>
      <c r="D65" s="205">
        <f t="shared" ref="D65:D82" si="21">D64+1</f>
        <v>2014</v>
      </c>
      <c r="G65" s="205">
        <f>IF($P$40&gt;0,$F$26,0)</f>
        <v>25984</v>
      </c>
      <c r="H65" s="205">
        <f>IF($P$40&gt;1,$F$26,0)</f>
        <v>25984</v>
      </c>
      <c r="I65" s="205">
        <f>IF($P$40&gt;2,$F$26,0)</f>
        <v>25984</v>
      </c>
      <c r="J65" s="205">
        <f>IF($P$40&gt;3,$F$26,0)</f>
        <v>25984</v>
      </c>
      <c r="K65" s="205">
        <f>IF($P$40&gt;4,$F$26,0)</f>
        <v>25984</v>
      </c>
      <c r="L65" s="205">
        <f>IF($P$40&gt;5,$F$26,0)</f>
        <v>25984</v>
      </c>
      <c r="M65" s="205">
        <f>IF($P$40&gt;6,$F$26,0)</f>
        <v>25984</v>
      </c>
      <c r="N65" s="205">
        <f>IF($P$40&gt;7,$F$26,0)</f>
        <v>25984</v>
      </c>
      <c r="O65" s="205">
        <f>IF($P$40&gt;8,$F$26,0)</f>
        <v>25984</v>
      </c>
      <c r="P65" s="205">
        <f>IF($P$40&gt;9,$F$26,0)</f>
        <v>25984</v>
      </c>
      <c r="Q65" s="205">
        <f>IF($P$40&gt;10,$F$26,0)</f>
        <v>25984</v>
      </c>
      <c r="R65" s="205">
        <f>IF($P$40&gt;11,$F$26,0)</f>
        <v>25984</v>
      </c>
      <c r="S65" s="205">
        <f>IF($P$40&gt;12,$F$26,0)</f>
        <v>0</v>
      </c>
      <c r="T65" s="205">
        <f>IF($P$40&gt;13,$F$26,0)</f>
        <v>0</v>
      </c>
      <c r="U65" s="205">
        <f>IF($P$40&gt;14,$F$26,0)</f>
        <v>0</v>
      </c>
      <c r="V65" s="205">
        <f>IF($P$40&gt;15,$F$26,0)</f>
        <v>0</v>
      </c>
      <c r="W65" s="205">
        <f>IF($P$40&gt;16,$F$26,0)</f>
        <v>0</v>
      </c>
      <c r="X65" s="205">
        <f>IF($P$40&gt;17,$F$26,0)</f>
        <v>0</v>
      </c>
    </row>
    <row r="66" spans="2:24" x14ac:dyDescent="0.2">
      <c r="B66" s="206"/>
      <c r="D66" s="205">
        <f t="shared" si="21"/>
        <v>2015</v>
      </c>
      <c r="H66" s="205">
        <f>IF($P$40&gt;0,$G$26,0)</f>
        <v>13102.500000000002</v>
      </c>
      <c r="I66" s="205">
        <f>IF($P$40&gt;1,$G$26,0)</f>
        <v>13102.500000000002</v>
      </c>
      <c r="J66" s="205">
        <f>IF($P$40&gt;2,$G$26,0)</f>
        <v>13102.500000000002</v>
      </c>
      <c r="K66" s="205">
        <f>IF($P$40&gt;3,$G$26,0)</f>
        <v>13102.500000000002</v>
      </c>
      <c r="L66" s="205">
        <f>IF($P$40&gt;4,$G$26,0)</f>
        <v>13102.500000000002</v>
      </c>
      <c r="M66" s="205">
        <f>IF($P$40&gt;5,$G$26,0)</f>
        <v>13102.500000000002</v>
      </c>
      <c r="N66" s="205">
        <f>IF($P$40&gt;6,$G$26,0)</f>
        <v>13102.500000000002</v>
      </c>
      <c r="O66" s="205">
        <f>IF($P$40&gt;7,$G$26,0)</f>
        <v>13102.500000000002</v>
      </c>
      <c r="P66" s="205">
        <f>IF($P$40&gt;8,$G$26,0)</f>
        <v>13102.500000000002</v>
      </c>
      <c r="Q66" s="205">
        <f>IF($P$40&gt;9,$G$26,0)</f>
        <v>13102.500000000002</v>
      </c>
      <c r="R66" s="205">
        <f>IF($P$40&gt;10,$G$26,0)</f>
        <v>13102.500000000002</v>
      </c>
      <c r="S66" s="205">
        <f>IF($P$40&gt;11,$G$26,0)</f>
        <v>13102.500000000002</v>
      </c>
      <c r="T66" s="205">
        <f>IF($P$40&gt;12,$G$26,0)</f>
        <v>0</v>
      </c>
      <c r="U66" s="205">
        <f>IF($P$40&gt;13,$G$26,0)</f>
        <v>0</v>
      </c>
      <c r="V66" s="205">
        <f>IF($P$40&gt;14,$G$26,0)</f>
        <v>0</v>
      </c>
      <c r="W66" s="205">
        <f>IF($P$40&gt;15,$G$26,0)</f>
        <v>0</v>
      </c>
      <c r="X66" s="205">
        <f>IF($P$40&gt;16,$G$26,0)</f>
        <v>0</v>
      </c>
    </row>
    <row r="67" spans="2:24" x14ac:dyDescent="0.2">
      <c r="B67" s="206"/>
      <c r="D67" s="205">
        <f t="shared" si="21"/>
        <v>2016</v>
      </c>
      <c r="I67" s="205">
        <f>IF($P$40&gt;0,$H$26,0)</f>
        <v>1851.0000000000005</v>
      </c>
      <c r="J67" s="205">
        <f>IF($P$40&gt;1,$H$26,0)</f>
        <v>1851.0000000000005</v>
      </c>
      <c r="K67" s="205">
        <f>IF($P$40&gt;2,$H$26,0)</f>
        <v>1851.0000000000005</v>
      </c>
      <c r="L67" s="205">
        <f>IF($P$40&gt;3,$H$26,0)</f>
        <v>1851.0000000000005</v>
      </c>
      <c r="M67" s="205">
        <f>IF($P$40&gt;4,$H$26,0)</f>
        <v>1851.0000000000005</v>
      </c>
      <c r="N67" s="205">
        <f>IF($P$40&gt;5,$H$26,0)</f>
        <v>1851.0000000000005</v>
      </c>
      <c r="O67" s="205">
        <f>IF($P$40&gt;6,$H$26,0)</f>
        <v>1851.0000000000005</v>
      </c>
      <c r="P67" s="205">
        <f>IF($P$40&gt;7,$H$26,0)</f>
        <v>1851.0000000000005</v>
      </c>
      <c r="Q67" s="205">
        <f>IF($P$40&gt;8,$H$26,0)</f>
        <v>1851.0000000000005</v>
      </c>
      <c r="R67" s="205">
        <f>IF($P$40&gt;9,$H$26,0)</f>
        <v>1851.0000000000005</v>
      </c>
      <c r="S67" s="205">
        <f>IF($P$40&gt;10,$H$26,0)</f>
        <v>1851.0000000000005</v>
      </c>
      <c r="T67" s="205">
        <f>IF($P$40&gt;11,$H$26,0)</f>
        <v>1851.0000000000005</v>
      </c>
      <c r="U67" s="205">
        <f>IF($P$40&gt;12,$H$26,0)</f>
        <v>0</v>
      </c>
      <c r="V67" s="205">
        <f>IF($P$40&gt;13,$H$26,0)</f>
        <v>0</v>
      </c>
      <c r="W67" s="205">
        <f>IF($P$40&gt;14,$H$26,0)</f>
        <v>0</v>
      </c>
      <c r="X67" s="205">
        <f>IF($P$40&gt;15,$H$26,0)</f>
        <v>0</v>
      </c>
    </row>
    <row r="68" spans="2:24" x14ac:dyDescent="0.2">
      <c r="B68" s="206"/>
      <c r="D68" s="205">
        <f t="shared" si="21"/>
        <v>2017</v>
      </c>
      <c r="J68" s="205">
        <f>IF($P$40&gt;0,$I$26,0)</f>
        <v>1300</v>
      </c>
      <c r="K68" s="205">
        <f>IF($P$40&gt;1,$I$26,0)</f>
        <v>1300</v>
      </c>
      <c r="L68" s="205">
        <f>IF($P$40&gt;2,$I$26,0)</f>
        <v>1300</v>
      </c>
      <c r="M68" s="205">
        <f>IF($P$40&gt;3,$I$26,0)</f>
        <v>1300</v>
      </c>
      <c r="N68" s="205">
        <f>IF($P$40&gt;4,$I$26,0)</f>
        <v>1300</v>
      </c>
      <c r="O68" s="205">
        <f>IF($P$40&gt;5,$I$26,0)</f>
        <v>1300</v>
      </c>
      <c r="P68" s="205">
        <f>IF($P$40&gt;6,$I$26,0)</f>
        <v>1300</v>
      </c>
      <c r="Q68" s="205">
        <f>IF($P$40&gt;7,$I$26,0)</f>
        <v>1300</v>
      </c>
      <c r="R68" s="205">
        <f>IF($P$40&gt;8,$I$26,0)</f>
        <v>1300</v>
      </c>
      <c r="S68" s="205">
        <f>IF($P$40&gt;9,$I$26,0)</f>
        <v>1300</v>
      </c>
      <c r="T68" s="205">
        <f>IF($P$40&gt;10,$I$26,0)</f>
        <v>1300</v>
      </c>
      <c r="U68" s="205">
        <f>IF($P$40&gt;11,$I$26,0)</f>
        <v>1300</v>
      </c>
      <c r="V68" s="205">
        <f>IF($P$40&gt;12,$I$26,0)</f>
        <v>0</v>
      </c>
      <c r="W68" s="205">
        <f>IF($P$40&gt;13,$I$26,0)</f>
        <v>0</v>
      </c>
      <c r="X68" s="205">
        <f>IF($P$40&gt;14,$I$26,0)</f>
        <v>0</v>
      </c>
    </row>
    <row r="69" spans="2:24" x14ac:dyDescent="0.2">
      <c r="B69" s="206"/>
      <c r="D69" s="205">
        <f t="shared" si="21"/>
        <v>2018</v>
      </c>
      <c r="K69" s="205">
        <f>IF($P$40&gt;0,$J$26,0)</f>
        <v>780</v>
      </c>
      <c r="L69" s="205">
        <f>IF($P$40&gt;1,$J$26,0)</f>
        <v>780</v>
      </c>
      <c r="M69" s="205">
        <f>IF($P$40&gt;2,$J$26,0)</f>
        <v>780</v>
      </c>
      <c r="N69" s="205">
        <f>IF($P$40&gt;3,$J$26,0)</f>
        <v>780</v>
      </c>
      <c r="O69" s="205">
        <f>IF($P$40&gt;4,$J$26,0)</f>
        <v>780</v>
      </c>
      <c r="P69" s="205">
        <f>IF($P$40&gt;5,$J$26,0)</f>
        <v>780</v>
      </c>
      <c r="Q69" s="205">
        <f>IF($P$40&gt;6,$J$26,0)</f>
        <v>780</v>
      </c>
      <c r="R69" s="205">
        <f>IF($P$40&gt;7,$J$26,0)</f>
        <v>780</v>
      </c>
      <c r="S69" s="205">
        <f>IF($P$40&gt;8,$J$26,0)</f>
        <v>780</v>
      </c>
      <c r="T69" s="205">
        <f>IF($P$40&gt;9,$J$26,0)</f>
        <v>780</v>
      </c>
      <c r="U69" s="205">
        <f>IF($P$40&gt;10,$J$26,0)</f>
        <v>780</v>
      </c>
      <c r="V69" s="205">
        <f>IF($P$40&gt;11,$J$26,0)</f>
        <v>780</v>
      </c>
      <c r="W69" s="205">
        <f>IF($P$40&gt;12,$J$26,0)</f>
        <v>0</v>
      </c>
      <c r="X69" s="205">
        <f>IF($P$40&gt;13,$J$26,0)</f>
        <v>0</v>
      </c>
    </row>
    <row r="70" spans="2:24" x14ac:dyDescent="0.2">
      <c r="B70" s="206"/>
      <c r="D70" s="205">
        <f t="shared" si="21"/>
        <v>2019</v>
      </c>
      <c r="L70" s="205">
        <f>IF($P$40&gt;0,$K$26,0)</f>
        <v>130</v>
      </c>
      <c r="M70" s="205">
        <f>IF($P$40&gt;1,$K$26,0)</f>
        <v>130</v>
      </c>
      <c r="N70" s="205">
        <f>IF($P$40&gt;2,$K$26,0)</f>
        <v>130</v>
      </c>
      <c r="O70" s="205">
        <f>IF($P$40&gt;3,$K$26,0)</f>
        <v>130</v>
      </c>
      <c r="P70" s="205">
        <f>IF($P$40&gt;4,$K$26,0)</f>
        <v>130</v>
      </c>
      <c r="Q70" s="205">
        <f>IF($P$40&gt;5,$K$26,0)</f>
        <v>130</v>
      </c>
      <c r="R70" s="205">
        <f>IF($P$40&gt;6,$K$26,0)</f>
        <v>130</v>
      </c>
      <c r="S70" s="205">
        <f>IF($P$40&gt;7,$K$26,0)</f>
        <v>130</v>
      </c>
      <c r="T70" s="205">
        <f>IF($P$40&gt;8,$K$26,0)</f>
        <v>130</v>
      </c>
      <c r="U70" s="205">
        <f>IF($P$40&gt;9,$K$26,0)</f>
        <v>130</v>
      </c>
      <c r="V70" s="205">
        <f>IF($P$40&gt;10,$K$26,0)</f>
        <v>130</v>
      </c>
      <c r="W70" s="205">
        <f>IF($P$40&gt;11,$K$26,0)</f>
        <v>130</v>
      </c>
      <c r="X70" s="205">
        <f>IF($P$40&gt;12,$K$26,0)</f>
        <v>0</v>
      </c>
    </row>
    <row r="71" spans="2:24" x14ac:dyDescent="0.2">
      <c r="B71" s="206"/>
      <c r="D71" s="205">
        <f t="shared" si="21"/>
        <v>2020</v>
      </c>
      <c r="M71" s="205">
        <f>IF($P$40&gt;0,$L$26,0)</f>
        <v>0</v>
      </c>
      <c r="N71" s="205">
        <f>IF($P$40&gt;1,$L$26,0)</f>
        <v>0</v>
      </c>
      <c r="O71" s="205">
        <f>IF($P$40&gt;2,$L$26,0)</f>
        <v>0</v>
      </c>
      <c r="P71" s="205">
        <f>IF($P$40&gt;3,$L$26,0)</f>
        <v>0</v>
      </c>
      <c r="Q71" s="205">
        <f>IF($P$40&gt;4,$L$26,0)</f>
        <v>0</v>
      </c>
      <c r="R71" s="205">
        <f>IF($P$40&gt;5,$L$26,0)</f>
        <v>0</v>
      </c>
      <c r="S71" s="205">
        <f>IF($P$40&gt;6,$L$26,0)</f>
        <v>0</v>
      </c>
      <c r="T71" s="205">
        <f>IF($P$40&gt;7,$L$26,0)</f>
        <v>0</v>
      </c>
      <c r="U71" s="205">
        <f>IF($P$40&gt;8,$L$26,0)</f>
        <v>0</v>
      </c>
      <c r="V71" s="205">
        <f>IF($P$40&gt;9,$L$26,0)</f>
        <v>0</v>
      </c>
      <c r="W71" s="205">
        <f>IF($P$40&gt;10,$L$26,0)</f>
        <v>0</v>
      </c>
      <c r="X71" s="205">
        <f>IF($P$40&gt;11,$L$26,0)</f>
        <v>0</v>
      </c>
    </row>
    <row r="72" spans="2:24" x14ac:dyDescent="0.2">
      <c r="B72" s="206"/>
      <c r="D72" s="205">
        <f t="shared" si="21"/>
        <v>2021</v>
      </c>
      <c r="N72" s="205">
        <f>IF($P$40&gt;0,$M$26,0)</f>
        <v>0</v>
      </c>
      <c r="O72" s="205">
        <f>IF($P$40&gt;1,$M$26,0)</f>
        <v>0</v>
      </c>
      <c r="P72" s="205">
        <f>IF($P$40&gt;2,$M$26,0)</f>
        <v>0</v>
      </c>
      <c r="Q72" s="205">
        <f>IF($P$40&gt;3,$M$26,0)</f>
        <v>0</v>
      </c>
      <c r="R72" s="205">
        <f>IF($P$40&gt;4,$M$26,0)</f>
        <v>0</v>
      </c>
      <c r="S72" s="205">
        <f>IF($P$40&gt;5,$M$26,0)</f>
        <v>0</v>
      </c>
      <c r="T72" s="205">
        <f>IF($P$40&gt;6,$M$26,0)</f>
        <v>0</v>
      </c>
      <c r="U72" s="205">
        <f>IF($P$40&gt;7,$M$26,0)</f>
        <v>0</v>
      </c>
      <c r="V72" s="205">
        <f>IF($P$40&gt;8,$M$26,0)</f>
        <v>0</v>
      </c>
      <c r="W72" s="205">
        <f>IF($P$40&gt;9,$M$26,0)</f>
        <v>0</v>
      </c>
      <c r="X72" s="205">
        <f>IF($P$40&gt;10,$M$26,0)</f>
        <v>0</v>
      </c>
    </row>
    <row r="73" spans="2:24" x14ac:dyDescent="0.2">
      <c r="B73" s="206"/>
      <c r="D73" s="205">
        <f t="shared" si="21"/>
        <v>2022</v>
      </c>
      <c r="O73" s="205">
        <f>IF($P$40&gt;0,$N$26,0)</f>
        <v>0</v>
      </c>
      <c r="P73" s="205">
        <f>IF($P$40&gt;1,$N$26,0)</f>
        <v>0</v>
      </c>
      <c r="Q73" s="205">
        <f>IF($P$40&gt;2,$N$26,0)</f>
        <v>0</v>
      </c>
      <c r="R73" s="205">
        <f>IF($P$40&gt;3,$N$26,0)</f>
        <v>0</v>
      </c>
      <c r="S73" s="205">
        <f>IF($P$40&gt;4,$N$26,0)</f>
        <v>0</v>
      </c>
      <c r="T73" s="205">
        <f>IF($P$40&gt;5,$N$26,0)</f>
        <v>0</v>
      </c>
      <c r="U73" s="205">
        <f>IF($P$40&gt;6,$N$26,0)</f>
        <v>0</v>
      </c>
      <c r="V73" s="205">
        <f>IF($P$40&gt;7,$N$26,0)</f>
        <v>0</v>
      </c>
      <c r="W73" s="205">
        <f>IF($P$40&gt;8,$N$26,0)</f>
        <v>0</v>
      </c>
      <c r="X73" s="205">
        <f>IF($P$40&gt;9,$N$26,0)</f>
        <v>0</v>
      </c>
    </row>
    <row r="74" spans="2:24" x14ac:dyDescent="0.2">
      <c r="B74" s="206"/>
      <c r="D74" s="205">
        <f t="shared" si="21"/>
        <v>2023</v>
      </c>
      <c r="P74" s="205">
        <f>IF($P$40&gt;0,$O$26,0)</f>
        <v>0</v>
      </c>
      <c r="Q74" s="205">
        <f>IF($P$40&gt;1,$O$26,0)</f>
        <v>0</v>
      </c>
      <c r="R74" s="205">
        <f>IF($P$40&gt;2,$O$26,0)</f>
        <v>0</v>
      </c>
      <c r="S74" s="205">
        <f>IF($P$40&gt;3,$O$26,0)</f>
        <v>0</v>
      </c>
      <c r="T74" s="205">
        <f>IF($P$40&gt;4,$O$26,0)</f>
        <v>0</v>
      </c>
      <c r="U74" s="205">
        <f>IF($P$40&gt;5,$O$26,0)</f>
        <v>0</v>
      </c>
      <c r="V74" s="205">
        <f>IF($P$40&gt;6,$O$26,0)</f>
        <v>0</v>
      </c>
      <c r="W74" s="205">
        <f>IF($P$40&gt;7,$O$26,0)</f>
        <v>0</v>
      </c>
      <c r="X74" s="205">
        <f>IF($P$40&gt;8,$O$26,0)</f>
        <v>0</v>
      </c>
    </row>
    <row r="75" spans="2:24" x14ac:dyDescent="0.2">
      <c r="B75" s="206"/>
      <c r="D75" s="205">
        <f t="shared" si="21"/>
        <v>2024</v>
      </c>
      <c r="Q75" s="205">
        <f>IF($P$40&gt;0,$P$26,0)</f>
        <v>0</v>
      </c>
      <c r="R75" s="205">
        <f>IF($P$40&gt;1,$P$26,0)</f>
        <v>0</v>
      </c>
      <c r="S75" s="205">
        <f>IF($P$40&gt;2,$P$26,0)</f>
        <v>0</v>
      </c>
      <c r="T75" s="205">
        <f>IF($P$40&gt;3,$P$26,0)</f>
        <v>0</v>
      </c>
      <c r="U75" s="205">
        <f>IF($P$40&gt;4,$P$26,0)</f>
        <v>0</v>
      </c>
      <c r="V75" s="205">
        <f>IF($P$40&gt;5,$P$26,0)</f>
        <v>0</v>
      </c>
      <c r="W75" s="205">
        <f>IF($P$40&gt;6,$P$26,0)</f>
        <v>0</v>
      </c>
      <c r="X75" s="205">
        <f>IF($P$40&gt;7,$P$26,0)</f>
        <v>0</v>
      </c>
    </row>
    <row r="76" spans="2:24" x14ac:dyDescent="0.2">
      <c r="B76" s="206"/>
      <c r="D76" s="205">
        <f t="shared" si="21"/>
        <v>2025</v>
      </c>
      <c r="Q76" s="205"/>
      <c r="R76" s="205">
        <f>IF($P$40&gt;0,$Q$26,0)</f>
        <v>0</v>
      </c>
      <c r="S76" s="205">
        <f>IF($P$40&gt;1,$Q$26,0)</f>
        <v>0</v>
      </c>
      <c r="T76" s="205">
        <f>IF($P$40&gt;2,$Q$26,0)</f>
        <v>0</v>
      </c>
      <c r="U76" s="205">
        <f>IF($P$40&gt;3,$Q$26,0)</f>
        <v>0</v>
      </c>
      <c r="V76" s="205">
        <f>IF($P$40&gt;4,$Q$26,0)</f>
        <v>0</v>
      </c>
      <c r="W76" s="205">
        <f>IF($P$40&gt;5,$Q$26,0)</f>
        <v>0</v>
      </c>
      <c r="X76" s="205">
        <f>IF($P$40&gt;6,$Q$26,0)</f>
        <v>0</v>
      </c>
    </row>
    <row r="77" spans="2:24" x14ac:dyDescent="0.2">
      <c r="B77" s="206"/>
      <c r="D77" s="205">
        <f t="shared" si="21"/>
        <v>2026</v>
      </c>
      <c r="S77" s="205">
        <f>IF($P$40&gt;0,$R$26,0)</f>
        <v>0</v>
      </c>
      <c r="T77" s="205">
        <f>IF($P$40&gt;1,$R$26,0)</f>
        <v>0</v>
      </c>
      <c r="U77" s="205">
        <f>IF($P$40&gt;2,$R$26,0)</f>
        <v>0</v>
      </c>
      <c r="V77" s="205">
        <f>IF($P$40&gt;3,$R$26,0)</f>
        <v>0</v>
      </c>
      <c r="W77" s="205">
        <f>IF($P$40&gt;4,$R$26,0)</f>
        <v>0</v>
      </c>
      <c r="X77" s="205">
        <f>IF($P$40&gt;5,$R$26,0)</f>
        <v>0</v>
      </c>
    </row>
    <row r="78" spans="2:24" x14ac:dyDescent="0.2">
      <c r="B78" s="206"/>
      <c r="D78" s="205">
        <f t="shared" si="21"/>
        <v>2027</v>
      </c>
      <c r="T78" s="205">
        <f>IF($P$40&gt;0,$S$26,0)</f>
        <v>0</v>
      </c>
      <c r="U78" s="205">
        <f>IF($P$40&gt;1,$S$26,0)</f>
        <v>0</v>
      </c>
      <c r="V78" s="205">
        <f>IF($P$40&gt;2,$S$26,0)</f>
        <v>0</v>
      </c>
      <c r="W78" s="205">
        <f>IF($P$40&gt;3,$S$26,0)</f>
        <v>0</v>
      </c>
      <c r="X78" s="205">
        <f>IF($P$40&gt;4,$S$26,0)</f>
        <v>0</v>
      </c>
    </row>
    <row r="79" spans="2:24" x14ac:dyDescent="0.2">
      <c r="B79" s="206"/>
      <c r="D79" s="205">
        <f t="shared" si="21"/>
        <v>2028</v>
      </c>
      <c r="U79" s="205">
        <f>IF($P$40&gt;0,$T$26,0)</f>
        <v>0</v>
      </c>
      <c r="V79" s="205">
        <f>IF($P$40&gt;1,$T$26,0)</f>
        <v>0</v>
      </c>
      <c r="W79" s="205">
        <f>IF($P$40&gt;2,$T$26,0)</f>
        <v>0</v>
      </c>
      <c r="X79" s="205">
        <f>IF($P$40&gt;3,$T$26,0)</f>
        <v>0</v>
      </c>
    </row>
    <row r="80" spans="2:24" x14ac:dyDescent="0.2">
      <c r="B80" s="206"/>
      <c r="D80" s="205">
        <f t="shared" si="21"/>
        <v>2029</v>
      </c>
      <c r="V80" s="205">
        <f>IF($P$40&gt;0,$U$26,0)</f>
        <v>0</v>
      </c>
      <c r="W80" s="205">
        <f>IF($P$40&gt;1,$U$26,0)</f>
        <v>0</v>
      </c>
      <c r="X80" s="205">
        <f>IF($P$40&gt;2,$U$26,0)</f>
        <v>0</v>
      </c>
    </row>
    <row r="81" spans="2:24" x14ac:dyDescent="0.2">
      <c r="B81" s="206"/>
      <c r="D81" s="205">
        <f t="shared" si="21"/>
        <v>2030</v>
      </c>
      <c r="W81" s="205">
        <f>IF($P$40&gt;0,$V$26,0)</f>
        <v>0</v>
      </c>
      <c r="X81" s="205">
        <f>IF($P$40&gt;1,$V$26,0)</f>
        <v>0</v>
      </c>
    </row>
    <row r="82" spans="2:24" x14ac:dyDescent="0.2">
      <c r="B82" s="206"/>
      <c r="D82" s="205">
        <f t="shared" si="21"/>
        <v>2031</v>
      </c>
      <c r="X82" s="205">
        <f>IF($P$40&gt;0,$W$26,0)</f>
        <v>0</v>
      </c>
    </row>
    <row r="83" spans="2:24" x14ac:dyDescent="0.2">
      <c r="B83" s="206"/>
      <c r="F83" s="205">
        <f t="shared" ref="F83:P83" si="22">SUM(F64:F82)/$P$40</f>
        <v>1126.0416666666667</v>
      </c>
      <c r="G83" s="205">
        <f>SUM(G64:G82)/$P$40</f>
        <v>3291.375</v>
      </c>
      <c r="H83" s="205">
        <f t="shared" si="22"/>
        <v>4383.25</v>
      </c>
      <c r="I83" s="205">
        <f t="shared" si="22"/>
        <v>4537.5</v>
      </c>
      <c r="J83" s="205">
        <f t="shared" si="22"/>
        <v>4645.833333333333</v>
      </c>
      <c r="K83" s="205">
        <f t="shared" si="22"/>
        <v>4710.833333333333</v>
      </c>
      <c r="L83" s="205">
        <f t="shared" si="22"/>
        <v>4721.666666666667</v>
      </c>
      <c r="M83" s="205">
        <f t="shared" si="22"/>
        <v>4721.666666666667</v>
      </c>
      <c r="N83" s="205">
        <f t="shared" si="22"/>
        <v>4721.666666666667</v>
      </c>
      <c r="O83" s="205">
        <f t="shared" si="22"/>
        <v>4721.666666666667</v>
      </c>
      <c r="P83" s="205">
        <f t="shared" si="22"/>
        <v>4721.666666666667</v>
      </c>
      <c r="Q83" s="205">
        <f t="shared" ref="Q83:X83" si="23">SUM(Q64:Q82)/$P$40</f>
        <v>4721.666666666667</v>
      </c>
      <c r="R83" s="205">
        <f t="shared" si="23"/>
        <v>3595.625</v>
      </c>
      <c r="S83" s="205">
        <f t="shared" si="23"/>
        <v>1430.2916666666667</v>
      </c>
      <c r="T83" s="205">
        <f t="shared" si="23"/>
        <v>338.41666666666669</v>
      </c>
      <c r="U83" s="205">
        <f t="shared" si="23"/>
        <v>184.16666666666666</v>
      </c>
      <c r="V83" s="205">
        <f t="shared" si="23"/>
        <v>75.833333333333329</v>
      </c>
      <c r="W83" s="205">
        <f t="shared" si="23"/>
        <v>10.833333333333334</v>
      </c>
      <c r="X83" s="205">
        <f t="shared" si="23"/>
        <v>0</v>
      </c>
    </row>
    <row r="84" spans="2:24" x14ac:dyDescent="0.2">
      <c r="B84" s="206"/>
      <c r="C84" s="204"/>
      <c r="F84" s="205">
        <f>IF($P40&lt;=2, F83, F83*((12-MONTH(O6)+1)/12))</f>
        <v>1126.0416666666667</v>
      </c>
      <c r="G84" s="205">
        <f>G83 + IF($P$40=3, $F83-$F84, 0)</f>
        <v>3291.375</v>
      </c>
      <c r="H84" s="205">
        <f>H83 +  IF($P$40=4, $F83-$F84, 0)</f>
        <v>4383.25</v>
      </c>
      <c r="I84" s="205">
        <f>I83 +  IF($P$40=5, $F83-$F84, 0)</f>
        <v>4537.5</v>
      </c>
      <c r="J84" s="205">
        <f>J83 +  IF($P$40=6, $F83-$F84, 0)</f>
        <v>4645.833333333333</v>
      </c>
      <c r="K84" s="205">
        <f>K83 +  IF($P$40=7, $F83-$F84, 0)</f>
        <v>4710.833333333333</v>
      </c>
      <c r="L84" s="205">
        <f>L83 +  IF($P$40=8, $F83-$F84, 0)</f>
        <v>4721.666666666667</v>
      </c>
      <c r="M84" s="205">
        <f>M83 +  IF($P$40=9, $F83-$F84, 0)</f>
        <v>4721.666666666667</v>
      </c>
      <c r="N84" s="205">
        <f>N83 +  IF($P$40=10, $F83-$F84, 0)</f>
        <v>4721.666666666667</v>
      </c>
      <c r="O84" s="205">
        <f>O83 +  IF($P$40=11, $F83-$F84, 0)</f>
        <v>4721.666666666667</v>
      </c>
      <c r="P84" s="205">
        <f>P83 +  IF($P$40=12, $F83-$F84, 0)</f>
        <v>4721.666666666667</v>
      </c>
      <c r="Q84" s="205">
        <f>Q83 +  IF($P$40=13, $F83-$F84, 0)</f>
        <v>4721.666666666667</v>
      </c>
      <c r="R84" s="205">
        <f>R83 +  IF($P$40=14, $F83-$F84, 0)</f>
        <v>3595.625</v>
      </c>
      <c r="S84" s="205">
        <f>S83 +  IF($P$40=15, $F83-$F84, 0)</f>
        <v>1430.2916666666667</v>
      </c>
      <c r="T84" s="205">
        <f>T83 +  IF($P$40=16, $F83-$F84, 0)</f>
        <v>338.41666666666669</v>
      </c>
      <c r="U84" s="205">
        <f>U83 +  IF($P$40=17, $F83-$F84, 0)</f>
        <v>184.16666666666666</v>
      </c>
      <c r="V84" s="205">
        <f>V83 +  IF($P$40=18, $F83-$F84, 0)</f>
        <v>75.833333333333329</v>
      </c>
      <c r="W84" s="205">
        <f>W83 +  IF($P$40=19, $F83-$F84, 0)</f>
        <v>10.833333333333334</v>
      </c>
      <c r="X84" s="205">
        <f>X83 +  IF($P$40=20, $F83-$F84, 0)</f>
        <v>0</v>
      </c>
    </row>
    <row r="85" spans="2:24" x14ac:dyDescent="0.2">
      <c r="B85" s="206"/>
      <c r="Q85" s="205"/>
    </row>
    <row r="86" spans="2:24" x14ac:dyDescent="0.2">
      <c r="B86" s="206"/>
      <c r="C86" s="204" t="s">
        <v>717</v>
      </c>
      <c r="D86" s="205">
        <f>E9</f>
        <v>2013</v>
      </c>
      <c r="F86" s="205">
        <f>IF($P$41&gt;0,$E$27/$P$41,0)</f>
        <v>0</v>
      </c>
      <c r="G86" s="205">
        <f>IF($P$41&gt;1,$E$27/$P$41,0)</f>
        <v>0</v>
      </c>
      <c r="H86" s="205">
        <f>IF($P$41&gt;2,$E$27/$P$41,0)</f>
        <v>0</v>
      </c>
      <c r="I86" s="205">
        <f>IF($P$41&gt;3,$E$27/$P$41,0)</f>
        <v>0</v>
      </c>
      <c r="J86" s="205">
        <f>IF($P$41&gt;4,$E$27/$P$41,0)</f>
        <v>0</v>
      </c>
      <c r="K86" s="205">
        <f>IF($P$41&gt;5,$E$27/$P$41,0)</f>
        <v>0</v>
      </c>
      <c r="L86" s="205">
        <f>IF($P$41&gt;6,$E$27/$P$41,0)</f>
        <v>0</v>
      </c>
      <c r="M86" s="205">
        <f>IF($P$41&gt;7,$E$27/$P$41,0)</f>
        <v>0</v>
      </c>
      <c r="N86" s="205">
        <f>IF($P$41&gt;8,$E$27/$P$41,0)</f>
        <v>0</v>
      </c>
      <c r="O86" s="205">
        <f>IF($P$41&gt;9,$E$27/$P$41,0)</f>
        <v>0</v>
      </c>
      <c r="P86" s="205">
        <f>IF($P$41&gt;10,$E$27/$P$41,0)</f>
        <v>0</v>
      </c>
      <c r="Q86" s="205">
        <f>IF($P$41&gt;11,$E$27/$P$41,0)</f>
        <v>0</v>
      </c>
      <c r="R86" s="205">
        <f>IF($P$41&gt;12,$E$27/$P$41,0)</f>
        <v>0</v>
      </c>
      <c r="S86" s="205">
        <f>IF($P$41&gt;13,$E$27/$P$41,0)</f>
        <v>0</v>
      </c>
      <c r="T86" s="205">
        <f>IF($P$41&gt;14,$E$27/$P$41,0)</f>
        <v>0</v>
      </c>
      <c r="U86" s="205">
        <f>IF($P$41&gt;15,$E$27/$P$41,0)</f>
        <v>0</v>
      </c>
      <c r="V86" s="205">
        <f>IF($P$41&gt;16,$E$27/$P$41,0)</f>
        <v>0</v>
      </c>
      <c r="W86" s="205">
        <f>IF($P$41&gt;17,$E$27/$P$41,0)</f>
        <v>0</v>
      </c>
      <c r="X86" s="205">
        <f>IF($P$41&gt;18,$E$27/$P$41,0)</f>
        <v>0</v>
      </c>
    </row>
    <row r="87" spans="2:24" x14ac:dyDescent="0.2">
      <c r="B87" s="206"/>
      <c r="D87" s="205">
        <f t="shared" ref="D87:D104" si="24">D86+1</f>
        <v>2014</v>
      </c>
      <c r="G87" s="205">
        <f>IF($P$41&gt;0,$F$27/$P$41,0)</f>
        <v>0</v>
      </c>
      <c r="H87" s="205">
        <f>IF($P$41&gt;1,$F$27/$P$41,0)</f>
        <v>0</v>
      </c>
      <c r="I87" s="205">
        <f>IF($P$41&gt;2,$F$27/$P$41,0)</f>
        <v>0</v>
      </c>
      <c r="J87" s="205">
        <f>IF($P$41&gt;3,$F$27/$P$41,0)</f>
        <v>0</v>
      </c>
      <c r="K87" s="205">
        <f>IF($P$41&gt;4,$F$27/$P$41,0)</f>
        <v>0</v>
      </c>
      <c r="L87" s="205">
        <f>IF($P$41&gt;5,$F$27/$P$41,0)</f>
        <v>0</v>
      </c>
      <c r="M87" s="205">
        <f>IF($P$41&gt;6,$F$27/$P$41,0)</f>
        <v>0</v>
      </c>
      <c r="N87" s="205">
        <f>IF($P$41&gt;7,$F$27/$P$41,0)</f>
        <v>0</v>
      </c>
      <c r="O87" s="205">
        <f>IF($P$41&gt;8,$F$27/$P$41,0)</f>
        <v>0</v>
      </c>
      <c r="P87" s="205">
        <f>IF($P$41&gt;9,$F$27/$P$41,0)</f>
        <v>0</v>
      </c>
      <c r="Q87" s="205">
        <f>IF($P$41&gt;10,$F$27/$P$41,0)</f>
        <v>0</v>
      </c>
      <c r="R87" s="205">
        <f>IF($P$41&gt;11,$F$27/$P$41,0)</f>
        <v>0</v>
      </c>
      <c r="S87" s="205">
        <f>IF($P$41&gt;12,$F$27/$P$41,0)</f>
        <v>0</v>
      </c>
      <c r="T87" s="205">
        <f>IF($P$41&gt;13,$F$27/$P$41,0)</f>
        <v>0</v>
      </c>
      <c r="U87" s="205">
        <f>IF($P$41&gt;14,$F$27/$P$41,0)</f>
        <v>0</v>
      </c>
      <c r="V87" s="205">
        <f>IF($P$41&gt;15,$F$27/$P$41,0)</f>
        <v>0</v>
      </c>
      <c r="W87" s="205">
        <f>IF($P$41&gt;16,$F$27/$P$41,0)</f>
        <v>0</v>
      </c>
      <c r="X87" s="205">
        <f>IF($P$41&gt;17,$F$27/$P$41,0)</f>
        <v>0</v>
      </c>
    </row>
    <row r="88" spans="2:24" x14ac:dyDescent="0.2">
      <c r="B88" s="206"/>
      <c r="D88" s="205">
        <f t="shared" si="24"/>
        <v>2015</v>
      </c>
      <c r="H88" s="205">
        <f>IF($P$41&gt;0,$G$27/$P$41,0)</f>
        <v>0</v>
      </c>
      <c r="I88" s="205">
        <f>IF($P$41&gt;1,$G$27/$P$41,0)</f>
        <v>0</v>
      </c>
      <c r="J88" s="205">
        <f>IF($P$41&gt;2,$G$27/$P$41,0)</f>
        <v>0</v>
      </c>
      <c r="K88" s="205">
        <f>IF($P$41&gt;3,$G$27/$P$41,0)</f>
        <v>0</v>
      </c>
      <c r="L88" s="205">
        <f>IF($P$41&gt;4,$G$27/$P$41,0)</f>
        <v>0</v>
      </c>
      <c r="M88" s="205">
        <f>IF($P$41&gt;5,$G$27/$P$41,0)</f>
        <v>0</v>
      </c>
      <c r="N88" s="205">
        <f>IF($P$41&gt;6,$G$27/$P$41,0)</f>
        <v>0</v>
      </c>
      <c r="O88" s="205">
        <f>IF($P$41&gt;7,$G$27/$P$41,0)</f>
        <v>0</v>
      </c>
      <c r="P88" s="205">
        <f>IF($P$41&gt;8,$G$27/$P$41,0)</f>
        <v>0</v>
      </c>
      <c r="Q88" s="205">
        <f>IF($P$41&gt;9,$G$27/$P$41,0)</f>
        <v>0</v>
      </c>
      <c r="R88" s="205">
        <f>IF($P$41&gt;10,$G$27/$P$41,0)</f>
        <v>0</v>
      </c>
      <c r="S88" s="205">
        <f>IF($P$41&gt;11,$G$27/$P$41,0)</f>
        <v>0</v>
      </c>
      <c r="T88" s="205">
        <f>IF($P$41&gt;12,$G$27/$P$41,0)</f>
        <v>0</v>
      </c>
      <c r="U88" s="205">
        <f>IF($P$41&gt;13,$G$27/$P$41,0)</f>
        <v>0</v>
      </c>
      <c r="V88" s="205">
        <f>IF($P$41&gt;14,$G$27/$P$41,0)</f>
        <v>0</v>
      </c>
      <c r="W88" s="205">
        <f>IF($P$41&gt;15,$G$27/$P$41,0)</f>
        <v>0</v>
      </c>
      <c r="X88" s="205">
        <f>IF($P$41&gt;16,$G$27/$P$41,0)</f>
        <v>0</v>
      </c>
    </row>
    <row r="89" spans="2:24" x14ac:dyDescent="0.2">
      <c r="B89" s="206"/>
      <c r="D89" s="205">
        <f t="shared" si="24"/>
        <v>2016</v>
      </c>
      <c r="I89" s="205">
        <f>IF($P$41&gt;0,$H$27/$P$41,0)</f>
        <v>0</v>
      </c>
      <c r="J89" s="205">
        <f>IF($P$41&gt;1,$H$27/$P$41,0)</f>
        <v>0</v>
      </c>
      <c r="K89" s="205">
        <f>IF($P$41&gt;2,$H$27/$P$41,0)</f>
        <v>0</v>
      </c>
      <c r="L89" s="205">
        <f>IF($P$41&gt;3,$H$27/$P$41,0)</f>
        <v>0</v>
      </c>
      <c r="M89" s="205">
        <f>IF($P$41&gt;4,$H$27/$P$41,0)</f>
        <v>0</v>
      </c>
      <c r="N89" s="205">
        <f>IF($P$41&gt;5,$H$27/$P$41,0)</f>
        <v>0</v>
      </c>
      <c r="O89" s="205">
        <f>IF($P$41&gt;6,$H$27/$P$41,0)</f>
        <v>0</v>
      </c>
      <c r="P89" s="205">
        <f>IF($P$41&gt;7,$H$27/$P$41,0)</f>
        <v>0</v>
      </c>
      <c r="Q89" s="205">
        <f>IF($P$41&gt;8,$H$27/$P$41,0)</f>
        <v>0</v>
      </c>
      <c r="R89" s="205">
        <f>IF($P$41&gt;9,$H$27/$P$41,0)</f>
        <v>0</v>
      </c>
      <c r="S89" s="205">
        <f>IF($P$41&gt;10,$H$27/$P$41,0)</f>
        <v>0</v>
      </c>
      <c r="T89" s="205">
        <f>IF($P$41&gt;11,$H$27/$P$41,0)</f>
        <v>0</v>
      </c>
      <c r="U89" s="205">
        <f>IF($P$41&gt;12,$H$27/$P$41,0)</f>
        <v>0</v>
      </c>
      <c r="V89" s="205">
        <f>IF($P$41&gt;13,$H$27/$P$41,0)</f>
        <v>0</v>
      </c>
      <c r="W89" s="205">
        <f>IF($P$41&gt;14,$H$27/$P$41,0)</f>
        <v>0</v>
      </c>
      <c r="X89" s="205">
        <f>IF($P$41&gt;15,$H$27/$P$41,0)</f>
        <v>0</v>
      </c>
    </row>
    <row r="90" spans="2:24" x14ac:dyDescent="0.2">
      <c r="B90" s="206"/>
      <c r="D90" s="205">
        <f t="shared" si="24"/>
        <v>2017</v>
      </c>
      <c r="J90" s="205">
        <f>IF($P$41&gt;0,$I$27/$P$41,0)</f>
        <v>0</v>
      </c>
      <c r="K90" s="205">
        <f>IF($P$41&gt;1,$I$27/$P$41,0)</f>
        <v>0</v>
      </c>
      <c r="L90" s="205">
        <f>IF($P$41&gt;2,$I$27/$P$41,0)</f>
        <v>0</v>
      </c>
      <c r="M90" s="205">
        <f>IF($P$41&gt;3,$I$27/$P$41,0)</f>
        <v>0</v>
      </c>
      <c r="N90" s="205">
        <f>IF($P$41&gt;4,$I$27/$P$41,0)</f>
        <v>0</v>
      </c>
      <c r="O90" s="205">
        <f>IF($P$41&gt;5,$I$27/$P$41,0)</f>
        <v>0</v>
      </c>
      <c r="P90" s="205">
        <f>IF($P$41&gt;6,$I$27/$P$41,0)</f>
        <v>0</v>
      </c>
      <c r="Q90" s="205">
        <f>IF($P$41&gt;7,$I$27/$P$41,0)</f>
        <v>0</v>
      </c>
      <c r="R90" s="205">
        <f>IF($P$41&gt;8,$I$27/$P$41,0)</f>
        <v>0</v>
      </c>
      <c r="S90" s="205">
        <f>IF($P$41&gt;9,$I$27/$P$41,0)</f>
        <v>0</v>
      </c>
      <c r="T90" s="205">
        <f>IF($P$41&gt;10,$I$27/$P$41,0)</f>
        <v>0</v>
      </c>
      <c r="U90" s="205">
        <f>IF($P$41&gt;11,$I$27/$P$41,0)</f>
        <v>0</v>
      </c>
      <c r="V90" s="205">
        <f>IF($P$41&gt;12,$I$27/$P$41,0)</f>
        <v>0</v>
      </c>
      <c r="W90" s="205">
        <f>IF($P$41&gt;13,$I$27/$P$41,0)</f>
        <v>0</v>
      </c>
      <c r="X90" s="205">
        <f>IF($P$41&gt;14,$I$27/$P$41,0)</f>
        <v>0</v>
      </c>
    </row>
    <row r="91" spans="2:24" x14ac:dyDescent="0.2">
      <c r="B91" s="206"/>
      <c r="D91" s="205">
        <f t="shared" si="24"/>
        <v>2018</v>
      </c>
      <c r="K91" s="205">
        <f>IF($P$41&gt;0,$J$27/$P$41,0)</f>
        <v>0</v>
      </c>
      <c r="L91" s="205">
        <f>IF($P$41&gt;1,$J$27/$P$41,0)</f>
        <v>0</v>
      </c>
      <c r="M91" s="205">
        <f>IF($P$41&gt;2,$J$27/$P$41,0)</f>
        <v>0</v>
      </c>
      <c r="N91" s="205">
        <f>IF($P$41&gt;3,$J$27/$P$41,0)</f>
        <v>0</v>
      </c>
      <c r="O91" s="205">
        <f>IF($P$41&gt;4,$J$27/$P$41,0)</f>
        <v>0</v>
      </c>
      <c r="P91" s="205">
        <f>IF($P$41&gt;5,$J$27/$P$41,0)</f>
        <v>0</v>
      </c>
      <c r="Q91" s="205">
        <f>IF($P$41&gt;6,$J$27/$P$41,0)</f>
        <v>0</v>
      </c>
      <c r="R91" s="205">
        <f>IF($P$41&gt;7,$J$27/$P$41,0)</f>
        <v>0</v>
      </c>
      <c r="S91" s="205">
        <f>IF($P$41&gt;8,$J$27/$P$41,0)</f>
        <v>0</v>
      </c>
      <c r="T91" s="205">
        <f>IF($P$41&gt;9,$J$27/$P$41,0)</f>
        <v>0</v>
      </c>
      <c r="U91" s="205">
        <f>IF($P$41&gt;10,$J$27/$P$41,0)</f>
        <v>0</v>
      </c>
      <c r="V91" s="205">
        <f>IF($P$41&gt;11,$J$27/$P$41,0)</f>
        <v>0</v>
      </c>
      <c r="W91" s="205">
        <f>IF($P$41&gt;12,$J$27/$P$41,0)</f>
        <v>0</v>
      </c>
      <c r="X91" s="205">
        <f>IF($P$41&gt;13,$J$27/$P$41,0)</f>
        <v>0</v>
      </c>
    </row>
    <row r="92" spans="2:24" x14ac:dyDescent="0.2">
      <c r="B92" s="206"/>
      <c r="D92" s="205">
        <f t="shared" si="24"/>
        <v>2019</v>
      </c>
      <c r="L92" s="205">
        <f>IF($P$41&gt;0,$K$27/$P$41,0)</f>
        <v>0</v>
      </c>
      <c r="M92" s="205">
        <f>IF($P$41&gt;1,$K$27/$P$41,0)</f>
        <v>0</v>
      </c>
      <c r="N92" s="205">
        <f>IF($P$41&gt;2,$K$27/$P$41,0)</f>
        <v>0</v>
      </c>
      <c r="O92" s="205">
        <f>IF($P$41&gt;3,$K$27/$P$41,0)</f>
        <v>0</v>
      </c>
      <c r="P92" s="205">
        <f>IF($P$41&gt;4,$K$27/$P$41,0)</f>
        <v>0</v>
      </c>
      <c r="Q92" s="205">
        <f>IF($P$41&gt;5,$K$27/$P$41,0)</f>
        <v>0</v>
      </c>
      <c r="R92" s="205">
        <f>IF($P$41&gt;6,$K$27/$P$41,0)</f>
        <v>0</v>
      </c>
      <c r="S92" s="205">
        <f>IF($P$41&gt;7,$K$27/$P$41,0)</f>
        <v>0</v>
      </c>
      <c r="T92" s="205">
        <f>IF($P$41&gt;8,$K$27/$P$41,0)</f>
        <v>0</v>
      </c>
      <c r="U92" s="205">
        <f>IF($P$41&gt;9,$K$27/$P$41,0)</f>
        <v>0</v>
      </c>
      <c r="V92" s="205">
        <f>IF($P$41&gt;10,$K$27/$P$41,0)</f>
        <v>0</v>
      </c>
      <c r="W92" s="205">
        <f>IF($P$41&gt;11,$K$27/$P$41,0)</f>
        <v>0</v>
      </c>
      <c r="X92" s="205">
        <f>IF($P$41&gt;12,$K$27/$P$41,0)</f>
        <v>0</v>
      </c>
    </row>
    <row r="93" spans="2:24" x14ac:dyDescent="0.2">
      <c r="B93" s="206"/>
      <c r="D93" s="205">
        <f t="shared" si="24"/>
        <v>2020</v>
      </c>
      <c r="M93" s="205">
        <f>IF($P$41&gt;0,$L$27/$P$41,0)</f>
        <v>0</v>
      </c>
      <c r="N93" s="205">
        <f>IF($P$41&gt;1,$L$27/$P$41,0)</f>
        <v>0</v>
      </c>
      <c r="O93" s="205">
        <f>IF($P$41&gt;2,$L$27/$P$41,0)</f>
        <v>0</v>
      </c>
      <c r="P93" s="205">
        <f>IF($P$41&gt;3,$L$27/$P$41,0)</f>
        <v>0</v>
      </c>
      <c r="Q93" s="205">
        <f>IF($P$41&gt;4,$L$27/$P$41,0)</f>
        <v>0</v>
      </c>
      <c r="R93" s="205">
        <f>IF($P$41&gt;5,$L$27/$P$41,0)</f>
        <v>0</v>
      </c>
      <c r="S93" s="205">
        <f>IF($P$41&gt;6,$L$27/$P$41,0)</f>
        <v>0</v>
      </c>
      <c r="T93" s="205">
        <f>IF($P$41&gt;7,$L$27/$P$41,0)</f>
        <v>0</v>
      </c>
      <c r="U93" s="205">
        <f>IF($P$41&gt;8,$L$27/$P$41,0)</f>
        <v>0</v>
      </c>
      <c r="V93" s="205">
        <f>IF($P$41&gt;9,$L$27/$P$41,0)</f>
        <v>0</v>
      </c>
      <c r="W93" s="205">
        <f>IF($P$41&gt;10,$L$27/$P$41,0)</f>
        <v>0</v>
      </c>
      <c r="X93" s="205">
        <f>IF($P$41&gt;11,$L$27/$P$41,0)</f>
        <v>0</v>
      </c>
    </row>
    <row r="94" spans="2:24" x14ac:dyDescent="0.2">
      <c r="B94" s="206"/>
      <c r="D94" s="205">
        <f t="shared" si="24"/>
        <v>2021</v>
      </c>
      <c r="N94" s="205">
        <f>IF($P$41&gt;0,$M$27/$P$41,0)</f>
        <v>0</v>
      </c>
      <c r="O94" s="205">
        <f>IF($P$41&gt;1,$M$27/$P$41,0)</f>
        <v>0</v>
      </c>
      <c r="P94" s="205">
        <f>IF($P$41&gt;2,$M$27/$P$41,0)</f>
        <v>0</v>
      </c>
      <c r="Q94" s="205">
        <f>IF($P$41&gt;3,$M$27/$P$41,0)</f>
        <v>0</v>
      </c>
      <c r="R94" s="205">
        <f>IF($P$41&gt;4,$M$27/$P$41,0)</f>
        <v>0</v>
      </c>
      <c r="S94" s="205">
        <f>IF($P$41&gt;5,$M$27/$P$41,0)</f>
        <v>0</v>
      </c>
      <c r="T94" s="205">
        <f>IF($P$41&gt;6,$M$27/$P$41,0)</f>
        <v>0</v>
      </c>
      <c r="U94" s="205">
        <f>IF($P$41&gt;7,$M$27/$P$41,0)</f>
        <v>0</v>
      </c>
      <c r="V94" s="205">
        <f>IF($P$41&gt;8,$M$27/$P$41,0)</f>
        <v>0</v>
      </c>
      <c r="W94" s="205">
        <f>IF($P$41&gt;9,$M$27/$P$41,0)</f>
        <v>0</v>
      </c>
      <c r="X94" s="205">
        <f>IF($P$41&gt;10,$M$27/$P$41,0)</f>
        <v>0</v>
      </c>
    </row>
    <row r="95" spans="2:24" x14ac:dyDescent="0.2">
      <c r="B95" s="206"/>
      <c r="D95" s="205">
        <f t="shared" si="24"/>
        <v>2022</v>
      </c>
      <c r="O95" s="205">
        <f>IF($P$41&gt;0,$N$27/$P$41,0)</f>
        <v>0</v>
      </c>
      <c r="P95" s="205">
        <f>IF($P$41&gt;1,$N$27/$P$41,0)</f>
        <v>0</v>
      </c>
      <c r="Q95" s="205">
        <f>IF($P$41&gt;2,$N$27/$P$41,0)</f>
        <v>0</v>
      </c>
      <c r="R95" s="205">
        <f>IF($P$41&gt;3,$N$27/$P$41,0)</f>
        <v>0</v>
      </c>
      <c r="S95" s="205">
        <f>IF($P$41&gt;4,$N$27/$P$41,0)</f>
        <v>0</v>
      </c>
      <c r="T95" s="205">
        <f>IF($P$41&gt;5,$N$27/$P$41,0)</f>
        <v>0</v>
      </c>
      <c r="U95" s="205">
        <f>IF($P$41&gt;6,$N$27/$P$41,0)</f>
        <v>0</v>
      </c>
      <c r="V95" s="205">
        <f>IF($P$41&gt;7,$N$27/$P$41,0)</f>
        <v>0</v>
      </c>
      <c r="W95" s="205">
        <f>IF($P$41&gt;8,$N$27/$P$41,0)</f>
        <v>0</v>
      </c>
      <c r="X95" s="205">
        <f>IF($P$41&gt;9,$N$27/$P$41,0)</f>
        <v>0</v>
      </c>
    </row>
    <row r="96" spans="2:24" x14ac:dyDescent="0.2">
      <c r="B96" s="206"/>
      <c r="D96" s="205">
        <f t="shared" si="24"/>
        <v>2023</v>
      </c>
      <c r="P96" s="205">
        <f>IF($P$41&gt;0,$O$27/$P$41,0)</f>
        <v>0</v>
      </c>
      <c r="Q96" s="205">
        <f>IF($P$41&gt;1,$O$27/$P$41,0)</f>
        <v>0</v>
      </c>
      <c r="R96" s="205">
        <f>IF($P$41&gt;2,$O$27/$P$41,0)</f>
        <v>0</v>
      </c>
      <c r="S96" s="205">
        <f>IF($P$41&gt;3,$O$27/$P$41,0)</f>
        <v>0</v>
      </c>
      <c r="T96" s="205">
        <f>IF($P$41&gt;4,$O$27/$P$41,0)</f>
        <v>0</v>
      </c>
      <c r="U96" s="205">
        <f>IF($P$41&gt;5,$O$27/$P$41,0)</f>
        <v>0</v>
      </c>
      <c r="V96" s="205">
        <f>IF($P$41&gt;6,$O$27/$P$41,0)</f>
        <v>0</v>
      </c>
      <c r="W96" s="205">
        <f>IF($P$41&gt;7,$O$27/$P$41,0)</f>
        <v>0</v>
      </c>
      <c r="X96" s="205">
        <f>IF($P$41&gt;8,$O$27/$P$41,0)</f>
        <v>0</v>
      </c>
    </row>
    <row r="97" spans="2:24" x14ac:dyDescent="0.2">
      <c r="B97" s="206"/>
      <c r="D97" s="205">
        <f t="shared" si="24"/>
        <v>2024</v>
      </c>
      <c r="Q97" s="205">
        <f>IF($P$41&gt;0,$P$27/$P$41,0)</f>
        <v>0</v>
      </c>
      <c r="R97" s="205">
        <f>IF($P$41&gt;1,$P$27/$P$41,0)</f>
        <v>0</v>
      </c>
      <c r="S97" s="205">
        <f>IF($P$41&gt;2,$P$27/$P$41,0)</f>
        <v>0</v>
      </c>
      <c r="T97" s="205">
        <f>IF($P$41&gt;3,$P$27/$P$41,0)</f>
        <v>0</v>
      </c>
      <c r="U97" s="205">
        <f>IF($P$41&gt;4,$P$27/$P$41,0)</f>
        <v>0</v>
      </c>
      <c r="V97" s="205">
        <f>IF($P$41&gt;5,$P$27/$P$41,0)</f>
        <v>0</v>
      </c>
      <c r="W97" s="205">
        <f>IF($P$41&gt;6,$P$27/$P$41,0)</f>
        <v>0</v>
      </c>
      <c r="X97" s="205">
        <f>IF($P$41&gt;7,$P$27/$P$41,0)</f>
        <v>0</v>
      </c>
    </row>
    <row r="98" spans="2:24" x14ac:dyDescent="0.2">
      <c r="B98" s="206"/>
      <c r="D98" s="205">
        <f t="shared" si="24"/>
        <v>2025</v>
      </c>
      <c r="Q98" s="205"/>
      <c r="R98" s="205">
        <f>IF($P$41&gt;0,$Q$27/$P$41,0)</f>
        <v>0</v>
      </c>
      <c r="S98" s="205">
        <f>IF($P$41&gt;1,$Q$27/$P$41,0)</f>
        <v>0</v>
      </c>
      <c r="T98" s="205">
        <f>IF($P$41&gt;2,$Q$27/$P$41,0)</f>
        <v>0</v>
      </c>
      <c r="U98" s="205">
        <f>IF($P$41&gt;3,$Q$27/$P$41,0)</f>
        <v>0</v>
      </c>
      <c r="V98" s="205">
        <f>IF($P$41&gt;4,$Q$27/$P$41,0)</f>
        <v>0</v>
      </c>
      <c r="W98" s="205">
        <f>IF($P$41&gt;5,$Q$27/$P$41,0)</f>
        <v>0</v>
      </c>
      <c r="X98" s="205">
        <f>IF($P$41&gt;6,$Q$27/$P$41,0)</f>
        <v>0</v>
      </c>
    </row>
    <row r="99" spans="2:24" x14ac:dyDescent="0.2">
      <c r="B99" s="206"/>
      <c r="D99" s="205">
        <f t="shared" si="24"/>
        <v>2026</v>
      </c>
      <c r="Q99" s="205"/>
      <c r="S99" s="205">
        <f>IF($P$41&gt;0,$R$27/$P$41,0)</f>
        <v>0</v>
      </c>
      <c r="T99" s="205">
        <f>IF($P$41&gt;1,$R$27/$P$41,0)</f>
        <v>0</v>
      </c>
      <c r="U99" s="205">
        <f>IF($P$41&gt;2,$R$27/$P$41,0)</f>
        <v>0</v>
      </c>
      <c r="V99" s="205">
        <f>IF($P$41&gt;3,$R$27/$P$41,0)</f>
        <v>0</v>
      </c>
      <c r="W99" s="205">
        <f>IF($P$41&gt;4,$R$27/$P$41,0)</f>
        <v>0</v>
      </c>
      <c r="X99" s="205">
        <f>IF($P$41&gt;5,$R$27/$P$41,0)</f>
        <v>0</v>
      </c>
    </row>
    <row r="100" spans="2:24" x14ac:dyDescent="0.2">
      <c r="B100" s="206"/>
      <c r="D100" s="205">
        <f t="shared" si="24"/>
        <v>2027</v>
      </c>
      <c r="Q100" s="205"/>
      <c r="T100" s="205">
        <f>IF($P$41&gt;0,$S$27/$P$41,0)</f>
        <v>0</v>
      </c>
      <c r="U100" s="205">
        <f>IF($P$41&gt;1,$S$27/$P$41,0)</f>
        <v>0</v>
      </c>
      <c r="V100" s="205">
        <f>IF($P$41&gt;2,$S$27/$P$41,0)</f>
        <v>0</v>
      </c>
      <c r="W100" s="205">
        <f>IF($P$41&gt;3,$S$27/$P$41,0)</f>
        <v>0</v>
      </c>
      <c r="X100" s="205">
        <f>IF($P$41&gt;4,$S$27/$P$41,0)</f>
        <v>0</v>
      </c>
    </row>
    <row r="101" spans="2:24" x14ac:dyDescent="0.2">
      <c r="B101" s="206"/>
      <c r="D101" s="205">
        <f t="shared" si="24"/>
        <v>2028</v>
      </c>
      <c r="Q101" s="205"/>
      <c r="U101" s="205">
        <f>IF($P$41&gt;0,$T$27/$P$41,0)</f>
        <v>0</v>
      </c>
      <c r="V101" s="205">
        <f>IF($P$41&gt;1,$T$27/$P$41,0)</f>
        <v>0</v>
      </c>
      <c r="W101" s="205">
        <f>IF($P$41&gt;2,$T$27/$P$41,0)</f>
        <v>0</v>
      </c>
      <c r="X101" s="205">
        <f>IF($P$41&gt;3,$T$27/$P$41,0)</f>
        <v>0</v>
      </c>
    </row>
    <row r="102" spans="2:24" x14ac:dyDescent="0.2">
      <c r="B102" s="206"/>
      <c r="D102" s="205">
        <f t="shared" si="24"/>
        <v>2029</v>
      </c>
      <c r="Q102" s="205"/>
      <c r="V102" s="205">
        <f>IF($P$41&gt;0,$U$27/$P$41,0)</f>
        <v>0</v>
      </c>
      <c r="W102" s="205">
        <f>IF($P$41&gt;1,$U$27/$P$41,0)</f>
        <v>0</v>
      </c>
      <c r="X102" s="205">
        <f>IF($P$41&gt;2,$U$27/$P$41,0)</f>
        <v>0</v>
      </c>
    </row>
    <row r="103" spans="2:24" x14ac:dyDescent="0.2">
      <c r="B103" s="206"/>
      <c r="D103" s="205">
        <f t="shared" si="24"/>
        <v>2030</v>
      </c>
      <c r="Q103" s="205"/>
      <c r="W103" s="205">
        <f>IF($P$41&gt;0,$V$27/$P$41,0)</f>
        <v>0</v>
      </c>
      <c r="X103" s="205">
        <f>IF($P$41&gt;1,$V$27/$P$41,0)</f>
        <v>0</v>
      </c>
    </row>
    <row r="104" spans="2:24" x14ac:dyDescent="0.2">
      <c r="B104" s="206"/>
      <c r="D104" s="205">
        <f t="shared" si="24"/>
        <v>2031</v>
      </c>
      <c r="Q104" s="205"/>
      <c r="X104" s="205">
        <f>IF($P$41&gt;0,$W$27/$P$41,0)</f>
        <v>0</v>
      </c>
    </row>
    <row r="105" spans="2:24" x14ac:dyDescent="0.2">
      <c r="B105" s="206"/>
      <c r="Q105" s="205"/>
    </row>
    <row r="106" spans="2:24" x14ac:dyDescent="0.2">
      <c r="B106" s="206"/>
      <c r="C106" s="205" t="s">
        <v>718</v>
      </c>
      <c r="F106" s="205">
        <f>SUM(F84:F104)</f>
        <v>1126.0416666666667</v>
      </c>
      <c r="G106" s="205">
        <f t="shared" ref="G106:P106" si="25">SUM(G84:G104)</f>
        <v>3291.375</v>
      </c>
      <c r="H106" s="205">
        <f t="shared" si="25"/>
        <v>4383.25</v>
      </c>
      <c r="I106" s="205">
        <f t="shared" si="25"/>
        <v>4537.5</v>
      </c>
      <c r="J106" s="205">
        <f t="shared" si="25"/>
        <v>4645.833333333333</v>
      </c>
      <c r="K106" s="205">
        <f t="shared" si="25"/>
        <v>4710.833333333333</v>
      </c>
      <c r="L106" s="205">
        <f t="shared" si="25"/>
        <v>4721.666666666667</v>
      </c>
      <c r="M106" s="205">
        <f t="shared" si="25"/>
        <v>4721.666666666667</v>
      </c>
      <c r="N106" s="205">
        <f t="shared" si="25"/>
        <v>4721.666666666667</v>
      </c>
      <c r="O106" s="205">
        <f t="shared" si="25"/>
        <v>4721.666666666667</v>
      </c>
      <c r="P106" s="205">
        <f t="shared" si="25"/>
        <v>4721.666666666667</v>
      </c>
      <c r="Q106" s="205">
        <f t="shared" ref="Q106:W106" si="26">SUM(Q84:Q104)</f>
        <v>4721.666666666667</v>
      </c>
      <c r="R106" s="205">
        <f t="shared" si="26"/>
        <v>3595.625</v>
      </c>
      <c r="S106" s="205">
        <f t="shared" si="26"/>
        <v>1430.2916666666667</v>
      </c>
      <c r="T106" s="205">
        <f t="shared" si="26"/>
        <v>338.41666666666669</v>
      </c>
      <c r="U106" s="205">
        <f t="shared" si="26"/>
        <v>184.16666666666666</v>
      </c>
      <c r="V106" s="205">
        <f t="shared" si="26"/>
        <v>75.833333333333329</v>
      </c>
      <c r="W106" s="205">
        <f t="shared" si="26"/>
        <v>10.833333333333334</v>
      </c>
      <c r="X106" s="205">
        <f>SUM(X84:X104)</f>
        <v>0</v>
      </c>
    </row>
    <row r="107" spans="2:24" x14ac:dyDescent="0.2">
      <c r="B107" s="206"/>
    </row>
    <row r="108" spans="2:24" x14ac:dyDescent="0.2">
      <c r="B108" s="206"/>
      <c r="C108" s="284"/>
    </row>
  </sheetData>
  <mergeCells count="25">
    <mergeCell ref="A12:A14"/>
    <mergeCell ref="A15:A22"/>
    <mergeCell ref="L4:N4"/>
    <mergeCell ref="A1:P1"/>
    <mergeCell ref="L5:N5"/>
    <mergeCell ref="O5:P5"/>
    <mergeCell ref="L3:N3"/>
    <mergeCell ref="B4:G4"/>
    <mergeCell ref="B5:G5"/>
    <mergeCell ref="B7:G7"/>
    <mergeCell ref="O6:P6"/>
    <mergeCell ref="L6:N6"/>
    <mergeCell ref="A23:A25"/>
    <mergeCell ref="A26:A29"/>
    <mergeCell ref="O38:P38"/>
    <mergeCell ref="D37:E37"/>
    <mergeCell ref="O35:P35"/>
    <mergeCell ref="J35:N35"/>
    <mergeCell ref="J39:N39"/>
    <mergeCell ref="J38:N38"/>
    <mergeCell ref="O39:P39"/>
    <mergeCell ref="O36:P36"/>
    <mergeCell ref="J37:N37"/>
    <mergeCell ref="O37:P37"/>
    <mergeCell ref="J36:N36"/>
  </mergeCells>
  <phoneticPr fontId="6" type="noConversion"/>
  <printOptions horizontalCentered="1" verticalCentered="1"/>
  <pageMargins left="0.39370078740157483" right="0.39370078740157483" top="0.39370078740157483" bottom="0.39370078740157483" header="0.39370078740157483" footer="0.39370078740157483"/>
  <pageSetup paperSize="9" scale="82"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jectData"/>
  <dimension ref="A1:V36"/>
  <sheetViews>
    <sheetView workbookViewId="0">
      <selection activeCell="L49" sqref="L49"/>
    </sheetView>
  </sheetViews>
  <sheetFormatPr baseColWidth="10" defaultColWidth="10.28515625" defaultRowHeight="11.25" x14ac:dyDescent="0.2"/>
  <cols>
    <col min="1" max="1" width="26.85546875" style="286" customWidth="1"/>
    <col min="2" max="3" width="12.85546875" style="286" customWidth="1"/>
    <col min="4" max="4" width="11.140625" style="286" customWidth="1"/>
    <col min="5" max="5" width="34.5703125" style="286" bestFit="1" customWidth="1"/>
    <col min="6" max="7" width="11" style="286" customWidth="1"/>
    <col min="8" max="8" width="10.42578125" style="286" bestFit="1" customWidth="1"/>
    <col min="9" max="16384" width="10.28515625" style="286"/>
  </cols>
  <sheetData>
    <row r="1" spans="1:8" x14ac:dyDescent="0.2">
      <c r="A1" s="285" t="s">
        <v>719</v>
      </c>
      <c r="B1" s="285" t="s">
        <v>720</v>
      </c>
      <c r="C1" s="285" t="s">
        <v>721</v>
      </c>
      <c r="D1" s="285" t="s">
        <v>722</v>
      </c>
      <c r="E1" s="285" t="s">
        <v>723</v>
      </c>
      <c r="F1" s="285" t="s">
        <v>724</v>
      </c>
      <c r="G1" s="285" t="s">
        <v>725</v>
      </c>
      <c r="H1" s="285" t="s">
        <v>726</v>
      </c>
    </row>
    <row r="2" spans="1:8" x14ac:dyDescent="0.2">
      <c r="A2" s="286" t="s">
        <v>727</v>
      </c>
      <c r="B2" s="286" t="s">
        <v>728</v>
      </c>
      <c r="H2" s="286" t="s">
        <v>729</v>
      </c>
    </row>
    <row r="3" spans="1:8" x14ac:dyDescent="0.2">
      <c r="A3" s="286" t="s">
        <v>730</v>
      </c>
      <c r="B3" s="286" t="s">
        <v>728</v>
      </c>
      <c r="H3" s="287" t="s">
        <v>731</v>
      </c>
    </row>
    <row r="4" spans="1:8" x14ac:dyDescent="0.2">
      <c r="A4" s="286" t="s">
        <v>732</v>
      </c>
      <c r="B4" s="286" t="s">
        <v>728</v>
      </c>
      <c r="H4" s="287" t="s">
        <v>733</v>
      </c>
    </row>
    <row r="5" spans="1:8" x14ac:dyDescent="0.2">
      <c r="A5" s="286" t="s">
        <v>734</v>
      </c>
      <c r="B5" s="286" t="s">
        <v>728</v>
      </c>
      <c r="H5" s="287" t="s">
        <v>735</v>
      </c>
    </row>
    <row r="6" spans="1:8" x14ac:dyDescent="0.2">
      <c r="A6" s="286" t="s">
        <v>736</v>
      </c>
      <c r="B6" s="286" t="s">
        <v>728</v>
      </c>
      <c r="C6" s="286" t="s">
        <v>737</v>
      </c>
      <c r="E6" s="286" t="s">
        <v>738</v>
      </c>
    </row>
    <row r="7" spans="1:8" x14ac:dyDescent="0.2">
      <c r="A7" s="286" t="s">
        <v>739</v>
      </c>
      <c r="B7" s="286" t="s">
        <v>728</v>
      </c>
      <c r="C7" s="288" t="s">
        <v>740</v>
      </c>
      <c r="E7" s="286" t="s">
        <v>741</v>
      </c>
    </row>
    <row r="8" spans="1:8" x14ac:dyDescent="0.2">
      <c r="A8" s="286" t="s">
        <v>747</v>
      </c>
      <c r="B8" s="286" t="s">
        <v>728</v>
      </c>
      <c r="C8" s="288" t="s">
        <v>748</v>
      </c>
      <c r="E8" s="286" t="s">
        <v>749</v>
      </c>
    </row>
    <row r="9" spans="1:8" x14ac:dyDescent="0.2">
      <c r="A9" s="286" t="s">
        <v>750</v>
      </c>
      <c r="B9" s="286" t="s">
        <v>728</v>
      </c>
      <c r="E9" s="286" t="s">
        <v>751</v>
      </c>
    </row>
    <row r="10" spans="1:8" x14ac:dyDescent="0.2">
      <c r="A10" s="286" t="s">
        <v>752</v>
      </c>
      <c r="B10" s="286" t="s">
        <v>728</v>
      </c>
      <c r="C10" s="286" t="s">
        <v>753</v>
      </c>
      <c r="E10" s="286" t="s">
        <v>754</v>
      </c>
      <c r="H10" s="286" t="s">
        <v>755</v>
      </c>
    </row>
    <row r="11" spans="1:8" x14ac:dyDescent="0.2">
      <c r="A11" s="286" t="s">
        <v>756</v>
      </c>
      <c r="B11" s="286" t="s">
        <v>757</v>
      </c>
      <c r="E11" s="286" t="s">
        <v>758</v>
      </c>
      <c r="H11" s="287">
        <f ca="1">TODAY()</f>
        <v>42185</v>
      </c>
    </row>
    <row r="12" spans="1:8" x14ac:dyDescent="0.2">
      <c r="A12" s="286" t="s">
        <v>759</v>
      </c>
      <c r="B12" s="286" t="s">
        <v>757</v>
      </c>
      <c r="E12" s="286" t="s">
        <v>760</v>
      </c>
      <c r="H12" s="287">
        <f ca="1">DATE(YEAR(H11)+4, MONTH(H11), DAY(H11))</f>
        <v>43646</v>
      </c>
    </row>
    <row r="13" spans="1:8" x14ac:dyDescent="0.2">
      <c r="A13" s="286" t="s">
        <v>761</v>
      </c>
      <c r="B13" s="286" t="s">
        <v>762</v>
      </c>
      <c r="H13" s="750">
        <v>20</v>
      </c>
    </row>
    <row r="14" spans="1:8" x14ac:dyDescent="0.2">
      <c r="A14" s="286" t="s">
        <v>763</v>
      </c>
      <c r="B14" s="286" t="s">
        <v>762</v>
      </c>
      <c r="H14" s="286">
        <v>20</v>
      </c>
    </row>
    <row r="15" spans="1:8" x14ac:dyDescent="0.2">
      <c r="A15" s="286" t="s">
        <v>764</v>
      </c>
      <c r="B15" s="286" t="s">
        <v>762</v>
      </c>
      <c r="H15" s="286">
        <v>5</v>
      </c>
    </row>
    <row r="16" spans="1:8" ht="10.5" customHeight="1" x14ac:dyDescent="0.2">
      <c r="A16" s="286" t="s">
        <v>765</v>
      </c>
      <c r="B16" s="286" t="s">
        <v>766</v>
      </c>
      <c r="D16" s="286">
        <f t="shared" ref="D16:D25" si="0">prof_nr_years</f>
        <v>20</v>
      </c>
      <c r="E16" s="286" t="s">
        <v>767</v>
      </c>
    </row>
    <row r="17" spans="1:22" ht="12" customHeight="1" x14ac:dyDescent="0.2">
      <c r="A17" s="286" t="s">
        <v>768</v>
      </c>
      <c r="B17" s="286" t="s">
        <v>766</v>
      </c>
      <c r="D17" s="286">
        <f t="shared" si="0"/>
        <v>20</v>
      </c>
      <c r="E17" s="286" t="s">
        <v>669</v>
      </c>
      <c r="F17" s="289" t="s">
        <v>769</v>
      </c>
      <c r="G17" s="286" t="s">
        <v>770</v>
      </c>
    </row>
    <row r="18" spans="1:22" ht="10.5" customHeight="1" x14ac:dyDescent="0.2">
      <c r="A18" s="286" t="s">
        <v>771</v>
      </c>
      <c r="B18" s="286" t="s">
        <v>766</v>
      </c>
      <c r="D18" s="286">
        <f t="shared" si="0"/>
        <v>20</v>
      </c>
      <c r="E18" s="286" t="s">
        <v>673</v>
      </c>
      <c r="F18" s="289" t="s">
        <v>772</v>
      </c>
      <c r="G18" s="286" t="s">
        <v>773</v>
      </c>
    </row>
    <row r="19" spans="1:22" ht="12" customHeight="1" x14ac:dyDescent="0.2">
      <c r="A19" s="286" t="s">
        <v>774</v>
      </c>
      <c r="B19" s="286" t="s">
        <v>766</v>
      </c>
      <c r="D19" s="286">
        <f t="shared" si="0"/>
        <v>20</v>
      </c>
      <c r="E19" s="286" t="s">
        <v>675</v>
      </c>
      <c r="F19" s="290" t="s">
        <v>775</v>
      </c>
      <c r="G19" s="286" t="s">
        <v>776</v>
      </c>
    </row>
    <row r="20" spans="1:22" x14ac:dyDescent="0.2">
      <c r="A20" s="286" t="s">
        <v>777</v>
      </c>
      <c r="B20" s="286" t="s">
        <v>766</v>
      </c>
      <c r="D20" s="286">
        <f t="shared" si="0"/>
        <v>20</v>
      </c>
      <c r="E20" s="286" t="s">
        <v>678</v>
      </c>
      <c r="G20" s="286" t="s">
        <v>778</v>
      </c>
    </row>
    <row r="21" spans="1:22" x14ac:dyDescent="0.2">
      <c r="A21" s="286" t="s">
        <v>779</v>
      </c>
      <c r="B21" s="286" t="s">
        <v>766</v>
      </c>
      <c r="D21" s="286">
        <f t="shared" si="0"/>
        <v>20</v>
      </c>
      <c r="E21" s="286" t="s">
        <v>680</v>
      </c>
      <c r="G21" s="286" t="s">
        <v>780</v>
      </c>
    </row>
    <row r="22" spans="1:22" x14ac:dyDescent="0.2">
      <c r="A22" s="286" t="s">
        <v>781</v>
      </c>
      <c r="B22" s="286" t="s">
        <v>782</v>
      </c>
      <c r="D22" s="286">
        <f t="shared" si="0"/>
        <v>20</v>
      </c>
      <c r="E22" s="286" t="s">
        <v>783</v>
      </c>
      <c r="G22" s="286" t="s">
        <v>784</v>
      </c>
      <c r="H22" s="291"/>
      <c r="I22" s="288"/>
      <c r="J22" s="291"/>
      <c r="K22" s="291"/>
      <c r="L22" s="291"/>
      <c r="M22" s="291"/>
      <c r="N22" s="291"/>
      <c r="O22" s="291"/>
      <c r="P22" s="291"/>
      <c r="Q22" s="291"/>
      <c r="R22" s="291"/>
      <c r="S22" s="291"/>
      <c r="T22" s="291"/>
      <c r="U22" s="291"/>
      <c r="V22" s="291"/>
    </row>
    <row r="23" spans="1:22" x14ac:dyDescent="0.2">
      <c r="A23" s="286" t="s">
        <v>785</v>
      </c>
      <c r="B23" s="286" t="s">
        <v>766</v>
      </c>
      <c r="D23" s="286">
        <f t="shared" si="0"/>
        <v>20</v>
      </c>
      <c r="E23" s="286" t="s">
        <v>688</v>
      </c>
      <c r="G23" s="286" t="s">
        <v>786</v>
      </c>
    </row>
    <row r="24" spans="1:22" x14ac:dyDescent="0.2">
      <c r="A24" s="286" t="s">
        <v>787</v>
      </c>
      <c r="B24" s="286" t="s">
        <v>766</v>
      </c>
      <c r="D24" s="286">
        <f t="shared" si="0"/>
        <v>20</v>
      </c>
      <c r="E24" s="286" t="s">
        <v>689</v>
      </c>
      <c r="G24" s="286" t="s">
        <v>788</v>
      </c>
    </row>
    <row r="25" spans="1:22" x14ac:dyDescent="0.2">
      <c r="A25" s="286" t="s">
        <v>789</v>
      </c>
      <c r="B25" s="286" t="s">
        <v>766</v>
      </c>
      <c r="D25" s="286">
        <f t="shared" si="0"/>
        <v>20</v>
      </c>
      <c r="E25" s="286" t="s">
        <v>690</v>
      </c>
      <c r="G25" s="286" t="s">
        <v>790</v>
      </c>
    </row>
    <row r="26" spans="1:22" x14ac:dyDescent="0.2">
      <c r="A26" s="292" t="s">
        <v>791</v>
      </c>
      <c r="B26" s="286" t="s">
        <v>728</v>
      </c>
      <c r="C26" s="286" t="s">
        <v>792</v>
      </c>
      <c r="E26" s="286" t="s">
        <v>793</v>
      </c>
      <c r="G26" s="286" t="s">
        <v>794</v>
      </c>
    </row>
    <row r="27" spans="1:22" x14ac:dyDescent="0.2">
      <c r="A27" s="292" t="s">
        <v>795</v>
      </c>
      <c r="B27" s="286" t="s">
        <v>782</v>
      </c>
      <c r="E27" s="286" t="s">
        <v>796</v>
      </c>
    </row>
    <row r="28" spans="1:22" x14ac:dyDescent="0.2">
      <c r="A28" s="292" t="s">
        <v>797</v>
      </c>
      <c r="B28" s="286" t="s">
        <v>782</v>
      </c>
      <c r="E28" s="286" t="s">
        <v>798</v>
      </c>
      <c r="H28" s="286">
        <v>0.34</v>
      </c>
    </row>
    <row r="29" spans="1:22" x14ac:dyDescent="0.2">
      <c r="A29" s="292" t="s">
        <v>799</v>
      </c>
      <c r="B29" s="286" t="s">
        <v>782</v>
      </c>
      <c r="E29" s="286" t="s">
        <v>800</v>
      </c>
      <c r="H29" s="286">
        <v>0</v>
      </c>
    </row>
    <row r="30" spans="1:22" x14ac:dyDescent="0.2">
      <c r="A30" s="292" t="s">
        <v>801</v>
      </c>
      <c r="B30" s="286" t="s">
        <v>782</v>
      </c>
      <c r="E30" s="286" t="s">
        <v>802</v>
      </c>
      <c r="H30" s="286">
        <v>0</v>
      </c>
    </row>
    <row r="31" spans="1:22" x14ac:dyDescent="0.2">
      <c r="A31" s="292" t="s">
        <v>803</v>
      </c>
      <c r="B31" s="286" t="s">
        <v>762</v>
      </c>
      <c r="E31" s="286" t="s">
        <v>804</v>
      </c>
      <c r="H31" s="749">
        <v>12</v>
      </c>
    </row>
    <row r="32" spans="1:22" x14ac:dyDescent="0.2">
      <c r="A32" s="292" t="s">
        <v>805</v>
      </c>
      <c r="B32" s="286" t="s">
        <v>762</v>
      </c>
      <c r="E32" s="286" t="s">
        <v>806</v>
      </c>
      <c r="H32" s="286">
        <v>5</v>
      </c>
    </row>
    <row r="33" spans="1:12" x14ac:dyDescent="0.2">
      <c r="A33" s="292" t="s">
        <v>807</v>
      </c>
      <c r="B33" s="286" t="s">
        <v>762</v>
      </c>
      <c r="H33" s="286">
        <v>1</v>
      </c>
    </row>
    <row r="34" spans="1:12" x14ac:dyDescent="0.2">
      <c r="A34" s="286" t="s">
        <v>808</v>
      </c>
      <c r="B34" s="286" t="s">
        <v>728</v>
      </c>
      <c r="D34" s="286">
        <v>5</v>
      </c>
      <c r="H34" s="286" t="s">
        <v>809</v>
      </c>
      <c r="I34" s="286" t="s">
        <v>810</v>
      </c>
      <c r="J34" s="286" t="s">
        <v>811</v>
      </c>
      <c r="K34" s="286" t="s">
        <v>812</v>
      </c>
      <c r="L34" s="286" t="s">
        <v>813</v>
      </c>
    </row>
    <row r="35" spans="1:12" x14ac:dyDescent="0.2">
      <c r="A35" s="286" t="s">
        <v>814</v>
      </c>
      <c r="B35" s="286" t="s">
        <v>766</v>
      </c>
      <c r="D35" s="286">
        <v>5</v>
      </c>
      <c r="E35" s="286" t="s">
        <v>809</v>
      </c>
      <c r="H35" s="293" t="e">
        <f>#REF!</f>
        <v>#REF!</v>
      </c>
    </row>
    <row r="36" spans="1:12" x14ac:dyDescent="0.2">
      <c r="A36" s="286" t="s">
        <v>815</v>
      </c>
      <c r="B36" s="286" t="s">
        <v>782</v>
      </c>
      <c r="D36" s="286">
        <v>5</v>
      </c>
      <c r="E36" s="286" t="s">
        <v>816</v>
      </c>
      <c r="H36" s="294" t="e">
        <f>#REF!</f>
        <v>#REF!</v>
      </c>
    </row>
  </sheetData>
  <phoneticPr fontId="6" type="noConversion"/>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F24"/>
  <sheetViews>
    <sheetView topLeftCell="A10" workbookViewId="0">
      <selection activeCell="E19" sqref="E19"/>
    </sheetView>
  </sheetViews>
  <sheetFormatPr baseColWidth="10" defaultRowHeight="12.75" x14ac:dyDescent="0.2"/>
  <sheetData>
    <row r="1" spans="1:3" x14ac:dyDescent="0.2">
      <c r="A1" t="s">
        <v>598</v>
      </c>
    </row>
    <row r="2" spans="1:3" x14ac:dyDescent="0.2">
      <c r="A2" t="s">
        <v>648</v>
      </c>
    </row>
    <row r="3" spans="1:3" x14ac:dyDescent="0.2">
      <c r="A3" t="s">
        <v>649</v>
      </c>
    </row>
    <row r="4" spans="1:3" x14ac:dyDescent="0.2">
      <c r="A4" t="s">
        <v>650</v>
      </c>
    </row>
    <row r="6" spans="1:3" ht="38.25" x14ac:dyDescent="0.2">
      <c r="A6" s="404" t="s">
        <v>652</v>
      </c>
      <c r="B6" s="404" t="s">
        <v>651</v>
      </c>
      <c r="C6" s="404" t="s">
        <v>653</v>
      </c>
    </row>
    <row r="7" spans="1:3" x14ac:dyDescent="0.2">
      <c r="A7" s="16">
        <v>0</v>
      </c>
      <c r="B7" s="16">
        <v>0</v>
      </c>
      <c r="C7" s="51">
        <v>14.62</v>
      </c>
    </row>
    <row r="8" spans="1:3" x14ac:dyDescent="0.2">
      <c r="A8" s="16">
        <v>1</v>
      </c>
      <c r="B8" s="16">
        <f>A8/5*3</f>
        <v>0.60000000000000009</v>
      </c>
      <c r="C8" s="51">
        <v>15.54</v>
      </c>
    </row>
    <row r="9" spans="1:3" x14ac:dyDescent="0.2">
      <c r="A9" s="16">
        <v>2.5</v>
      </c>
      <c r="B9" s="16">
        <f>A9/5*3</f>
        <v>1.5</v>
      </c>
      <c r="C9" s="51">
        <v>16.920000000000002</v>
      </c>
    </row>
    <row r="10" spans="1:3" x14ac:dyDescent="0.2">
      <c r="A10" s="16">
        <v>5</v>
      </c>
      <c r="B10" s="16">
        <f>A10/5*3</f>
        <v>3</v>
      </c>
      <c r="C10" s="51">
        <v>19.21</v>
      </c>
    </row>
    <row r="11" spans="1:3" x14ac:dyDescent="0.2">
      <c r="A11" s="16">
        <v>10</v>
      </c>
      <c r="B11" s="16">
        <f>A11/5*3</f>
        <v>6</v>
      </c>
      <c r="C11" s="51">
        <v>23.8</v>
      </c>
    </row>
    <row r="12" spans="1:3" x14ac:dyDescent="0.2">
      <c r="A12" s="16">
        <v>12.5</v>
      </c>
      <c r="B12" s="16">
        <f>A12/5*3</f>
        <v>7.5</v>
      </c>
      <c r="C12" s="51">
        <v>26.1</v>
      </c>
    </row>
    <row r="15" spans="1:3" x14ac:dyDescent="0.2">
      <c r="A15" t="s">
        <v>537</v>
      </c>
    </row>
    <row r="18" spans="1:6" ht="38.25" x14ac:dyDescent="0.2">
      <c r="A18" s="404" t="s">
        <v>652</v>
      </c>
      <c r="B18" s="404" t="s">
        <v>651</v>
      </c>
      <c r="C18" s="404" t="s">
        <v>653</v>
      </c>
      <c r="E18" s="404" t="s">
        <v>542</v>
      </c>
    </row>
    <row r="19" spans="1:6" x14ac:dyDescent="0.2">
      <c r="A19" s="16">
        <v>0</v>
      </c>
      <c r="B19" s="16">
        <v>0</v>
      </c>
      <c r="C19" s="51">
        <v>14.66</v>
      </c>
      <c r="E19" s="51">
        <f>C20-(F24-C20)/(A24-A20)</f>
        <v>14.717391304347824</v>
      </c>
      <c r="F19" s="43" t="s">
        <v>543</v>
      </c>
    </row>
    <row r="20" spans="1:6" x14ac:dyDescent="0.2">
      <c r="A20" s="16">
        <v>1</v>
      </c>
      <c r="B20" s="16">
        <f>A20/5*3</f>
        <v>0.60000000000000009</v>
      </c>
      <c r="C20" s="51">
        <v>15.54</v>
      </c>
      <c r="E20" s="51">
        <f>A20*($F$24-$C$20)/($A$24-$A$20)+$E$19</f>
        <v>15.54</v>
      </c>
      <c r="F20" s="51">
        <v>15.54</v>
      </c>
    </row>
    <row r="21" spans="1:6" x14ac:dyDescent="0.2">
      <c r="A21" s="16">
        <v>2.5</v>
      </c>
      <c r="B21" s="16">
        <f>A21/5*3</f>
        <v>1.5</v>
      </c>
      <c r="C21" s="51">
        <v>16.86</v>
      </c>
      <c r="E21" s="51">
        <f>A21*($F$24-$C$20)/($A$24-$A$20)+$E$19</f>
        <v>16.77391304347826</v>
      </c>
    </row>
    <row r="22" spans="1:6" x14ac:dyDescent="0.2">
      <c r="A22" s="16">
        <v>5</v>
      </c>
      <c r="B22" s="16">
        <f>A22/5*3</f>
        <v>3</v>
      </c>
      <c r="C22" s="51">
        <v>19.059999999999999</v>
      </c>
      <c r="E22" s="51">
        <f>A22*($F$24-$C$20)/($A$24-$A$20)+$E$19</f>
        <v>18.830434782608695</v>
      </c>
    </row>
    <row r="23" spans="1:6" x14ac:dyDescent="0.2">
      <c r="A23" s="16">
        <v>10</v>
      </c>
      <c r="B23" s="16">
        <f>A23/5*3</f>
        <v>6</v>
      </c>
      <c r="C23" s="51">
        <v>23.45</v>
      </c>
      <c r="E23" s="51">
        <f>A23*($F$24-$C$20)/($A$24-$A$20)+$E$19</f>
        <v>22.943478260869565</v>
      </c>
    </row>
    <row r="24" spans="1:6" x14ac:dyDescent="0.2">
      <c r="A24" s="16">
        <v>12.5</v>
      </c>
      <c r="B24" s="16">
        <f>A24/5*3</f>
        <v>7.5</v>
      </c>
      <c r="C24" s="51">
        <v>25.65</v>
      </c>
      <c r="E24" s="51">
        <f>A24*($F$24-$C$20)/($A$24-$A$20)+$E$19</f>
        <v>25</v>
      </c>
      <c r="F24" s="16">
        <v>25</v>
      </c>
    </row>
  </sheetData>
  <phoneticPr fontId="6" type="noConversion"/>
  <pageMargins left="0.78740157499999996" right="0.78740157499999996" top="0.984251969" bottom="0.984251969" header="0.4921259845" footer="0.4921259845"/>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0">
    <pageSetUpPr fitToPage="1"/>
  </sheetPr>
  <dimension ref="A1:AC134"/>
  <sheetViews>
    <sheetView showGridLines="0" showZeros="0" topLeftCell="E16" zoomScale="110" workbookViewId="0">
      <selection activeCell="E41" sqref="E41"/>
    </sheetView>
  </sheetViews>
  <sheetFormatPr baseColWidth="10" defaultColWidth="10.28515625" defaultRowHeight="11.25" x14ac:dyDescent="0.2"/>
  <cols>
    <col min="1" max="1" width="16.140625" style="681" customWidth="1"/>
    <col min="2" max="2" width="3.28515625" style="681" customWidth="1"/>
    <col min="3" max="3" width="34.42578125" style="681" customWidth="1"/>
    <col min="4" max="4" width="8.85546875" style="681" customWidth="1"/>
    <col min="5" max="6" width="8" style="681" customWidth="1"/>
    <col min="7" max="7" width="8.42578125" style="681" customWidth="1"/>
    <col min="8" max="8" width="9.28515625" style="681" customWidth="1"/>
    <col min="9" max="9" width="9.7109375" style="681" customWidth="1"/>
    <col min="10" max="13" width="8" style="681" customWidth="1"/>
    <col min="14" max="14" width="10" style="681" customWidth="1"/>
    <col min="15" max="17" width="8" style="681" customWidth="1"/>
    <col min="18" max="18" width="8.42578125" style="681" customWidth="1"/>
    <col min="19" max="19" width="8" style="681" customWidth="1"/>
    <col min="20" max="20" width="8" style="682" customWidth="1"/>
    <col min="21" max="25" width="8" style="681" customWidth="1"/>
    <col min="26" max="16384" width="10.28515625" style="681"/>
  </cols>
  <sheetData>
    <row r="1" spans="1:29" ht="22.5" customHeight="1" x14ac:dyDescent="0.2">
      <c r="A1" s="1384" t="s">
        <v>243</v>
      </c>
      <c r="B1" s="1384"/>
      <c r="C1" s="1384"/>
      <c r="D1" s="1384"/>
      <c r="E1" s="1384"/>
      <c r="F1" s="1384"/>
      <c r="G1" s="1384"/>
      <c r="H1" s="1384"/>
      <c r="I1" s="1384"/>
      <c r="J1" s="1384"/>
      <c r="K1" s="1384"/>
      <c r="L1" s="1384"/>
      <c r="M1" s="1384"/>
      <c r="N1" s="1384"/>
      <c r="O1" s="1384"/>
      <c r="P1" s="1384"/>
    </row>
    <row r="2" spans="1:29" ht="14.25" customHeight="1" x14ac:dyDescent="0.2">
      <c r="B2" s="683"/>
    </row>
    <row r="3" spans="1:29" ht="14.25" customHeight="1" x14ac:dyDescent="0.2">
      <c r="A3" s="813" t="s">
        <v>244</v>
      </c>
      <c r="B3" s="1450" t="s">
        <v>646</v>
      </c>
      <c r="C3" s="1450"/>
      <c r="D3" s="812"/>
      <c r="E3" s="812"/>
      <c r="F3" s="812"/>
      <c r="G3" s="812"/>
      <c r="T3" s="681"/>
      <c r="U3" s="1377" t="s">
        <v>647</v>
      </c>
      <c r="V3" s="1378"/>
      <c r="W3" s="1378"/>
      <c r="X3" s="811">
        <f>'Données Investissement'!F5*1000+'Données gestion'!E75/1000</f>
        <v>56660</v>
      </c>
      <c r="Y3" s="684" t="str">
        <f>B7</f>
        <v>k€</v>
      </c>
      <c r="AC3" s="682"/>
    </row>
    <row r="4" spans="1:29" ht="14.25" customHeight="1" x14ac:dyDescent="0.2">
      <c r="A4" s="813" t="s">
        <v>245</v>
      </c>
      <c r="B4" s="1450" t="s">
        <v>655</v>
      </c>
      <c r="C4" s="1450"/>
      <c r="D4" s="812"/>
      <c r="E4" s="812"/>
      <c r="F4" s="812"/>
      <c r="G4" s="812"/>
      <c r="T4" s="681"/>
      <c r="U4" s="1380" t="s">
        <v>246</v>
      </c>
      <c r="V4" s="1381"/>
      <c r="W4" s="1381"/>
      <c r="X4" s="783">
        <f>X3-'Données gestion'!E75/1000</f>
        <v>56660</v>
      </c>
      <c r="Y4" s="685" t="str">
        <f>B7</f>
        <v>k€</v>
      </c>
      <c r="AC4" s="682"/>
    </row>
    <row r="5" spans="1:29" ht="14.25" customHeight="1" x14ac:dyDescent="0.2">
      <c r="A5" s="813" t="s">
        <v>247</v>
      </c>
      <c r="B5" s="1450" t="s">
        <v>29</v>
      </c>
      <c r="C5" s="1450"/>
      <c r="D5" s="812"/>
      <c r="E5" s="812"/>
      <c r="F5" s="812"/>
      <c r="G5" s="812"/>
      <c r="T5" s="681"/>
      <c r="U5" s="1373" t="s">
        <v>658</v>
      </c>
      <c r="V5" s="1374"/>
      <c r="W5" s="1374"/>
      <c r="X5" s="1375" t="s">
        <v>1481</v>
      </c>
      <c r="Y5" s="1376"/>
      <c r="AC5" s="682"/>
    </row>
    <row r="6" spans="1:29" ht="14.25" customHeight="1" x14ac:dyDescent="0.2">
      <c r="A6" s="813" t="s">
        <v>248</v>
      </c>
      <c r="B6" s="1450" t="s">
        <v>272</v>
      </c>
      <c r="C6" s="1450"/>
      <c r="D6" s="812"/>
      <c r="E6" s="812"/>
      <c r="F6" s="812"/>
      <c r="G6" s="812"/>
      <c r="T6" s="681"/>
      <c r="U6" s="1405" t="s">
        <v>660</v>
      </c>
      <c r="V6" s="1406"/>
      <c r="W6" s="1406"/>
      <c r="X6" s="1401" t="s">
        <v>1482</v>
      </c>
      <c r="Y6" s="1402"/>
      <c r="AC6" s="682"/>
    </row>
    <row r="7" spans="1:29" ht="14.25" customHeight="1" x14ac:dyDescent="0.2">
      <c r="A7" s="813" t="s">
        <v>661</v>
      </c>
      <c r="B7" s="1450" t="s">
        <v>984</v>
      </c>
      <c r="C7" s="1450"/>
      <c r="D7" s="812"/>
      <c r="E7" s="812"/>
      <c r="F7" s="812"/>
      <c r="G7" s="812"/>
      <c r="T7" s="681"/>
      <c r="U7" s="784" t="s">
        <v>30</v>
      </c>
      <c r="V7" s="785"/>
      <c r="W7" s="785"/>
      <c r="X7" s="785"/>
      <c r="Y7" s="786">
        <v>20</v>
      </c>
      <c r="AC7" s="682"/>
    </row>
    <row r="8" spans="1:29" ht="14.25" customHeight="1" x14ac:dyDescent="0.2">
      <c r="B8" s="683"/>
      <c r="E8" s="787"/>
      <c r="T8" s="681"/>
      <c r="W8" s="682"/>
    </row>
    <row r="9" spans="1:29" ht="14.25" customHeight="1" x14ac:dyDescent="0.2">
      <c r="B9" s="683"/>
      <c r="C9" s="686" t="s">
        <v>662</v>
      </c>
      <c r="D9" s="687"/>
      <c r="E9" s="688">
        <v>2015</v>
      </c>
      <c r="F9" s="689">
        <f t="shared" ref="F9:Y9" si="0">E9+1</f>
        <v>2016</v>
      </c>
      <c r="G9" s="689">
        <f t="shared" si="0"/>
        <v>2017</v>
      </c>
      <c r="H9" s="689">
        <f t="shared" si="0"/>
        <v>2018</v>
      </c>
      <c r="I9" s="689">
        <f t="shared" si="0"/>
        <v>2019</v>
      </c>
      <c r="J9" s="689">
        <f t="shared" si="0"/>
        <v>2020</v>
      </c>
      <c r="K9" s="689">
        <f t="shared" si="0"/>
        <v>2021</v>
      </c>
      <c r="L9" s="689">
        <f t="shared" si="0"/>
        <v>2022</v>
      </c>
      <c r="M9" s="689">
        <f t="shared" si="0"/>
        <v>2023</v>
      </c>
      <c r="N9" s="689">
        <f t="shared" si="0"/>
        <v>2024</v>
      </c>
      <c r="O9" s="689">
        <f t="shared" si="0"/>
        <v>2025</v>
      </c>
      <c r="P9" s="689">
        <f t="shared" si="0"/>
        <v>2026</v>
      </c>
      <c r="Q9" s="689">
        <f t="shared" si="0"/>
        <v>2027</v>
      </c>
      <c r="R9" s="689">
        <f t="shared" si="0"/>
        <v>2028</v>
      </c>
      <c r="S9" s="689">
        <f t="shared" si="0"/>
        <v>2029</v>
      </c>
      <c r="T9" s="689">
        <f t="shared" si="0"/>
        <v>2030</v>
      </c>
      <c r="U9" s="689">
        <f t="shared" si="0"/>
        <v>2031</v>
      </c>
      <c r="V9" s="689">
        <f t="shared" si="0"/>
        <v>2032</v>
      </c>
      <c r="W9" s="689">
        <f t="shared" si="0"/>
        <v>2033</v>
      </c>
      <c r="X9" s="689">
        <f t="shared" si="0"/>
        <v>2034</v>
      </c>
      <c r="Y9" s="689">
        <f t="shared" si="0"/>
        <v>2035</v>
      </c>
      <c r="AB9" s="682"/>
    </row>
    <row r="10" spans="1:29" ht="14.25" customHeight="1" x14ac:dyDescent="0.2">
      <c r="B10" s="683"/>
      <c r="E10" s="815" t="s">
        <v>349</v>
      </c>
      <c r="F10" s="815" t="s">
        <v>834</v>
      </c>
      <c r="G10" s="815" t="s">
        <v>835</v>
      </c>
      <c r="H10" s="815" t="s">
        <v>945</v>
      </c>
      <c r="I10" s="815" t="s">
        <v>946</v>
      </c>
      <c r="J10" s="815" t="s">
        <v>947</v>
      </c>
      <c r="K10" s="815" t="s">
        <v>948</v>
      </c>
      <c r="L10" s="815" t="s">
        <v>949</v>
      </c>
      <c r="M10" s="815" t="s">
        <v>846</v>
      </c>
      <c r="N10" s="815" t="s">
        <v>847</v>
      </c>
      <c r="O10" s="815" t="s">
        <v>848</v>
      </c>
      <c r="P10" s="815" t="s">
        <v>849</v>
      </c>
      <c r="Q10" s="815" t="s">
        <v>509</v>
      </c>
      <c r="R10" s="815" t="s">
        <v>510</v>
      </c>
      <c r="S10" s="815" t="s">
        <v>368</v>
      </c>
      <c r="T10" s="815" t="s">
        <v>369</v>
      </c>
      <c r="U10" s="815" t="s">
        <v>370</v>
      </c>
      <c r="V10" s="815" t="s">
        <v>371</v>
      </c>
      <c r="W10" s="815" t="s">
        <v>372</v>
      </c>
      <c r="X10" s="815" t="s">
        <v>373</v>
      </c>
      <c r="Y10" s="815" t="s">
        <v>374</v>
      </c>
      <c r="AB10" s="682"/>
    </row>
    <row r="11" spans="1:29" ht="14.25" customHeight="1" x14ac:dyDescent="0.2">
      <c r="B11" s="683"/>
      <c r="C11" s="686" t="s">
        <v>665</v>
      </c>
      <c r="D11" s="690"/>
      <c r="E11" s="691"/>
      <c r="F11" s="691"/>
      <c r="G11" s="691"/>
      <c r="H11" s="691"/>
      <c r="I11" s="691"/>
      <c r="J11" s="691"/>
      <c r="K11" s="691"/>
      <c r="L11" s="691"/>
      <c r="M11" s="691"/>
      <c r="N11" s="691"/>
      <c r="O11" s="691"/>
      <c r="P11" s="691"/>
      <c r="Q11" s="691"/>
      <c r="R11" s="691"/>
      <c r="S11" s="691"/>
      <c r="T11" s="691"/>
      <c r="U11" s="691"/>
      <c r="V11" s="691"/>
      <c r="W11" s="691"/>
      <c r="X11" s="691"/>
      <c r="Y11" s="691"/>
      <c r="AB11" s="682"/>
    </row>
    <row r="12" spans="1:29" ht="14.25" customHeight="1" x14ac:dyDescent="0.2">
      <c r="A12" s="1383" t="s">
        <v>249</v>
      </c>
      <c r="B12" s="692" t="s">
        <v>668</v>
      </c>
      <c r="C12" s="693" t="s">
        <v>669</v>
      </c>
      <c r="D12" s="693"/>
      <c r="E12" s="233">
        <f>-'Equipe projet'!D44-'Equipe projet'!E44-'Equipe projet'!F44</f>
        <v>-2538.0845300000001</v>
      </c>
      <c r="F12" s="233">
        <f>-'Equipe projet'!G44</f>
        <v>-1559.5</v>
      </c>
      <c r="G12" s="233">
        <f>Exploitation!B31/1000+Exploitation!B28/1000</f>
        <v>-1938.6364306869389</v>
      </c>
      <c r="H12" s="233">
        <f>Exploitation!C31/1000+Exploitation!C28/1000</f>
        <v>2716.76037174057</v>
      </c>
      <c r="I12" s="233">
        <f>Exploitation!D31/1000+Exploitation!D28/1000</f>
        <v>5415.8583143945953</v>
      </c>
      <c r="J12" s="233">
        <f>Exploitation!E31/1000+Exploitation!E28/1000</f>
        <v>10090.947409256076</v>
      </c>
      <c r="K12" s="233">
        <f>Exploitation!F31/1000+Exploitation!F28/1000</f>
        <v>14871.532974677637</v>
      </c>
      <c r="L12" s="233">
        <f>Exploitation!G31/1000+Exploitation!G28/1000</f>
        <v>19905.381558407822</v>
      </c>
      <c r="M12" s="233">
        <f>Exploitation!H31/1000+Exploitation!H28/1000</f>
        <v>20375.386963298184</v>
      </c>
      <c r="N12" s="233">
        <f>Exploitation!I31/1000+Exploitation!I28/1000</f>
        <v>20609.717987224161</v>
      </c>
      <c r="O12" s="233">
        <f>Exploitation!J31/1000+Exploitation!J28/1000</f>
        <v>20325.36373408289</v>
      </c>
      <c r="P12" s="233">
        <f>Exploitation!K31/1000+Exploitation!K28/1000</f>
        <v>20198.933666029945</v>
      </c>
      <c r="Q12" s="233">
        <f>Exploitation!L31/1000+Exploitation!L28/1000</f>
        <v>19904.842760037882</v>
      </c>
      <c r="R12" s="233">
        <f>Exploitation!M31/1000+Exploitation!M28/1000</f>
        <v>19603.712526382009</v>
      </c>
      <c r="S12" s="233">
        <f>Exploitation!N31/1000+Exploitation!N28/1000</f>
        <v>19295.35626408015</v>
      </c>
      <c r="T12" s="233">
        <f>Exploitation!O31/1000+Exploitation!O28/1000</f>
        <v>18929.313287118584</v>
      </c>
      <c r="U12" s="233">
        <f>Exploitation!P31/1000+Exploitation!P28/1000</f>
        <v>18604.918061064502</v>
      </c>
      <c r="V12" s="233">
        <f>Exploitation!Q31/1000+Exploitation!Q28/1000</f>
        <v>18220.384530204927</v>
      </c>
      <c r="W12" s="233">
        <f>Exploitation!R31/1000+Exploitation!R28/1000</f>
        <v>17879.056404514929</v>
      </c>
      <c r="X12" s="233">
        <f>Exploitation!S31/1000+Exploitation!S28/1000</f>
        <v>17475.031483212908</v>
      </c>
      <c r="Y12" s="694">
        <f>X12</f>
        <v>17475.031483212908</v>
      </c>
      <c r="AB12" s="682"/>
    </row>
    <row r="13" spans="1:29" ht="14.25" customHeight="1" x14ac:dyDescent="0.2">
      <c r="A13" s="1383"/>
      <c r="B13" s="695" t="s">
        <v>671</v>
      </c>
      <c r="C13" s="693" t="s">
        <v>673</v>
      </c>
      <c r="D13" s="693"/>
      <c r="E13" s="696"/>
      <c r="F13" s="696"/>
      <c r="G13" s="696"/>
      <c r="H13" s="696"/>
      <c r="I13" s="696"/>
      <c r="J13" s="696"/>
      <c r="K13" s="696"/>
      <c r="L13" s="696"/>
      <c r="M13" s="696"/>
      <c r="N13" s="696"/>
      <c r="O13" s="696"/>
      <c r="P13" s="696"/>
      <c r="Q13" s="696"/>
      <c r="R13" s="696"/>
      <c r="S13" s="696"/>
      <c r="T13" s="696"/>
      <c r="U13" s="696"/>
      <c r="V13" s="696"/>
      <c r="W13" s="696"/>
      <c r="X13" s="696"/>
      <c r="Y13" s="696"/>
      <c r="AB13" s="682"/>
    </row>
    <row r="14" spans="1:29" ht="14.25" customHeight="1" x14ac:dyDescent="0.2">
      <c r="A14" s="1383"/>
      <c r="B14" s="697" t="s">
        <v>674</v>
      </c>
      <c r="C14" s="698" t="s">
        <v>675</v>
      </c>
      <c r="D14" s="698"/>
      <c r="E14" s="699"/>
      <c r="F14" s="699"/>
      <c r="G14" s="699"/>
      <c r="H14" s="699"/>
      <c r="I14" s="699"/>
      <c r="J14" s="699"/>
      <c r="K14" s="699"/>
      <c r="L14" s="699"/>
      <c r="M14" s="699"/>
      <c r="N14" s="699"/>
      <c r="O14" s="699"/>
      <c r="P14" s="699"/>
      <c r="Q14" s="699"/>
      <c r="R14" s="699"/>
      <c r="S14" s="699"/>
      <c r="T14" s="699"/>
      <c r="U14" s="699"/>
      <c r="V14" s="699"/>
      <c r="W14" s="699"/>
      <c r="X14" s="699"/>
      <c r="Y14" s="699"/>
      <c r="AB14" s="682"/>
    </row>
    <row r="15" spans="1:29" ht="14.25" customHeight="1" x14ac:dyDescent="0.2">
      <c r="A15" s="1383" t="s">
        <v>250</v>
      </c>
      <c r="B15" s="692">
        <v>1</v>
      </c>
      <c r="C15" s="700" t="s">
        <v>669</v>
      </c>
      <c r="D15" s="700"/>
      <c r="E15" s="701">
        <f t="shared" ref="E15:Y15" si="1">E12*E$52</f>
        <v>-2538.0845300000001</v>
      </c>
      <c r="F15" s="701">
        <f t="shared" si="1"/>
        <v>-1559.5</v>
      </c>
      <c r="G15" s="701">
        <f t="shared" si="1"/>
        <v>-1938.6364306869389</v>
      </c>
      <c r="H15" s="701">
        <f t="shared" si="1"/>
        <v>2716.76037174057</v>
      </c>
      <c r="I15" s="701">
        <f t="shared" si="1"/>
        <v>5415.8583143945953</v>
      </c>
      <c r="J15" s="701">
        <f t="shared" si="1"/>
        <v>10090.947409256076</v>
      </c>
      <c r="K15" s="701">
        <f t="shared" si="1"/>
        <v>14871.532974677637</v>
      </c>
      <c r="L15" s="701">
        <f t="shared" si="1"/>
        <v>19905.381558407822</v>
      </c>
      <c r="M15" s="701">
        <f t="shared" si="1"/>
        <v>20375.386963298184</v>
      </c>
      <c r="N15" s="701">
        <f t="shared" si="1"/>
        <v>20609.717987224161</v>
      </c>
      <c r="O15" s="701">
        <f t="shared" si="1"/>
        <v>20325.36373408289</v>
      </c>
      <c r="P15" s="701">
        <f t="shared" si="1"/>
        <v>20198.933666029945</v>
      </c>
      <c r="Q15" s="701">
        <f t="shared" si="1"/>
        <v>19904.842760037882</v>
      </c>
      <c r="R15" s="701">
        <f t="shared" si="1"/>
        <v>19603.712526382009</v>
      </c>
      <c r="S15" s="701">
        <f t="shared" si="1"/>
        <v>19295.35626408015</v>
      </c>
      <c r="T15" s="701">
        <f t="shared" si="1"/>
        <v>18929.313287118584</v>
      </c>
      <c r="U15" s="701">
        <f t="shared" si="1"/>
        <v>18604.918061064502</v>
      </c>
      <c r="V15" s="701">
        <f t="shared" si="1"/>
        <v>18220.384530204927</v>
      </c>
      <c r="W15" s="701">
        <f t="shared" si="1"/>
        <v>17879.056404514929</v>
      </c>
      <c r="X15" s="701">
        <f t="shared" si="1"/>
        <v>17475.031483212908</v>
      </c>
      <c r="Y15" s="701">
        <f t="shared" si="1"/>
        <v>17475.031483212908</v>
      </c>
      <c r="AB15" s="682"/>
    </row>
    <row r="16" spans="1:29" ht="14.25" customHeight="1" x14ac:dyDescent="0.2">
      <c r="A16" s="1383"/>
      <c r="B16" s="695">
        <v>2</v>
      </c>
      <c r="C16" s="693" t="s">
        <v>673</v>
      </c>
      <c r="D16" s="693"/>
      <c r="E16" s="702">
        <f t="shared" ref="E16:Y16" si="2">E13*E$52</f>
        <v>0</v>
      </c>
      <c r="F16" s="702">
        <f t="shared" si="2"/>
        <v>0</v>
      </c>
      <c r="G16" s="702">
        <f t="shared" si="2"/>
        <v>0</v>
      </c>
      <c r="H16" s="702">
        <f t="shared" si="2"/>
        <v>0</v>
      </c>
      <c r="I16" s="702">
        <f t="shared" si="2"/>
        <v>0</v>
      </c>
      <c r="J16" s="702">
        <f t="shared" si="2"/>
        <v>0</v>
      </c>
      <c r="K16" s="702">
        <f t="shared" si="2"/>
        <v>0</v>
      </c>
      <c r="L16" s="702">
        <f t="shared" si="2"/>
        <v>0</v>
      </c>
      <c r="M16" s="702">
        <f t="shared" si="2"/>
        <v>0</v>
      </c>
      <c r="N16" s="702">
        <f t="shared" si="2"/>
        <v>0</v>
      </c>
      <c r="O16" s="702">
        <f t="shared" si="2"/>
        <v>0</v>
      </c>
      <c r="P16" s="702">
        <f t="shared" si="2"/>
        <v>0</v>
      </c>
      <c r="Q16" s="702">
        <f t="shared" si="2"/>
        <v>0</v>
      </c>
      <c r="R16" s="702">
        <f t="shared" si="2"/>
        <v>0</v>
      </c>
      <c r="S16" s="702">
        <f t="shared" si="2"/>
        <v>0</v>
      </c>
      <c r="T16" s="702">
        <f t="shared" si="2"/>
        <v>0</v>
      </c>
      <c r="U16" s="702">
        <f t="shared" si="2"/>
        <v>0</v>
      </c>
      <c r="V16" s="702">
        <f t="shared" si="2"/>
        <v>0</v>
      </c>
      <c r="W16" s="702">
        <f t="shared" si="2"/>
        <v>0</v>
      </c>
      <c r="X16" s="702">
        <f t="shared" si="2"/>
        <v>0</v>
      </c>
      <c r="Y16" s="702">
        <f t="shared" si="2"/>
        <v>0</v>
      </c>
      <c r="AB16" s="682"/>
    </row>
    <row r="17" spans="1:28" ht="14.25" customHeight="1" x14ac:dyDescent="0.2">
      <c r="A17" s="1383"/>
      <c r="B17" s="695">
        <v>3</v>
      </c>
      <c r="C17" s="693" t="s">
        <v>675</v>
      </c>
      <c r="D17" s="693"/>
      <c r="E17" s="702">
        <f t="shared" ref="E17:Y17" si="3">E14*E$52</f>
        <v>0</v>
      </c>
      <c r="F17" s="702">
        <f t="shared" si="3"/>
        <v>0</v>
      </c>
      <c r="G17" s="702">
        <f t="shared" si="3"/>
        <v>0</v>
      </c>
      <c r="H17" s="702">
        <f t="shared" si="3"/>
        <v>0</v>
      </c>
      <c r="I17" s="702">
        <f t="shared" si="3"/>
        <v>0</v>
      </c>
      <c r="J17" s="702">
        <f t="shared" si="3"/>
        <v>0</v>
      </c>
      <c r="K17" s="702">
        <f t="shared" si="3"/>
        <v>0</v>
      </c>
      <c r="L17" s="702">
        <f t="shared" si="3"/>
        <v>0</v>
      </c>
      <c r="M17" s="702">
        <f t="shared" si="3"/>
        <v>0</v>
      </c>
      <c r="N17" s="702">
        <f t="shared" si="3"/>
        <v>0</v>
      </c>
      <c r="O17" s="702">
        <f t="shared" si="3"/>
        <v>0</v>
      </c>
      <c r="P17" s="702">
        <f t="shared" si="3"/>
        <v>0</v>
      </c>
      <c r="Q17" s="702">
        <f t="shared" si="3"/>
        <v>0</v>
      </c>
      <c r="R17" s="702">
        <f t="shared" si="3"/>
        <v>0</v>
      </c>
      <c r="S17" s="702">
        <f t="shared" si="3"/>
        <v>0</v>
      </c>
      <c r="T17" s="702">
        <f t="shared" si="3"/>
        <v>0</v>
      </c>
      <c r="U17" s="702">
        <f t="shared" si="3"/>
        <v>0</v>
      </c>
      <c r="V17" s="702">
        <f t="shared" si="3"/>
        <v>0</v>
      </c>
      <c r="W17" s="702">
        <f t="shared" si="3"/>
        <v>0</v>
      </c>
      <c r="X17" s="702">
        <f t="shared" si="3"/>
        <v>0</v>
      </c>
      <c r="Y17" s="702">
        <f t="shared" si="3"/>
        <v>0</v>
      </c>
      <c r="AB17" s="682"/>
    </row>
    <row r="18" spans="1:28" ht="14.25" customHeight="1" x14ac:dyDescent="0.2">
      <c r="A18" s="1383"/>
      <c r="B18" s="695">
        <v>4</v>
      </c>
      <c r="C18" s="693" t="s">
        <v>678</v>
      </c>
      <c r="D18" s="693"/>
      <c r="E18" s="696"/>
      <c r="F18" s="696"/>
      <c r="G18" s="696"/>
      <c r="H18" s="696"/>
      <c r="I18" s="696"/>
      <c r="J18" s="696"/>
      <c r="K18" s="696"/>
      <c r="L18" s="696"/>
      <c r="M18" s="696"/>
      <c r="N18" s="696"/>
      <c r="O18" s="696"/>
      <c r="P18" s="696"/>
      <c r="Q18" s="696"/>
      <c r="R18" s="696"/>
      <c r="S18" s="696"/>
      <c r="T18" s="696"/>
      <c r="U18" s="696"/>
      <c r="V18" s="696"/>
      <c r="W18" s="696"/>
      <c r="X18" s="696"/>
      <c r="Y18" s="696"/>
      <c r="AB18" s="682"/>
    </row>
    <row r="19" spans="1:28" ht="14.25" customHeight="1" x14ac:dyDescent="0.2">
      <c r="A19" s="1383"/>
      <c r="B19" s="703">
        <v>5</v>
      </c>
      <c r="C19" s="704" t="s">
        <v>251</v>
      </c>
      <c r="D19" s="704"/>
      <c r="E19" s="705">
        <f t="shared" ref="E19:Y19" si="4">E15+E16-E17-E18</f>
        <v>-2538.0845300000001</v>
      </c>
      <c r="F19" s="705">
        <f t="shared" si="4"/>
        <v>-1559.5</v>
      </c>
      <c r="G19" s="705">
        <f t="shared" si="4"/>
        <v>-1938.6364306869389</v>
      </c>
      <c r="H19" s="705">
        <f t="shared" si="4"/>
        <v>2716.76037174057</v>
      </c>
      <c r="I19" s="705">
        <f t="shared" si="4"/>
        <v>5415.8583143945953</v>
      </c>
      <c r="J19" s="705">
        <f t="shared" si="4"/>
        <v>10090.947409256076</v>
      </c>
      <c r="K19" s="705">
        <f t="shared" si="4"/>
        <v>14871.532974677637</v>
      </c>
      <c r="L19" s="705">
        <f t="shared" si="4"/>
        <v>19905.381558407822</v>
      </c>
      <c r="M19" s="705">
        <f t="shared" si="4"/>
        <v>20375.386963298184</v>
      </c>
      <c r="N19" s="705">
        <f t="shared" si="4"/>
        <v>20609.717987224161</v>
      </c>
      <c r="O19" s="705">
        <f t="shared" si="4"/>
        <v>20325.36373408289</v>
      </c>
      <c r="P19" s="705">
        <f t="shared" si="4"/>
        <v>20198.933666029945</v>
      </c>
      <c r="Q19" s="705">
        <f t="shared" si="4"/>
        <v>19904.842760037882</v>
      </c>
      <c r="R19" s="705">
        <f t="shared" si="4"/>
        <v>19603.712526382009</v>
      </c>
      <c r="S19" s="705">
        <f t="shared" si="4"/>
        <v>19295.35626408015</v>
      </c>
      <c r="T19" s="705">
        <f t="shared" si="4"/>
        <v>18929.313287118584</v>
      </c>
      <c r="U19" s="705">
        <f t="shared" si="4"/>
        <v>18604.918061064502</v>
      </c>
      <c r="V19" s="705">
        <f t="shared" si="4"/>
        <v>18220.384530204927</v>
      </c>
      <c r="W19" s="705">
        <f t="shared" si="4"/>
        <v>17879.056404514929</v>
      </c>
      <c r="X19" s="705">
        <f t="shared" si="4"/>
        <v>17475.031483212908</v>
      </c>
      <c r="Y19" s="705">
        <f t="shared" si="4"/>
        <v>17475.031483212908</v>
      </c>
      <c r="AB19" s="682"/>
    </row>
    <row r="20" spans="1:28" ht="14.25" customHeight="1" x14ac:dyDescent="0.2">
      <c r="A20" s="1383"/>
      <c r="B20" s="695">
        <v>6</v>
      </c>
      <c r="C20" s="693" t="s">
        <v>252</v>
      </c>
      <c r="D20" s="693"/>
      <c r="E20" s="696"/>
      <c r="F20" s="696"/>
      <c r="G20" s="696"/>
      <c r="H20" s="696"/>
      <c r="I20" s="696"/>
      <c r="J20" s="696"/>
      <c r="K20" s="696"/>
      <c r="L20" s="696"/>
      <c r="M20" s="696"/>
      <c r="N20" s="696"/>
      <c r="O20" s="696"/>
      <c r="P20" s="696"/>
      <c r="Q20" s="696"/>
      <c r="R20" s="696"/>
      <c r="S20" s="696"/>
      <c r="T20" s="696"/>
      <c r="U20" s="696"/>
      <c r="V20" s="696"/>
      <c r="W20" s="696"/>
      <c r="X20" s="696"/>
      <c r="Y20" s="696"/>
      <c r="AB20" s="682"/>
    </row>
    <row r="21" spans="1:28" ht="14.25" customHeight="1" x14ac:dyDescent="0.2">
      <c r="A21" s="1383"/>
      <c r="B21" s="695">
        <v>7</v>
      </c>
      <c r="C21" s="693" t="s">
        <v>681</v>
      </c>
      <c r="D21" s="693"/>
      <c r="E21" s="702">
        <f t="shared" ref="E21:Y21" si="5">E25</f>
        <v>-862.94874020000009</v>
      </c>
      <c r="F21" s="702">
        <f t="shared" si="5"/>
        <v>-913.08416666666687</v>
      </c>
      <c r="G21" s="702">
        <f t="shared" si="5"/>
        <v>-1778.2038864335593</v>
      </c>
      <c r="H21" s="702">
        <f t="shared" si="5"/>
        <v>-566.60647360820622</v>
      </c>
      <c r="I21" s="702">
        <f t="shared" si="5"/>
        <v>298.64182689416242</v>
      </c>
      <c r="J21" s="702">
        <f t="shared" si="5"/>
        <v>1851.3387858137328</v>
      </c>
      <c r="K21" s="702">
        <f t="shared" si="5"/>
        <v>3454.637878057064</v>
      </c>
      <c r="L21" s="702">
        <f t="shared" si="5"/>
        <v>5161.7547298586596</v>
      </c>
      <c r="M21" s="702">
        <f t="shared" si="5"/>
        <v>5320.1399008547169</v>
      </c>
      <c r="N21" s="702">
        <f t="shared" si="5"/>
        <v>5397.687448989549</v>
      </c>
      <c r="O21" s="702">
        <f t="shared" si="5"/>
        <v>5298.4097806992941</v>
      </c>
      <c r="P21" s="702">
        <f t="shared" si="5"/>
        <v>5244.3263353390712</v>
      </c>
      <c r="Q21" s="702">
        <f t="shared" si="5"/>
        <v>5148.8215384128798</v>
      </c>
      <c r="R21" s="702">
        <f t="shared" si="5"/>
        <v>5425.2775367476606</v>
      </c>
      <c r="S21" s="702">
        <f t="shared" si="5"/>
        <v>6052.1636297872519</v>
      </c>
      <c r="T21" s="702">
        <f t="shared" si="5"/>
        <v>6292.0992953980967</v>
      </c>
      <c r="U21" s="702">
        <f t="shared" si="5"/>
        <v>6226.9304740952639</v>
      </c>
      <c r="V21" s="702">
        <f t="shared" si="5"/>
        <v>6125.2307402696752</v>
      </c>
      <c r="W21" s="702">
        <f t="shared" si="5"/>
        <v>6023.0152886461874</v>
      </c>
      <c r="X21" s="702">
        <f t="shared" si="5"/>
        <v>5882.0107042923892</v>
      </c>
      <c r="Y21" s="702">
        <f t="shared" si="5"/>
        <v>5875.6357042923892</v>
      </c>
      <c r="AB21" s="682"/>
    </row>
    <row r="22" spans="1:28" ht="14.25" customHeight="1" x14ac:dyDescent="0.2">
      <c r="A22" s="1383"/>
      <c r="B22" s="706">
        <v>8</v>
      </c>
      <c r="C22" s="707" t="s">
        <v>253</v>
      </c>
      <c r="D22" s="707"/>
      <c r="E22" s="708">
        <f t="shared" ref="E22:Y22" si="6">E19-E20-E21</f>
        <v>-1675.1357898000001</v>
      </c>
      <c r="F22" s="708">
        <f t="shared" si="6"/>
        <v>-646.41583333333313</v>
      </c>
      <c r="G22" s="708">
        <f t="shared" si="6"/>
        <v>-160.43254425337955</v>
      </c>
      <c r="H22" s="708">
        <f t="shared" si="6"/>
        <v>3283.3668453487762</v>
      </c>
      <c r="I22" s="708">
        <f t="shared" si="6"/>
        <v>5117.2164875004328</v>
      </c>
      <c r="J22" s="708">
        <f t="shared" si="6"/>
        <v>8239.6086234423437</v>
      </c>
      <c r="K22" s="708">
        <f t="shared" si="6"/>
        <v>11416.895096620574</v>
      </c>
      <c r="L22" s="708">
        <f t="shared" si="6"/>
        <v>14743.626828549162</v>
      </c>
      <c r="M22" s="708">
        <f t="shared" si="6"/>
        <v>15055.247062443468</v>
      </c>
      <c r="N22" s="708">
        <f t="shared" si="6"/>
        <v>15212.030538234612</v>
      </c>
      <c r="O22" s="708">
        <f t="shared" si="6"/>
        <v>15026.953953383596</v>
      </c>
      <c r="P22" s="708">
        <f t="shared" si="6"/>
        <v>14954.607330690873</v>
      </c>
      <c r="Q22" s="708">
        <f t="shared" si="6"/>
        <v>14756.021221625002</v>
      </c>
      <c r="R22" s="708">
        <f t="shared" si="6"/>
        <v>14178.434989634348</v>
      </c>
      <c r="S22" s="708">
        <f t="shared" si="6"/>
        <v>13243.192634292898</v>
      </c>
      <c r="T22" s="708">
        <f t="shared" si="6"/>
        <v>12637.213991720488</v>
      </c>
      <c r="U22" s="708">
        <f t="shared" si="6"/>
        <v>12377.987586969237</v>
      </c>
      <c r="V22" s="708">
        <f t="shared" si="6"/>
        <v>12095.153789935252</v>
      </c>
      <c r="W22" s="708">
        <f t="shared" si="6"/>
        <v>11856.041115868742</v>
      </c>
      <c r="X22" s="708">
        <f t="shared" si="6"/>
        <v>11593.02077892052</v>
      </c>
      <c r="Y22" s="708">
        <f t="shared" si="6"/>
        <v>11599.39577892052</v>
      </c>
      <c r="AB22" s="682"/>
    </row>
    <row r="23" spans="1:28" ht="14.25" customHeight="1" x14ac:dyDescent="0.2">
      <c r="A23" s="1383" t="s">
        <v>254</v>
      </c>
      <c r="B23" s="692">
        <v>9</v>
      </c>
      <c r="C23" s="700" t="s">
        <v>684</v>
      </c>
      <c r="D23" s="700"/>
      <c r="E23" s="694"/>
      <c r="F23" s="694">
        <f t="shared" ref="F23:Y23" si="7">F112</f>
        <v>1126.0416666666667</v>
      </c>
      <c r="G23" s="694">
        <f t="shared" si="7"/>
        <v>3291.375</v>
      </c>
      <c r="H23" s="694">
        <f t="shared" si="7"/>
        <v>4383.25</v>
      </c>
      <c r="I23" s="694">
        <f t="shared" si="7"/>
        <v>4537.5</v>
      </c>
      <c r="J23" s="694">
        <f t="shared" si="7"/>
        <v>4645.833333333333</v>
      </c>
      <c r="K23" s="694">
        <f t="shared" si="7"/>
        <v>4710.833333333333</v>
      </c>
      <c r="L23" s="694">
        <f t="shared" si="7"/>
        <v>4723.7499999999991</v>
      </c>
      <c r="M23" s="694">
        <f t="shared" si="7"/>
        <v>4727.9166666666661</v>
      </c>
      <c r="N23" s="694">
        <f t="shared" si="7"/>
        <v>4734.1666666666661</v>
      </c>
      <c r="O23" s="694">
        <f t="shared" si="7"/>
        <v>4741.8055555555547</v>
      </c>
      <c r="P23" s="694">
        <f t="shared" si="7"/>
        <v>4774.4444444444434</v>
      </c>
      <c r="Q23" s="694">
        <f t="shared" si="7"/>
        <v>4761.2499999999991</v>
      </c>
      <c r="R23" s="694">
        <f t="shared" si="7"/>
        <v>3647.0138888888896</v>
      </c>
      <c r="S23" s="694">
        <f t="shared" si="7"/>
        <v>1494.8750000000002</v>
      </c>
      <c r="T23" s="694">
        <f t="shared" si="7"/>
        <v>423.13888888888897</v>
      </c>
      <c r="U23" s="694">
        <f t="shared" si="7"/>
        <v>290.41666666666669</v>
      </c>
      <c r="V23" s="694">
        <f t="shared" si="7"/>
        <v>205</v>
      </c>
      <c r="W23" s="694">
        <f t="shared" si="7"/>
        <v>164.30555555555554</v>
      </c>
      <c r="X23" s="694">
        <f t="shared" si="7"/>
        <v>175.00000000000003</v>
      </c>
      <c r="Y23" s="694">
        <f t="shared" si="7"/>
        <v>193.75</v>
      </c>
      <c r="AB23" s="682"/>
    </row>
    <row r="24" spans="1:28" ht="14.25" customHeight="1" x14ac:dyDescent="0.2">
      <c r="A24" s="1383"/>
      <c r="B24" s="695"/>
      <c r="C24" s="693" t="s">
        <v>685</v>
      </c>
      <c r="D24" s="693"/>
      <c r="E24" s="709">
        <f t="shared" ref="E24:Y24" si="8">$E41</f>
        <v>0.34</v>
      </c>
      <c r="F24" s="709">
        <f t="shared" si="8"/>
        <v>0.34</v>
      </c>
      <c r="G24" s="709">
        <f t="shared" si="8"/>
        <v>0.34</v>
      </c>
      <c r="H24" s="709">
        <f t="shared" si="8"/>
        <v>0.34</v>
      </c>
      <c r="I24" s="709">
        <f t="shared" si="8"/>
        <v>0.34</v>
      </c>
      <c r="J24" s="709">
        <f t="shared" si="8"/>
        <v>0.34</v>
      </c>
      <c r="K24" s="709">
        <f t="shared" si="8"/>
        <v>0.34</v>
      </c>
      <c r="L24" s="709">
        <f t="shared" si="8"/>
        <v>0.34</v>
      </c>
      <c r="M24" s="709">
        <f t="shared" si="8"/>
        <v>0.34</v>
      </c>
      <c r="N24" s="709">
        <f t="shared" si="8"/>
        <v>0.34</v>
      </c>
      <c r="O24" s="709">
        <f t="shared" si="8"/>
        <v>0.34</v>
      </c>
      <c r="P24" s="709">
        <f t="shared" si="8"/>
        <v>0.34</v>
      </c>
      <c r="Q24" s="709">
        <f t="shared" si="8"/>
        <v>0.34</v>
      </c>
      <c r="R24" s="709">
        <f t="shared" si="8"/>
        <v>0.34</v>
      </c>
      <c r="S24" s="709">
        <f t="shared" si="8"/>
        <v>0.34</v>
      </c>
      <c r="T24" s="709">
        <f t="shared" si="8"/>
        <v>0.34</v>
      </c>
      <c r="U24" s="709">
        <f t="shared" si="8"/>
        <v>0.34</v>
      </c>
      <c r="V24" s="709">
        <f t="shared" si="8"/>
        <v>0.34</v>
      </c>
      <c r="W24" s="709">
        <f t="shared" si="8"/>
        <v>0.34</v>
      </c>
      <c r="X24" s="709">
        <f t="shared" si="8"/>
        <v>0.34</v>
      </c>
      <c r="Y24" s="709">
        <f t="shared" si="8"/>
        <v>0.34</v>
      </c>
      <c r="AB24" s="682"/>
    </row>
    <row r="25" spans="1:28" ht="14.25" customHeight="1" x14ac:dyDescent="0.2">
      <c r="A25" s="1383"/>
      <c r="B25" s="706">
        <v>10</v>
      </c>
      <c r="C25" s="707" t="s">
        <v>255</v>
      </c>
      <c r="D25" s="707"/>
      <c r="E25" s="708">
        <f t="shared" ref="E25:Y25" si="9">E24*(E19-E20-E23)</f>
        <v>-862.94874020000009</v>
      </c>
      <c r="F25" s="708">
        <f t="shared" si="9"/>
        <v>-913.08416666666687</v>
      </c>
      <c r="G25" s="708">
        <f t="shared" si="9"/>
        <v>-1778.2038864335593</v>
      </c>
      <c r="H25" s="708">
        <f t="shared" si="9"/>
        <v>-566.60647360820622</v>
      </c>
      <c r="I25" s="708">
        <f t="shared" si="9"/>
        <v>298.64182689416242</v>
      </c>
      <c r="J25" s="708">
        <f t="shared" si="9"/>
        <v>1851.3387858137328</v>
      </c>
      <c r="K25" s="708">
        <f t="shared" si="9"/>
        <v>3454.637878057064</v>
      </c>
      <c r="L25" s="708">
        <f t="shared" si="9"/>
        <v>5161.7547298586596</v>
      </c>
      <c r="M25" s="708">
        <f t="shared" si="9"/>
        <v>5320.1399008547169</v>
      </c>
      <c r="N25" s="708">
        <f t="shared" si="9"/>
        <v>5397.687448989549</v>
      </c>
      <c r="O25" s="708">
        <f t="shared" si="9"/>
        <v>5298.4097806992941</v>
      </c>
      <c r="P25" s="708">
        <f t="shared" si="9"/>
        <v>5244.3263353390712</v>
      </c>
      <c r="Q25" s="708">
        <f t="shared" si="9"/>
        <v>5148.8215384128798</v>
      </c>
      <c r="R25" s="708">
        <f t="shared" si="9"/>
        <v>5425.2775367476606</v>
      </c>
      <c r="S25" s="708">
        <f t="shared" si="9"/>
        <v>6052.1636297872519</v>
      </c>
      <c r="T25" s="708">
        <f t="shared" si="9"/>
        <v>6292.0992953980967</v>
      </c>
      <c r="U25" s="708">
        <f t="shared" si="9"/>
        <v>6226.9304740952639</v>
      </c>
      <c r="V25" s="708">
        <f t="shared" si="9"/>
        <v>6125.2307402696752</v>
      </c>
      <c r="W25" s="708">
        <f t="shared" si="9"/>
        <v>6023.0152886461874</v>
      </c>
      <c r="X25" s="708">
        <f t="shared" si="9"/>
        <v>5882.0107042923892</v>
      </c>
      <c r="Y25" s="708">
        <f t="shared" si="9"/>
        <v>5875.6357042923892</v>
      </c>
      <c r="AB25" s="682"/>
    </row>
    <row r="26" spans="1:28" ht="14.25" customHeight="1" x14ac:dyDescent="0.2">
      <c r="A26" s="1383" t="s">
        <v>256</v>
      </c>
      <c r="B26" s="692">
        <v>11</v>
      </c>
      <c r="C26" s="700" t="s">
        <v>257</v>
      </c>
      <c r="D26" s="752" t="str">
        <f>SUM(E26:Y26)&amp;" "&amp;B7</f>
        <v>56660 k€</v>
      </c>
      <c r="E26" s="233">
        <f>'Données Investissement'!D140*1000</f>
        <v>13512.5</v>
      </c>
      <c r="F26" s="233">
        <f>'Données Investissement'!E140*1000</f>
        <v>25984</v>
      </c>
      <c r="G26" s="233">
        <f>'Données Investissement'!F140*1000</f>
        <v>13102.500000000002</v>
      </c>
      <c r="H26" s="233">
        <f>'Données Investissement'!G140*1000</f>
        <v>1851.0000000000005</v>
      </c>
      <c r="I26" s="233">
        <f>'Données Investissement'!H140*1000</f>
        <v>1300</v>
      </c>
      <c r="J26" s="233">
        <f>'Données Investissement'!I140*1000</f>
        <v>780</v>
      </c>
      <c r="K26" s="233">
        <f>'Données Investissement'!J140*1000</f>
        <v>130</v>
      </c>
      <c r="L26" s="233">
        <f>'Données Investissement'!K140*1000</f>
        <v>0</v>
      </c>
      <c r="M26" s="233">
        <f>'Données Investissement'!L140*1000</f>
        <v>0</v>
      </c>
      <c r="N26" s="233">
        <f>'Données Investissement'!M140*1000</f>
        <v>0</v>
      </c>
      <c r="O26" s="233">
        <f>'Données Investissement'!N140*1000</f>
        <v>0</v>
      </c>
      <c r="P26" s="233">
        <f>'Données Investissement'!O140*1000</f>
        <v>0</v>
      </c>
      <c r="Q26" s="233">
        <f>'Données Investissement'!P140*1000</f>
        <v>0</v>
      </c>
      <c r="R26" s="233">
        <f>'Données Investissement'!Q140*1000</f>
        <v>0</v>
      </c>
      <c r="S26" s="233">
        <f>'Données Investissement'!R140*1000</f>
        <v>0</v>
      </c>
      <c r="T26" s="233">
        <f>'Données Investissement'!S140*1000</f>
        <v>0</v>
      </c>
      <c r="U26" s="233">
        <f>'Données Investissement'!T140*1000</f>
        <v>0</v>
      </c>
      <c r="V26" s="233">
        <f>'Données Investissement'!U140*1000</f>
        <v>0</v>
      </c>
      <c r="W26" s="233">
        <f>'Données Investissement'!V140*1000</f>
        <v>0</v>
      </c>
      <c r="X26" s="233">
        <f>'Données Investissement'!W140*1000</f>
        <v>0</v>
      </c>
      <c r="Y26" s="233">
        <f>'Données Investissement'!X140*1000</f>
        <v>0</v>
      </c>
      <c r="AB26" s="682"/>
    </row>
    <row r="27" spans="1:28" ht="14.25" customHeight="1" x14ac:dyDescent="0.2">
      <c r="A27" s="1383"/>
      <c r="B27" s="695">
        <v>12</v>
      </c>
      <c r="C27" s="693" t="s">
        <v>260</v>
      </c>
      <c r="D27" s="753" t="str">
        <f>SUM(E27:Y27)&amp;" "&amp;B7</f>
        <v>2733,33333333333 k€</v>
      </c>
      <c r="E27" s="696"/>
      <c r="F27" s="696"/>
      <c r="G27" s="696"/>
      <c r="H27" s="696">
        <f>'Données Investissement'!E65/1000</f>
        <v>0</v>
      </c>
      <c r="I27" s="696">
        <f>'Données Investissement'!F65/1000</f>
        <v>0</v>
      </c>
      <c r="J27" s="696">
        <f>'Données Investissement'!G65/1000</f>
        <v>0</v>
      </c>
      <c r="K27" s="696">
        <f>'Données Investissement'!H65/1000</f>
        <v>25</v>
      </c>
      <c r="L27" s="696">
        <f>'Données Investissement'!I65/1000</f>
        <v>50</v>
      </c>
      <c r="M27" s="696">
        <f>'Données Investissement'!J65/1000</f>
        <v>75</v>
      </c>
      <c r="N27" s="696">
        <f>'Données Investissement'!K65/1000</f>
        <v>91.666666666666671</v>
      </c>
      <c r="O27" s="696">
        <f>'Données Investissement'!L65/1000</f>
        <v>108.33333333333334</v>
      </c>
      <c r="P27" s="696">
        <f>'Données Investissement'!M65/1000</f>
        <v>125.00000000000001</v>
      </c>
      <c r="Q27" s="696">
        <f>'Données Investissement'!N65/1000</f>
        <v>141.66666666666669</v>
      </c>
      <c r="R27" s="696">
        <f>'Données Investissement'!O65/1000</f>
        <v>158.33333333333334</v>
      </c>
      <c r="S27" s="696">
        <f>'Données Investissement'!P65/1000</f>
        <v>241.66666666666669</v>
      </c>
      <c r="T27" s="696">
        <f>'Données Investissement'!Q65/1000</f>
        <v>258.33333333333337</v>
      </c>
      <c r="U27" s="696">
        <f>'Données Investissement'!R65/1000</f>
        <v>275</v>
      </c>
      <c r="V27" s="696">
        <f>'Données Investissement'!S65/1000</f>
        <v>291.66666666666669</v>
      </c>
      <c r="W27" s="696">
        <f>'Données Investissement'!T65/1000</f>
        <v>283.33333333333337</v>
      </c>
      <c r="X27" s="696">
        <f>'Données Investissement'!U65/1000</f>
        <v>275</v>
      </c>
      <c r="Y27" s="696">
        <f>'Données Investissement'!V65/1000</f>
        <v>333.33333333333331</v>
      </c>
      <c r="AB27" s="682"/>
    </row>
    <row r="28" spans="1:28" ht="14.25" customHeight="1" x14ac:dyDescent="0.2">
      <c r="A28" s="1383"/>
      <c r="B28" s="695">
        <v>13</v>
      </c>
      <c r="C28" s="693" t="s">
        <v>690</v>
      </c>
      <c r="D28" s="782" t="str">
        <f>SUM(E28:Y28)&amp;" "&amp;B7</f>
        <v>6549,91638442495 k€</v>
      </c>
      <c r="E28" s="237">
        <f>Bilan!E17/1000</f>
        <v>126.74200913406392</v>
      </c>
      <c r="F28" s="237">
        <f>(Bilan!F17-Bilan!E17)/1000</f>
        <v>350.56292237442926</v>
      </c>
      <c r="G28" s="237">
        <f>(Bilan!G17-Bilan!F17)/1000</f>
        <v>289.84694174964608</v>
      </c>
      <c r="H28" s="237">
        <f>(Bilan!H17-Bilan!G17)/1000</f>
        <v>1445.7124744155601</v>
      </c>
      <c r="I28" s="237">
        <f>(Bilan!I17-Bilan!H17)/1000</f>
        <v>845.20310310696482</v>
      </c>
      <c r="J28" s="237">
        <f>(Bilan!J17-Bilan!I17)/1000</f>
        <v>1489.1927927520792</v>
      </c>
      <c r="K28" s="237">
        <f>(Bilan!K17-Bilan!J17)/1000</f>
        <v>1085.9277567831352</v>
      </c>
      <c r="L28" s="237">
        <f>(Bilan!L17-Bilan!K17)/1000</f>
        <v>879.38923651147729</v>
      </c>
      <c r="M28" s="237">
        <f>(Bilan!M17-Bilan!L17)/1000</f>
        <v>41.624930337485857</v>
      </c>
      <c r="N28" s="237">
        <f>(Bilan!N17-Bilan!M17)/1000</f>
        <v>22.33611242715083</v>
      </c>
      <c r="O28" s="237">
        <f>(Bilan!O17-Bilan!N17)/1000</f>
        <v>-12.451028292285278</v>
      </c>
      <c r="P28" s="237">
        <f>(Bilan!P17-Bilan!O17)/1000</f>
        <v>21.778887895310298</v>
      </c>
      <c r="Q28" s="237">
        <f>(Bilan!Q17-Bilan!P17)/1000</f>
        <v>2.028685961181298</v>
      </c>
      <c r="R28" s="237">
        <f>(Bilan!R17-Bilan!Q17)/1000</f>
        <v>-60.199840531321243</v>
      </c>
      <c r="S28" s="237">
        <f>(Bilan!S17-Bilan!R17)/1000</f>
        <v>7.3308809039359915</v>
      </c>
      <c r="T28" s="237">
        <f>(Bilan!T17-Bilan!S17)/1000</f>
        <v>6.1880417604651301</v>
      </c>
      <c r="U28" s="237">
        <f>(Bilan!U17-Bilan!T17)/1000</f>
        <v>1.9427157504744827</v>
      </c>
      <c r="V28" s="237">
        <f>(Bilan!V17-Bilan!U17)/1000</f>
        <v>5.4220411625811833</v>
      </c>
      <c r="W28" s="237">
        <f>(Bilan!W17-Bilan!V17)/1000</f>
        <v>-10.541266091640107</v>
      </c>
      <c r="X28" s="237">
        <f>(Bilan!X17-Bilan!W17)/1000</f>
        <v>3.2003133412469178</v>
      </c>
      <c r="Y28" s="237">
        <f>(Bilan!Y17-Bilan!X17)/1000</f>
        <v>8.6786729730125511</v>
      </c>
      <c r="AB28" s="682"/>
    </row>
    <row r="29" spans="1:28" ht="14.25" customHeight="1" x14ac:dyDescent="0.2">
      <c r="A29" s="1383"/>
      <c r="B29" s="706">
        <v>14</v>
      </c>
      <c r="C29" s="707" t="s">
        <v>691</v>
      </c>
      <c r="D29" s="707"/>
      <c r="E29" s="708">
        <f t="shared" ref="E29:Y29" si="10">E26+E27+E28</f>
        <v>13639.242009134065</v>
      </c>
      <c r="F29" s="708">
        <f t="shared" si="10"/>
        <v>26334.562922374429</v>
      </c>
      <c r="G29" s="708">
        <f t="shared" si="10"/>
        <v>13392.346941749647</v>
      </c>
      <c r="H29" s="708">
        <f t="shared" si="10"/>
        <v>3296.7124744155608</v>
      </c>
      <c r="I29" s="708">
        <f t="shared" si="10"/>
        <v>2145.2031031069646</v>
      </c>
      <c r="J29" s="708">
        <f t="shared" si="10"/>
        <v>2269.1927927520792</v>
      </c>
      <c r="K29" s="708">
        <f t="shared" si="10"/>
        <v>1240.9277567831352</v>
      </c>
      <c r="L29" s="708">
        <f t="shared" si="10"/>
        <v>929.38923651147729</v>
      </c>
      <c r="M29" s="708">
        <f t="shared" si="10"/>
        <v>116.62493033748586</v>
      </c>
      <c r="N29" s="708">
        <f t="shared" si="10"/>
        <v>114.00277909381751</v>
      </c>
      <c r="O29" s="708">
        <f t="shared" si="10"/>
        <v>95.88230504104807</v>
      </c>
      <c r="P29" s="708">
        <f t="shared" si="10"/>
        <v>146.77888789531031</v>
      </c>
      <c r="Q29" s="708">
        <f t="shared" si="10"/>
        <v>143.695352627848</v>
      </c>
      <c r="R29" s="708">
        <f t="shared" si="10"/>
        <v>98.1334928020121</v>
      </c>
      <c r="S29" s="708">
        <f t="shared" si="10"/>
        <v>248.99754757060268</v>
      </c>
      <c r="T29" s="708">
        <f t="shared" si="10"/>
        <v>264.5213750937985</v>
      </c>
      <c r="U29" s="708">
        <f t="shared" si="10"/>
        <v>276.94271575047446</v>
      </c>
      <c r="V29" s="708">
        <f t="shared" si="10"/>
        <v>297.08870782924788</v>
      </c>
      <c r="W29" s="708">
        <f t="shared" si="10"/>
        <v>272.79206724169325</v>
      </c>
      <c r="X29" s="708">
        <f t="shared" si="10"/>
        <v>278.2003133412469</v>
      </c>
      <c r="Y29" s="708">
        <f t="shared" si="10"/>
        <v>342.01200630634588</v>
      </c>
      <c r="AB29" s="682"/>
    </row>
    <row r="30" spans="1:28" ht="14.25" customHeight="1" x14ac:dyDescent="0.2">
      <c r="A30" s="710"/>
      <c r="B30" s="711">
        <v>15</v>
      </c>
      <c r="C30" s="712" t="s">
        <v>261</v>
      </c>
      <c r="D30" s="712"/>
      <c r="E30" s="713">
        <f t="shared" ref="E30:Y30" si="11">E22-E29</f>
        <v>-15314.377798934065</v>
      </c>
      <c r="F30" s="713">
        <f t="shared" si="11"/>
        <v>-26980.978755707762</v>
      </c>
      <c r="G30" s="713">
        <f t="shared" si="11"/>
        <v>-13552.779486003026</v>
      </c>
      <c r="H30" s="713">
        <f t="shared" si="11"/>
        <v>-13.345629066784568</v>
      </c>
      <c r="I30" s="713">
        <f t="shared" si="11"/>
        <v>2972.0133843934682</v>
      </c>
      <c r="J30" s="713">
        <f t="shared" si="11"/>
        <v>5970.4158306902646</v>
      </c>
      <c r="K30" s="713">
        <f t="shared" si="11"/>
        <v>10175.967339837438</v>
      </c>
      <c r="L30" s="713">
        <f t="shared" si="11"/>
        <v>13814.237592037685</v>
      </c>
      <c r="M30" s="713">
        <f t="shared" si="11"/>
        <v>14938.622132105982</v>
      </c>
      <c r="N30" s="713">
        <f t="shared" si="11"/>
        <v>15098.027759140794</v>
      </c>
      <c r="O30" s="713">
        <f t="shared" si="11"/>
        <v>14931.071648342548</v>
      </c>
      <c r="P30" s="713">
        <f t="shared" si="11"/>
        <v>14807.828442795562</v>
      </c>
      <c r="Q30" s="713">
        <f t="shared" si="11"/>
        <v>14612.325868997154</v>
      </c>
      <c r="R30" s="713">
        <f t="shared" si="11"/>
        <v>14080.301496832337</v>
      </c>
      <c r="S30" s="713">
        <f t="shared" si="11"/>
        <v>12994.195086722295</v>
      </c>
      <c r="T30" s="713">
        <f t="shared" si="11"/>
        <v>12372.692616626689</v>
      </c>
      <c r="U30" s="713">
        <f t="shared" si="11"/>
        <v>12101.044871218763</v>
      </c>
      <c r="V30" s="713">
        <f t="shared" si="11"/>
        <v>11798.065082106004</v>
      </c>
      <c r="W30" s="713">
        <f t="shared" si="11"/>
        <v>11583.249048627049</v>
      </c>
      <c r="X30" s="713">
        <f t="shared" si="11"/>
        <v>11314.820465579272</v>
      </c>
      <c r="Y30" s="713">
        <f t="shared" si="11"/>
        <v>11257.383772614174</v>
      </c>
      <c r="AB30" s="682"/>
    </row>
    <row r="31" spans="1:28" ht="14.25" customHeight="1" x14ac:dyDescent="0.2">
      <c r="B31" s="683"/>
      <c r="E31" s="714">
        <f>Bilan!E17/1000</f>
        <v>126.74200913406392</v>
      </c>
      <c r="F31" s="714">
        <f>(Bilan!F17-Bilan!E17)/1000</f>
        <v>350.56292237442926</v>
      </c>
      <c r="G31" s="714">
        <f>(Bilan!G17-Bilan!F17)/1000</f>
        <v>289.84694174964608</v>
      </c>
      <c r="H31" s="714">
        <f>(Bilan!H17-Bilan!G17)/1000</f>
        <v>1445.7124744155601</v>
      </c>
      <c r="I31" s="714">
        <f>(Bilan!I17-Bilan!H17)/1000</f>
        <v>845.20310310696482</v>
      </c>
      <c r="J31" s="714">
        <f>(Bilan!J17-Bilan!I17)/1000</f>
        <v>1489.1927927520792</v>
      </c>
      <c r="K31" s="714">
        <f>(Bilan!K17-Bilan!J17)/1000</f>
        <v>1085.9277567831352</v>
      </c>
      <c r="L31" s="714">
        <f>(Bilan!L17-Bilan!K17)/1000</f>
        <v>879.38923651147729</v>
      </c>
      <c r="M31" s="714">
        <f>(Bilan!M17-Bilan!L17)/1000</f>
        <v>41.624930337485857</v>
      </c>
      <c r="N31" s="714">
        <f>(Bilan!N17-Bilan!M17)/1000</f>
        <v>22.33611242715083</v>
      </c>
      <c r="O31" s="714">
        <f>(Bilan!O17-Bilan!N17)/1000</f>
        <v>-12.451028292285278</v>
      </c>
      <c r="P31" s="714">
        <f>(Bilan!P17-Bilan!O17)/1000</f>
        <v>21.778887895310298</v>
      </c>
      <c r="Q31" s="714">
        <f>(Bilan!Q17-Bilan!P17)/1000</f>
        <v>2.028685961181298</v>
      </c>
      <c r="R31" s="714">
        <f>(Bilan!R17-Bilan!Q17)/1000</f>
        <v>-60.199840531321243</v>
      </c>
      <c r="S31" s="714">
        <f>(Bilan!S17-Bilan!R17)/1000</f>
        <v>7.3308809039359915</v>
      </c>
      <c r="T31" s="714">
        <f>(Bilan!T17-Bilan!S17)/1000</f>
        <v>6.1880417604651301</v>
      </c>
      <c r="U31" s="714">
        <f>(Bilan!U17-Bilan!T17)/1000</f>
        <v>1.9427157504744827</v>
      </c>
      <c r="V31" s="714">
        <f>(Bilan!V17-Bilan!U17)/1000</f>
        <v>5.4220411625811833</v>
      </c>
      <c r="W31" s="714">
        <f>(Bilan!W17-Bilan!V17)/1000</f>
        <v>-10.541266091640107</v>
      </c>
      <c r="X31" s="714">
        <f>(Bilan!X17-Bilan!W17)/1000</f>
        <v>3.2003133412469178</v>
      </c>
      <c r="Y31" s="714">
        <f>(Bilan!Y17-Bilan!X17)/1000</f>
        <v>8.6786729730125511</v>
      </c>
      <c r="AB31" s="682"/>
    </row>
    <row r="32" spans="1:28" ht="14.25" customHeight="1" x14ac:dyDescent="0.2">
      <c r="A32" s="715">
        <f>E40</f>
        <v>9.5000000000000001E-2</v>
      </c>
      <c r="B32" s="692">
        <v>16</v>
      </c>
      <c r="C32" s="700" t="s">
        <v>262</v>
      </c>
      <c r="D32" s="700"/>
      <c r="E32" s="701">
        <f t="shared" ref="E32:Y32" si="12">E30/E53</f>
        <v>-15314.377798934065</v>
      </c>
      <c r="F32" s="701">
        <f t="shared" si="12"/>
        <v>-24640.163247221702</v>
      </c>
      <c r="G32" s="701">
        <f t="shared" si="12"/>
        <v>-11303.166727968997</v>
      </c>
      <c r="H32" s="701">
        <f t="shared" si="12"/>
        <v>-10.164749777599603</v>
      </c>
      <c r="I32" s="701">
        <f t="shared" si="12"/>
        <v>2067.2561100734029</v>
      </c>
      <c r="J32" s="701">
        <f t="shared" si="12"/>
        <v>3792.5733088912416</v>
      </c>
      <c r="K32" s="701">
        <f t="shared" si="12"/>
        <v>5903.2474659994605</v>
      </c>
      <c r="L32" s="701">
        <f t="shared" si="12"/>
        <v>7318.6012745681046</v>
      </c>
      <c r="M32" s="701">
        <f t="shared" si="12"/>
        <v>7227.657905461906</v>
      </c>
      <c r="N32" s="701">
        <f t="shared" si="12"/>
        <v>6671.0338898961854</v>
      </c>
      <c r="O32" s="701">
        <f t="shared" si="12"/>
        <v>6024.8992333293218</v>
      </c>
      <c r="P32" s="701">
        <f t="shared" si="12"/>
        <v>5456.7752068236232</v>
      </c>
      <c r="Q32" s="701">
        <f t="shared" si="12"/>
        <v>4917.5628443111154</v>
      </c>
      <c r="R32" s="701">
        <f t="shared" si="12"/>
        <v>4327.4135939716507</v>
      </c>
      <c r="S32" s="701">
        <f t="shared" si="12"/>
        <v>3647.1339507920666</v>
      </c>
      <c r="T32" s="701">
        <f t="shared" si="12"/>
        <v>3171.4103262456642</v>
      </c>
      <c r="U32" s="701">
        <f t="shared" si="12"/>
        <v>2832.6764012779099</v>
      </c>
      <c r="V32" s="701">
        <f t="shared" si="12"/>
        <v>2522.1491273098572</v>
      </c>
      <c r="W32" s="701">
        <f t="shared" si="12"/>
        <v>2261.3940696837772</v>
      </c>
      <c r="X32" s="701">
        <f t="shared" si="12"/>
        <v>2017.3414080515083</v>
      </c>
      <c r="Y32" s="701">
        <f t="shared" si="12"/>
        <v>1832.9688657938239</v>
      </c>
      <c r="AB32" s="682"/>
    </row>
    <row r="33" spans="1:29" ht="14.25" customHeight="1" x14ac:dyDescent="0.2">
      <c r="A33" s="716"/>
      <c r="B33" s="697">
        <v>17</v>
      </c>
      <c r="C33" s="698" t="s">
        <v>263</v>
      </c>
      <c r="D33" s="698"/>
      <c r="E33" s="717">
        <f>SUM(E32:$E32)</f>
        <v>-15314.377798934065</v>
      </c>
      <c r="F33" s="717">
        <f>SUM($E32:F32)</f>
        <v>-39954.541046155769</v>
      </c>
      <c r="G33" s="717">
        <f>SUM($E32:G32)</f>
        <v>-51257.707774124763</v>
      </c>
      <c r="H33" s="717">
        <f>SUM($E32:H32)</f>
        <v>-51267.872523902362</v>
      </c>
      <c r="I33" s="717">
        <f>SUM($E32:I32)</f>
        <v>-49200.616413828961</v>
      </c>
      <c r="J33" s="717">
        <f>SUM($E32:J32)</f>
        <v>-45408.043104937722</v>
      </c>
      <c r="K33" s="717">
        <f>SUM($E32:K32)</f>
        <v>-39504.79563893826</v>
      </c>
      <c r="L33" s="717">
        <f>SUM($E32:L32)</f>
        <v>-32186.194364370156</v>
      </c>
      <c r="M33" s="717">
        <f>SUM($E32:M32)</f>
        <v>-24958.536458908249</v>
      </c>
      <c r="N33" s="717">
        <f>SUM($E32:N32)</f>
        <v>-18287.502569012064</v>
      </c>
      <c r="O33" s="717">
        <f>SUM($E32:O32)</f>
        <v>-12262.603335682743</v>
      </c>
      <c r="P33" s="717">
        <f>SUM($E32:P32)</f>
        <v>-6805.8281288591197</v>
      </c>
      <c r="Q33" s="717">
        <f>SUM($E32:Q32)</f>
        <v>-1888.2652845480043</v>
      </c>
      <c r="R33" s="717">
        <f>SUM($E32:R32)</f>
        <v>2439.1483094236464</v>
      </c>
      <c r="S33" s="717">
        <f>SUM($E32:S32)</f>
        <v>6086.282260215713</v>
      </c>
      <c r="T33" s="717">
        <f>SUM($E32:T32)</f>
        <v>9257.6925864613768</v>
      </c>
      <c r="U33" s="717">
        <f>SUM($E32:U32)</f>
        <v>12090.368987739286</v>
      </c>
      <c r="V33" s="717">
        <f>SUM($E32:V32)</f>
        <v>14612.518115049144</v>
      </c>
      <c r="W33" s="717">
        <f>SUM($E32:W32)</f>
        <v>16873.912184732922</v>
      </c>
      <c r="X33" s="717">
        <f>SUM($E32:X32)</f>
        <v>18891.253592784429</v>
      </c>
      <c r="Y33" s="717">
        <f>SUM($E32:Y32)</f>
        <v>20724.222458578253</v>
      </c>
      <c r="AB33" s="682"/>
    </row>
    <row r="34" spans="1:29" ht="14.25" customHeight="1" x14ac:dyDescent="0.2">
      <c r="B34" s="683"/>
      <c r="T34" s="681"/>
      <c r="AB34" s="682"/>
    </row>
    <row r="35" spans="1:29" ht="14.25" customHeight="1" x14ac:dyDescent="0.2">
      <c r="B35" s="683">
        <v>18</v>
      </c>
      <c r="C35" s="718" t="s">
        <v>695</v>
      </c>
      <c r="D35" s="719">
        <f>Y33+X36</f>
        <v>36060.607427820665</v>
      </c>
      <c r="E35" s="720" t="str">
        <f>B7</f>
        <v>k€</v>
      </c>
      <c r="R35" s="681">
        <v>21</v>
      </c>
      <c r="S35" s="1399" t="s">
        <v>696</v>
      </c>
      <c r="T35" s="1400"/>
      <c r="U35" s="1400"/>
      <c r="V35" s="1400"/>
      <c r="W35" s="1400"/>
      <c r="X35" s="1413">
        <f>D134</f>
        <v>94190.127560373556</v>
      </c>
      <c r="Y35" s="1414"/>
      <c r="Z35" s="788" t="s">
        <v>31</v>
      </c>
      <c r="AC35" s="682"/>
    </row>
    <row r="36" spans="1:29" ht="14.25" customHeight="1" x14ac:dyDescent="0.2">
      <c r="B36" s="683"/>
      <c r="E36" s="789"/>
      <c r="F36" s="789"/>
      <c r="R36" s="681">
        <v>22</v>
      </c>
      <c r="S36" s="1407" t="s">
        <v>697</v>
      </c>
      <c r="T36" s="1408"/>
      <c r="U36" s="1408"/>
      <c r="V36" s="1408"/>
      <c r="W36" s="1408"/>
      <c r="X36" s="1409">
        <f>X35/(1+E40)^Y7</f>
        <v>15336.384969242408</v>
      </c>
      <c r="Y36" s="1410"/>
      <c r="AC36" s="682"/>
    </row>
    <row r="37" spans="1:29" ht="14.25" customHeight="1" thickBot="1" x14ac:dyDescent="0.25">
      <c r="B37" s="683">
        <v>19</v>
      </c>
      <c r="C37" s="718" t="s">
        <v>264</v>
      </c>
      <c r="D37" s="1446">
        <f>IRR(E55:Z55)</f>
        <v>0.14875943186307894</v>
      </c>
      <c r="E37" s="1447"/>
      <c r="H37" s="721" t="s">
        <v>265</v>
      </c>
      <c r="N37" s="722">
        <f>D35</f>
        <v>36060.607427820665</v>
      </c>
      <c r="O37" s="722" t="str">
        <f>E35</f>
        <v>k€</v>
      </c>
      <c r="P37" s="682"/>
      <c r="R37" s="681">
        <v>23</v>
      </c>
      <c r="S37" s="1399" t="s">
        <v>266</v>
      </c>
      <c r="T37" s="1400"/>
      <c r="U37" s="1400"/>
      <c r="V37" s="1400"/>
      <c r="W37" s="1400"/>
      <c r="X37" s="1403">
        <f>5*X35/SUM(L30:X30)</f>
        <v>2.699685497250933</v>
      </c>
      <c r="Y37" s="1404"/>
      <c r="AC37" s="682"/>
    </row>
    <row r="38" spans="1:29" ht="14.25" customHeight="1" x14ac:dyDescent="0.2">
      <c r="B38" s="683"/>
      <c r="F38" s="1448" t="s">
        <v>32</v>
      </c>
      <c r="G38" s="1449"/>
      <c r="H38" s="723" t="s">
        <v>267</v>
      </c>
      <c r="N38" s="724">
        <f>X36</f>
        <v>15336.384969242408</v>
      </c>
      <c r="O38" s="724" t="str">
        <f>O37</f>
        <v>k€</v>
      </c>
      <c r="P38" s="682"/>
      <c r="R38" s="725">
        <v>24</v>
      </c>
      <c r="S38" s="1389" t="s">
        <v>700</v>
      </c>
      <c r="T38" s="1390"/>
      <c r="U38" s="1390"/>
      <c r="V38" s="1390"/>
      <c r="W38" s="1390"/>
      <c r="X38" s="1392">
        <v>0</v>
      </c>
      <c r="Y38" s="1393"/>
      <c r="AC38" s="682"/>
    </row>
    <row r="39" spans="1:29" ht="14.25" customHeight="1" thickBot="1" x14ac:dyDescent="0.25">
      <c r="B39" s="683">
        <v>20</v>
      </c>
      <c r="C39" s="718" t="s">
        <v>268</v>
      </c>
      <c r="D39" s="822">
        <f>SUM(E64:Y64)+1</f>
        <v>13</v>
      </c>
      <c r="E39" s="823">
        <f>SUM(E65:Y65)</f>
        <v>5.2361954600645673</v>
      </c>
      <c r="F39" s="820">
        <f ca="1">IF(OFFSET(E33,0,20-1)&lt;0, "&gt; " &amp; "20 ans", SUM(E61:X61)+1)</f>
        <v>11</v>
      </c>
      <c r="G39" s="821">
        <f ca="1">IF(OFFSET(E33,0,20-1)&lt;0, "", SUM(E62:X62))</f>
        <v>10.393138194054714</v>
      </c>
      <c r="H39" s="721" t="s">
        <v>269</v>
      </c>
      <c r="I39" s="728"/>
      <c r="J39" s="728"/>
      <c r="K39" s="728"/>
      <c r="L39" s="728"/>
      <c r="N39" s="790">
        <f>D37</f>
        <v>0.14875943186307894</v>
      </c>
      <c r="O39" s="729"/>
      <c r="P39" s="682"/>
      <c r="R39" s="730">
        <v>25</v>
      </c>
      <c r="S39" s="1387" t="s">
        <v>701</v>
      </c>
      <c r="T39" s="1388"/>
      <c r="U39" s="1388"/>
      <c r="V39" s="1388"/>
      <c r="W39" s="1388"/>
      <c r="X39" s="1394">
        <v>0</v>
      </c>
      <c r="Y39" s="1395"/>
      <c r="AC39" s="682"/>
    </row>
    <row r="40" spans="1:29" ht="14.25" customHeight="1" x14ac:dyDescent="0.2">
      <c r="D40" s="682" t="s">
        <v>702</v>
      </c>
      <c r="E40" s="731">
        <v>9.5000000000000001E-2</v>
      </c>
      <c r="H40" s="723" t="s">
        <v>670</v>
      </c>
      <c r="I40" s="728"/>
      <c r="J40" s="728"/>
      <c r="K40" s="728"/>
      <c r="L40" s="728"/>
      <c r="N40" s="732">
        <f ca="1">F39</f>
        <v>11</v>
      </c>
      <c r="O40" s="1396">
        <f ca="1">G39</f>
        <v>10.393138194054714</v>
      </c>
      <c r="P40" s="1396"/>
      <c r="T40" s="681"/>
      <c r="X40" s="682" t="s">
        <v>703</v>
      </c>
      <c r="Y40" s="733">
        <v>12</v>
      </c>
      <c r="AC40" s="682"/>
    </row>
    <row r="41" spans="1:29" ht="14.25" customHeight="1" x14ac:dyDescent="0.2">
      <c r="D41" s="682" t="s">
        <v>704</v>
      </c>
      <c r="E41" s="731">
        <v>0.34</v>
      </c>
      <c r="H41" s="734" t="str">
        <f>A3</f>
        <v xml:space="preserve">Unité : </v>
      </c>
      <c r="I41" s="728"/>
      <c r="J41" s="728"/>
      <c r="K41" s="728"/>
      <c r="L41" s="728"/>
      <c r="M41" s="735"/>
      <c r="N41" s="732"/>
      <c r="O41" s="736"/>
      <c r="T41" s="681"/>
      <c r="X41" s="682" t="s">
        <v>705</v>
      </c>
      <c r="Y41" s="733">
        <v>12</v>
      </c>
      <c r="AC41" s="682"/>
    </row>
    <row r="42" spans="1:29" ht="18" customHeight="1" x14ac:dyDescent="0.2">
      <c r="B42" s="683"/>
      <c r="D42" s="204" t="s">
        <v>706</v>
      </c>
      <c r="H42" s="734" t="str">
        <f>A4</f>
        <v xml:space="preserve">Société : </v>
      </c>
      <c r="I42" s="728"/>
      <c r="J42" s="728"/>
      <c r="K42" s="728"/>
      <c r="L42" s="728"/>
      <c r="M42" s="735"/>
      <c r="N42" s="732"/>
      <c r="O42" s="736"/>
      <c r="T42" s="681"/>
    </row>
    <row r="43" spans="1:29" ht="18" customHeight="1" x14ac:dyDescent="0.2">
      <c r="B43" s="683"/>
      <c r="D43" s="682"/>
      <c r="E43" s="737"/>
      <c r="H43" s="734" t="str">
        <f>A5</f>
        <v xml:space="preserve">Site : </v>
      </c>
      <c r="I43" s="728"/>
      <c r="J43" s="728"/>
      <c r="K43" s="728"/>
      <c r="L43" s="728"/>
      <c r="M43" s="728"/>
      <c r="N43" s="728"/>
      <c r="O43" s="735"/>
      <c r="P43" s="732"/>
      <c r="T43" s="681"/>
    </row>
    <row r="44" spans="1:29" ht="18" customHeight="1" x14ac:dyDescent="0.2">
      <c r="B44" s="683"/>
      <c r="D44" s="789"/>
      <c r="E44" s="728"/>
      <c r="F44" s="728"/>
      <c r="G44" s="728"/>
      <c r="H44" s="734" t="str">
        <f>A6</f>
        <v xml:space="preserve">Projet : </v>
      </c>
      <c r="I44" s="728"/>
      <c r="J44" s="728"/>
      <c r="K44" s="728"/>
      <c r="L44" s="728"/>
      <c r="M44" s="728"/>
      <c r="N44" s="728"/>
      <c r="O44" s="735"/>
      <c r="P44" s="732"/>
      <c r="T44" s="681"/>
    </row>
    <row r="45" spans="1:29" x14ac:dyDescent="0.2">
      <c r="B45" s="683"/>
      <c r="E45" s="728"/>
      <c r="F45" s="728"/>
      <c r="G45" s="728"/>
      <c r="H45" s="728"/>
      <c r="I45" s="728"/>
      <c r="T45" s="681"/>
    </row>
    <row r="46" spans="1:29" ht="15.75" x14ac:dyDescent="0.2">
      <c r="B46" s="683"/>
      <c r="E46" s="728"/>
      <c r="F46" s="728"/>
      <c r="G46" s="728"/>
      <c r="H46" s="728"/>
      <c r="I46" s="728"/>
      <c r="S46" s="1391" t="str">
        <f>B3</f>
        <v>AD</v>
      </c>
      <c r="T46" s="1391"/>
      <c r="U46" s="1391"/>
      <c r="V46" s="1391"/>
      <c r="W46" s="1391"/>
    </row>
    <row r="47" spans="1:29" ht="15.75" x14ac:dyDescent="0.2">
      <c r="B47" s="683"/>
      <c r="E47" s="728"/>
      <c r="F47" s="728"/>
      <c r="G47" s="728"/>
      <c r="H47" s="728"/>
      <c r="I47" s="728"/>
      <c r="S47" s="1391" t="str">
        <f>B4</f>
        <v>Les Ancizes</v>
      </c>
      <c r="T47" s="1391"/>
      <c r="U47" s="1391"/>
      <c r="V47" s="1391"/>
      <c r="W47" s="1391"/>
    </row>
    <row r="48" spans="1:29" ht="15.75" x14ac:dyDescent="0.2">
      <c r="B48" s="683"/>
      <c r="E48" s="728"/>
      <c r="F48" s="728"/>
      <c r="G48" s="728"/>
      <c r="H48" s="728"/>
      <c r="I48" s="728"/>
      <c r="S48" s="736"/>
      <c r="U48" s="1391" t="str">
        <f>B5</f>
        <v>Nouvelle unité</v>
      </c>
      <c r="V48" s="1391"/>
      <c r="W48" s="1391"/>
      <c r="X48" s="1391"/>
      <c r="Y48" s="1391"/>
    </row>
    <row r="49" spans="1:26" ht="15.75" x14ac:dyDescent="0.2">
      <c r="B49" s="683"/>
      <c r="E49" s="728"/>
      <c r="F49" s="728"/>
      <c r="G49" s="728"/>
      <c r="H49" s="728"/>
      <c r="I49" s="728"/>
      <c r="S49" s="736"/>
      <c r="U49" s="1391" t="str">
        <f>B6</f>
        <v>PAMCHR</v>
      </c>
      <c r="V49" s="1391"/>
      <c r="W49" s="1391"/>
      <c r="X49" s="1391"/>
      <c r="Y49" s="1391"/>
    </row>
    <row r="50" spans="1:26" ht="15.75" x14ac:dyDescent="0.2">
      <c r="B50" s="683"/>
      <c r="E50" s="728"/>
      <c r="F50" s="728"/>
      <c r="G50" s="728"/>
      <c r="H50" s="728"/>
      <c r="I50" s="728"/>
      <c r="J50" s="734"/>
      <c r="K50" s="728"/>
      <c r="L50" s="728"/>
      <c r="M50" s="728"/>
      <c r="N50" s="728"/>
      <c r="O50" s="728"/>
      <c r="P50" s="728"/>
      <c r="Q50" s="735"/>
      <c r="R50" s="732"/>
      <c r="S50" s="736"/>
      <c r="U50" s="738"/>
      <c r="V50" s="738"/>
      <c r="W50" s="738"/>
      <c r="X50" s="738"/>
      <c r="Y50" s="738"/>
    </row>
    <row r="51" spans="1:26" ht="15.75" x14ac:dyDescent="0.2">
      <c r="B51" s="683"/>
      <c r="E51" s="728"/>
      <c r="F51" s="728"/>
      <c r="G51" s="728"/>
      <c r="H51" s="728"/>
      <c r="I51" s="728"/>
      <c r="J51" s="734"/>
      <c r="K51" s="728"/>
      <c r="L51" s="728"/>
      <c r="M51" s="728"/>
      <c r="N51" s="728"/>
      <c r="O51" s="728"/>
      <c r="P51" s="728"/>
      <c r="Q51" s="735"/>
      <c r="R51" s="732"/>
      <c r="S51" s="736"/>
      <c r="U51" s="738"/>
      <c r="V51" s="738"/>
      <c r="W51" s="738"/>
      <c r="X51" s="738"/>
      <c r="Y51" s="738"/>
    </row>
    <row r="52" spans="1:26" x14ac:dyDescent="0.2">
      <c r="B52" s="683"/>
      <c r="C52" s="682"/>
      <c r="D52" s="739" t="s">
        <v>707</v>
      </c>
      <c r="E52" s="740">
        <v>1</v>
      </c>
      <c r="F52" s="740">
        <f t="shared" ref="F52:Y52" si="13">E52*(1+$X39)</f>
        <v>1</v>
      </c>
      <c r="G52" s="740">
        <f t="shared" si="13"/>
        <v>1</v>
      </c>
      <c r="H52" s="740">
        <f t="shared" si="13"/>
        <v>1</v>
      </c>
      <c r="I52" s="740">
        <f t="shared" si="13"/>
        <v>1</v>
      </c>
      <c r="J52" s="740">
        <f t="shared" si="13"/>
        <v>1</v>
      </c>
      <c r="K52" s="740">
        <f t="shared" si="13"/>
        <v>1</v>
      </c>
      <c r="L52" s="740">
        <f t="shared" si="13"/>
        <v>1</v>
      </c>
      <c r="M52" s="740">
        <f t="shared" si="13"/>
        <v>1</v>
      </c>
      <c r="N52" s="740">
        <f t="shared" si="13"/>
        <v>1</v>
      </c>
      <c r="O52" s="740">
        <f t="shared" si="13"/>
        <v>1</v>
      </c>
      <c r="P52" s="740">
        <f t="shared" si="13"/>
        <v>1</v>
      </c>
      <c r="Q52" s="740">
        <f t="shared" si="13"/>
        <v>1</v>
      </c>
      <c r="R52" s="740">
        <f t="shared" si="13"/>
        <v>1</v>
      </c>
      <c r="S52" s="740">
        <f t="shared" si="13"/>
        <v>1</v>
      </c>
      <c r="T52" s="740">
        <f t="shared" si="13"/>
        <v>1</v>
      </c>
      <c r="U52" s="740">
        <f t="shared" si="13"/>
        <v>1</v>
      </c>
      <c r="V52" s="740">
        <f t="shared" si="13"/>
        <v>1</v>
      </c>
      <c r="W52" s="740">
        <f t="shared" si="13"/>
        <v>1</v>
      </c>
      <c r="X52" s="740">
        <f t="shared" si="13"/>
        <v>1</v>
      </c>
      <c r="Y52" s="740">
        <f t="shared" si="13"/>
        <v>1</v>
      </c>
    </row>
    <row r="53" spans="1:26" x14ac:dyDescent="0.2">
      <c r="D53" s="739" t="s">
        <v>708</v>
      </c>
      <c r="E53" s="740">
        <v>1</v>
      </c>
      <c r="F53" s="740">
        <f t="shared" ref="F53:Y53" si="14">E53*(1+$E40)</f>
        <v>1.095</v>
      </c>
      <c r="G53" s="740">
        <f t="shared" si="14"/>
        <v>1.199025</v>
      </c>
      <c r="H53" s="740">
        <f t="shared" si="14"/>
        <v>1.3129323749999999</v>
      </c>
      <c r="I53" s="740">
        <f t="shared" si="14"/>
        <v>1.437660950625</v>
      </c>
      <c r="J53" s="740">
        <f t="shared" si="14"/>
        <v>1.574238740934375</v>
      </c>
      <c r="K53" s="740">
        <f t="shared" si="14"/>
        <v>1.7237914213231407</v>
      </c>
      <c r="L53" s="740">
        <f t="shared" si="14"/>
        <v>1.8875516063488389</v>
      </c>
      <c r="M53" s="740">
        <f t="shared" si="14"/>
        <v>2.0668690089519783</v>
      </c>
      <c r="N53" s="740">
        <f t="shared" si="14"/>
        <v>2.2632215648024161</v>
      </c>
      <c r="O53" s="740">
        <f t="shared" si="14"/>
        <v>2.4782276134586456</v>
      </c>
      <c r="P53" s="740">
        <f t="shared" si="14"/>
        <v>2.7136592367372168</v>
      </c>
      <c r="Q53" s="740">
        <f t="shared" si="14"/>
        <v>2.9714568642272523</v>
      </c>
      <c r="R53" s="740">
        <f t="shared" si="14"/>
        <v>3.2537452663288411</v>
      </c>
      <c r="S53" s="740">
        <f t="shared" si="14"/>
        <v>3.5628510666300808</v>
      </c>
      <c r="T53" s="740">
        <f t="shared" si="14"/>
        <v>3.9013219179599385</v>
      </c>
      <c r="U53" s="740">
        <f t="shared" si="14"/>
        <v>4.2719475001661324</v>
      </c>
      <c r="V53" s="740">
        <f t="shared" si="14"/>
        <v>4.6777825126819153</v>
      </c>
      <c r="W53" s="740">
        <f t="shared" si="14"/>
        <v>5.122171851386697</v>
      </c>
      <c r="X53" s="740">
        <f t="shared" si="14"/>
        <v>5.6087781772684329</v>
      </c>
      <c r="Y53" s="740">
        <f t="shared" si="14"/>
        <v>6.1416121041089342</v>
      </c>
    </row>
    <row r="54" spans="1:26" x14ac:dyDescent="0.2">
      <c r="B54" s="683"/>
      <c r="E54" s="728"/>
      <c r="F54" s="728"/>
      <c r="G54" s="728"/>
      <c r="H54" s="728"/>
      <c r="I54" s="728"/>
      <c r="J54" s="728"/>
      <c r="K54" s="728"/>
      <c r="L54" s="728"/>
      <c r="M54" s="728"/>
      <c r="N54" s="728"/>
      <c r="O54" s="728"/>
      <c r="P54" s="728"/>
      <c r="Q54" s="728"/>
      <c r="R54" s="728"/>
      <c r="S54" s="728"/>
      <c r="T54" s="728"/>
      <c r="U54" s="728"/>
      <c r="V54" s="728"/>
      <c r="W54" s="728"/>
      <c r="X54" s="728"/>
      <c r="Y54" s="728"/>
    </row>
    <row r="55" spans="1:26" x14ac:dyDescent="0.2">
      <c r="B55" s="683"/>
      <c r="D55" s="682" t="s">
        <v>270</v>
      </c>
      <c r="E55" s="741">
        <f t="shared" ref="E55:Y55" si="15">E30</f>
        <v>-15314.377798934065</v>
      </c>
      <c r="F55" s="741">
        <f t="shared" si="15"/>
        <v>-26980.978755707762</v>
      </c>
      <c r="G55" s="741">
        <f t="shared" si="15"/>
        <v>-13552.779486003026</v>
      </c>
      <c r="H55" s="741">
        <f t="shared" si="15"/>
        <v>-13.345629066784568</v>
      </c>
      <c r="I55" s="741">
        <f t="shared" si="15"/>
        <v>2972.0133843934682</v>
      </c>
      <c r="J55" s="741">
        <f t="shared" si="15"/>
        <v>5970.4158306902646</v>
      </c>
      <c r="K55" s="741">
        <f t="shared" si="15"/>
        <v>10175.967339837438</v>
      </c>
      <c r="L55" s="741">
        <f t="shared" si="15"/>
        <v>13814.237592037685</v>
      </c>
      <c r="M55" s="741">
        <f t="shared" si="15"/>
        <v>14938.622132105982</v>
      </c>
      <c r="N55" s="741">
        <f t="shared" si="15"/>
        <v>15098.027759140794</v>
      </c>
      <c r="O55" s="741">
        <f t="shared" si="15"/>
        <v>14931.071648342548</v>
      </c>
      <c r="P55" s="741">
        <f t="shared" si="15"/>
        <v>14807.828442795562</v>
      </c>
      <c r="Q55" s="741">
        <f t="shared" si="15"/>
        <v>14612.325868997154</v>
      </c>
      <c r="R55" s="741">
        <f t="shared" si="15"/>
        <v>14080.301496832337</v>
      </c>
      <c r="S55" s="741">
        <f t="shared" si="15"/>
        <v>12994.195086722295</v>
      </c>
      <c r="T55" s="741">
        <f t="shared" si="15"/>
        <v>12372.692616626689</v>
      </c>
      <c r="U55" s="741">
        <f t="shared" si="15"/>
        <v>12101.044871218763</v>
      </c>
      <c r="V55" s="741">
        <f t="shared" si="15"/>
        <v>11798.065082106004</v>
      </c>
      <c r="W55" s="741">
        <f t="shared" si="15"/>
        <v>11583.249048627049</v>
      </c>
      <c r="X55" s="741">
        <f t="shared" si="15"/>
        <v>11314.820465579272</v>
      </c>
      <c r="Y55" s="741">
        <f t="shared" si="15"/>
        <v>11257.383772614174</v>
      </c>
      <c r="Z55" s="714">
        <f>+X35</f>
        <v>94190.127560373556</v>
      </c>
    </row>
    <row r="56" spans="1:26" x14ac:dyDescent="0.2">
      <c r="B56" s="683"/>
      <c r="D56" s="682"/>
      <c r="E56" s="741"/>
      <c r="F56" s="741"/>
      <c r="G56" s="741"/>
      <c r="H56" s="741"/>
      <c r="I56" s="741"/>
      <c r="J56" s="741"/>
      <c r="K56" s="741"/>
      <c r="L56" s="741"/>
      <c r="M56" s="741"/>
      <c r="N56" s="741"/>
      <c r="O56" s="741"/>
      <c r="P56" s="741"/>
      <c r="Q56" s="741"/>
      <c r="R56" s="741"/>
      <c r="S56" s="741"/>
      <c r="T56" s="741"/>
      <c r="U56" s="741"/>
      <c r="V56" s="741"/>
      <c r="W56" s="741"/>
      <c r="X56" s="741"/>
      <c r="Y56" s="741"/>
      <c r="Z56" s="714"/>
    </row>
    <row r="57" spans="1:26" x14ac:dyDescent="0.2">
      <c r="A57" s="681" t="s">
        <v>33</v>
      </c>
      <c r="B57" s="791"/>
      <c r="C57" s="682" t="s">
        <v>710</v>
      </c>
      <c r="D57" s="205" t="s">
        <v>711</v>
      </c>
      <c r="E57" s="741">
        <f>E26</f>
        <v>13512.5</v>
      </c>
      <c r="F57" s="741">
        <f>SUM($E26:F26)</f>
        <v>39496.5</v>
      </c>
      <c r="G57" s="741">
        <f>SUM($E26:G26)</f>
        <v>52599</v>
      </c>
      <c r="H57" s="741">
        <f>SUM($E26:H26)</f>
        <v>54450</v>
      </c>
      <c r="I57" s="741">
        <f>SUM($E26:I26)</f>
        <v>55750</v>
      </c>
      <c r="J57" s="741">
        <f>SUM($E26:J26)</f>
        <v>56530</v>
      </c>
      <c r="K57" s="741">
        <f>SUM($E26:K26)</f>
        <v>56660</v>
      </c>
      <c r="L57" s="741">
        <f>SUM($E26:L26)</f>
        <v>56660</v>
      </c>
      <c r="M57" s="741">
        <f>SUM($E26:M26)</f>
        <v>56660</v>
      </c>
      <c r="N57" s="741">
        <f>SUM($E26:N26)</f>
        <v>56660</v>
      </c>
      <c r="O57" s="741">
        <f>SUM($E26:O26)</f>
        <v>56660</v>
      </c>
      <c r="P57" s="741">
        <f>SUM($E26:P26)</f>
        <v>56660</v>
      </c>
      <c r="Q57" s="741">
        <f>SUM($E26:Q26)</f>
        <v>56660</v>
      </c>
      <c r="R57" s="741">
        <f>SUM($E26:R26)</f>
        <v>56660</v>
      </c>
      <c r="S57" s="741">
        <f>SUM($E26:S26)</f>
        <v>56660</v>
      </c>
      <c r="T57" s="741">
        <f>SUM($E26:T26)</f>
        <v>56660</v>
      </c>
      <c r="U57" s="741">
        <f>SUM($E26:U26)</f>
        <v>56660</v>
      </c>
      <c r="V57" s="741">
        <f>SUM($E26:V26)</f>
        <v>56660</v>
      </c>
      <c r="W57" s="741">
        <f>SUM($E26:W26)</f>
        <v>56660</v>
      </c>
      <c r="X57" s="741">
        <f>SUM($E26:X26)</f>
        <v>56660</v>
      </c>
      <c r="Y57" s="741">
        <f>SUM($E26:Y26)</f>
        <v>56660</v>
      </c>
      <c r="Z57" s="714"/>
    </row>
    <row r="58" spans="1:26" x14ac:dyDescent="0.2">
      <c r="A58" s="681" t="s">
        <v>34</v>
      </c>
      <c r="B58" s="791"/>
      <c r="D58" s="205" t="s">
        <v>712</v>
      </c>
      <c r="E58" s="741">
        <f>Y57/2</f>
        <v>28330</v>
      </c>
      <c r="F58" s="741"/>
      <c r="G58" s="741"/>
      <c r="H58" s="741"/>
      <c r="I58" s="741"/>
      <c r="J58" s="741"/>
      <c r="K58" s="741"/>
      <c r="L58" s="741"/>
      <c r="M58" s="741"/>
      <c r="N58" s="741"/>
      <c r="O58" s="741"/>
      <c r="P58" s="741"/>
      <c r="Q58" s="741"/>
      <c r="R58" s="741"/>
      <c r="S58" s="741"/>
      <c r="T58" s="741"/>
      <c r="U58" s="741"/>
      <c r="V58" s="741"/>
      <c r="W58" s="741"/>
      <c r="X58" s="741"/>
      <c r="Y58" s="741"/>
      <c r="Z58" s="714"/>
    </row>
    <row r="59" spans="1:26" x14ac:dyDescent="0.2">
      <c r="A59" s="681" t="s">
        <v>35</v>
      </c>
      <c r="B59" s="791"/>
      <c r="D59" s="205"/>
      <c r="E59" s="741" t="b">
        <f t="shared" ref="E59:Y59" si="16">IF(E60&lt;=0,FALSE,TRUE)</f>
        <v>0</v>
      </c>
      <c r="F59" s="741" t="b">
        <f t="shared" si="16"/>
        <v>1</v>
      </c>
      <c r="G59" s="741" t="b">
        <f t="shared" si="16"/>
        <v>1</v>
      </c>
      <c r="H59" s="741" t="b">
        <f t="shared" si="16"/>
        <v>1</v>
      </c>
      <c r="I59" s="741" t="b">
        <f t="shared" si="16"/>
        <v>1</v>
      </c>
      <c r="J59" s="741" t="b">
        <f t="shared" si="16"/>
        <v>1</v>
      </c>
      <c r="K59" s="741" t="b">
        <f t="shared" si="16"/>
        <v>1</v>
      </c>
      <c r="L59" s="741" t="b">
        <f t="shared" si="16"/>
        <v>1</v>
      </c>
      <c r="M59" s="741" t="b">
        <f t="shared" si="16"/>
        <v>1</v>
      </c>
      <c r="N59" s="741" t="b">
        <f t="shared" si="16"/>
        <v>1</v>
      </c>
      <c r="O59" s="741" t="b">
        <f t="shared" si="16"/>
        <v>1</v>
      </c>
      <c r="P59" s="741" t="b">
        <f t="shared" si="16"/>
        <v>1</v>
      </c>
      <c r="Q59" s="741" t="b">
        <f t="shared" si="16"/>
        <v>1</v>
      </c>
      <c r="R59" s="741" t="b">
        <f t="shared" si="16"/>
        <v>1</v>
      </c>
      <c r="S59" s="741" t="b">
        <f t="shared" si="16"/>
        <v>1</v>
      </c>
      <c r="T59" s="741" t="b">
        <f t="shared" si="16"/>
        <v>1</v>
      </c>
      <c r="U59" s="741" t="b">
        <f t="shared" si="16"/>
        <v>1</v>
      </c>
      <c r="V59" s="741" t="b">
        <f t="shared" si="16"/>
        <v>1</v>
      </c>
      <c r="W59" s="741" t="b">
        <f t="shared" si="16"/>
        <v>1</v>
      </c>
      <c r="X59" s="741" t="b">
        <f t="shared" si="16"/>
        <v>1</v>
      </c>
      <c r="Y59" s="741" t="b">
        <f t="shared" si="16"/>
        <v>1</v>
      </c>
      <c r="Z59" s="714"/>
    </row>
    <row r="60" spans="1:26" x14ac:dyDescent="0.2">
      <c r="A60" s="681" t="s">
        <v>36</v>
      </c>
      <c r="B60" s="791"/>
      <c r="D60" s="683">
        <f>MATCH(TRUE,E59:X59,0)</f>
        <v>2</v>
      </c>
      <c r="E60" s="792">
        <f>IF(E57&lt;$E58, 0, IF(E57=E$58, 13, 12*((E57-$E58)/E57)))</f>
        <v>0</v>
      </c>
      <c r="F60" s="792">
        <f t="shared" ref="F60:Y60" si="17">IF(F57&lt;$E58, 0, IF(F57=$E58, 13, IF(E60&gt;0, 12, 12 * (($E$58 - E57) / (F57-E57)))))</f>
        <v>6.8430572660098523</v>
      </c>
      <c r="G60" s="792">
        <f t="shared" si="17"/>
        <v>12</v>
      </c>
      <c r="H60" s="792">
        <f t="shared" si="17"/>
        <v>12</v>
      </c>
      <c r="I60" s="792">
        <f t="shared" si="17"/>
        <v>12</v>
      </c>
      <c r="J60" s="792">
        <f t="shared" si="17"/>
        <v>12</v>
      </c>
      <c r="K60" s="792">
        <f t="shared" si="17"/>
        <v>12</v>
      </c>
      <c r="L60" s="792">
        <f t="shared" si="17"/>
        <v>12</v>
      </c>
      <c r="M60" s="792">
        <f t="shared" si="17"/>
        <v>12</v>
      </c>
      <c r="N60" s="792">
        <f t="shared" si="17"/>
        <v>12</v>
      </c>
      <c r="O60" s="792">
        <f t="shared" si="17"/>
        <v>12</v>
      </c>
      <c r="P60" s="792">
        <f t="shared" si="17"/>
        <v>12</v>
      </c>
      <c r="Q60" s="792">
        <f t="shared" si="17"/>
        <v>12</v>
      </c>
      <c r="R60" s="792">
        <f t="shared" si="17"/>
        <v>12</v>
      </c>
      <c r="S60" s="792">
        <f t="shared" si="17"/>
        <v>12</v>
      </c>
      <c r="T60" s="792">
        <f t="shared" si="17"/>
        <v>12</v>
      </c>
      <c r="U60" s="792">
        <f t="shared" si="17"/>
        <v>12</v>
      </c>
      <c r="V60" s="792">
        <f t="shared" si="17"/>
        <v>12</v>
      </c>
      <c r="W60" s="792">
        <f t="shared" si="17"/>
        <v>12</v>
      </c>
      <c r="X60" s="792">
        <f t="shared" si="17"/>
        <v>12</v>
      </c>
      <c r="Y60" s="792">
        <f t="shared" si="17"/>
        <v>12</v>
      </c>
      <c r="Z60" s="714"/>
    </row>
    <row r="61" spans="1:26" x14ac:dyDescent="0.2">
      <c r="B61" s="791"/>
      <c r="D61" s="682" t="s">
        <v>713</v>
      </c>
      <c r="E61" s="792">
        <f t="shared" ref="E61:Y61" si="18">IF(E60&lt;&gt;12, 0, IF(F33&lt;0,1,0))</f>
        <v>0</v>
      </c>
      <c r="F61" s="792">
        <f t="shared" si="18"/>
        <v>0</v>
      </c>
      <c r="G61" s="792">
        <f t="shared" si="18"/>
        <v>1</v>
      </c>
      <c r="H61" s="792">
        <f t="shared" si="18"/>
        <v>1</v>
      </c>
      <c r="I61" s="792">
        <f t="shared" si="18"/>
        <v>1</v>
      </c>
      <c r="J61" s="792">
        <f t="shared" si="18"/>
        <v>1</v>
      </c>
      <c r="K61" s="792">
        <f t="shared" si="18"/>
        <v>1</v>
      </c>
      <c r="L61" s="792">
        <f t="shared" si="18"/>
        <v>1</v>
      </c>
      <c r="M61" s="792">
        <f t="shared" si="18"/>
        <v>1</v>
      </c>
      <c r="N61" s="792">
        <f t="shared" si="18"/>
        <v>1</v>
      </c>
      <c r="O61" s="792">
        <f t="shared" si="18"/>
        <v>1</v>
      </c>
      <c r="P61" s="792">
        <f t="shared" si="18"/>
        <v>1</v>
      </c>
      <c r="Q61" s="792">
        <f t="shared" si="18"/>
        <v>0</v>
      </c>
      <c r="R61" s="792">
        <f t="shared" si="18"/>
        <v>0</v>
      </c>
      <c r="S61" s="792">
        <f t="shared" si="18"/>
        <v>0</v>
      </c>
      <c r="T61" s="792">
        <f t="shared" si="18"/>
        <v>0</v>
      </c>
      <c r="U61" s="792">
        <f t="shared" si="18"/>
        <v>0</v>
      </c>
      <c r="V61" s="792">
        <f t="shared" si="18"/>
        <v>0</v>
      </c>
      <c r="W61" s="792">
        <f t="shared" si="18"/>
        <v>0</v>
      </c>
      <c r="X61" s="792">
        <f t="shared" si="18"/>
        <v>0</v>
      </c>
      <c r="Y61" s="792">
        <f t="shared" si="18"/>
        <v>0</v>
      </c>
      <c r="Z61" s="714"/>
    </row>
    <row r="62" spans="1:26" x14ac:dyDescent="0.2">
      <c r="B62" s="791"/>
      <c r="D62" s="682" t="s">
        <v>714</v>
      </c>
      <c r="E62" s="792">
        <f t="shared" ref="E62:Y62" si="19">IF(E33*F33&lt;0,-E60*E33/(F33-E33)+SUM($E$63:$X$63),0)</f>
        <v>0</v>
      </c>
      <c r="F62" s="792">
        <f t="shared" si="19"/>
        <v>0</v>
      </c>
      <c r="G62" s="792">
        <f t="shared" si="19"/>
        <v>0</v>
      </c>
      <c r="H62" s="792">
        <f t="shared" si="19"/>
        <v>0</v>
      </c>
      <c r="I62" s="792">
        <f t="shared" si="19"/>
        <v>0</v>
      </c>
      <c r="J62" s="792">
        <f t="shared" si="19"/>
        <v>0</v>
      </c>
      <c r="K62" s="792">
        <f t="shared" si="19"/>
        <v>0</v>
      </c>
      <c r="L62" s="792">
        <f t="shared" si="19"/>
        <v>0</v>
      </c>
      <c r="M62" s="792">
        <f t="shared" si="19"/>
        <v>0</v>
      </c>
      <c r="N62" s="792">
        <f t="shared" si="19"/>
        <v>0</v>
      </c>
      <c r="O62" s="792">
        <f t="shared" si="19"/>
        <v>0</v>
      </c>
      <c r="P62" s="792">
        <f t="shared" si="19"/>
        <v>0</v>
      </c>
      <c r="Q62" s="792">
        <f t="shared" si="19"/>
        <v>10.393138194054714</v>
      </c>
      <c r="R62" s="792">
        <f t="shared" si="19"/>
        <v>0</v>
      </c>
      <c r="S62" s="792">
        <f t="shared" si="19"/>
        <v>0</v>
      </c>
      <c r="T62" s="792">
        <f t="shared" si="19"/>
        <v>0</v>
      </c>
      <c r="U62" s="792">
        <f t="shared" si="19"/>
        <v>0</v>
      </c>
      <c r="V62" s="792">
        <f t="shared" si="19"/>
        <v>0</v>
      </c>
      <c r="W62" s="792">
        <f t="shared" si="19"/>
        <v>0</v>
      </c>
      <c r="X62" s="792">
        <f t="shared" si="19"/>
        <v>0</v>
      </c>
      <c r="Y62" s="792">
        <f t="shared" si="19"/>
        <v>0</v>
      </c>
      <c r="Z62" s="714"/>
    </row>
    <row r="63" spans="1:26" x14ac:dyDescent="0.2">
      <c r="B63" s="683"/>
      <c r="E63" s="793">
        <f t="shared" ref="E63:X63" si="20">IF(E59=FALSE,0,F60-E60)</f>
        <v>0</v>
      </c>
      <c r="F63" s="793">
        <f t="shared" si="20"/>
        <v>5.1569427339901477</v>
      </c>
      <c r="G63" s="793">
        <f t="shared" si="20"/>
        <v>0</v>
      </c>
      <c r="H63" s="793">
        <f t="shared" si="20"/>
        <v>0</v>
      </c>
      <c r="I63" s="793">
        <f t="shared" si="20"/>
        <v>0</v>
      </c>
      <c r="J63" s="793">
        <f t="shared" si="20"/>
        <v>0</v>
      </c>
      <c r="K63" s="793">
        <f t="shared" si="20"/>
        <v>0</v>
      </c>
      <c r="L63" s="793">
        <f t="shared" si="20"/>
        <v>0</v>
      </c>
      <c r="M63" s="793">
        <f t="shared" si="20"/>
        <v>0</v>
      </c>
      <c r="N63" s="793">
        <f t="shared" si="20"/>
        <v>0</v>
      </c>
      <c r="O63" s="793">
        <f t="shared" si="20"/>
        <v>0</v>
      </c>
      <c r="P63" s="793">
        <f t="shared" si="20"/>
        <v>0</v>
      </c>
      <c r="Q63" s="793">
        <f t="shared" si="20"/>
        <v>0</v>
      </c>
      <c r="R63" s="793">
        <f t="shared" si="20"/>
        <v>0</v>
      </c>
      <c r="S63" s="793">
        <f t="shared" si="20"/>
        <v>0</v>
      </c>
      <c r="T63" s="793">
        <f t="shared" si="20"/>
        <v>0</v>
      </c>
      <c r="U63" s="793">
        <f t="shared" si="20"/>
        <v>0</v>
      </c>
      <c r="V63" s="793">
        <f t="shared" si="20"/>
        <v>0</v>
      </c>
      <c r="W63" s="793">
        <f t="shared" si="20"/>
        <v>0</v>
      </c>
      <c r="X63" s="793">
        <f t="shared" si="20"/>
        <v>0</v>
      </c>
    </row>
    <row r="64" spans="1:26" x14ac:dyDescent="0.2">
      <c r="B64" s="683"/>
      <c r="C64" s="682" t="s">
        <v>710</v>
      </c>
      <c r="D64" s="681" t="s">
        <v>713</v>
      </c>
      <c r="E64" s="681">
        <f t="shared" ref="E64:Y64" si="21">IF(F33&lt;0,1,0)</f>
        <v>1</v>
      </c>
      <c r="F64" s="681">
        <f t="shared" si="21"/>
        <v>1</v>
      </c>
      <c r="G64" s="681">
        <f t="shared" si="21"/>
        <v>1</v>
      </c>
      <c r="H64" s="681">
        <f t="shared" si="21"/>
        <v>1</v>
      </c>
      <c r="I64" s="681">
        <f t="shared" si="21"/>
        <v>1</v>
      </c>
      <c r="J64" s="681">
        <f t="shared" si="21"/>
        <v>1</v>
      </c>
      <c r="K64" s="681">
        <f t="shared" si="21"/>
        <v>1</v>
      </c>
      <c r="L64" s="681">
        <f t="shared" si="21"/>
        <v>1</v>
      </c>
      <c r="M64" s="681">
        <f t="shared" si="21"/>
        <v>1</v>
      </c>
      <c r="N64" s="681">
        <f t="shared" si="21"/>
        <v>1</v>
      </c>
      <c r="O64" s="681">
        <f t="shared" si="21"/>
        <v>1</v>
      </c>
      <c r="P64" s="681">
        <f t="shared" si="21"/>
        <v>1</v>
      </c>
      <c r="Q64" s="681">
        <f t="shared" si="21"/>
        <v>0</v>
      </c>
      <c r="R64" s="681">
        <f t="shared" si="21"/>
        <v>0</v>
      </c>
      <c r="S64" s="681">
        <f t="shared" si="21"/>
        <v>0</v>
      </c>
      <c r="T64" s="681">
        <f t="shared" si="21"/>
        <v>0</v>
      </c>
      <c r="U64" s="681">
        <f t="shared" si="21"/>
        <v>0</v>
      </c>
      <c r="V64" s="681">
        <f t="shared" si="21"/>
        <v>0</v>
      </c>
      <c r="W64" s="681">
        <f t="shared" si="21"/>
        <v>0</v>
      </c>
      <c r="X64" s="681">
        <f t="shared" si="21"/>
        <v>0</v>
      </c>
      <c r="Y64" s="681">
        <f t="shared" si="21"/>
        <v>0</v>
      </c>
    </row>
    <row r="65" spans="2:25" x14ac:dyDescent="0.2">
      <c r="B65" s="683"/>
      <c r="D65" s="681" t="s">
        <v>37</v>
      </c>
      <c r="E65" s="741"/>
      <c r="F65" s="741">
        <f t="shared" ref="F65:Y65" si="22">IF(F33*G33&lt;0,-12*F33/(G33-F33),0)</f>
        <v>0</v>
      </c>
      <c r="G65" s="741">
        <f t="shared" si="22"/>
        <v>0</v>
      </c>
      <c r="H65" s="741">
        <f t="shared" si="22"/>
        <v>0</v>
      </c>
      <c r="I65" s="741">
        <f t="shared" si="22"/>
        <v>0</v>
      </c>
      <c r="J65" s="741">
        <f t="shared" si="22"/>
        <v>0</v>
      </c>
      <c r="K65" s="741">
        <f t="shared" si="22"/>
        <v>0</v>
      </c>
      <c r="L65" s="741">
        <f t="shared" si="22"/>
        <v>0</v>
      </c>
      <c r="M65" s="741">
        <f t="shared" si="22"/>
        <v>0</v>
      </c>
      <c r="N65" s="741">
        <f t="shared" si="22"/>
        <v>0</v>
      </c>
      <c r="O65" s="741">
        <f t="shared" si="22"/>
        <v>0</v>
      </c>
      <c r="P65" s="741">
        <f t="shared" si="22"/>
        <v>0</v>
      </c>
      <c r="Q65" s="741">
        <f t="shared" si="22"/>
        <v>5.2361954600645673</v>
      </c>
      <c r="R65" s="741">
        <f t="shared" si="22"/>
        <v>0</v>
      </c>
      <c r="S65" s="741">
        <f t="shared" si="22"/>
        <v>0</v>
      </c>
      <c r="T65" s="741">
        <f t="shared" si="22"/>
        <v>0</v>
      </c>
      <c r="U65" s="741">
        <f t="shared" si="22"/>
        <v>0</v>
      </c>
      <c r="V65" s="741">
        <f t="shared" si="22"/>
        <v>0</v>
      </c>
      <c r="W65" s="741">
        <f t="shared" si="22"/>
        <v>0</v>
      </c>
      <c r="X65" s="741">
        <f t="shared" si="22"/>
        <v>0</v>
      </c>
      <c r="Y65" s="741">
        <f t="shared" si="22"/>
        <v>0</v>
      </c>
    </row>
    <row r="66" spans="2:25" x14ac:dyDescent="0.2">
      <c r="B66" s="683"/>
      <c r="T66" s="681"/>
      <c r="Y66" s="793"/>
    </row>
    <row r="67" spans="2:25" ht="15" x14ac:dyDescent="0.2">
      <c r="B67" s="683"/>
      <c r="C67" s="732" t="s">
        <v>271</v>
      </c>
      <c r="T67" s="681"/>
    </row>
    <row r="68" spans="2:25" x14ac:dyDescent="0.2">
      <c r="B68" s="683"/>
      <c r="C68" s="682" t="s">
        <v>716</v>
      </c>
      <c r="D68" s="688"/>
      <c r="E68" s="737"/>
      <c r="F68" s="794">
        <f>IF($Y$40&gt;0,$E$26/$Y$40,0)</f>
        <v>1126.0416666666667</v>
      </c>
      <c r="G68" s="737">
        <f>IF($Y$40&gt;1,$E$26/$Y$40,0)</f>
        <v>1126.0416666666667</v>
      </c>
      <c r="H68" s="737">
        <f>IF($Y$40&gt;2,$E$26/$Y$40,0)</f>
        <v>1126.0416666666667</v>
      </c>
      <c r="I68" s="737">
        <f>IF($Y$40&gt;3,$E$26/$Y$40,0)</f>
        <v>1126.0416666666667</v>
      </c>
      <c r="J68" s="737">
        <f>IF($Y$40&gt;4,$E$26/$Y$40,0)</f>
        <v>1126.0416666666667</v>
      </c>
      <c r="K68" s="737">
        <f>IF($Y$40&gt;5,$E$26/$Y$40,0)</f>
        <v>1126.0416666666667</v>
      </c>
      <c r="L68" s="737">
        <f>IF($Y$40&gt;6,$E$26/$Y$40,0)</f>
        <v>1126.0416666666667</v>
      </c>
      <c r="M68" s="737">
        <f>IF($Y$40&gt;7,$E$26/$Y$40,0)</f>
        <v>1126.0416666666667</v>
      </c>
      <c r="N68" s="737">
        <f>IF($Y$40&gt;8,$E$26/$Y$40,0)</f>
        <v>1126.0416666666667</v>
      </c>
      <c r="O68" s="737">
        <f>IF($Y$40&gt;9,$E$26/$Y$40,0)</f>
        <v>1126.0416666666667</v>
      </c>
      <c r="P68" s="737">
        <f>IF($Y$40&gt;10,$E$26/$Y$40,0)</f>
        <v>1126.0416666666667</v>
      </c>
      <c r="Q68" s="737">
        <f>IF($Y$40&gt;11,$E$26/$Y$40,0)</f>
        <v>1126.0416666666667</v>
      </c>
      <c r="R68" s="737">
        <f>IF($Y$40&gt;12,$E$26/$Y$40,0)</f>
        <v>0</v>
      </c>
      <c r="S68" s="737">
        <f>IF($Y$40&gt;13,$E$26/$Y$40,0)</f>
        <v>0</v>
      </c>
      <c r="T68" s="737">
        <f>IF($Y$40&gt;14,$E$26/$Y$40,0)</f>
        <v>0</v>
      </c>
      <c r="U68" s="737">
        <f>IF($Y$40&gt;15,$E$26/$Y$40,0)</f>
        <v>0</v>
      </c>
      <c r="V68" s="737">
        <f>IF($Y$40&gt;16,$E$26/$Y$40,0)</f>
        <v>0</v>
      </c>
      <c r="W68" s="737">
        <f>IF($Y$40&gt;17,$E$26/$Y$40,0)</f>
        <v>0</v>
      </c>
      <c r="X68" s="737">
        <f>IF($Y$40&gt;18,$E$26/$Y$40,0)</f>
        <v>0</v>
      </c>
      <c r="Y68" s="737">
        <f>IF($Y$40&gt;19,$E$26/$Y$40,0)</f>
        <v>0</v>
      </c>
    </row>
    <row r="69" spans="2:25" x14ac:dyDescent="0.2">
      <c r="B69" s="683"/>
      <c r="D69" s="689">
        <f t="shared" ref="D69:D88" si="23">D68+1</f>
        <v>1</v>
      </c>
      <c r="E69" s="737"/>
      <c r="F69" s="737"/>
      <c r="G69" s="795">
        <f>IF($Y$40&gt;0,$F$26/$Y$40,0)</f>
        <v>2165.3333333333335</v>
      </c>
      <c r="H69" s="737">
        <f>IF($Y$40&gt;1,$F$26/$Y$40,0)</f>
        <v>2165.3333333333335</v>
      </c>
      <c r="I69" s="737">
        <f>IF($Y$40&gt;2,$F$26/$Y$40,0)</f>
        <v>2165.3333333333335</v>
      </c>
      <c r="J69" s="737">
        <f>IF($Y$40&gt;3,$F$26/$Y$40,0)</f>
        <v>2165.3333333333335</v>
      </c>
      <c r="K69" s="737">
        <f>IF($Y$40&gt;4,$F$26/$Y$40,0)</f>
        <v>2165.3333333333335</v>
      </c>
      <c r="L69" s="737">
        <f>IF($Y$40&gt;5,$F$26/$Y$40,0)</f>
        <v>2165.3333333333335</v>
      </c>
      <c r="M69" s="737">
        <f>IF($Y$40&gt;6,$F$26/$Y$40,0)</f>
        <v>2165.3333333333335</v>
      </c>
      <c r="N69" s="737">
        <f>IF($Y$40&gt;7,$F$26/$Y$40,0)</f>
        <v>2165.3333333333335</v>
      </c>
      <c r="O69" s="737">
        <f>IF($Y$40&gt;8,$F$26/$Y$40,0)</f>
        <v>2165.3333333333335</v>
      </c>
      <c r="P69" s="737">
        <f>IF($Y$40&gt;9,$F$26/$Y$40,0)</f>
        <v>2165.3333333333335</v>
      </c>
      <c r="Q69" s="737">
        <f>IF($Y$40&gt;10,$F$26/$Y$40,0)</f>
        <v>2165.3333333333335</v>
      </c>
      <c r="R69" s="737">
        <f>IF($Y$40&gt;11,$F$26/$Y$40,0)</f>
        <v>2165.3333333333335</v>
      </c>
      <c r="S69" s="737">
        <f>IF($Y$40&gt;12,$F$26/$Y$40,0)</f>
        <v>0</v>
      </c>
      <c r="T69" s="737">
        <f>IF($Y$40&gt;13,$F$26/$Y$40,0)</f>
        <v>0</v>
      </c>
      <c r="U69" s="737">
        <f>IF($Y$40&gt;14,$F$26/$Y$40,0)</f>
        <v>0</v>
      </c>
      <c r="V69" s="737">
        <f>IF($Y$40&gt;15,$F$26/$Y$40,0)</f>
        <v>0</v>
      </c>
      <c r="W69" s="737">
        <f>IF($Y$40&gt;16,$F$26/$Y$40,0)</f>
        <v>0</v>
      </c>
      <c r="X69" s="737">
        <f>IF($Y$40&gt;17,$F$26/$Y$40,0)</f>
        <v>0</v>
      </c>
      <c r="Y69" s="737">
        <f>IF($Y$40&gt;18,$F$26/$Y$40,0)</f>
        <v>0</v>
      </c>
    </row>
    <row r="70" spans="2:25" x14ac:dyDescent="0.2">
      <c r="B70" s="683"/>
      <c r="D70" s="689">
        <f t="shared" si="23"/>
        <v>2</v>
      </c>
      <c r="E70" s="737"/>
      <c r="F70" s="737"/>
      <c r="G70" s="737"/>
      <c r="H70" s="737">
        <f>IF($Y$40&gt;0,$G$26/$Y$40,0)</f>
        <v>1091.8750000000002</v>
      </c>
      <c r="I70" s="737">
        <f>IF($Y$40&gt;1,$G$26/$Y$40,0)</f>
        <v>1091.8750000000002</v>
      </c>
      <c r="J70" s="737">
        <f>IF($Y$40&gt;2,$G$26/$Y$40,0)</f>
        <v>1091.8750000000002</v>
      </c>
      <c r="K70" s="737">
        <f>IF($Y$40&gt;3,$G$26/$Y$40,0)</f>
        <v>1091.8750000000002</v>
      </c>
      <c r="L70" s="737">
        <f>IF($Y$40&gt;4,$G$26/$Y$40,0)</f>
        <v>1091.8750000000002</v>
      </c>
      <c r="M70" s="737">
        <f>IF($Y$40&gt;5,$G$26/$Y$40,0)</f>
        <v>1091.8750000000002</v>
      </c>
      <c r="N70" s="737">
        <f>IF($Y$40&gt;6,$G$26/$Y$40,0)</f>
        <v>1091.8750000000002</v>
      </c>
      <c r="O70" s="737">
        <f>IF($Y$40&gt;7,$G$26/$Y$40,0)</f>
        <v>1091.8750000000002</v>
      </c>
      <c r="P70" s="737">
        <f>IF($Y$40&gt;8,$G$26/$Y$40,0)</f>
        <v>1091.8750000000002</v>
      </c>
      <c r="Q70" s="737">
        <f>IF($Y$40&gt;9,$G$26/$Y$40,0)</f>
        <v>1091.8750000000002</v>
      </c>
      <c r="R70" s="737">
        <f>IF($Y$40&gt;10,$G$26/$Y$40,0)</f>
        <v>1091.8750000000002</v>
      </c>
      <c r="S70" s="737">
        <f>IF($Y$40&gt;11,$G$26/$Y$40,0)</f>
        <v>1091.8750000000002</v>
      </c>
      <c r="T70" s="737">
        <f>IF($Y$40&gt;12,$G$26/$Y$40,0)</f>
        <v>0</v>
      </c>
      <c r="U70" s="737">
        <f>IF($Y$40&gt;13,$G$26/$Y$40,0)</f>
        <v>0</v>
      </c>
      <c r="V70" s="737">
        <f>IF($Y$40&gt;14,$G$26/$Y$40,0)</f>
        <v>0</v>
      </c>
      <c r="W70" s="737">
        <f>IF($Y$40&gt;15,$G$26/$Y$40,0)</f>
        <v>0</v>
      </c>
      <c r="X70" s="737">
        <f>IF($Y$40&gt;16,$G$26/$Y$40,0)</f>
        <v>0</v>
      </c>
      <c r="Y70" s="737">
        <f>IF($Y$40&gt;17,$G$26/$Y$40,0)</f>
        <v>0</v>
      </c>
    </row>
    <row r="71" spans="2:25" x14ac:dyDescent="0.2">
      <c r="B71" s="683"/>
      <c r="D71" s="689">
        <f t="shared" si="23"/>
        <v>3</v>
      </c>
      <c r="E71" s="737"/>
      <c r="F71" s="737"/>
      <c r="G71" s="737"/>
      <c r="H71" s="737"/>
      <c r="I71" s="737">
        <f>IF($Y$40&gt;0,$H$26/$Y$40,0)</f>
        <v>154.25000000000003</v>
      </c>
      <c r="J71" s="737">
        <f>IF($Y$40&gt;1,$H$26/$Y$40,0)</f>
        <v>154.25000000000003</v>
      </c>
      <c r="K71" s="737">
        <f>IF($Y$40&gt;2,$H$26/$Y$40,0)</f>
        <v>154.25000000000003</v>
      </c>
      <c r="L71" s="737">
        <f>IF($Y$40&gt;3,$H$26/$Y$40,0)</f>
        <v>154.25000000000003</v>
      </c>
      <c r="M71" s="737">
        <f>IF($Y$40&gt;4,$H$26/$Y$40,0)</f>
        <v>154.25000000000003</v>
      </c>
      <c r="N71" s="737">
        <f>IF($Y$40&gt;5,$H$26/$Y$40,0)</f>
        <v>154.25000000000003</v>
      </c>
      <c r="O71" s="737">
        <f>IF($Y$40&gt;6,$H$26/$Y$40,0)</f>
        <v>154.25000000000003</v>
      </c>
      <c r="P71" s="737">
        <f>IF($Y$40&gt;7,$H$26/$Y$40,0)</f>
        <v>154.25000000000003</v>
      </c>
      <c r="Q71" s="737">
        <f>IF($Y$40&gt;8,$H$26/$Y$40,0)</f>
        <v>154.25000000000003</v>
      </c>
      <c r="R71" s="737">
        <f>IF($Y$40&gt;9,$H$26/$Y$40,0)</f>
        <v>154.25000000000003</v>
      </c>
      <c r="S71" s="737">
        <f>IF($Y$40&gt;10,$H$26/$Y$40,0)</f>
        <v>154.25000000000003</v>
      </c>
      <c r="T71" s="737">
        <f>IF($Y$40&gt;11,$H$26/$Y$40,0)</f>
        <v>154.25000000000003</v>
      </c>
      <c r="U71" s="737">
        <f>IF($Y$40&gt;12,$H$26/$Y$40,0)</f>
        <v>0</v>
      </c>
      <c r="V71" s="737">
        <f>IF($Y$40&gt;13,$H$26/$Y$40,0)</f>
        <v>0</v>
      </c>
      <c r="W71" s="737">
        <f>IF($Y$40&gt;14,$H$26/$Y$40,0)</f>
        <v>0</v>
      </c>
      <c r="X71" s="737">
        <f>IF($Y$40&gt;15,$H$26/$Y$40,0)</f>
        <v>0</v>
      </c>
      <c r="Y71" s="737">
        <f>IF($Y$40&gt;16,$H$26/$Y$40,0)</f>
        <v>0</v>
      </c>
    </row>
    <row r="72" spans="2:25" x14ac:dyDescent="0.2">
      <c r="B72" s="683"/>
      <c r="D72" s="689">
        <f t="shared" si="23"/>
        <v>4</v>
      </c>
      <c r="E72" s="737"/>
      <c r="F72" s="737"/>
      <c r="G72" s="737"/>
      <c r="H72" s="737"/>
      <c r="I72" s="737"/>
      <c r="J72" s="737">
        <f>IF($Y$40&gt;0,$I$26/$Y$40,0)</f>
        <v>108.33333333333333</v>
      </c>
      <c r="K72" s="737">
        <f>IF($Y$40&gt;1,$I$26/$Y$40,0)</f>
        <v>108.33333333333333</v>
      </c>
      <c r="L72" s="737">
        <f>IF($Y$40&gt;2,$I$26/$Y$40,0)</f>
        <v>108.33333333333333</v>
      </c>
      <c r="M72" s="737">
        <f>IF($Y$40&gt;3,$I$26/$Y$40,0)</f>
        <v>108.33333333333333</v>
      </c>
      <c r="N72" s="737">
        <f>IF($Y$40&gt;4,$I$26/$Y$40,0)</f>
        <v>108.33333333333333</v>
      </c>
      <c r="O72" s="737">
        <f>IF($Y$40&gt;5,$I$26/$Y$40,0)</f>
        <v>108.33333333333333</v>
      </c>
      <c r="P72" s="737">
        <f>IF($Y$40&gt;6,$I$26/$Y$40,0)</f>
        <v>108.33333333333333</v>
      </c>
      <c r="Q72" s="737">
        <f>IF($Y$40&gt;7,$I$26/$Y$40,0)</f>
        <v>108.33333333333333</v>
      </c>
      <c r="R72" s="737">
        <f>IF($Y$40&gt;8,$I$26/$Y$40,0)</f>
        <v>108.33333333333333</v>
      </c>
      <c r="S72" s="737">
        <f>IF($Y$40&gt;9,$I$26/$Y$40,0)</f>
        <v>108.33333333333333</v>
      </c>
      <c r="T72" s="737">
        <f>IF($Y$40&gt;10,$I$26/$Y$40,0)</f>
        <v>108.33333333333333</v>
      </c>
      <c r="U72" s="737">
        <f>IF($Y$40&gt;11,$I$26/$Y$40,0)</f>
        <v>108.33333333333333</v>
      </c>
      <c r="V72" s="737">
        <f>IF($Y$40&gt;12,$I$26/$Y$40,0)</f>
        <v>0</v>
      </c>
      <c r="W72" s="737">
        <f>IF($Y$40&gt;13,$I$26/$Y$40,0)</f>
        <v>0</v>
      </c>
      <c r="X72" s="737">
        <f>IF($Y$40&gt;14,$I$26/$Y$40,0)</f>
        <v>0</v>
      </c>
      <c r="Y72" s="737">
        <f>IF($Y$40&gt;15,$I$26/$Y$40,0)</f>
        <v>0</v>
      </c>
    </row>
    <row r="73" spans="2:25" x14ac:dyDescent="0.2">
      <c r="B73" s="683"/>
      <c r="D73" s="689">
        <f t="shared" si="23"/>
        <v>5</v>
      </c>
      <c r="E73" s="737"/>
      <c r="F73" s="737"/>
      <c r="G73" s="737"/>
      <c r="H73" s="737"/>
      <c r="I73" s="737"/>
      <c r="J73" s="737"/>
      <c r="K73" s="737">
        <f>IF($Y$40&gt;0,$J$26/$Y$40,0)</f>
        <v>65</v>
      </c>
      <c r="L73" s="737">
        <f>IF($Y$40&gt;1,$J$26/$Y$40,0)</f>
        <v>65</v>
      </c>
      <c r="M73" s="737">
        <f>IF($Y$40&gt;2,$J$26/$Y$40,0)</f>
        <v>65</v>
      </c>
      <c r="N73" s="737">
        <f>IF($Y$40&gt;3,$J$26/$Y$40,0)</f>
        <v>65</v>
      </c>
      <c r="O73" s="737">
        <f>IF($Y$40&gt;4,$J$26/$Y$40,0)</f>
        <v>65</v>
      </c>
      <c r="P73" s="737">
        <f>IF($Y$40&gt;5,$J$26/$Y$40,0)</f>
        <v>65</v>
      </c>
      <c r="Q73" s="737">
        <f>IF($Y$40&gt;6,$J$26/$Y$40,0)</f>
        <v>65</v>
      </c>
      <c r="R73" s="737">
        <f>IF($Y$40&gt;7,$J$26/$Y$40,0)</f>
        <v>65</v>
      </c>
      <c r="S73" s="737">
        <f>IF($Y$40&gt;8,$J$26/$Y$40,0)</f>
        <v>65</v>
      </c>
      <c r="T73" s="737">
        <f>IF($Y$40&gt;9,$J$26/$Y$40,0)</f>
        <v>65</v>
      </c>
      <c r="U73" s="737">
        <f>IF($Y$40&gt;10,$J$26/$Y$40,0)</f>
        <v>65</v>
      </c>
      <c r="V73" s="737">
        <f>IF($Y$40&gt;11,$J$26/$Y$40,0)</f>
        <v>65</v>
      </c>
      <c r="W73" s="737">
        <f>IF($Y$40&gt;12,$J$26/$Y$40,0)</f>
        <v>0</v>
      </c>
      <c r="X73" s="737">
        <f>IF($Y$40&gt;13,$J$26/$Y$40,0)</f>
        <v>0</v>
      </c>
      <c r="Y73" s="737">
        <f>IF($Y$40&gt;14,$J$26/$Y$40,0)</f>
        <v>0</v>
      </c>
    </row>
    <row r="74" spans="2:25" x14ac:dyDescent="0.2">
      <c r="B74" s="683"/>
      <c r="D74" s="689">
        <f t="shared" si="23"/>
        <v>6</v>
      </c>
      <c r="E74" s="737"/>
      <c r="F74" s="737"/>
      <c r="G74" s="737"/>
      <c r="H74" s="737"/>
      <c r="I74" s="737"/>
      <c r="J74" s="737"/>
      <c r="K74" s="737"/>
      <c r="L74" s="737">
        <f>IF($Y$40&gt;0,$K$26/$Y$40,0)</f>
        <v>10.833333333333334</v>
      </c>
      <c r="M74" s="737">
        <f>IF($Y$40&gt;1,$K$26/$Y$40,0)</f>
        <v>10.833333333333334</v>
      </c>
      <c r="N74" s="737">
        <f>IF($Y$40&gt;2,$K$26/$Y$40,0)</f>
        <v>10.833333333333334</v>
      </c>
      <c r="O74" s="737">
        <f>IF($Y$40&gt;3,$K$26/$Y$40,0)</f>
        <v>10.833333333333334</v>
      </c>
      <c r="P74" s="737">
        <f>IF($Y$40&gt;4,$K$26/$Y$40,0)</f>
        <v>10.833333333333334</v>
      </c>
      <c r="Q74" s="737">
        <f>IF($Y$40&gt;5,$K$26/$Y$40,0)</f>
        <v>10.833333333333334</v>
      </c>
      <c r="R74" s="737">
        <f>IF($Y$40&gt;6,$K$26/$Y$40,0)</f>
        <v>10.833333333333334</v>
      </c>
      <c r="S74" s="737">
        <f>IF($Y$40&gt;7,$K$26/$Y$40,0)</f>
        <v>10.833333333333334</v>
      </c>
      <c r="T74" s="737">
        <f>IF($Y$40&gt;8,$K$26/$Y$40,0)</f>
        <v>10.833333333333334</v>
      </c>
      <c r="U74" s="737">
        <f>IF($Y$40&gt;9,$K$26/$Y$40,0)</f>
        <v>10.833333333333334</v>
      </c>
      <c r="V74" s="737">
        <f>IF($Y$40&gt;10,$K$26/$Y$40,0)</f>
        <v>10.833333333333334</v>
      </c>
      <c r="W74" s="737">
        <f>IF($Y$40&gt;11,$K$26/$Y$40,0)</f>
        <v>10.833333333333334</v>
      </c>
      <c r="X74" s="737">
        <f>IF($Y$40&gt;12,$K$26/$Y$40,0)</f>
        <v>0</v>
      </c>
      <c r="Y74" s="737">
        <f>IF($Y$40&gt;13,$K$26/$Y$40,0)</f>
        <v>0</v>
      </c>
    </row>
    <row r="75" spans="2:25" x14ac:dyDescent="0.2">
      <c r="B75" s="683"/>
      <c r="D75" s="689">
        <f t="shared" si="23"/>
        <v>7</v>
      </c>
      <c r="E75" s="737"/>
      <c r="F75" s="737"/>
      <c r="G75" s="737"/>
      <c r="H75" s="737"/>
      <c r="I75" s="737"/>
      <c r="J75" s="737"/>
      <c r="K75" s="737"/>
      <c r="L75" s="737"/>
      <c r="M75" s="737">
        <f>IF($Y$40&gt;0,$L$26/$Y$40,0)</f>
        <v>0</v>
      </c>
      <c r="N75" s="737">
        <f>IF($Y$40&gt;1,$L$26/$Y$40,0)</f>
        <v>0</v>
      </c>
      <c r="O75" s="737">
        <f>IF($Y$40&gt;2,$L$26/$Y$40,0)</f>
        <v>0</v>
      </c>
      <c r="P75" s="737">
        <f>IF($Y$40&gt;3,$L$26/$Y$40,0)</f>
        <v>0</v>
      </c>
      <c r="Q75" s="737">
        <f>IF($Y$40&gt;4,$L$26/$Y$40,0)</f>
        <v>0</v>
      </c>
      <c r="R75" s="737">
        <f>IF($Y$40&gt;5,$L$26/$Y$40,0)</f>
        <v>0</v>
      </c>
      <c r="S75" s="737">
        <f>IF($Y$40&gt;6,$L$26/$Y$40,0)</f>
        <v>0</v>
      </c>
      <c r="T75" s="737">
        <f>IF($Y$40&gt;7,$L$26/$Y$40,0)</f>
        <v>0</v>
      </c>
      <c r="U75" s="737">
        <f>IF($Y$40&gt;8,$L$26/$Y$40,0)</f>
        <v>0</v>
      </c>
      <c r="V75" s="737">
        <f>IF($Y$40&gt;9,$L$26/$Y$40,0)</f>
        <v>0</v>
      </c>
      <c r="W75" s="737">
        <f>IF($Y$40&gt;10,$L$26/$Y$40,0)</f>
        <v>0</v>
      </c>
      <c r="X75" s="737">
        <f>IF($Y$40&gt;11,$L$26/$Y$40,0)</f>
        <v>0</v>
      </c>
      <c r="Y75" s="737">
        <f>IF($Y$40&gt;12,$L$26/$Y$40,0)</f>
        <v>0</v>
      </c>
    </row>
    <row r="76" spans="2:25" x14ac:dyDescent="0.2">
      <c r="B76" s="683"/>
      <c r="D76" s="689">
        <f t="shared" si="23"/>
        <v>8</v>
      </c>
      <c r="E76" s="737"/>
      <c r="F76" s="737"/>
      <c r="G76" s="737"/>
      <c r="H76" s="737"/>
      <c r="I76" s="737"/>
      <c r="J76" s="737"/>
      <c r="K76" s="737"/>
      <c r="L76" s="737"/>
      <c r="M76" s="737"/>
      <c r="N76" s="737">
        <f>IF($Y$40&gt;0,$M$26/$Y$40,0)</f>
        <v>0</v>
      </c>
      <c r="O76" s="737">
        <f>IF($Y$40&gt;1,$M$26/$Y$40,0)</f>
        <v>0</v>
      </c>
      <c r="P76" s="737">
        <f>IF($Y$40&gt;2,$M$26/$Y$40,0)</f>
        <v>0</v>
      </c>
      <c r="Q76" s="737">
        <f>IF($Y$40&gt;3,$M$26/$Y$40,0)</f>
        <v>0</v>
      </c>
      <c r="R76" s="737">
        <f>IF($Y$40&gt;4,$M$26/$Y$40,0)</f>
        <v>0</v>
      </c>
      <c r="S76" s="737">
        <f>IF($Y$40&gt;5,$M$26/$Y$40,0)</f>
        <v>0</v>
      </c>
      <c r="T76" s="737">
        <f>IF($Y$40&gt;6,$M$26/$Y$40,0)</f>
        <v>0</v>
      </c>
      <c r="U76" s="737">
        <f>IF($Y$40&gt;7,$M$26/$Y$40,0)</f>
        <v>0</v>
      </c>
      <c r="V76" s="737">
        <f>IF($Y$40&gt;8,$M$26/$Y$40,0)</f>
        <v>0</v>
      </c>
      <c r="W76" s="737">
        <f>IF($Y$40&gt;9,$M$26/$Y$40,0)</f>
        <v>0</v>
      </c>
      <c r="X76" s="737">
        <f>IF($Y$40&gt;10,$M$26/$Y$40,0)</f>
        <v>0</v>
      </c>
      <c r="Y76" s="737">
        <f>IF($Y$40&gt;11,$M$26/$Y$40,0)</f>
        <v>0</v>
      </c>
    </row>
    <row r="77" spans="2:25" x14ac:dyDescent="0.2">
      <c r="B77" s="683"/>
      <c r="D77" s="689">
        <f t="shared" si="23"/>
        <v>9</v>
      </c>
      <c r="E77" s="737"/>
      <c r="F77" s="737"/>
      <c r="G77" s="737"/>
      <c r="H77" s="737"/>
      <c r="I77" s="737"/>
      <c r="J77" s="737"/>
      <c r="K77" s="737"/>
      <c r="L77" s="737"/>
      <c r="M77" s="737"/>
      <c r="N77" s="737"/>
      <c r="O77" s="737">
        <f>IF($Y$40&gt;0,$N$26/$Y$40,0)</f>
        <v>0</v>
      </c>
      <c r="P77" s="737">
        <f>IF($Y$40&gt;1,$N$26/$Y$40,0)</f>
        <v>0</v>
      </c>
      <c r="Q77" s="737">
        <f>IF($Y$40&gt;2,$N$26/$Y$40,0)</f>
        <v>0</v>
      </c>
      <c r="R77" s="737">
        <f>IF($Y$40&gt;3,$N$26/$Y$40,0)</f>
        <v>0</v>
      </c>
      <c r="S77" s="737">
        <f>IF($Y$40&gt;4,$N$26/$Y$40,0)</f>
        <v>0</v>
      </c>
      <c r="T77" s="737">
        <f>IF($Y$40&gt;5,$N$26/$Y$40,0)</f>
        <v>0</v>
      </c>
      <c r="U77" s="737">
        <f>IF($Y$40&gt;6,$N$26/$Y$40,0)</f>
        <v>0</v>
      </c>
      <c r="V77" s="737">
        <f>IF($Y$40&gt;7,$N$26/$Y$40,0)</f>
        <v>0</v>
      </c>
      <c r="W77" s="737">
        <f>IF($Y$40&gt;8,$N$26/$Y$40,0)</f>
        <v>0</v>
      </c>
      <c r="X77" s="737">
        <f>IF($Y$40&gt;9,$N$26/$Y$40,0)</f>
        <v>0</v>
      </c>
      <c r="Y77" s="737">
        <f>IF($Y$40&gt;10,$N$26/$Y$40,0)</f>
        <v>0</v>
      </c>
    </row>
    <row r="78" spans="2:25" x14ac:dyDescent="0.2">
      <c r="B78" s="683"/>
      <c r="D78" s="689">
        <f t="shared" si="23"/>
        <v>10</v>
      </c>
      <c r="E78" s="737"/>
      <c r="F78" s="737"/>
      <c r="G78" s="737"/>
      <c r="H78" s="737"/>
      <c r="I78" s="737"/>
      <c r="J78" s="737"/>
      <c r="K78" s="737"/>
      <c r="L78" s="737"/>
      <c r="M78" s="737"/>
      <c r="N78" s="737"/>
      <c r="O78" s="737"/>
      <c r="P78" s="737">
        <f>IF($Y$40&gt;0,$O$26/$Y$40,0)</f>
        <v>0</v>
      </c>
      <c r="Q78" s="737">
        <f>IF($Y$40&gt;1,$O$26/$Y$40,0)</f>
        <v>0</v>
      </c>
      <c r="R78" s="737">
        <f>IF($Y$40&gt;2,$O$26/$Y$40,0)</f>
        <v>0</v>
      </c>
      <c r="S78" s="737">
        <f>IF($Y$40&gt;3,$O$26/$Y$40,0)</f>
        <v>0</v>
      </c>
      <c r="T78" s="737">
        <f>IF($Y$40&gt;4,$O$26/$Y$40,0)</f>
        <v>0</v>
      </c>
      <c r="U78" s="737">
        <f>IF($Y$40&gt;5,$O$26/$Y$40,0)</f>
        <v>0</v>
      </c>
      <c r="V78" s="737">
        <f>IF($Y$40&gt;6,$O$26/$Y$40,0)</f>
        <v>0</v>
      </c>
      <c r="W78" s="737">
        <f>IF($Y$40&gt;7,$O$26/$Y$40,0)</f>
        <v>0</v>
      </c>
      <c r="X78" s="737">
        <f>IF($Y$40&gt;8,$O$26/$Y$40,0)</f>
        <v>0</v>
      </c>
      <c r="Y78" s="737">
        <f>IF($Y$40&gt;9,$O$26/$Y$40,0)</f>
        <v>0</v>
      </c>
    </row>
    <row r="79" spans="2:25" x14ac:dyDescent="0.2">
      <c r="B79" s="683"/>
      <c r="D79" s="689">
        <f t="shared" si="23"/>
        <v>11</v>
      </c>
      <c r="E79" s="737"/>
      <c r="F79" s="737"/>
      <c r="G79" s="737"/>
      <c r="H79" s="737"/>
      <c r="I79" s="737"/>
      <c r="J79" s="737"/>
      <c r="K79" s="737"/>
      <c r="L79" s="737"/>
      <c r="M79" s="737"/>
      <c r="N79" s="737"/>
      <c r="O79" s="737"/>
      <c r="P79" s="737"/>
      <c r="Q79" s="737">
        <f>IF($Y$40&gt;0,$P$26/$Y$40,0)</f>
        <v>0</v>
      </c>
      <c r="R79" s="737">
        <f>IF($Y$40&gt;1,$P$26/$Y$40,0)</f>
        <v>0</v>
      </c>
      <c r="S79" s="737">
        <f>IF($Y$40&gt;2,$P$26/$Y$40,0)</f>
        <v>0</v>
      </c>
      <c r="T79" s="737">
        <f>IF($Y$40&gt;3,$P$26/$Y$40,0)</f>
        <v>0</v>
      </c>
      <c r="U79" s="737">
        <f>IF($Y$40&gt;4,$P$26/$Y$40,0)</f>
        <v>0</v>
      </c>
      <c r="V79" s="737">
        <f>IF($Y$40&gt;5,$P$26/$Y$40,0)</f>
        <v>0</v>
      </c>
      <c r="W79" s="737">
        <f>IF($Y$40&gt;6,$P$26/$Y$40,0)</f>
        <v>0</v>
      </c>
      <c r="X79" s="737">
        <f>IF($Y$40&gt;7,$P$26/$Y$40,0)</f>
        <v>0</v>
      </c>
      <c r="Y79" s="737">
        <f>IF($Y$40&gt;8,$P$26/$Y$40,0)</f>
        <v>0</v>
      </c>
    </row>
    <row r="80" spans="2:25" x14ac:dyDescent="0.2">
      <c r="B80" s="683"/>
      <c r="D80" s="689">
        <f t="shared" si="23"/>
        <v>12</v>
      </c>
      <c r="E80" s="737"/>
      <c r="F80" s="737"/>
      <c r="G80" s="737"/>
      <c r="H80" s="737"/>
      <c r="I80" s="737"/>
      <c r="J80" s="737"/>
      <c r="K80" s="737"/>
      <c r="L80" s="737"/>
      <c r="M80" s="737"/>
      <c r="N80" s="737"/>
      <c r="O80" s="737"/>
      <c r="P80" s="737"/>
      <c r="Q80" s="737"/>
      <c r="R80" s="737">
        <f>IF($Y$40&gt;0,$Q$26/$Y$40,0)</f>
        <v>0</v>
      </c>
      <c r="S80" s="737">
        <f>IF($Y$40&gt;1,$Q$26/$Y$40,0)</f>
        <v>0</v>
      </c>
      <c r="T80" s="737">
        <f>IF($Y$40&gt;2,$Q$26/$Y$40,0)</f>
        <v>0</v>
      </c>
      <c r="U80" s="737">
        <f>IF($Y$40&gt;3,$Q$26/$Y$40,0)</f>
        <v>0</v>
      </c>
      <c r="V80" s="737">
        <f>IF($Y$40&gt;4,$Q$26/$Y$40,0)</f>
        <v>0</v>
      </c>
      <c r="W80" s="737">
        <f>IF($Y$40&gt;5,$Q$26/$Y$40,0)</f>
        <v>0</v>
      </c>
      <c r="X80" s="737">
        <f>IF($Y$40&gt;6,$Q$26/$Y$40,0)</f>
        <v>0</v>
      </c>
      <c r="Y80" s="737">
        <f>IF($Y$40&gt;7,$Q$26/$Y$40,0)</f>
        <v>0</v>
      </c>
    </row>
    <row r="81" spans="2:25" x14ac:dyDescent="0.2">
      <c r="B81" s="683"/>
      <c r="D81" s="689">
        <f t="shared" si="23"/>
        <v>13</v>
      </c>
      <c r="E81" s="737"/>
      <c r="F81" s="737"/>
      <c r="G81" s="737"/>
      <c r="H81" s="737"/>
      <c r="I81" s="737"/>
      <c r="J81" s="737"/>
      <c r="K81" s="737"/>
      <c r="L81" s="737"/>
      <c r="M81" s="737"/>
      <c r="N81" s="737"/>
      <c r="O81" s="737"/>
      <c r="P81" s="737"/>
      <c r="Q81" s="737"/>
      <c r="R81" s="737"/>
      <c r="S81" s="737">
        <f>IF($Y$40&gt;0,$R$26/$Y$40,0)</f>
        <v>0</v>
      </c>
      <c r="T81" s="737">
        <f>IF($Y$40&gt;1,$R$26/$Y$40,0)</f>
        <v>0</v>
      </c>
      <c r="U81" s="737">
        <f>IF($Y$40&gt;2,$R$26/$Y$40,0)</f>
        <v>0</v>
      </c>
      <c r="V81" s="737">
        <f>IF($Y$40&gt;3,$R$26/$Y$40,0)</f>
        <v>0</v>
      </c>
      <c r="W81" s="737">
        <f>IF($Y$40&gt;4,$R$26/$Y$40,0)</f>
        <v>0</v>
      </c>
      <c r="X81" s="737">
        <f>IF($Y$40&gt;5,$R$26/$Y$40,0)</f>
        <v>0</v>
      </c>
      <c r="Y81" s="737">
        <f>IF($Y$40&gt;6,$R$26/$Y$40,0)</f>
        <v>0</v>
      </c>
    </row>
    <row r="82" spans="2:25" x14ac:dyDescent="0.2">
      <c r="B82" s="683"/>
      <c r="D82" s="689">
        <f t="shared" si="23"/>
        <v>14</v>
      </c>
      <c r="E82" s="737"/>
      <c r="F82" s="737"/>
      <c r="G82" s="737"/>
      <c r="H82" s="737"/>
      <c r="I82" s="737"/>
      <c r="J82" s="737"/>
      <c r="K82" s="737"/>
      <c r="L82" s="737"/>
      <c r="M82" s="737"/>
      <c r="N82" s="737"/>
      <c r="O82" s="737"/>
      <c r="P82" s="737"/>
      <c r="Q82" s="737"/>
      <c r="R82" s="737"/>
      <c r="S82" s="737"/>
      <c r="T82" s="737">
        <f>IF($Y$40&gt;0,$S$26/$Y$40,0)</f>
        <v>0</v>
      </c>
      <c r="U82" s="737">
        <f>IF($Y$40&gt;1,$S$26/$Y$40,0)</f>
        <v>0</v>
      </c>
      <c r="V82" s="737">
        <f>IF($Y$40&gt;2,$S$26/$Y$40,0)</f>
        <v>0</v>
      </c>
      <c r="W82" s="737">
        <f>IF($Y$40&gt;3,$S$26/$Y$40,0)</f>
        <v>0</v>
      </c>
      <c r="X82" s="737">
        <f>IF($Y$40&gt;4,$S$26/$Y$40,0)</f>
        <v>0</v>
      </c>
      <c r="Y82" s="737">
        <f>IF($Y$40&gt;5,$S$26/$Y$40,0)</f>
        <v>0</v>
      </c>
    </row>
    <row r="83" spans="2:25" x14ac:dyDescent="0.2">
      <c r="B83" s="683"/>
      <c r="D83" s="689">
        <f t="shared" si="23"/>
        <v>15</v>
      </c>
      <c r="E83" s="737"/>
      <c r="F83" s="737"/>
      <c r="G83" s="737"/>
      <c r="H83" s="737"/>
      <c r="I83" s="737"/>
      <c r="J83" s="737"/>
      <c r="K83" s="737"/>
      <c r="L83" s="737"/>
      <c r="M83" s="737"/>
      <c r="N83" s="737"/>
      <c r="O83" s="737"/>
      <c r="P83" s="737"/>
      <c r="Q83" s="737"/>
      <c r="R83" s="737"/>
      <c r="S83" s="737"/>
      <c r="T83" s="742"/>
      <c r="U83" s="737">
        <f>IF($Y$40&gt;0,$T$26/$Y$40,0)</f>
        <v>0</v>
      </c>
      <c r="V83" s="737">
        <f>IF($Y$40&gt;1,$T$26/$Y$40,0)</f>
        <v>0</v>
      </c>
      <c r="W83" s="737">
        <f>IF($Y$40&gt;2,$T$26/$Y$40,0)</f>
        <v>0</v>
      </c>
      <c r="X83" s="737">
        <f>IF($Y$40&gt;3,$T$26/$Y$40,0)</f>
        <v>0</v>
      </c>
      <c r="Y83" s="737">
        <f>IF($Y$40&gt;4,$T$26/$Y$40,0)</f>
        <v>0</v>
      </c>
    </row>
    <row r="84" spans="2:25" x14ac:dyDescent="0.2">
      <c r="B84" s="683"/>
      <c r="D84" s="689">
        <f t="shared" si="23"/>
        <v>16</v>
      </c>
      <c r="E84" s="737"/>
      <c r="F84" s="737"/>
      <c r="G84" s="737"/>
      <c r="H84" s="737"/>
      <c r="I84" s="737"/>
      <c r="J84" s="737"/>
      <c r="K84" s="737"/>
      <c r="L84" s="737"/>
      <c r="M84" s="737"/>
      <c r="N84" s="737"/>
      <c r="O84" s="737"/>
      <c r="P84" s="737"/>
      <c r="Q84" s="737"/>
      <c r="R84" s="737"/>
      <c r="S84" s="737"/>
      <c r="T84" s="742"/>
      <c r="U84" s="737"/>
      <c r="V84" s="737">
        <f>IF($Y$40&gt;0,$U$26/$Y$40,0)</f>
        <v>0</v>
      </c>
      <c r="W84" s="737">
        <f>IF($Y$40&gt;1,$U$26/$Y$40,0)</f>
        <v>0</v>
      </c>
      <c r="X84" s="737">
        <f>IF($Y$40&gt;2,$U$26/$Y$40,0)</f>
        <v>0</v>
      </c>
      <c r="Y84" s="737">
        <f>IF($Y$40&gt;3,$U$26/$Y$40,0)</f>
        <v>0</v>
      </c>
    </row>
    <row r="85" spans="2:25" x14ac:dyDescent="0.2">
      <c r="B85" s="683"/>
      <c r="D85" s="689">
        <f t="shared" si="23"/>
        <v>17</v>
      </c>
      <c r="E85" s="737"/>
      <c r="F85" s="737"/>
      <c r="G85" s="737"/>
      <c r="H85" s="737"/>
      <c r="I85" s="737"/>
      <c r="J85" s="737"/>
      <c r="K85" s="737"/>
      <c r="L85" s="737"/>
      <c r="M85" s="737"/>
      <c r="N85" s="737"/>
      <c r="O85" s="737"/>
      <c r="P85" s="737"/>
      <c r="Q85" s="737"/>
      <c r="R85" s="737"/>
      <c r="S85" s="737"/>
      <c r="T85" s="742"/>
      <c r="U85" s="737"/>
      <c r="V85" s="737"/>
      <c r="W85" s="737">
        <f>IF($Y$40&gt;0,$V$26/$Y$40,0)</f>
        <v>0</v>
      </c>
      <c r="X85" s="737">
        <f>IF($Y$40&gt;1,$V$26/$Y$40,0)</f>
        <v>0</v>
      </c>
      <c r="Y85" s="737">
        <f>IF($Y$40&gt;2,$V$26/$Y$40,0)</f>
        <v>0</v>
      </c>
    </row>
    <row r="86" spans="2:25" x14ac:dyDescent="0.2">
      <c r="B86" s="683"/>
      <c r="D86" s="689">
        <f t="shared" si="23"/>
        <v>18</v>
      </c>
      <c r="E86" s="737"/>
      <c r="F86" s="737"/>
      <c r="G86" s="737"/>
      <c r="H86" s="737"/>
      <c r="I86" s="737"/>
      <c r="J86" s="737"/>
      <c r="K86" s="737"/>
      <c r="L86" s="737"/>
      <c r="M86" s="737"/>
      <c r="N86" s="737"/>
      <c r="O86" s="737"/>
      <c r="P86" s="737"/>
      <c r="Q86" s="737"/>
      <c r="R86" s="737"/>
      <c r="S86" s="737"/>
      <c r="T86" s="742"/>
      <c r="U86" s="737"/>
      <c r="V86" s="737"/>
      <c r="W86" s="737"/>
      <c r="X86" s="737">
        <f>IF($Y$40&gt;0,$W$26/$Y$40,0)</f>
        <v>0</v>
      </c>
      <c r="Y86" s="737">
        <f>IF($Y$40&gt;1,$W$26/$Y$40,0)</f>
        <v>0</v>
      </c>
    </row>
    <row r="87" spans="2:25" x14ac:dyDescent="0.2">
      <c r="B87" s="683"/>
      <c r="D87" s="689">
        <f t="shared" si="23"/>
        <v>19</v>
      </c>
      <c r="E87" s="737"/>
      <c r="F87" s="737"/>
      <c r="G87" s="737"/>
      <c r="H87" s="737"/>
      <c r="I87" s="737"/>
      <c r="J87" s="737"/>
      <c r="K87" s="737"/>
      <c r="L87" s="737"/>
      <c r="M87" s="737"/>
      <c r="N87" s="737"/>
      <c r="O87" s="737"/>
      <c r="P87" s="737"/>
      <c r="Q87" s="737"/>
      <c r="R87" s="737"/>
      <c r="S87" s="737"/>
      <c r="T87" s="742"/>
      <c r="U87" s="737"/>
      <c r="V87" s="737"/>
      <c r="W87" s="737"/>
      <c r="X87" s="737"/>
      <c r="Y87" s="737">
        <f>IF($Y$40&gt;0,$X$26/$Y$40,0)</f>
        <v>0</v>
      </c>
    </row>
    <row r="88" spans="2:25" x14ac:dyDescent="0.2">
      <c r="B88" s="683"/>
      <c r="D88" s="689">
        <f t="shared" si="23"/>
        <v>20</v>
      </c>
      <c r="E88" s="737"/>
      <c r="F88" s="737"/>
      <c r="G88" s="737"/>
      <c r="H88" s="737"/>
      <c r="I88" s="737"/>
      <c r="J88" s="737"/>
      <c r="K88" s="737"/>
      <c r="L88" s="737"/>
      <c r="M88" s="737"/>
      <c r="N88" s="737"/>
      <c r="O88" s="737"/>
      <c r="P88" s="737"/>
      <c r="Q88" s="737"/>
      <c r="R88" s="737"/>
      <c r="S88" s="737"/>
      <c r="T88" s="742"/>
      <c r="U88" s="737"/>
      <c r="V88" s="737"/>
      <c r="W88" s="737"/>
      <c r="X88" s="737"/>
      <c r="Y88" s="737"/>
    </row>
    <row r="89" spans="2:25" x14ac:dyDescent="0.2">
      <c r="B89" s="683"/>
      <c r="E89" s="737"/>
      <c r="F89" s="737"/>
      <c r="G89" s="737"/>
      <c r="H89" s="737"/>
      <c r="I89" s="737"/>
      <c r="J89" s="737"/>
      <c r="K89" s="737"/>
      <c r="L89" s="737"/>
      <c r="M89" s="737"/>
      <c r="N89" s="737"/>
      <c r="O89" s="737"/>
      <c r="P89" s="737"/>
      <c r="Q89" s="737"/>
      <c r="R89" s="737"/>
      <c r="S89" s="737"/>
      <c r="T89" s="742"/>
      <c r="U89" s="737"/>
      <c r="V89" s="737"/>
      <c r="W89" s="737"/>
      <c r="X89" s="737"/>
      <c r="Y89" s="737"/>
    </row>
    <row r="90" spans="2:25" x14ac:dyDescent="0.2">
      <c r="B90" s="683"/>
      <c r="C90" s="682" t="s">
        <v>717</v>
      </c>
      <c r="D90" s="688"/>
      <c r="E90" s="737"/>
      <c r="F90" s="737">
        <f>IF($Y$40&gt;0,$E$27/$Y$40,0)</f>
        <v>0</v>
      </c>
      <c r="G90" s="737">
        <f>IF($Y$40&gt;1,$E$27/$Y$40,0)</f>
        <v>0</v>
      </c>
      <c r="H90" s="737">
        <f>IF($Y$40&gt;2,$E$27/$Y$40,0)</f>
        <v>0</v>
      </c>
      <c r="I90" s="737">
        <f>IF($Y$40&gt;3,$E$27/$Y$40,0)</f>
        <v>0</v>
      </c>
      <c r="J90" s="737">
        <f>IF($Y$40&gt;4,$E$27/$Y$40,0)</f>
        <v>0</v>
      </c>
      <c r="K90" s="737">
        <f>IF($Y$40&gt;5,$E$27/$Y$40,0)</f>
        <v>0</v>
      </c>
      <c r="L90" s="737">
        <f>IF($Y$40&gt;6,$E$27/$Y$40,0)</f>
        <v>0</v>
      </c>
      <c r="M90" s="737">
        <f>IF($Y$40&gt;7,$E$27/$Y$40,0)</f>
        <v>0</v>
      </c>
      <c r="N90" s="737">
        <f>IF($Y$40&gt;8,$E$27/$Y$40,0)</f>
        <v>0</v>
      </c>
      <c r="O90" s="737">
        <f>IF($Y$40&gt;9,$E$27/$Y$40,0)</f>
        <v>0</v>
      </c>
      <c r="P90" s="737">
        <f>IF($Y$40&gt;10,$E$27/$Y$40,0)</f>
        <v>0</v>
      </c>
      <c r="Q90" s="737">
        <f>IF($Y$40&gt;11,$E$27/$Y$40,0)</f>
        <v>0</v>
      </c>
      <c r="R90" s="737">
        <f>IF($Y$40&gt;12,$E$27/$Y$40,0)</f>
        <v>0</v>
      </c>
      <c r="S90" s="737">
        <f>IF($Y$40&gt;13,$E$27/$Y$40,0)</f>
        <v>0</v>
      </c>
      <c r="T90" s="737">
        <f>IF($Y$40&gt;14,$E$27/$Y$40,0)</f>
        <v>0</v>
      </c>
      <c r="U90" s="737">
        <f>IF($Y$40&gt;15,$E$27/$Y$40,0)</f>
        <v>0</v>
      </c>
      <c r="V90" s="737">
        <f>IF($Y$40&gt;16,$E$27/$Y$40,0)</f>
        <v>0</v>
      </c>
      <c r="W90" s="737">
        <f>IF($Y$40&gt;17,$E$27/$Y$40,0)</f>
        <v>0</v>
      </c>
      <c r="X90" s="737">
        <f>IF($Y$40&gt;18,$E$27/$Y$40,0)</f>
        <v>0</v>
      </c>
      <c r="Y90" s="737">
        <f>IF($Y$40&gt;19,$E$27/$Y$40,0)</f>
        <v>0</v>
      </c>
    </row>
    <row r="91" spans="2:25" x14ac:dyDescent="0.2">
      <c r="B91" s="683"/>
      <c r="D91" s="689">
        <f t="shared" ref="D91:D110" si="24">D90+1</f>
        <v>1</v>
      </c>
      <c r="E91" s="737"/>
      <c r="F91" s="737"/>
      <c r="G91" s="737">
        <f>IF($Y$40&gt;0,$F$27/$Y$40,0)</f>
        <v>0</v>
      </c>
      <c r="H91" s="737">
        <f>IF($Y$40&gt;1,$F$27/$Y$40,0)</f>
        <v>0</v>
      </c>
      <c r="I91" s="737">
        <f>IF($Y$40&gt;2,$F$27/$Y$40,0)</f>
        <v>0</v>
      </c>
      <c r="J91" s="737">
        <f>IF($Y$40&gt;3,$F$27/$Y$40,0)</f>
        <v>0</v>
      </c>
      <c r="K91" s="737">
        <f>IF($Y$40&gt;4,$F$27/$Y$40,0)</f>
        <v>0</v>
      </c>
      <c r="L91" s="737">
        <f>IF($Y$40&gt;5,$F$27/$Y$40,0)</f>
        <v>0</v>
      </c>
      <c r="M91" s="737">
        <f>IF($Y$40&gt;6,$F$27/$Y$40,0)</f>
        <v>0</v>
      </c>
      <c r="N91" s="737">
        <f>IF($Y$40&gt;7,$F$27/$Y$40,0)</f>
        <v>0</v>
      </c>
      <c r="O91" s="737">
        <f>IF($Y$40&gt;8,$F$27/$Y$40,0)</f>
        <v>0</v>
      </c>
      <c r="P91" s="737">
        <f>IF($Y$40&gt;9,$F$27/$Y$40,0)</f>
        <v>0</v>
      </c>
      <c r="Q91" s="737">
        <f>IF($Y$40&gt;10,$F$27/$Y$40,0)</f>
        <v>0</v>
      </c>
      <c r="R91" s="737">
        <f>IF($Y$40&gt;11,$F$27/$Y$40,0)</f>
        <v>0</v>
      </c>
      <c r="S91" s="737">
        <f>IF($Y$40&gt;12,$F$27/$Y$40,0)</f>
        <v>0</v>
      </c>
      <c r="T91" s="737">
        <f>IF($Y$40&gt;13,$F$27/$Y$40,0)</f>
        <v>0</v>
      </c>
      <c r="U91" s="737">
        <f>IF($Y$40&gt;14,$F$27/$Y$40,0)</f>
        <v>0</v>
      </c>
      <c r="V91" s="737">
        <f>IF($Y$40&gt;15,$F$27/$Y$40,0)</f>
        <v>0</v>
      </c>
      <c r="W91" s="737">
        <f>IF($Y$40&gt;16,$F$27/$Y$40,0)</f>
        <v>0</v>
      </c>
      <c r="X91" s="737">
        <f>IF($Y$40&gt;17,$F$27/$Y$40,0)</f>
        <v>0</v>
      </c>
      <c r="Y91" s="737">
        <f>IF($Y$40&gt;18,$F$27/$Y$40,0)</f>
        <v>0</v>
      </c>
    </row>
    <row r="92" spans="2:25" x14ac:dyDescent="0.2">
      <c r="B92" s="683"/>
      <c r="D92" s="689">
        <f t="shared" si="24"/>
        <v>2</v>
      </c>
      <c r="E92" s="737"/>
      <c r="F92" s="737"/>
      <c r="G92" s="737"/>
      <c r="H92" s="737">
        <f>IF($Y$40&gt;0,$G$27/$Y$40,0)</f>
        <v>0</v>
      </c>
      <c r="I92" s="737">
        <f>IF($Y$40&gt;1,$G$27/$Y$40,0)</f>
        <v>0</v>
      </c>
      <c r="J92" s="737">
        <f>IF($Y$40&gt;2,$G$27/$Y$40,0)</f>
        <v>0</v>
      </c>
      <c r="K92" s="737">
        <f>IF($Y$40&gt;3,$G$27/$Y$40,0)</f>
        <v>0</v>
      </c>
      <c r="L92" s="737">
        <f>IF($Y$40&gt;4,$G$27/$Y$40,0)</f>
        <v>0</v>
      </c>
      <c r="M92" s="737">
        <f>IF($Y$40&gt;5,$G$27/$Y$40,0)</f>
        <v>0</v>
      </c>
      <c r="N92" s="737">
        <f>IF($Y$40&gt;6,$G$27/$Y$40,0)</f>
        <v>0</v>
      </c>
      <c r="O92" s="737">
        <f>IF($Y$40&gt;7,$G$27/$Y$40,0)</f>
        <v>0</v>
      </c>
      <c r="P92" s="737">
        <f>IF($Y$40&gt;8,$G$27/$Y$40,0)</f>
        <v>0</v>
      </c>
      <c r="Q92" s="737">
        <f>IF($Y$40&gt;9,$G$27/$Y$40,0)</f>
        <v>0</v>
      </c>
      <c r="R92" s="737">
        <f>IF($Y$40&gt;10,$G$27/$Y$40,0)</f>
        <v>0</v>
      </c>
      <c r="S92" s="737">
        <f>IF($Y$40&gt;11,$G$27/$Y$40,0)</f>
        <v>0</v>
      </c>
      <c r="T92" s="737">
        <f>IF($Y$40&gt;12,$G$27/$Y$40,0)</f>
        <v>0</v>
      </c>
      <c r="U92" s="737">
        <f>IF($Y$40&gt;13,$G$27/$Y$40,0)</f>
        <v>0</v>
      </c>
      <c r="V92" s="737">
        <f>IF($Y$40&gt;14,$G$27/$Y$40,0)</f>
        <v>0</v>
      </c>
      <c r="W92" s="737">
        <f>IF($Y$40&gt;15,$G$27/$Y$40,0)</f>
        <v>0</v>
      </c>
      <c r="X92" s="737">
        <f>IF($Y$40&gt;16,$G$27/$Y$40,0)</f>
        <v>0</v>
      </c>
      <c r="Y92" s="737">
        <f>IF($Y$40&gt;17,$G$27/$Y$40,0)</f>
        <v>0</v>
      </c>
    </row>
    <row r="93" spans="2:25" x14ac:dyDescent="0.2">
      <c r="B93" s="683"/>
      <c r="D93" s="689">
        <f t="shared" si="24"/>
        <v>3</v>
      </c>
      <c r="E93" s="737"/>
      <c r="F93" s="737"/>
      <c r="G93" s="737"/>
      <c r="H93" s="737"/>
      <c r="I93" s="737">
        <f>IF($Y$40&gt;0,$H$27/$Y$40,0)</f>
        <v>0</v>
      </c>
      <c r="J93" s="737">
        <f>IF($Y$40&gt;1,$H$27/$Y$40,0)</f>
        <v>0</v>
      </c>
      <c r="K93" s="737">
        <f>IF($Y$40&gt;2,$H$27/$Y$40,0)</f>
        <v>0</v>
      </c>
      <c r="L93" s="737">
        <f>IF($Y$40&gt;3,$H$27/$Y$40,0)</f>
        <v>0</v>
      </c>
      <c r="M93" s="737">
        <f>IF($Y$40&gt;4,$H$27/$Y$40,0)</f>
        <v>0</v>
      </c>
      <c r="N93" s="737">
        <f>IF($Y$40&gt;5,$H$27/$Y$40,0)</f>
        <v>0</v>
      </c>
      <c r="O93" s="737">
        <f>IF($Y$40&gt;6,$H$27/$Y$40,0)</f>
        <v>0</v>
      </c>
      <c r="P93" s="737">
        <f>IF($Y$40&gt;7,$H$27/$Y$40,0)</f>
        <v>0</v>
      </c>
      <c r="Q93" s="737">
        <f>IF($Y$40&gt;8,$H$27/$Y$40,0)</f>
        <v>0</v>
      </c>
      <c r="R93" s="737">
        <f>IF($Y$40&gt;9,$H$27/$Y$40,0)</f>
        <v>0</v>
      </c>
      <c r="S93" s="737">
        <f>IF($Y$40&gt;10,$H$27/$Y$40,0)</f>
        <v>0</v>
      </c>
      <c r="T93" s="737">
        <f>IF($Y$40&gt;11,$H$27/$Y$40,0)</f>
        <v>0</v>
      </c>
      <c r="U93" s="737">
        <f>IF($Y$40&gt;12,$H$27/$Y$40,0)</f>
        <v>0</v>
      </c>
      <c r="V93" s="737">
        <f>IF($Y$40&gt;13,$H$27/$Y$40,0)</f>
        <v>0</v>
      </c>
      <c r="W93" s="737">
        <f>IF($Y$40&gt;14,$H$27/$Y$40,0)</f>
        <v>0</v>
      </c>
      <c r="X93" s="737">
        <f>IF($Y$40&gt;15,$H$27/$Y$40,0)</f>
        <v>0</v>
      </c>
      <c r="Y93" s="737">
        <f>IF($Y$40&gt;16,$H$27/$Y$40,0)</f>
        <v>0</v>
      </c>
    </row>
    <row r="94" spans="2:25" x14ac:dyDescent="0.2">
      <c r="B94" s="683"/>
      <c r="D94" s="689">
        <f t="shared" si="24"/>
        <v>4</v>
      </c>
      <c r="E94" s="737"/>
      <c r="F94" s="737"/>
      <c r="G94" s="737"/>
      <c r="H94" s="737"/>
      <c r="I94" s="737"/>
      <c r="J94" s="737">
        <f>IF($Y$40&gt;0,$I$27/$Y$40,0)</f>
        <v>0</v>
      </c>
      <c r="K94" s="737">
        <f>IF($Y$40&gt;1,$I$27/$Y$40,0)</f>
        <v>0</v>
      </c>
      <c r="L94" s="737">
        <f>IF($Y$40&gt;2,$I$27/$Y$40,0)</f>
        <v>0</v>
      </c>
      <c r="M94" s="737">
        <f>IF($Y$40&gt;3,$I$27/$Y$40,0)</f>
        <v>0</v>
      </c>
      <c r="N94" s="737">
        <f>IF($Y$40&gt;4,$I$27/$Y$40,0)</f>
        <v>0</v>
      </c>
      <c r="O94" s="737">
        <f>IF($Y$40&gt;5,$I$27/$Y$40,0)</f>
        <v>0</v>
      </c>
      <c r="P94" s="737">
        <f>IF($Y$40&gt;6,$I$27/$Y$40,0)</f>
        <v>0</v>
      </c>
      <c r="Q94" s="737">
        <f>IF($Y$40&gt;7,$I$27/$Y$40,0)</f>
        <v>0</v>
      </c>
      <c r="R94" s="737">
        <f>IF($Y$40&gt;8,$I$27/$Y$40,0)</f>
        <v>0</v>
      </c>
      <c r="S94" s="737">
        <f>IF($Y$40&gt;9,$I$27/$Y$40,0)</f>
        <v>0</v>
      </c>
      <c r="T94" s="737">
        <f>IF($Y$40&gt;10,$I$27/$Y$40,0)</f>
        <v>0</v>
      </c>
      <c r="U94" s="737">
        <f>IF($Y$40&gt;11,$I$27/$Y$40,0)</f>
        <v>0</v>
      </c>
      <c r="V94" s="737">
        <f>IF($Y$40&gt;12,$I$27/$Y$40,0)</f>
        <v>0</v>
      </c>
      <c r="W94" s="737">
        <f>IF($Y$40&gt;13,$I$27/$Y$40,0)</f>
        <v>0</v>
      </c>
      <c r="X94" s="737">
        <f>IF($Y$40&gt;14,$I$27/$Y$40,0)</f>
        <v>0</v>
      </c>
      <c r="Y94" s="737">
        <f>IF($Y$40&gt;15,$I$27/$Y$40,0)</f>
        <v>0</v>
      </c>
    </row>
    <row r="95" spans="2:25" x14ac:dyDescent="0.2">
      <c r="B95" s="683"/>
      <c r="D95" s="689">
        <f t="shared" si="24"/>
        <v>5</v>
      </c>
      <c r="E95" s="737"/>
      <c r="F95" s="737"/>
      <c r="G95" s="737"/>
      <c r="H95" s="737"/>
      <c r="I95" s="737"/>
      <c r="J95" s="737"/>
      <c r="K95" s="737">
        <f>IF($Y$40&gt;0,$J$27/$Y$40,0)</f>
        <v>0</v>
      </c>
      <c r="L95" s="737">
        <f>IF($Y$40&gt;1,$J$27/$Y$40,0)</f>
        <v>0</v>
      </c>
      <c r="M95" s="737">
        <f>IF($Y$40&gt;2,$J$27/$Y$40,0)</f>
        <v>0</v>
      </c>
      <c r="N95" s="737">
        <f>IF($Y$40&gt;3,$J$27/$Y$40,0)</f>
        <v>0</v>
      </c>
      <c r="O95" s="737">
        <f>IF($Y$40&gt;4,$J$27/$Y$40,0)</f>
        <v>0</v>
      </c>
      <c r="P95" s="737">
        <f>IF($Y$40&gt;5,$J$27/$Y$40,0)</f>
        <v>0</v>
      </c>
      <c r="Q95" s="737">
        <f>IF($Y$40&gt;6,$J$27/$Y$40,0)</f>
        <v>0</v>
      </c>
      <c r="R95" s="737">
        <f>IF($Y$40&gt;7,$J$27/$Y$40,0)</f>
        <v>0</v>
      </c>
      <c r="S95" s="737">
        <f>IF($Y$40&gt;8,$J$27/$Y$40,0)</f>
        <v>0</v>
      </c>
      <c r="T95" s="737">
        <f>IF($Y$40&gt;9,$J$27/$Y$40,0)</f>
        <v>0</v>
      </c>
      <c r="U95" s="737">
        <f>IF($Y$40&gt;10,$J$27/$Y$40,0)</f>
        <v>0</v>
      </c>
      <c r="V95" s="737">
        <f>IF($Y$40&gt;11,$J$27/$Y$40,0)</f>
        <v>0</v>
      </c>
      <c r="W95" s="737">
        <f>IF($Y$40&gt;12,$J$27/$Y$40,0)</f>
        <v>0</v>
      </c>
      <c r="X95" s="737">
        <f>IF($Y$40&gt;13,$J$27/$Y$40,0)</f>
        <v>0</v>
      </c>
      <c r="Y95" s="737">
        <f>IF($Y$40&gt;14,$J$27/$Y$40,0)</f>
        <v>0</v>
      </c>
    </row>
    <row r="96" spans="2:25" x14ac:dyDescent="0.2">
      <c r="B96" s="683"/>
      <c r="D96" s="689">
        <f t="shared" si="24"/>
        <v>6</v>
      </c>
      <c r="E96" s="737"/>
      <c r="F96" s="737"/>
      <c r="G96" s="737"/>
      <c r="H96" s="737"/>
      <c r="I96" s="737"/>
      <c r="J96" s="737"/>
      <c r="K96" s="737"/>
      <c r="L96" s="737">
        <f>IF($Y$40&gt;0,$K$27/$Y$40,0)</f>
        <v>2.0833333333333335</v>
      </c>
      <c r="M96" s="737">
        <f>IF($Y$40&gt;1,$K$27/$Y$40,0)</f>
        <v>2.0833333333333335</v>
      </c>
      <c r="N96" s="737">
        <f>IF($Y$40&gt;2,$K$27/$Y$40,0)</f>
        <v>2.0833333333333335</v>
      </c>
      <c r="O96" s="737">
        <f>IF($Y$40&gt;3,$K$27/$Y$40,0)</f>
        <v>2.0833333333333335</v>
      </c>
      <c r="P96" s="737">
        <f>IF($Y$40&gt;4,$K$27/$Y$40,0)</f>
        <v>2.0833333333333335</v>
      </c>
      <c r="Q96" s="737">
        <f>IF($Y$40&gt;5,$K$27/$Y$40,0)</f>
        <v>2.0833333333333335</v>
      </c>
      <c r="R96" s="737">
        <f>IF($Y$40&gt;6,$K$27/$Y$40,0)</f>
        <v>2.0833333333333335</v>
      </c>
      <c r="S96" s="737">
        <f>IF($Y$40&gt;7,$K$27/$Y$40,0)</f>
        <v>2.0833333333333335</v>
      </c>
      <c r="T96" s="737">
        <f>IF($Y$40&gt;8,$K$27/$Y$40,0)</f>
        <v>2.0833333333333335</v>
      </c>
      <c r="U96" s="737">
        <f>IF($Y$40&gt;9,$K$27/$Y$40,0)</f>
        <v>2.0833333333333335</v>
      </c>
      <c r="V96" s="737">
        <f>IF($Y$40&gt;10,$K$27/$Y$40,0)</f>
        <v>2.0833333333333335</v>
      </c>
      <c r="W96" s="737">
        <f>IF($Y$40&gt;11,$K$27/$Y$40,0)</f>
        <v>2.0833333333333335</v>
      </c>
      <c r="X96" s="737">
        <f>IF($Y$40&gt;12,$K$27/$Y$40,0)</f>
        <v>0</v>
      </c>
      <c r="Y96" s="737">
        <f>IF($Y$40&gt;13,$K$27/$Y$40,0)</f>
        <v>0</v>
      </c>
    </row>
    <row r="97" spans="2:25" x14ac:dyDescent="0.2">
      <c r="B97" s="683"/>
      <c r="D97" s="689">
        <f t="shared" si="24"/>
        <v>7</v>
      </c>
      <c r="E97" s="737"/>
      <c r="F97" s="737"/>
      <c r="G97" s="737"/>
      <c r="H97" s="737"/>
      <c r="I97" s="737"/>
      <c r="J97" s="737"/>
      <c r="K97" s="737"/>
      <c r="L97" s="737"/>
      <c r="M97" s="737">
        <f>IF($Y$40&gt;0,$L$27/$Y$40,0)</f>
        <v>4.166666666666667</v>
      </c>
      <c r="N97" s="737">
        <f>IF($Y$40&gt;1,$L$27/$Y$40,0)</f>
        <v>4.166666666666667</v>
      </c>
      <c r="O97" s="737">
        <f>IF($Y$40&gt;2,$L$27/$Y$40,0)</f>
        <v>4.166666666666667</v>
      </c>
      <c r="P97" s="737">
        <f>IF($Y$40&gt;3,$L$27/$Y$40,0)</f>
        <v>4.166666666666667</v>
      </c>
      <c r="Q97" s="737">
        <f>IF($Y$40&gt;4,$L$27/$Y$40,0)</f>
        <v>4.166666666666667</v>
      </c>
      <c r="R97" s="737">
        <f>IF($Y$40&gt;5,$L$27/$Y$40,0)</f>
        <v>4.166666666666667</v>
      </c>
      <c r="S97" s="737">
        <f>IF($Y$40&gt;6,$L$27/$Y$40,0)</f>
        <v>4.166666666666667</v>
      </c>
      <c r="T97" s="737">
        <f>IF($Y$40&gt;7,$L$27/$Y$40,0)</f>
        <v>4.166666666666667</v>
      </c>
      <c r="U97" s="737">
        <f>IF($Y$40&gt;8,$L$27/$Y$40,0)</f>
        <v>4.166666666666667</v>
      </c>
      <c r="V97" s="737">
        <f>IF($Y$40&gt;9,$L$27/$Y$40,0)</f>
        <v>4.166666666666667</v>
      </c>
      <c r="W97" s="737">
        <f>IF($Y$40&gt;10,$L$27/$Y$40,0)</f>
        <v>4.166666666666667</v>
      </c>
      <c r="X97" s="737">
        <f>IF($Y$40&gt;11,$L$27/$Y$40,0)</f>
        <v>4.166666666666667</v>
      </c>
      <c r="Y97" s="737">
        <f>IF($Y$40&gt;12,$L$27/$Y$40,0)</f>
        <v>0</v>
      </c>
    </row>
    <row r="98" spans="2:25" x14ac:dyDescent="0.2">
      <c r="B98" s="683"/>
      <c r="D98" s="689">
        <f t="shared" si="24"/>
        <v>8</v>
      </c>
      <c r="E98" s="737"/>
      <c r="F98" s="737"/>
      <c r="G98" s="737"/>
      <c r="H98" s="737"/>
      <c r="I98" s="737"/>
      <c r="J98" s="737"/>
      <c r="K98" s="737"/>
      <c r="L98" s="737"/>
      <c r="M98" s="737"/>
      <c r="N98" s="737">
        <f>IF($Y$40&gt;0,$M$27/$Y$40,0)</f>
        <v>6.25</v>
      </c>
      <c r="O98" s="737">
        <f>IF($Y$40&gt;1,$M$27/$Y$40,0)</f>
        <v>6.25</v>
      </c>
      <c r="P98" s="737">
        <f>IF($Y$40&gt;2,$M$27/$Y$40,0)</f>
        <v>6.25</v>
      </c>
      <c r="Q98" s="737">
        <f>IF($Y$40&gt;3,$M$27/$Y$40,0)</f>
        <v>6.25</v>
      </c>
      <c r="R98" s="737">
        <f>IF($Y$40&gt;4,$M$27/$Y$40,0)</f>
        <v>6.25</v>
      </c>
      <c r="S98" s="737">
        <f>IF($Y$40&gt;5,$M$27/$Y$40,0)</f>
        <v>6.25</v>
      </c>
      <c r="T98" s="737">
        <f>IF($Y$40&gt;6,$M$27/$Y$40,0)</f>
        <v>6.25</v>
      </c>
      <c r="U98" s="737">
        <f>IF($Y$40&gt;7,$M$27/$Y$40,0)</f>
        <v>6.25</v>
      </c>
      <c r="V98" s="737">
        <f>IF($Y$40&gt;8,$M$27/$Y$40,0)</f>
        <v>6.25</v>
      </c>
      <c r="W98" s="737">
        <f>IF($Y$40&gt;9,$M$27/$Y$40,0)</f>
        <v>6.25</v>
      </c>
      <c r="X98" s="737">
        <f>IF($Y$40&gt;10,$M$27/$Y$40,0)</f>
        <v>6.25</v>
      </c>
      <c r="Y98" s="737">
        <f>IF($Y$40&gt;11,$M$27/$Y$40,0)</f>
        <v>6.25</v>
      </c>
    </row>
    <row r="99" spans="2:25" x14ac:dyDescent="0.2">
      <c r="B99" s="683"/>
      <c r="D99" s="689">
        <f t="shared" si="24"/>
        <v>9</v>
      </c>
      <c r="E99" s="737"/>
      <c r="F99" s="737"/>
      <c r="G99" s="737"/>
      <c r="H99" s="737"/>
      <c r="I99" s="737"/>
      <c r="J99" s="737"/>
      <c r="K99" s="737"/>
      <c r="L99" s="737"/>
      <c r="M99" s="737"/>
      <c r="N99" s="737"/>
      <c r="O99" s="737">
        <f>IF($Y$40&gt;0,$N$27/$Y$40,0)</f>
        <v>7.6388888888888893</v>
      </c>
      <c r="P99" s="737">
        <f>IF($Y$40&gt;1,$N$27/$Y$40,0)</f>
        <v>7.6388888888888893</v>
      </c>
      <c r="Q99" s="737">
        <f>IF($Y$40&gt;2,$N$27/$Y$40,0)</f>
        <v>7.6388888888888893</v>
      </c>
      <c r="R99" s="737">
        <f>IF($Y$40&gt;3,$N$27/$Y$40,0)</f>
        <v>7.6388888888888893</v>
      </c>
      <c r="S99" s="737">
        <f>IF($Y$40&gt;4,$N$27/$Y$40,0)</f>
        <v>7.6388888888888893</v>
      </c>
      <c r="T99" s="737">
        <f>IF($Y$40&gt;5,$N$27/$Y$40,0)</f>
        <v>7.6388888888888893</v>
      </c>
      <c r="U99" s="737">
        <f>IF($Y$40&gt;6,$N$27/$Y$40,0)</f>
        <v>7.6388888888888893</v>
      </c>
      <c r="V99" s="737">
        <f>IF($Y$40&gt;7,$N$27/$Y$40,0)</f>
        <v>7.6388888888888893</v>
      </c>
      <c r="W99" s="737">
        <f>IF($Y$40&gt;8,$N$27/$Y$40,0)</f>
        <v>7.6388888888888893</v>
      </c>
      <c r="X99" s="737">
        <f>IF($Y$40&gt;9,$N$27/$Y$40,0)</f>
        <v>7.6388888888888893</v>
      </c>
      <c r="Y99" s="737">
        <f>IF($Y$40&gt;10,$N$27/$Y$40,0)</f>
        <v>7.6388888888888893</v>
      </c>
    </row>
    <row r="100" spans="2:25" x14ac:dyDescent="0.2">
      <c r="B100" s="683"/>
      <c r="D100" s="689">
        <f t="shared" si="24"/>
        <v>10</v>
      </c>
      <c r="E100" s="737"/>
      <c r="F100" s="737"/>
      <c r="G100" s="737"/>
      <c r="H100" s="737"/>
      <c r="I100" s="737"/>
      <c r="J100" s="737"/>
      <c r="K100" s="737"/>
      <c r="L100" s="737"/>
      <c r="M100" s="737"/>
      <c r="N100" s="737"/>
      <c r="O100" s="737"/>
      <c r="P100" s="737">
        <f>IF($Y$40&gt;0,$O$27/$Y$40,0)</f>
        <v>9.0277777777777786</v>
      </c>
      <c r="Q100" s="737">
        <f>IF($Y$40&gt;1,$O$27/$Y$40,0)</f>
        <v>9.0277777777777786</v>
      </c>
      <c r="R100" s="737">
        <f>IF($Y$40&gt;2,$O$27/$Y$40,0)</f>
        <v>9.0277777777777786</v>
      </c>
      <c r="S100" s="737">
        <f>IF($Y$40&gt;3,$O$27/$Y$40,0)</f>
        <v>9.0277777777777786</v>
      </c>
      <c r="T100" s="737">
        <f>IF($Y$40&gt;4,$O$27/$Y$40,0)</f>
        <v>9.0277777777777786</v>
      </c>
      <c r="U100" s="737">
        <f>IF($Y$40&gt;5,$O$27/$Y$40,0)</f>
        <v>9.0277777777777786</v>
      </c>
      <c r="V100" s="737">
        <f>IF($Y$40&gt;6,$O$27/$Y$40,0)</f>
        <v>9.0277777777777786</v>
      </c>
      <c r="W100" s="737">
        <f>IF($Y$40&gt;7,$O$27/$Y$40,0)</f>
        <v>9.0277777777777786</v>
      </c>
      <c r="X100" s="737">
        <f>IF($Y$40&gt;8,$O$27/$Y$40,0)</f>
        <v>9.0277777777777786</v>
      </c>
      <c r="Y100" s="737">
        <f>IF($Y$40&gt;9,$O$27/$Y$40,0)</f>
        <v>9.0277777777777786</v>
      </c>
    </row>
    <row r="101" spans="2:25" x14ac:dyDescent="0.2">
      <c r="B101" s="683"/>
      <c r="D101" s="689">
        <f t="shared" si="24"/>
        <v>11</v>
      </c>
      <c r="E101" s="737"/>
      <c r="F101" s="737"/>
      <c r="G101" s="737"/>
      <c r="H101" s="737"/>
      <c r="I101" s="737"/>
      <c r="J101" s="737"/>
      <c r="K101" s="737"/>
      <c r="L101" s="737"/>
      <c r="M101" s="737"/>
      <c r="N101" s="737"/>
      <c r="O101" s="737"/>
      <c r="P101" s="737"/>
      <c r="Q101" s="737">
        <f>IF($Y$40&gt;0,$P$27/$Y$40,0)</f>
        <v>10.416666666666668</v>
      </c>
      <c r="R101" s="737">
        <f>IF($Y$40&gt;1,$P$27/$Y$40,0)</f>
        <v>10.416666666666668</v>
      </c>
      <c r="S101" s="737">
        <f>IF($Y$40&gt;2,$P$27/$Y$40,0)</f>
        <v>10.416666666666668</v>
      </c>
      <c r="T101" s="737">
        <f>IF($Y$40&gt;3,$P$27/$Y$40,0)</f>
        <v>10.416666666666668</v>
      </c>
      <c r="U101" s="737">
        <f>IF($Y$40&gt;4,$P$27/$Y$40,0)</f>
        <v>10.416666666666668</v>
      </c>
      <c r="V101" s="737">
        <f>IF($Y$40&gt;5,$P$27/$Y$40,0)</f>
        <v>10.416666666666668</v>
      </c>
      <c r="W101" s="737">
        <f>IF($Y$40&gt;6,$P$27/$Y$40,0)</f>
        <v>10.416666666666668</v>
      </c>
      <c r="X101" s="737">
        <f>IF($Y$40&gt;7,$P$27/$Y$40,0)</f>
        <v>10.416666666666668</v>
      </c>
      <c r="Y101" s="737">
        <f>IF($Y$40&gt;8,$P$27/$Y$40,0)</f>
        <v>10.416666666666668</v>
      </c>
    </row>
    <row r="102" spans="2:25" x14ac:dyDescent="0.2">
      <c r="B102" s="683"/>
      <c r="D102" s="689">
        <f t="shared" si="24"/>
        <v>12</v>
      </c>
      <c r="E102" s="737"/>
      <c r="F102" s="737"/>
      <c r="G102" s="737"/>
      <c r="H102" s="737"/>
      <c r="I102" s="737"/>
      <c r="J102" s="737"/>
      <c r="K102" s="737"/>
      <c r="L102" s="737"/>
      <c r="M102" s="737"/>
      <c r="N102" s="737"/>
      <c r="O102" s="737"/>
      <c r="P102" s="737"/>
      <c r="Q102" s="737"/>
      <c r="R102" s="737">
        <f>IF($Y$40&gt;0,$Q$27/$Y$40,0)</f>
        <v>11.805555555555557</v>
      </c>
      <c r="S102" s="737">
        <f>IF($Y$40&gt;1,$Q$27/$Y$40,0)</f>
        <v>11.805555555555557</v>
      </c>
      <c r="T102" s="737">
        <f>IF($Y$40&gt;2,$Q$27/$Y$40,0)</f>
        <v>11.805555555555557</v>
      </c>
      <c r="U102" s="737">
        <f>IF($Y$40&gt;3,$Q$27/$Y$40,0)</f>
        <v>11.805555555555557</v>
      </c>
      <c r="V102" s="737">
        <f>IF($Y$40&gt;4,$Q$27/$Y$40,0)</f>
        <v>11.805555555555557</v>
      </c>
      <c r="W102" s="737">
        <f>IF($Y$40&gt;5,$Q$27/$Y$40,0)</f>
        <v>11.805555555555557</v>
      </c>
      <c r="X102" s="737">
        <f>IF($Y$40&gt;6,$Q$27/$Y$40,0)</f>
        <v>11.805555555555557</v>
      </c>
      <c r="Y102" s="737">
        <f>IF($Y$40&gt;7,$Q$27/$Y$40,0)</f>
        <v>11.805555555555557</v>
      </c>
    </row>
    <row r="103" spans="2:25" x14ac:dyDescent="0.2">
      <c r="B103" s="683"/>
      <c r="D103" s="689">
        <f t="shared" si="24"/>
        <v>13</v>
      </c>
      <c r="E103" s="737"/>
      <c r="F103" s="737"/>
      <c r="G103" s="737"/>
      <c r="H103" s="737"/>
      <c r="I103" s="737"/>
      <c r="J103" s="737"/>
      <c r="K103" s="737"/>
      <c r="L103" s="737"/>
      <c r="M103" s="737"/>
      <c r="N103" s="737"/>
      <c r="O103" s="737"/>
      <c r="P103" s="737"/>
      <c r="Q103" s="737"/>
      <c r="R103" s="737"/>
      <c r="S103" s="737">
        <f>IF($Y$40&gt;0,$R$27/$Y$40,0)</f>
        <v>13.194444444444445</v>
      </c>
      <c r="T103" s="737">
        <f>IF($Y$40&gt;1,$R$27/$Y$40,0)</f>
        <v>13.194444444444445</v>
      </c>
      <c r="U103" s="737">
        <f>IF($Y$40&gt;2,$R$27/$Y$40,0)</f>
        <v>13.194444444444445</v>
      </c>
      <c r="V103" s="737">
        <f>IF($Y$40&gt;3,$R$27/$Y$40,0)</f>
        <v>13.194444444444445</v>
      </c>
      <c r="W103" s="737">
        <f>IF($Y$40&gt;4,$R$27/$Y$40,0)</f>
        <v>13.194444444444445</v>
      </c>
      <c r="X103" s="737">
        <f>IF($Y$40&gt;5,$R$27/$Y$40,0)</f>
        <v>13.194444444444445</v>
      </c>
      <c r="Y103" s="737">
        <f>IF($Y$40&gt;6,$R$27/$Y$40,0)</f>
        <v>13.194444444444445</v>
      </c>
    </row>
    <row r="104" spans="2:25" x14ac:dyDescent="0.2">
      <c r="B104" s="683"/>
      <c r="D104" s="689">
        <f t="shared" si="24"/>
        <v>14</v>
      </c>
      <c r="E104" s="737"/>
      <c r="F104" s="737"/>
      <c r="G104" s="737"/>
      <c r="H104" s="737"/>
      <c r="I104" s="737"/>
      <c r="J104" s="737"/>
      <c r="K104" s="737"/>
      <c r="L104" s="737"/>
      <c r="M104" s="737"/>
      <c r="N104" s="737"/>
      <c r="O104" s="737"/>
      <c r="P104" s="737"/>
      <c r="Q104" s="737"/>
      <c r="R104" s="737"/>
      <c r="S104" s="737"/>
      <c r="T104" s="737">
        <f>IF($Y$40&gt;0,$S$27/$Y$40,0)</f>
        <v>20.138888888888889</v>
      </c>
      <c r="U104" s="737">
        <f>IF($Y$40&gt;1,$S$27/$Y$40,0)</f>
        <v>20.138888888888889</v>
      </c>
      <c r="V104" s="737">
        <f>IF($Y$40&gt;2,$S$27/$Y$40,0)</f>
        <v>20.138888888888889</v>
      </c>
      <c r="W104" s="737">
        <f>IF($Y$40&gt;3,$S$27/$Y$40,0)</f>
        <v>20.138888888888889</v>
      </c>
      <c r="X104" s="737">
        <f>IF($Y$40&gt;4,$S$27/$Y$40,0)</f>
        <v>20.138888888888889</v>
      </c>
      <c r="Y104" s="737">
        <f>IF($Y$40&gt;5,$S$27/$Y$40,0)</f>
        <v>20.138888888888889</v>
      </c>
    </row>
    <row r="105" spans="2:25" x14ac:dyDescent="0.2">
      <c r="B105" s="683"/>
      <c r="D105" s="689">
        <f t="shared" si="24"/>
        <v>15</v>
      </c>
      <c r="E105" s="737"/>
      <c r="F105" s="737"/>
      <c r="G105" s="737"/>
      <c r="H105" s="737"/>
      <c r="I105" s="737"/>
      <c r="J105" s="737"/>
      <c r="K105" s="737"/>
      <c r="L105" s="737"/>
      <c r="M105" s="737"/>
      <c r="N105" s="737"/>
      <c r="O105" s="737"/>
      <c r="P105" s="737"/>
      <c r="Q105" s="737"/>
      <c r="R105" s="737"/>
      <c r="S105" s="737"/>
      <c r="T105" s="742"/>
      <c r="U105" s="737">
        <f>IF($Y$40&gt;0,$T$27/$Y$40,0)</f>
        <v>21.527777777777782</v>
      </c>
      <c r="V105" s="737">
        <f>IF($Y$40&gt;1,$T$27/$Y$40,0)</f>
        <v>21.527777777777782</v>
      </c>
      <c r="W105" s="737">
        <f>IF($Y$40&gt;2,$T$27/$Y$40,0)</f>
        <v>21.527777777777782</v>
      </c>
      <c r="X105" s="737">
        <f>IF($Y$40&gt;3,$T$27/$Y$40,0)</f>
        <v>21.527777777777782</v>
      </c>
      <c r="Y105" s="737">
        <f>IF($Y$40&gt;4,$T$27/$Y$40,0)</f>
        <v>21.527777777777782</v>
      </c>
    </row>
    <row r="106" spans="2:25" x14ac:dyDescent="0.2">
      <c r="B106" s="683"/>
      <c r="D106" s="689">
        <f t="shared" si="24"/>
        <v>16</v>
      </c>
      <c r="E106" s="737"/>
      <c r="F106" s="737"/>
      <c r="G106" s="737"/>
      <c r="H106" s="737"/>
      <c r="I106" s="737"/>
      <c r="J106" s="737"/>
      <c r="K106" s="737"/>
      <c r="L106" s="737"/>
      <c r="M106" s="737"/>
      <c r="N106" s="737"/>
      <c r="O106" s="737"/>
      <c r="P106" s="737"/>
      <c r="Q106" s="737"/>
      <c r="R106" s="737"/>
      <c r="S106" s="737"/>
      <c r="T106" s="742"/>
      <c r="U106" s="737"/>
      <c r="V106" s="737">
        <f>IF($Y$40&gt;0,$U$27/$Y$40,0)</f>
        <v>22.916666666666668</v>
      </c>
      <c r="W106" s="737">
        <f>IF($Y$40&gt;1,$U$27/$Y$40,0)</f>
        <v>22.916666666666668</v>
      </c>
      <c r="X106" s="737">
        <f>IF($Y$40&gt;2,$U$27/$Y$40,0)</f>
        <v>22.916666666666668</v>
      </c>
      <c r="Y106" s="737">
        <f>IF($Y$40&gt;3,$U$27/$Y$40,0)</f>
        <v>22.916666666666668</v>
      </c>
    </row>
    <row r="107" spans="2:25" x14ac:dyDescent="0.2">
      <c r="B107" s="683"/>
      <c r="D107" s="689">
        <f t="shared" si="24"/>
        <v>17</v>
      </c>
      <c r="E107" s="737"/>
      <c r="F107" s="737"/>
      <c r="G107" s="737"/>
      <c r="H107" s="737"/>
      <c r="I107" s="737"/>
      <c r="J107" s="737"/>
      <c r="K107" s="737"/>
      <c r="L107" s="737"/>
      <c r="M107" s="737"/>
      <c r="N107" s="737"/>
      <c r="O107" s="737"/>
      <c r="P107" s="737"/>
      <c r="Q107" s="737"/>
      <c r="R107" s="737"/>
      <c r="S107" s="737"/>
      <c r="T107" s="742"/>
      <c r="U107" s="737"/>
      <c r="V107" s="737"/>
      <c r="W107" s="737">
        <f>IF($Y$40&gt;0,$V$27/$Y$40,0)</f>
        <v>24.305555555555557</v>
      </c>
      <c r="X107" s="737">
        <f>IF($Y$40&gt;1,$V$27/$Y$40,0)</f>
        <v>24.305555555555557</v>
      </c>
      <c r="Y107" s="737">
        <f>IF($Y$40&gt;2,$V$27/$Y$40,0)</f>
        <v>24.305555555555557</v>
      </c>
    </row>
    <row r="108" spans="2:25" x14ac:dyDescent="0.2">
      <c r="B108" s="683"/>
      <c r="D108" s="689">
        <f t="shared" si="24"/>
        <v>18</v>
      </c>
      <c r="E108" s="737"/>
      <c r="F108" s="737"/>
      <c r="G108" s="737"/>
      <c r="H108" s="737"/>
      <c r="I108" s="737"/>
      <c r="J108" s="737"/>
      <c r="K108" s="737"/>
      <c r="L108" s="737"/>
      <c r="M108" s="737"/>
      <c r="N108" s="737"/>
      <c r="O108" s="737"/>
      <c r="P108" s="737"/>
      <c r="Q108" s="737"/>
      <c r="R108" s="737"/>
      <c r="S108" s="737"/>
      <c r="T108" s="742"/>
      <c r="U108" s="737"/>
      <c r="V108" s="737"/>
      <c r="W108" s="737"/>
      <c r="X108" s="737">
        <f>IF($Y$40&gt;0,$W$27/$Y$40,0)</f>
        <v>23.611111111111114</v>
      </c>
      <c r="Y108" s="737">
        <f>IF($Y$40&gt;1,$W$27/$Y$40,0)</f>
        <v>23.611111111111114</v>
      </c>
    </row>
    <row r="109" spans="2:25" x14ac:dyDescent="0.2">
      <c r="B109" s="683"/>
      <c r="D109" s="689">
        <f t="shared" si="24"/>
        <v>19</v>
      </c>
      <c r="E109" s="737"/>
      <c r="F109" s="737"/>
      <c r="G109" s="737"/>
      <c r="H109" s="737"/>
      <c r="I109" s="737"/>
      <c r="J109" s="737"/>
      <c r="K109" s="737"/>
      <c r="L109" s="737"/>
      <c r="M109" s="737"/>
      <c r="N109" s="737"/>
      <c r="O109" s="737"/>
      <c r="P109" s="737"/>
      <c r="Q109" s="737"/>
      <c r="R109" s="737"/>
      <c r="S109" s="737"/>
      <c r="T109" s="742"/>
      <c r="U109" s="737"/>
      <c r="V109" s="737"/>
      <c r="W109" s="737"/>
      <c r="X109" s="737"/>
      <c r="Y109" s="737">
        <f>IF($Y$40&gt;0,$X$27/$Y$40,0)</f>
        <v>22.916666666666668</v>
      </c>
    </row>
    <row r="110" spans="2:25" x14ac:dyDescent="0.2">
      <c r="B110" s="683"/>
      <c r="D110" s="689">
        <f t="shared" si="24"/>
        <v>20</v>
      </c>
      <c r="E110" s="737"/>
      <c r="F110" s="737"/>
      <c r="G110" s="737"/>
      <c r="H110" s="737"/>
      <c r="I110" s="737"/>
      <c r="J110" s="737"/>
      <c r="K110" s="737"/>
      <c r="L110" s="737"/>
      <c r="M110" s="737"/>
      <c r="N110" s="737"/>
      <c r="O110" s="737"/>
      <c r="P110" s="737"/>
      <c r="Q110" s="737"/>
      <c r="R110" s="737"/>
      <c r="S110" s="737"/>
      <c r="T110" s="742"/>
      <c r="U110" s="737"/>
      <c r="V110" s="737"/>
      <c r="W110" s="737"/>
      <c r="X110" s="737"/>
      <c r="Y110" s="737"/>
    </row>
    <row r="111" spans="2:25" x14ac:dyDescent="0.2">
      <c r="B111" s="683"/>
      <c r="E111" s="737"/>
      <c r="F111" s="737"/>
      <c r="G111" s="737"/>
      <c r="H111" s="737"/>
      <c r="I111" s="737"/>
      <c r="J111" s="737"/>
      <c r="K111" s="737"/>
      <c r="L111" s="737"/>
      <c r="M111" s="737"/>
      <c r="N111" s="737"/>
      <c r="O111" s="737"/>
      <c r="P111" s="737">
        <f>IF($Y$41&gt;0,$W$27/$Y$41,0)</f>
        <v>23.611111111111114</v>
      </c>
      <c r="Q111" s="737"/>
      <c r="R111" s="737"/>
      <c r="S111" s="737"/>
      <c r="T111" s="742"/>
      <c r="U111" s="737"/>
      <c r="V111" s="737"/>
      <c r="W111" s="737"/>
      <c r="X111" s="737"/>
      <c r="Y111" s="737"/>
    </row>
    <row r="112" spans="2:25" x14ac:dyDescent="0.2">
      <c r="B112" s="683"/>
      <c r="C112" s="681" t="s">
        <v>718</v>
      </c>
      <c r="E112" s="737"/>
      <c r="F112" s="737">
        <f t="shared" ref="F112:Y112" si="25">SUM(F68:F111)</f>
        <v>1126.0416666666667</v>
      </c>
      <c r="G112" s="737">
        <f t="shared" si="25"/>
        <v>3291.375</v>
      </c>
      <c r="H112" s="737">
        <f t="shared" si="25"/>
        <v>4383.25</v>
      </c>
      <c r="I112" s="737">
        <f t="shared" si="25"/>
        <v>4537.5</v>
      </c>
      <c r="J112" s="737">
        <f t="shared" si="25"/>
        <v>4645.833333333333</v>
      </c>
      <c r="K112" s="737">
        <f t="shared" si="25"/>
        <v>4710.833333333333</v>
      </c>
      <c r="L112" s="737">
        <f t="shared" si="25"/>
        <v>4723.7499999999991</v>
      </c>
      <c r="M112" s="737">
        <f t="shared" si="25"/>
        <v>4727.9166666666661</v>
      </c>
      <c r="N112" s="737">
        <f t="shared" si="25"/>
        <v>4734.1666666666661</v>
      </c>
      <c r="O112" s="737">
        <f t="shared" si="25"/>
        <v>4741.8055555555547</v>
      </c>
      <c r="P112" s="737">
        <f t="shared" si="25"/>
        <v>4774.4444444444434</v>
      </c>
      <c r="Q112" s="737">
        <f t="shared" si="25"/>
        <v>4761.2499999999991</v>
      </c>
      <c r="R112" s="737">
        <f t="shared" si="25"/>
        <v>3647.0138888888896</v>
      </c>
      <c r="S112" s="737">
        <f t="shared" si="25"/>
        <v>1494.8750000000002</v>
      </c>
      <c r="T112" s="737">
        <f t="shared" si="25"/>
        <v>423.13888888888897</v>
      </c>
      <c r="U112" s="737">
        <f t="shared" si="25"/>
        <v>290.41666666666669</v>
      </c>
      <c r="V112" s="737">
        <f t="shared" si="25"/>
        <v>205</v>
      </c>
      <c r="W112" s="737">
        <f t="shared" si="25"/>
        <v>164.30555555555554</v>
      </c>
      <c r="X112" s="737">
        <f t="shared" si="25"/>
        <v>175.00000000000003</v>
      </c>
      <c r="Y112" s="737">
        <f t="shared" si="25"/>
        <v>193.75</v>
      </c>
    </row>
    <row r="113" spans="2:25" x14ac:dyDescent="0.2">
      <c r="B113" s="683"/>
      <c r="E113" s="737"/>
      <c r="F113" s="737"/>
      <c r="G113" s="737"/>
      <c r="H113" s="737"/>
      <c r="I113" s="737"/>
      <c r="J113" s="737"/>
      <c r="K113" s="737"/>
      <c r="L113" s="737"/>
      <c r="M113" s="737"/>
      <c r="N113" s="737"/>
      <c r="O113" s="737"/>
      <c r="P113" s="737"/>
      <c r="Q113" s="737"/>
      <c r="R113" s="737"/>
      <c r="S113" s="737"/>
      <c r="T113" s="742"/>
      <c r="U113" s="737"/>
      <c r="V113" s="737"/>
      <c r="W113" s="737"/>
      <c r="X113" s="737"/>
      <c r="Y113" s="737"/>
    </row>
    <row r="114" spans="2:25" x14ac:dyDescent="0.2">
      <c r="B114" s="683"/>
      <c r="C114" s="743"/>
      <c r="E114" s="737"/>
      <c r="F114" s="737"/>
      <c r="G114" s="737"/>
      <c r="H114" s="737"/>
      <c r="I114" s="737"/>
      <c r="J114" s="737"/>
      <c r="K114" s="737"/>
      <c r="L114" s="737"/>
      <c r="M114" s="737"/>
      <c r="N114" s="737"/>
      <c r="O114" s="737"/>
      <c r="P114" s="737"/>
      <c r="Q114" s="737"/>
      <c r="R114" s="737"/>
      <c r="S114" s="737"/>
      <c r="T114" s="742"/>
      <c r="U114" s="737"/>
      <c r="V114" s="737"/>
      <c r="W114" s="737"/>
      <c r="X114" s="737"/>
      <c r="Y114" s="737"/>
    </row>
    <row r="115" spans="2:25" x14ac:dyDescent="0.2">
      <c r="B115" s="1386"/>
      <c r="C115" s="1386"/>
      <c r="E115" s="737"/>
      <c r="F115" s="737"/>
      <c r="G115" s="737"/>
      <c r="H115" s="737"/>
      <c r="I115" s="737"/>
      <c r="J115" s="737"/>
      <c r="K115" s="737"/>
      <c r="L115" s="737"/>
      <c r="M115" s="737"/>
      <c r="N115" s="737"/>
      <c r="O115" s="737"/>
      <c r="P115" s="737"/>
      <c r="Q115" s="737"/>
      <c r="R115" s="737"/>
      <c r="S115" s="737"/>
      <c r="T115" s="742"/>
      <c r="U115" s="737"/>
      <c r="V115" s="737"/>
      <c r="W115" s="737"/>
      <c r="X115" s="737"/>
      <c r="Y115" s="737"/>
    </row>
    <row r="116" spans="2:25" x14ac:dyDescent="0.2">
      <c r="B116" s="1385"/>
      <c r="C116" s="1385"/>
      <c r="E116" s="737"/>
      <c r="F116" s="737"/>
      <c r="G116" s="737"/>
      <c r="H116" s="737"/>
      <c r="I116" s="737"/>
      <c r="J116" s="737"/>
      <c r="K116" s="737"/>
      <c r="L116" s="737"/>
      <c r="M116" s="737"/>
      <c r="N116" s="737"/>
      <c r="O116" s="737"/>
      <c r="P116" s="737"/>
      <c r="Q116" s="737"/>
      <c r="R116" s="737"/>
      <c r="S116" s="737"/>
      <c r="T116" s="742"/>
      <c r="U116" s="737"/>
      <c r="V116" s="737"/>
      <c r="W116" s="737"/>
      <c r="X116" s="737"/>
      <c r="Y116" s="737"/>
    </row>
    <row r="117" spans="2:25" ht="12" thickBot="1" x14ac:dyDescent="0.25"/>
    <row r="118" spans="2:25" ht="15" x14ac:dyDescent="0.2">
      <c r="B118" s="796"/>
      <c r="C118" s="797" t="s">
        <v>38</v>
      </c>
      <c r="D118" s="798"/>
    </row>
    <row r="119" spans="2:25" x14ac:dyDescent="0.2">
      <c r="B119" s="799"/>
      <c r="C119" s="693"/>
      <c r="D119" s="800"/>
    </row>
    <row r="120" spans="2:25" x14ac:dyDescent="0.2">
      <c r="B120" s="801" t="s">
        <v>39</v>
      </c>
      <c r="C120" s="693"/>
      <c r="D120" s="802">
        <f>AVERAGE(U30:Y30)</f>
        <v>11610.912648029052</v>
      </c>
    </row>
    <row r="121" spans="2:25" x14ac:dyDescent="0.2">
      <c r="B121" s="801" t="s">
        <v>40</v>
      </c>
      <c r="C121" s="693"/>
      <c r="D121" s="803">
        <v>10</v>
      </c>
    </row>
    <row r="122" spans="2:25" x14ac:dyDescent="0.2">
      <c r="B122" s="799" t="s">
        <v>41</v>
      </c>
      <c r="C122" s="693"/>
      <c r="D122" s="804">
        <v>0.02</v>
      </c>
    </row>
    <row r="123" spans="2:25" x14ac:dyDescent="0.2">
      <c r="B123" s="799"/>
      <c r="C123" s="693"/>
      <c r="D123" s="800"/>
    </row>
    <row r="124" spans="2:25" x14ac:dyDescent="0.2">
      <c r="B124" s="805" t="str">
        <f>"Flux de liquidation en " &amp; B7</f>
        <v>Flux de liquidation en k€</v>
      </c>
      <c r="C124" s="693"/>
      <c r="D124" s="800"/>
    </row>
    <row r="125" spans="2:25" x14ac:dyDescent="0.2">
      <c r="B125" s="799"/>
      <c r="C125" s="693"/>
      <c r="D125" s="800"/>
    </row>
    <row r="126" spans="2:25" x14ac:dyDescent="0.2">
      <c r="B126" s="806" t="s">
        <v>42</v>
      </c>
      <c r="C126" s="693"/>
      <c r="D126" s="807"/>
    </row>
    <row r="127" spans="2:25" x14ac:dyDescent="0.2">
      <c r="B127" s="806" t="s">
        <v>43</v>
      </c>
      <c r="C127" s="693"/>
      <c r="D127" s="807"/>
    </row>
    <row r="128" spans="2:25" x14ac:dyDescent="0.2">
      <c r="B128" s="806" t="s">
        <v>44</v>
      </c>
      <c r="C128" s="693"/>
      <c r="D128" s="807"/>
    </row>
    <row r="129" spans="2:4" x14ac:dyDescent="0.2">
      <c r="B129" s="806" t="s">
        <v>45</v>
      </c>
      <c r="C129" s="693"/>
      <c r="D129" s="807"/>
    </row>
    <row r="130" spans="2:4" x14ac:dyDescent="0.2">
      <c r="B130" s="806" t="s">
        <v>46</v>
      </c>
      <c r="C130" s="693"/>
      <c r="D130" s="807"/>
    </row>
    <row r="131" spans="2:4" x14ac:dyDescent="0.2">
      <c r="B131" s="806" t="s">
        <v>47</v>
      </c>
      <c r="C131" s="693"/>
      <c r="D131" s="807">
        <f>D126+D127+D128-D129-D130</f>
        <v>0</v>
      </c>
    </row>
    <row r="132" spans="2:4" x14ac:dyDescent="0.2">
      <c r="B132" s="799"/>
      <c r="C132" s="693"/>
      <c r="D132" s="800"/>
    </row>
    <row r="133" spans="2:4" x14ac:dyDescent="0.2">
      <c r="B133" s="799"/>
      <c r="C133" s="693"/>
      <c r="D133" s="800"/>
    </row>
    <row r="134" spans="2:4" ht="12" thickBot="1" x14ac:dyDescent="0.25">
      <c r="B134" s="808" t="s">
        <v>48</v>
      </c>
      <c r="C134" s="809"/>
      <c r="D134" s="810">
        <f>D120/(E40-D122)*(1+D122)*(1-1/(1+E40)^D121)+D131/(1+E40)^(1+D121)</f>
        <v>94190.127560373556</v>
      </c>
    </row>
  </sheetData>
  <mergeCells count="35">
    <mergeCell ref="X5:Y5"/>
    <mergeCell ref="U3:W3"/>
    <mergeCell ref="U4:W4"/>
    <mergeCell ref="A26:A29"/>
    <mergeCell ref="B7:C7"/>
    <mergeCell ref="X6:Y6"/>
    <mergeCell ref="A12:A14"/>
    <mergeCell ref="A15:A22"/>
    <mergeCell ref="A23:A25"/>
    <mergeCell ref="B3:C3"/>
    <mergeCell ref="A1:P1"/>
    <mergeCell ref="U5:W5"/>
    <mergeCell ref="B4:C4"/>
    <mergeCell ref="B5:C5"/>
    <mergeCell ref="B6:C6"/>
    <mergeCell ref="U6:W6"/>
    <mergeCell ref="D37:E37"/>
    <mergeCell ref="S39:W39"/>
    <mergeCell ref="S36:W36"/>
    <mergeCell ref="S38:W38"/>
    <mergeCell ref="X35:Y35"/>
    <mergeCell ref="S35:W35"/>
    <mergeCell ref="S37:W37"/>
    <mergeCell ref="X37:Y37"/>
    <mergeCell ref="F38:G38"/>
    <mergeCell ref="X36:Y36"/>
    <mergeCell ref="X38:Y38"/>
    <mergeCell ref="B116:C116"/>
    <mergeCell ref="B115:C115"/>
    <mergeCell ref="U48:Y48"/>
    <mergeCell ref="U49:Y49"/>
    <mergeCell ref="X39:Y39"/>
    <mergeCell ref="O40:P40"/>
    <mergeCell ref="S46:W46"/>
    <mergeCell ref="S47:W47"/>
  </mergeCells>
  <phoneticPr fontId="6" type="noConversion"/>
  <printOptions horizontalCentered="1" verticalCentered="1"/>
  <pageMargins left="0.39370078740157483" right="0.39370078740157483" top="0.39370078740157483" bottom="0.39370078740157483" header="0.39370078740157483" footer="0.39370078740157483"/>
  <pageSetup paperSize="9" scale="96" orientation="landscape" horizontalDpi="300"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pportunities">
    <pageSetUpPr fitToPage="1"/>
  </sheetPr>
  <dimension ref="A1:N19"/>
  <sheetViews>
    <sheetView showGridLines="0" workbookViewId="0">
      <selection activeCell="G7" sqref="G7"/>
    </sheetView>
  </sheetViews>
  <sheetFormatPr baseColWidth="10" defaultColWidth="10.28515625" defaultRowHeight="11.25" x14ac:dyDescent="0.2"/>
  <cols>
    <col min="1" max="1" width="24.7109375" style="295" customWidth="1"/>
    <col min="2" max="2" width="19.28515625" style="295" customWidth="1"/>
    <col min="3" max="3" width="5.28515625" style="295" customWidth="1"/>
    <col min="4" max="4" width="20" style="298" bestFit="1" customWidth="1"/>
    <col min="5" max="5" width="14.85546875" style="295" bestFit="1" customWidth="1"/>
    <col min="6" max="11" width="8.42578125" style="295" customWidth="1"/>
    <col min="12" max="12" width="10" style="295" customWidth="1"/>
    <col min="13" max="14" width="8.42578125" style="295" customWidth="1"/>
    <col min="15" max="16384" width="10.28515625" style="295"/>
  </cols>
  <sheetData>
    <row r="1" spans="1:14" ht="12.75" x14ac:dyDescent="0.2">
      <c r="D1" s="295"/>
      <c r="E1" s="296" t="str">
        <f>[6]Rentabilité!A3</f>
        <v>Société :</v>
      </c>
      <c r="F1" s="1451" t="str">
        <f>'Données Rentabilité'!B3</f>
        <v>AD</v>
      </c>
      <c r="G1" s="1451"/>
      <c r="H1" s="1451"/>
      <c r="I1" s="1451"/>
      <c r="J1" s="1451"/>
    </row>
    <row r="2" spans="1:14" ht="12.75" x14ac:dyDescent="0.2">
      <c r="D2" s="295"/>
      <c r="E2" s="296" t="str">
        <f>[6]Rentabilité!A4</f>
        <v>Site :</v>
      </c>
      <c r="F2" s="1451" t="str">
        <f>'Données Rentabilité'!B4</f>
        <v>Les Ancizes</v>
      </c>
      <c r="G2" s="1451"/>
      <c r="H2" s="1451"/>
      <c r="I2" s="1451"/>
      <c r="J2" s="1451"/>
    </row>
    <row r="3" spans="1:14" ht="12.75" x14ac:dyDescent="0.2">
      <c r="D3" s="295"/>
      <c r="E3" s="296" t="str">
        <f>[6]Rentabilité!A5</f>
        <v>Secteur :</v>
      </c>
      <c r="F3" s="1451" t="str">
        <f>'Données Rentabilité'!B5</f>
        <v>Nouvelle Unité</v>
      </c>
      <c r="G3" s="1451"/>
      <c r="H3" s="1451"/>
      <c r="I3" s="1451"/>
      <c r="J3" s="1451"/>
    </row>
    <row r="4" spans="1:14" ht="12.75" x14ac:dyDescent="0.2">
      <c r="D4" s="295"/>
      <c r="E4" s="296" t="str">
        <f>[6]Rentabilité!A6</f>
        <v>Projet :</v>
      </c>
      <c r="F4" s="1451" t="str">
        <f>'Données Rentabilité'!B6</f>
        <v>PAMCHR</v>
      </c>
      <c r="G4" s="1451"/>
      <c r="H4" s="1451"/>
      <c r="I4" s="1451"/>
      <c r="J4" s="1451"/>
    </row>
    <row r="5" spans="1:14" ht="12.75" x14ac:dyDescent="0.2">
      <c r="E5" s="296" t="str">
        <f>[6]Rentabilité!A7</f>
        <v>Unité monétaire :</v>
      </c>
      <c r="F5" s="1451" t="str">
        <f>'Données Rentabilité'!B7</f>
        <v>k€</v>
      </c>
      <c r="G5" s="1451"/>
      <c r="H5" s="1451"/>
      <c r="I5" s="1451"/>
      <c r="J5" s="1451"/>
    </row>
    <row r="7" spans="1:14" ht="22.5" x14ac:dyDescent="0.2">
      <c r="A7" s="299" t="s">
        <v>817</v>
      </c>
      <c r="B7" s="300" t="s">
        <v>809</v>
      </c>
      <c r="C7" s="300"/>
      <c r="D7" s="301" t="s">
        <v>816</v>
      </c>
      <c r="E7" s="302" t="s">
        <v>818</v>
      </c>
      <c r="F7" s="303" t="s">
        <v>819</v>
      </c>
      <c r="G7" s="303" t="s">
        <v>820</v>
      </c>
      <c r="H7" s="303" t="s">
        <v>821</v>
      </c>
      <c r="I7" s="303" t="s">
        <v>822</v>
      </c>
      <c r="J7" s="303" t="s">
        <v>823</v>
      </c>
      <c r="K7" s="303" t="s">
        <v>824</v>
      </c>
      <c r="L7" s="303" t="s">
        <v>825</v>
      </c>
      <c r="M7" s="303" t="s">
        <v>826</v>
      </c>
      <c r="N7" s="303" t="s">
        <v>827</v>
      </c>
    </row>
    <row r="8" spans="1:14" x14ac:dyDescent="0.2">
      <c r="A8" s="304" t="str">
        <f t="array" ref="A8:A12">TRANSPOSE('Project Data'!H34:L34)</f>
        <v>Valeur créée</v>
      </c>
      <c r="B8" s="305" t="e">
        <f t="array" ref="B8:B12">TRANSPOSE('Project Data'!H35:L35)</f>
        <v>#REF!</v>
      </c>
      <c r="C8" s="305"/>
      <c r="D8" s="306" t="e">
        <f t="array" ref="D8:D12">TRANSPOSE('Project Data'!H36:L36)</f>
        <v>#REF!</v>
      </c>
      <c r="E8" s="307" t="e">
        <f>B8</f>
        <v>#REF!</v>
      </c>
      <c r="F8" s="308"/>
      <c r="G8" s="308"/>
      <c r="H8" s="308"/>
      <c r="I8" s="308"/>
      <c r="J8" s="308"/>
      <c r="K8" s="308"/>
      <c r="L8" s="308" t="e">
        <f>E8</f>
        <v>#REF!</v>
      </c>
      <c r="M8" s="308"/>
      <c r="N8" s="309"/>
    </row>
    <row r="9" spans="1:14" x14ac:dyDescent="0.2">
      <c r="A9" s="310" t="str">
        <v>&lt;&lt;Opportunité / Risque 1&gt;&gt;</v>
      </c>
      <c r="B9" s="311">
        <v>0</v>
      </c>
      <c r="C9" s="311"/>
      <c r="D9" s="312">
        <v>0</v>
      </c>
      <c r="E9" s="308"/>
      <c r="F9" s="308" t="e">
        <f>CHOOSE(N9,L8,L8+K9,0)</f>
        <v>#REF!</v>
      </c>
      <c r="G9" s="308" t="e">
        <f>CHOOSE(M9,K9,0,0,0,0,K9+L8)</f>
        <v>#REF!</v>
      </c>
      <c r="H9" s="308" t="e">
        <f>CHOOSE(M9,0,0,0,-K9,0,L8)</f>
        <v>#REF!</v>
      </c>
      <c r="I9" s="308" t="e">
        <f>CHOOSE(M9,0,-K9,L8,0,0,0)</f>
        <v>#REF!</v>
      </c>
      <c r="J9" s="308" t="e">
        <f>CHOOSE(M9,0,0,K9+L8,0,K9,0)</f>
        <v>#REF!</v>
      </c>
      <c r="K9" s="307">
        <f>B9</f>
        <v>0</v>
      </c>
      <c r="L9" s="308" t="e">
        <f>L8+K9</f>
        <v>#REF!</v>
      </c>
      <c r="M9" s="308" t="e">
        <f>IF(AND(L8&gt;=0,K9&gt;=0),1,IF(AND(L8&gt;=0,K9&lt;0,L9&gt;0),2,IF(AND(L8&gt;=0,K9&lt;0,L9&lt;0),3,IF(AND(L8&lt;0,K9&gt;=0,L9&lt;=0),4,IF(AND(L8&lt;0,K9&lt;0),5,6)))))</f>
        <v>#REF!</v>
      </c>
      <c r="N9" s="309" t="e">
        <f>IF(L8*K9&gt;0,1,IF(L8*(L8+K9)&gt;0,2,3))</f>
        <v>#REF!</v>
      </c>
    </row>
    <row r="10" spans="1:14" x14ac:dyDescent="0.2">
      <c r="A10" s="310" t="str">
        <v>&lt;&lt;Opportunité / Risque 2&gt;&gt;</v>
      </c>
      <c r="B10" s="311">
        <v>0</v>
      </c>
      <c r="C10" s="311"/>
      <c r="D10" s="312">
        <v>0</v>
      </c>
      <c r="E10" s="308"/>
      <c r="F10" s="308" t="e">
        <f>CHOOSE(N10,L9,L9+K10,0)</f>
        <v>#REF!</v>
      </c>
      <c r="G10" s="308" t="e">
        <f>CHOOSE(M10,K10,0,0,0,0,K10+L9)</f>
        <v>#REF!</v>
      </c>
      <c r="H10" s="308" t="e">
        <f>CHOOSE(M10,0,0,0,-K10,0,L9)</f>
        <v>#REF!</v>
      </c>
      <c r="I10" s="308" t="e">
        <f>CHOOSE(M10,0,-K10,L9,0,0,0)</f>
        <v>#REF!</v>
      </c>
      <c r="J10" s="308" t="e">
        <f>CHOOSE(M10,0,0,K10+L9,0,K10,0)</f>
        <v>#REF!</v>
      </c>
      <c r="K10" s="307">
        <f>B10</f>
        <v>0</v>
      </c>
      <c r="L10" s="308" t="e">
        <f>L9+K10</f>
        <v>#REF!</v>
      </c>
      <c r="M10" s="308" t="e">
        <f>IF(AND(L9&gt;=0,K10&gt;=0),1,IF(AND(L9&gt;=0,K10&lt;0,L10&gt;0),2,IF(AND(L9&gt;=0,K10&lt;0,L10&lt;0),3,IF(AND(L9&lt;0,K10&gt;=0,L10&lt;=0),4,IF(AND(L9&lt;0,K10&lt;0),5,6)))))</f>
        <v>#REF!</v>
      </c>
      <c r="N10" s="309" t="e">
        <f>IF(L9*K10&gt;0,1,IF(L9*(L9+K10)&gt;0,2,3))</f>
        <v>#REF!</v>
      </c>
    </row>
    <row r="11" spans="1:14" x14ac:dyDescent="0.2">
      <c r="A11" s="310" t="str">
        <v>&lt;&lt;Opportunité / Risque 3&gt;&gt;</v>
      </c>
      <c r="B11" s="311">
        <v>0</v>
      </c>
      <c r="C11" s="311"/>
      <c r="D11" s="312">
        <v>0</v>
      </c>
      <c r="E11" s="308"/>
      <c r="F11" s="308" t="e">
        <f>CHOOSE(N11,L10,L10+K11,0)</f>
        <v>#REF!</v>
      </c>
      <c r="G11" s="308" t="e">
        <f>CHOOSE(M11,K11,0,0,0,0,K11+L10)</f>
        <v>#REF!</v>
      </c>
      <c r="H11" s="308" t="e">
        <f>CHOOSE(M11,0,0,0,-K11,0,L10)</f>
        <v>#REF!</v>
      </c>
      <c r="I11" s="308" t="e">
        <f>CHOOSE(M11,0,-K11,L10,0,0,0)</f>
        <v>#REF!</v>
      </c>
      <c r="J11" s="308" t="e">
        <f>CHOOSE(M11,0,0,K11+L10,0,K11,0)</f>
        <v>#REF!</v>
      </c>
      <c r="K11" s="307">
        <f>B11</f>
        <v>0</v>
      </c>
      <c r="L11" s="308" t="e">
        <f>L10+K11</f>
        <v>#REF!</v>
      </c>
      <c r="M11" s="308" t="e">
        <f>IF(AND(L10&gt;=0,K11&gt;=0),1,IF(AND(L10&gt;=0,K11&lt;0,L11&gt;0),2,IF(AND(L10&gt;=0,K11&lt;0,L11&lt;0),3,IF(AND(L10&lt;0,K11&gt;=0,L11&lt;=0),4,IF(AND(L10&lt;0,K11&lt;0),5,6)))))</f>
        <v>#REF!</v>
      </c>
      <c r="N11" s="309" t="e">
        <f>IF(L10*K11&gt;0,1,IF(L10*(L10+K11)&gt;0,2,3))</f>
        <v>#REF!</v>
      </c>
    </row>
    <row r="12" spans="1:14" x14ac:dyDescent="0.2">
      <c r="A12" s="310" t="str">
        <v>&lt;&lt;Opportunité / Risque 4&gt;&gt;</v>
      </c>
      <c r="B12" s="311">
        <v>0</v>
      </c>
      <c r="C12" s="311"/>
      <c r="D12" s="312">
        <v>0</v>
      </c>
      <c r="E12" s="308"/>
      <c r="F12" s="308" t="e">
        <f>CHOOSE(N12,L11,L11+K12,0)</f>
        <v>#REF!</v>
      </c>
      <c r="G12" s="308" t="e">
        <f>CHOOSE(M12,K12,0,0,0,0,K12+L11)</f>
        <v>#REF!</v>
      </c>
      <c r="H12" s="308" t="e">
        <f>CHOOSE(M12,0,0,0,-K12,0,L11)</f>
        <v>#REF!</v>
      </c>
      <c r="I12" s="308" t="e">
        <f>CHOOSE(M12,0,-K12,L11,0,0,0)</f>
        <v>#REF!</v>
      </c>
      <c r="J12" s="308" t="e">
        <f>CHOOSE(M12,0,0,K12+L11,0,K12,0)</f>
        <v>#REF!</v>
      </c>
      <c r="K12" s="307">
        <f>B12</f>
        <v>0</v>
      </c>
      <c r="L12" s="308" t="e">
        <f>L11+K12</f>
        <v>#REF!</v>
      </c>
      <c r="M12" s="308" t="e">
        <f>IF(AND(L11&gt;=0,K12&gt;=0),1,IF(AND(L11&gt;=0,K12&lt;0,L12&gt;0),2,IF(AND(L11&gt;=0,K12&lt;0,L12&lt;0),3,IF(AND(L11&lt;0,K12&gt;=0,L12&lt;=0),4,IF(AND(L11&lt;0,K12&lt;0),5,6)))))</f>
        <v>#REF!</v>
      </c>
      <c r="N12" s="309" t="e">
        <f>IF(L11*K12&gt;0,1,IF(L11*(L11+K12)&gt;0,2,3))</f>
        <v>#REF!</v>
      </c>
    </row>
    <row r="14" spans="1:14" ht="41.25" customHeight="1" x14ac:dyDescent="0.2">
      <c r="A14" s="297"/>
      <c r="B14" s="313" t="s">
        <v>809</v>
      </c>
      <c r="C14" s="314"/>
      <c r="D14" s="315" t="s">
        <v>828</v>
      </c>
    </row>
    <row r="15" spans="1:14" ht="12.75" x14ac:dyDescent="0.2">
      <c r="A15" s="316" t="s">
        <v>829</v>
      </c>
      <c r="B15" s="317" t="e">
        <f>B8</f>
        <v>#REF!</v>
      </c>
      <c r="C15" s="318" t="str">
        <f>F$5</f>
        <v>k€</v>
      </c>
      <c r="D15" s="319" t="e">
        <f>D8</f>
        <v>#REF!</v>
      </c>
    </row>
    <row r="16" spans="1:14" ht="12.75" x14ac:dyDescent="0.2">
      <c r="A16" s="320" t="str">
        <f>A9</f>
        <v>&lt;&lt;Opportunité / Risque 1&gt;&gt;</v>
      </c>
      <c r="B16" s="321">
        <f>B9</f>
        <v>0</v>
      </c>
      <c r="C16" s="318" t="str">
        <f>F$5</f>
        <v>k€</v>
      </c>
      <c r="D16" s="322">
        <f>D9</f>
        <v>0</v>
      </c>
    </row>
    <row r="17" spans="1:4" ht="12.75" x14ac:dyDescent="0.2">
      <c r="A17" s="320" t="str">
        <f>A10</f>
        <v>&lt;&lt;Opportunité / Risque 2&gt;&gt;</v>
      </c>
      <c r="B17" s="321">
        <f>B10</f>
        <v>0</v>
      </c>
      <c r="C17" s="318" t="str">
        <f>F$5</f>
        <v>k€</v>
      </c>
      <c r="D17" s="322">
        <f>D10</f>
        <v>0</v>
      </c>
    </row>
    <row r="18" spans="1:4" ht="12.75" x14ac:dyDescent="0.2">
      <c r="A18" s="320" t="str">
        <f>A11</f>
        <v>&lt;&lt;Opportunité / Risque 3&gt;&gt;</v>
      </c>
      <c r="B18" s="321">
        <f>B11</f>
        <v>0</v>
      </c>
      <c r="C18" s="318" t="str">
        <f>F$5</f>
        <v>k€</v>
      </c>
      <c r="D18" s="322">
        <f>D11</f>
        <v>0</v>
      </c>
    </row>
    <row r="19" spans="1:4" ht="12.75" x14ac:dyDescent="0.2">
      <c r="A19" s="323" t="str">
        <f>A12</f>
        <v>&lt;&lt;Opportunité / Risque 4&gt;&gt;</v>
      </c>
      <c r="B19" s="324">
        <f>B12</f>
        <v>0</v>
      </c>
      <c r="C19" s="325" t="str">
        <f>F$5</f>
        <v>k€</v>
      </c>
      <c r="D19" s="326">
        <f>D12</f>
        <v>0</v>
      </c>
    </row>
  </sheetData>
  <mergeCells count="5">
    <mergeCell ref="F5:J5"/>
    <mergeCell ref="F1:J1"/>
    <mergeCell ref="F2:J2"/>
    <mergeCell ref="F3:J3"/>
    <mergeCell ref="F4:J4"/>
  </mergeCells>
  <phoneticPr fontId="6" type="noConversion"/>
  <printOptions horizontalCentered="1"/>
  <pageMargins left="0.78740157480314998" right="0.78740157480314998" top="0.78740157480314998" bottom="0.78740157480314998" header="0.511811023622047" footer="0.511811023622047"/>
  <pageSetup paperSize="9" scale="81" orientation="landscape" r:id="rId1"/>
  <headerFooter alignWithMargins="0">
    <oddHeader>&amp;L&amp;"Arial,Gras italique"&amp;9USINOR&amp;R&amp;"Arial,Gras"&amp;9DSP, le &amp;D à &amp;T</oddHeader>
    <oddFooter>&amp;L&amp;7[&amp;F] &amp;A&amp;R&amp;7Page &amp;P de &amp;N</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1">
    <pageSetUpPr fitToPage="1"/>
  </sheetPr>
  <dimension ref="A1:Y92"/>
  <sheetViews>
    <sheetView showGridLines="0" showZeros="0" topLeftCell="A31" zoomScaleNormal="100" workbookViewId="0">
      <selection activeCell="H42" sqref="H42"/>
    </sheetView>
  </sheetViews>
  <sheetFormatPr baseColWidth="10" defaultRowHeight="11.25" x14ac:dyDescent="0.2"/>
  <cols>
    <col min="1" max="1" width="16.140625" style="898" customWidth="1"/>
    <col min="2" max="2" width="3.28515625" style="898" customWidth="1"/>
    <col min="3" max="3" width="33.140625" style="898" bestFit="1" customWidth="1"/>
    <col min="4" max="16" width="8" style="898" customWidth="1"/>
    <col min="17" max="17" width="38.28515625" style="898" bestFit="1" customWidth="1"/>
    <col min="18" max="18" width="8.42578125" style="898" customWidth="1"/>
    <col min="19" max="19" width="10.140625" style="898" customWidth="1"/>
    <col min="20" max="20" width="11.42578125" style="900" bestFit="1" customWidth="1"/>
    <col min="21" max="16384" width="11.42578125" style="898"/>
  </cols>
  <sheetData>
    <row r="1" spans="1:16" ht="22.5" customHeight="1" x14ac:dyDescent="0.2">
      <c r="A1" s="1453" t="s">
        <v>243</v>
      </c>
      <c r="B1" s="1453"/>
      <c r="C1" s="1453"/>
      <c r="D1" s="1453"/>
      <c r="E1" s="1453"/>
      <c r="F1" s="1453"/>
      <c r="G1" s="1453"/>
      <c r="H1" s="1453"/>
      <c r="I1" s="1453"/>
      <c r="J1" s="1453"/>
      <c r="K1" s="1453"/>
      <c r="L1" s="1453"/>
      <c r="M1" s="1453"/>
      <c r="N1" s="1453"/>
      <c r="O1" s="1453"/>
      <c r="P1" s="1453"/>
    </row>
    <row r="2" spans="1:16" ht="14.25" customHeight="1" x14ac:dyDescent="0.2">
      <c r="B2" s="899"/>
    </row>
    <row r="3" spans="1:16" ht="14.25" customHeight="1" x14ac:dyDescent="0.2">
      <c r="A3" s="900" t="s">
        <v>244</v>
      </c>
      <c r="B3" s="1454"/>
      <c r="C3" s="1454"/>
      <c r="D3" s="1454"/>
      <c r="E3" s="1454"/>
      <c r="F3" s="1454"/>
      <c r="G3" s="1454"/>
      <c r="L3" s="1455" t="s">
        <v>647</v>
      </c>
      <c r="M3" s="1456"/>
      <c r="N3" s="1456"/>
      <c r="O3" s="901">
        <v>9500</v>
      </c>
      <c r="P3" s="902" t="str">
        <f>B7</f>
        <v>K€</v>
      </c>
    </row>
    <row r="4" spans="1:16" ht="14.25" customHeight="1" x14ac:dyDescent="0.2">
      <c r="A4" s="900" t="s">
        <v>245</v>
      </c>
      <c r="B4" s="1454" t="s">
        <v>1222</v>
      </c>
      <c r="C4" s="1454"/>
      <c r="D4" s="1454"/>
      <c r="E4" s="1454"/>
      <c r="F4" s="1454"/>
      <c r="G4" s="1454"/>
      <c r="L4" s="1457" t="s">
        <v>246</v>
      </c>
      <c r="M4" s="1458"/>
      <c r="N4" s="1458"/>
      <c r="O4" s="903">
        <v>9500</v>
      </c>
      <c r="P4" s="904" t="str">
        <f>B7</f>
        <v>K€</v>
      </c>
    </row>
    <row r="5" spans="1:16" ht="14.25" customHeight="1" x14ac:dyDescent="0.2">
      <c r="A5" s="900" t="s">
        <v>247</v>
      </c>
      <c r="B5" s="1454" t="s">
        <v>1225</v>
      </c>
      <c r="C5" s="1454"/>
      <c r="D5" s="1454"/>
      <c r="E5" s="1454"/>
      <c r="F5" s="1454"/>
      <c r="G5" s="1454"/>
      <c r="L5" s="1459" t="s">
        <v>658</v>
      </c>
      <c r="M5" s="1460"/>
      <c r="N5" s="1460"/>
      <c r="O5" s="1461" t="s">
        <v>1227</v>
      </c>
      <c r="P5" s="1462"/>
    </row>
    <row r="6" spans="1:16" ht="14.25" customHeight="1" x14ac:dyDescent="0.2">
      <c r="A6" s="900" t="s">
        <v>248</v>
      </c>
      <c r="B6" s="1454" t="s">
        <v>1226</v>
      </c>
      <c r="C6" s="1454"/>
      <c r="D6" s="1454"/>
      <c r="E6" s="1454"/>
      <c r="F6" s="1454"/>
      <c r="G6" s="1454"/>
      <c r="L6" s="1463" t="s">
        <v>660</v>
      </c>
      <c r="M6" s="1464"/>
      <c r="N6" s="1464"/>
      <c r="O6" s="1465" t="s">
        <v>1228</v>
      </c>
      <c r="P6" s="1466"/>
    </row>
    <row r="7" spans="1:16" ht="14.25" customHeight="1" x14ac:dyDescent="0.2">
      <c r="A7" s="900" t="s">
        <v>661</v>
      </c>
      <c r="B7" s="1467" t="s">
        <v>1223</v>
      </c>
      <c r="C7" s="1467"/>
      <c r="D7" s="1467"/>
      <c r="E7" s="1467"/>
      <c r="F7" s="1467"/>
      <c r="G7" s="1467"/>
    </row>
    <row r="8" spans="1:16" ht="14.25" customHeight="1" x14ac:dyDescent="0.2">
      <c r="B8" s="899"/>
      <c r="E8" s="906"/>
    </row>
    <row r="9" spans="1:16" ht="14.25" customHeight="1" x14ac:dyDescent="0.2">
      <c r="B9" s="899"/>
      <c r="C9" s="907" t="s">
        <v>662</v>
      </c>
      <c r="D9" s="908"/>
      <c r="E9" s="909">
        <v>2014</v>
      </c>
      <c r="F9" s="909">
        <v>2015</v>
      </c>
      <c r="G9" s="909">
        <v>2016</v>
      </c>
      <c r="H9" s="909">
        <v>2017</v>
      </c>
      <c r="I9" s="909">
        <v>2018</v>
      </c>
      <c r="J9" s="909">
        <v>2019</v>
      </c>
      <c r="K9" s="909">
        <v>2020</v>
      </c>
      <c r="L9" s="909">
        <v>2021</v>
      </c>
      <c r="M9" s="909">
        <v>2022</v>
      </c>
      <c r="N9" s="909">
        <v>2023</v>
      </c>
      <c r="O9" s="909">
        <v>2024</v>
      </c>
      <c r="P9" s="909">
        <v>2025</v>
      </c>
    </row>
    <row r="10" spans="1:16" ht="14.25" customHeight="1" x14ac:dyDescent="0.2">
      <c r="B10" s="899"/>
      <c r="E10" s="899" t="s">
        <v>349</v>
      </c>
      <c r="F10" s="899" t="s">
        <v>834</v>
      </c>
      <c r="G10" s="899" t="s">
        <v>835</v>
      </c>
      <c r="H10" s="899" t="s">
        <v>945</v>
      </c>
      <c r="I10" s="899" t="s">
        <v>946</v>
      </c>
      <c r="J10" s="899" t="s">
        <v>947</v>
      </c>
      <c r="K10" s="899" t="s">
        <v>948</v>
      </c>
      <c r="L10" s="899" t="s">
        <v>949</v>
      </c>
      <c r="M10" s="899" t="s">
        <v>846</v>
      </c>
      <c r="N10" s="899" t="s">
        <v>847</v>
      </c>
      <c r="O10" s="899" t="s">
        <v>848</v>
      </c>
      <c r="P10" s="899" t="s">
        <v>849</v>
      </c>
    </row>
    <row r="11" spans="1:16" ht="14.25" customHeight="1" x14ac:dyDescent="0.2">
      <c r="B11" s="899"/>
      <c r="C11" s="907" t="s">
        <v>665</v>
      </c>
      <c r="D11" s="910"/>
      <c r="E11" s="911"/>
      <c r="F11" s="911"/>
      <c r="G11" s="911"/>
      <c r="H11" s="911"/>
      <c r="I11" s="911"/>
      <c r="J11" s="911"/>
      <c r="K11" s="911"/>
      <c r="L11" s="911"/>
      <c r="M11" s="911"/>
      <c r="N11" s="911"/>
      <c r="O11" s="911"/>
      <c r="P11" s="911"/>
    </row>
    <row r="12" spans="1:16" ht="14.25" customHeight="1" x14ac:dyDescent="0.2">
      <c r="A12" s="1452" t="s">
        <v>249</v>
      </c>
      <c r="B12" s="912" t="s">
        <v>668</v>
      </c>
      <c r="C12" s="913" t="s">
        <v>669</v>
      </c>
      <c r="D12" s="913"/>
      <c r="E12" s="914"/>
      <c r="F12" s="914"/>
      <c r="G12" s="914">
        <f>Exploitation!B21/1000</f>
        <v>0</v>
      </c>
      <c r="H12" s="914">
        <f>Exploitation!C21/1000</f>
        <v>0</v>
      </c>
      <c r="I12" s="914">
        <f>Exploitation!D21/1000</f>
        <v>0</v>
      </c>
      <c r="J12" s="914">
        <f>Exploitation!E21/1000</f>
        <v>0</v>
      </c>
      <c r="K12" s="914">
        <f>Exploitation!F21/1000</f>
        <v>0</v>
      </c>
      <c r="L12" s="914">
        <f>Exploitation!G21/1000</f>
        <v>0</v>
      </c>
      <c r="M12" s="914">
        <f>Exploitation!H21/1000</f>
        <v>0</v>
      </c>
      <c r="N12" s="914">
        <f>Exploitation!I21/1000</f>
        <v>0</v>
      </c>
      <c r="O12" s="914">
        <f>Exploitation!J21/1000</f>
        <v>0</v>
      </c>
      <c r="P12" s="914">
        <f>Exploitation!K21/1000</f>
        <v>0</v>
      </c>
    </row>
    <row r="13" spans="1:16" ht="14.25" customHeight="1" x14ac:dyDescent="0.2">
      <c r="A13" s="1452"/>
      <c r="B13" s="915" t="s">
        <v>671</v>
      </c>
      <c r="C13" s="913" t="s">
        <v>673</v>
      </c>
      <c r="D13" s="913"/>
      <c r="E13" s="916"/>
      <c r="F13" s="916"/>
      <c r="G13" s="916"/>
      <c r="H13" s="916"/>
      <c r="I13" s="916"/>
      <c r="J13" s="916"/>
      <c r="K13" s="916"/>
      <c r="L13" s="916"/>
      <c r="M13" s="916"/>
      <c r="N13" s="916"/>
      <c r="O13" s="916"/>
      <c r="P13" s="916"/>
    </row>
    <row r="14" spans="1:16" ht="14.25" customHeight="1" x14ac:dyDescent="0.2">
      <c r="A14" s="1452"/>
      <c r="B14" s="917" t="s">
        <v>674</v>
      </c>
      <c r="C14" s="918" t="s">
        <v>675</v>
      </c>
      <c r="D14" s="918"/>
      <c r="E14" s="919"/>
      <c r="F14" s="919"/>
      <c r="G14" s="919"/>
      <c r="H14" s="919"/>
      <c r="I14" s="919"/>
      <c r="J14" s="919"/>
      <c r="K14" s="919"/>
      <c r="L14" s="919"/>
      <c r="M14" s="919"/>
      <c r="N14" s="919"/>
      <c r="O14" s="919"/>
      <c r="P14" s="919"/>
    </row>
    <row r="15" spans="1:16" ht="14.25" customHeight="1" x14ac:dyDescent="0.2">
      <c r="A15" s="1452" t="s">
        <v>250</v>
      </c>
      <c r="B15" s="912">
        <v>1</v>
      </c>
      <c r="C15" s="920" t="s">
        <v>669</v>
      </c>
      <c r="D15" s="920"/>
      <c r="E15" s="921">
        <f t="shared" ref="E15:P17" si="0">E12*E$50</f>
        <v>0</v>
      </c>
      <c r="F15" s="921">
        <f t="shared" si="0"/>
        <v>0</v>
      </c>
      <c r="G15" s="921">
        <f t="shared" si="0"/>
        <v>0</v>
      </c>
      <c r="H15" s="921">
        <f t="shared" si="0"/>
        <v>0</v>
      </c>
      <c r="I15" s="921">
        <f t="shared" si="0"/>
        <v>0</v>
      </c>
      <c r="J15" s="921">
        <f t="shared" si="0"/>
        <v>0</v>
      </c>
      <c r="K15" s="921">
        <f t="shared" si="0"/>
        <v>0</v>
      </c>
      <c r="L15" s="921">
        <f t="shared" si="0"/>
        <v>0</v>
      </c>
      <c r="M15" s="921">
        <f t="shared" si="0"/>
        <v>0</v>
      </c>
      <c r="N15" s="921">
        <f t="shared" si="0"/>
        <v>0</v>
      </c>
      <c r="O15" s="921">
        <f t="shared" si="0"/>
        <v>0</v>
      </c>
      <c r="P15" s="921">
        <f t="shared" si="0"/>
        <v>0</v>
      </c>
    </row>
    <row r="16" spans="1:16" ht="14.25" customHeight="1" x14ac:dyDescent="0.2">
      <c r="A16" s="1452"/>
      <c r="B16" s="915">
        <v>2</v>
      </c>
      <c r="C16" s="913" t="s">
        <v>673</v>
      </c>
      <c r="D16" s="913"/>
      <c r="E16" s="922">
        <f t="shared" si="0"/>
        <v>0</v>
      </c>
      <c r="F16" s="922">
        <f t="shared" si="0"/>
        <v>0</v>
      </c>
      <c r="G16" s="922">
        <f t="shared" si="0"/>
        <v>0</v>
      </c>
      <c r="H16" s="922">
        <f t="shared" si="0"/>
        <v>0</v>
      </c>
      <c r="I16" s="922">
        <f t="shared" si="0"/>
        <v>0</v>
      </c>
      <c r="J16" s="922">
        <f t="shared" si="0"/>
        <v>0</v>
      </c>
      <c r="K16" s="922">
        <f t="shared" si="0"/>
        <v>0</v>
      </c>
      <c r="L16" s="922">
        <f t="shared" si="0"/>
        <v>0</v>
      </c>
      <c r="M16" s="922">
        <f t="shared" si="0"/>
        <v>0</v>
      </c>
      <c r="N16" s="922">
        <f t="shared" si="0"/>
        <v>0</v>
      </c>
      <c r="O16" s="922">
        <f t="shared" si="0"/>
        <v>0</v>
      </c>
      <c r="P16" s="922">
        <f t="shared" si="0"/>
        <v>0</v>
      </c>
    </row>
    <row r="17" spans="1:16" ht="14.25" customHeight="1" x14ac:dyDescent="0.2">
      <c r="A17" s="1452"/>
      <c r="B17" s="915">
        <v>3</v>
      </c>
      <c r="C17" s="913" t="s">
        <v>675</v>
      </c>
      <c r="D17" s="913"/>
      <c r="E17" s="922">
        <f t="shared" si="0"/>
        <v>0</v>
      </c>
      <c r="F17" s="922">
        <f t="shared" si="0"/>
        <v>0</v>
      </c>
      <c r="G17" s="922">
        <f t="shared" si="0"/>
        <v>0</v>
      </c>
      <c r="H17" s="922">
        <f t="shared" si="0"/>
        <v>0</v>
      </c>
      <c r="I17" s="922">
        <f t="shared" si="0"/>
        <v>0</v>
      </c>
      <c r="J17" s="922">
        <f t="shared" si="0"/>
        <v>0</v>
      </c>
      <c r="K17" s="922">
        <f t="shared" si="0"/>
        <v>0</v>
      </c>
      <c r="L17" s="922">
        <f t="shared" si="0"/>
        <v>0</v>
      </c>
      <c r="M17" s="922">
        <f t="shared" si="0"/>
        <v>0</v>
      </c>
      <c r="N17" s="922">
        <f t="shared" si="0"/>
        <v>0</v>
      </c>
      <c r="O17" s="922">
        <f t="shared" si="0"/>
        <v>0</v>
      </c>
      <c r="P17" s="922">
        <f t="shared" si="0"/>
        <v>0</v>
      </c>
    </row>
    <row r="18" spans="1:16" ht="14.25" customHeight="1" x14ac:dyDescent="0.2">
      <c r="A18" s="1452"/>
      <c r="B18" s="915">
        <v>4</v>
      </c>
      <c r="C18" s="913" t="s">
        <v>678</v>
      </c>
      <c r="D18" s="913"/>
      <c r="E18" s="916"/>
      <c r="F18" s="916"/>
      <c r="G18" s="916"/>
      <c r="H18" s="916"/>
      <c r="I18" s="916"/>
      <c r="J18" s="916"/>
      <c r="K18" s="916"/>
      <c r="L18" s="916"/>
      <c r="M18" s="916"/>
      <c r="N18" s="916"/>
      <c r="O18" s="916"/>
      <c r="P18" s="916"/>
    </row>
    <row r="19" spans="1:16" ht="14.25" customHeight="1" x14ac:dyDescent="0.2">
      <c r="A19" s="1452"/>
      <c r="B19" s="923">
        <v>5</v>
      </c>
      <c r="C19" s="924" t="s">
        <v>1224</v>
      </c>
      <c r="D19" s="924"/>
      <c r="E19" s="925">
        <f t="shared" ref="E19:P19" si="1">E15+E16-E17-E18</f>
        <v>0</v>
      </c>
      <c r="F19" s="925">
        <f t="shared" si="1"/>
        <v>0</v>
      </c>
      <c r="G19" s="925">
        <f t="shared" si="1"/>
        <v>0</v>
      </c>
      <c r="H19" s="925">
        <f t="shared" si="1"/>
        <v>0</v>
      </c>
      <c r="I19" s="925">
        <f t="shared" si="1"/>
        <v>0</v>
      </c>
      <c r="J19" s="925">
        <f t="shared" si="1"/>
        <v>0</v>
      </c>
      <c r="K19" s="925">
        <f t="shared" si="1"/>
        <v>0</v>
      </c>
      <c r="L19" s="925">
        <f t="shared" si="1"/>
        <v>0</v>
      </c>
      <c r="M19" s="925">
        <f t="shared" si="1"/>
        <v>0</v>
      </c>
      <c r="N19" s="925">
        <f t="shared" si="1"/>
        <v>0</v>
      </c>
      <c r="O19" s="925">
        <f t="shared" si="1"/>
        <v>0</v>
      </c>
      <c r="P19" s="925">
        <f t="shared" si="1"/>
        <v>0</v>
      </c>
    </row>
    <row r="20" spans="1:16" ht="14.25" customHeight="1" x14ac:dyDescent="0.2">
      <c r="A20" s="1452"/>
      <c r="B20" s="915">
        <v>6</v>
      </c>
      <c r="C20" s="913" t="s">
        <v>252</v>
      </c>
      <c r="D20" s="913"/>
      <c r="E20" s="916"/>
      <c r="F20" s="916"/>
      <c r="G20" s="916"/>
      <c r="H20" s="916"/>
      <c r="I20" s="916"/>
      <c r="J20" s="916"/>
      <c r="K20" s="916"/>
      <c r="L20" s="916"/>
      <c r="M20" s="916"/>
      <c r="N20" s="916"/>
      <c r="O20" s="916"/>
      <c r="P20" s="916"/>
    </row>
    <row r="21" spans="1:16" ht="14.25" customHeight="1" x14ac:dyDescent="0.2">
      <c r="A21" s="1452"/>
      <c r="B21" s="915">
        <v>7</v>
      </c>
      <c r="C21" s="913" t="s">
        <v>681</v>
      </c>
      <c r="D21" s="913"/>
      <c r="E21" s="922">
        <f t="shared" ref="E21:P21" si="2">E25</f>
        <v>0</v>
      </c>
      <c r="F21" s="922">
        <f t="shared" si="2"/>
        <v>0</v>
      </c>
      <c r="G21" s="922">
        <f t="shared" si="2"/>
        <v>-107.10000000000002</v>
      </c>
      <c r="H21" s="922">
        <f t="shared" si="2"/>
        <v>-275.40000000000003</v>
      </c>
      <c r="I21" s="922">
        <f t="shared" si="2"/>
        <v>-306</v>
      </c>
      <c r="J21" s="922">
        <f t="shared" si="2"/>
        <v>-306</v>
      </c>
      <c r="K21" s="922">
        <f t="shared" si="2"/>
        <v>-306</v>
      </c>
      <c r="L21" s="922">
        <f t="shared" si="2"/>
        <v>-306</v>
      </c>
      <c r="M21" s="922">
        <f t="shared" si="2"/>
        <v>-306</v>
      </c>
      <c r="N21" s="922">
        <f t="shared" si="2"/>
        <v>-306</v>
      </c>
      <c r="O21" s="922">
        <f t="shared" si="2"/>
        <v>-306</v>
      </c>
      <c r="P21" s="922">
        <f t="shared" si="2"/>
        <v>-306</v>
      </c>
    </row>
    <row r="22" spans="1:16" ht="14.25" customHeight="1" x14ac:dyDescent="0.2">
      <c r="A22" s="1452"/>
      <c r="B22" s="926">
        <v>8</v>
      </c>
      <c r="C22" s="927" t="s">
        <v>253</v>
      </c>
      <c r="D22" s="927"/>
      <c r="E22" s="928">
        <f t="shared" ref="E22:P22" si="3">E19-E20-E21</f>
        <v>0</v>
      </c>
      <c r="F22" s="928">
        <f t="shared" si="3"/>
        <v>0</v>
      </c>
      <c r="G22" s="928">
        <f t="shared" si="3"/>
        <v>107.10000000000002</v>
      </c>
      <c r="H22" s="928">
        <f t="shared" si="3"/>
        <v>275.40000000000003</v>
      </c>
      <c r="I22" s="928">
        <f t="shared" si="3"/>
        <v>306</v>
      </c>
      <c r="J22" s="928">
        <f t="shared" si="3"/>
        <v>306</v>
      </c>
      <c r="K22" s="928">
        <f t="shared" si="3"/>
        <v>306</v>
      </c>
      <c r="L22" s="928">
        <f t="shared" si="3"/>
        <v>306</v>
      </c>
      <c r="M22" s="928">
        <f t="shared" si="3"/>
        <v>306</v>
      </c>
      <c r="N22" s="928">
        <f t="shared" si="3"/>
        <v>306</v>
      </c>
      <c r="O22" s="928">
        <f t="shared" si="3"/>
        <v>306</v>
      </c>
      <c r="P22" s="928">
        <f t="shared" si="3"/>
        <v>306</v>
      </c>
    </row>
    <row r="23" spans="1:16" ht="14.25" customHeight="1" x14ac:dyDescent="0.2">
      <c r="A23" s="1452" t="s">
        <v>254</v>
      </c>
      <c r="B23" s="912">
        <v>9</v>
      </c>
      <c r="C23" s="920" t="s">
        <v>684</v>
      </c>
      <c r="D23" s="920"/>
      <c r="E23" s="914"/>
      <c r="F23" s="914">
        <f t="shared" ref="F23:P23" si="4">F88</f>
        <v>0</v>
      </c>
      <c r="G23" s="914">
        <f t="shared" si="4"/>
        <v>315.00000000000006</v>
      </c>
      <c r="H23" s="914">
        <f t="shared" si="4"/>
        <v>810</v>
      </c>
      <c r="I23" s="914">
        <f t="shared" si="4"/>
        <v>900</v>
      </c>
      <c r="J23" s="914">
        <f t="shared" si="4"/>
        <v>900</v>
      </c>
      <c r="K23" s="914">
        <f t="shared" si="4"/>
        <v>900</v>
      </c>
      <c r="L23" s="914">
        <f t="shared" si="4"/>
        <v>900</v>
      </c>
      <c r="M23" s="914">
        <f t="shared" si="4"/>
        <v>900</v>
      </c>
      <c r="N23" s="914">
        <f t="shared" si="4"/>
        <v>900</v>
      </c>
      <c r="O23" s="914">
        <f t="shared" si="4"/>
        <v>900</v>
      </c>
      <c r="P23" s="914">
        <f t="shared" si="4"/>
        <v>900</v>
      </c>
    </row>
    <row r="24" spans="1:16" ht="14.25" customHeight="1" x14ac:dyDescent="0.2">
      <c r="A24" s="1452"/>
      <c r="B24" s="915"/>
      <c r="C24" s="913" t="s">
        <v>685</v>
      </c>
      <c r="D24" s="913"/>
      <c r="E24" s="929">
        <f t="shared" ref="E24:P24" si="5">$E41</f>
        <v>0.34</v>
      </c>
      <c r="F24" s="929">
        <f t="shared" si="5"/>
        <v>0.34</v>
      </c>
      <c r="G24" s="929">
        <f t="shared" si="5"/>
        <v>0.34</v>
      </c>
      <c r="H24" s="929">
        <f t="shared" si="5"/>
        <v>0.34</v>
      </c>
      <c r="I24" s="929">
        <f t="shared" si="5"/>
        <v>0.34</v>
      </c>
      <c r="J24" s="929">
        <f t="shared" si="5"/>
        <v>0.34</v>
      </c>
      <c r="K24" s="929">
        <f t="shared" si="5"/>
        <v>0.34</v>
      </c>
      <c r="L24" s="929">
        <f t="shared" si="5"/>
        <v>0.34</v>
      </c>
      <c r="M24" s="929">
        <f t="shared" si="5"/>
        <v>0.34</v>
      </c>
      <c r="N24" s="929">
        <f t="shared" si="5"/>
        <v>0.34</v>
      </c>
      <c r="O24" s="929">
        <f t="shared" si="5"/>
        <v>0.34</v>
      </c>
      <c r="P24" s="929">
        <f t="shared" si="5"/>
        <v>0.34</v>
      </c>
    </row>
    <row r="25" spans="1:16" ht="14.25" customHeight="1" x14ac:dyDescent="0.2">
      <c r="A25" s="1452"/>
      <c r="B25" s="926">
        <v>10</v>
      </c>
      <c r="C25" s="927" t="s">
        <v>255</v>
      </c>
      <c r="D25" s="927"/>
      <c r="E25" s="928">
        <f t="shared" ref="E25:P25" si="6">E24*(E19-E20-E23)</f>
        <v>0</v>
      </c>
      <c r="F25" s="928">
        <f>F24*(F19-F20-F23)</f>
        <v>0</v>
      </c>
      <c r="G25" s="928">
        <f t="shared" si="6"/>
        <v>-107.10000000000002</v>
      </c>
      <c r="H25" s="928">
        <f t="shared" si="6"/>
        <v>-275.40000000000003</v>
      </c>
      <c r="I25" s="928">
        <f t="shared" si="6"/>
        <v>-306</v>
      </c>
      <c r="J25" s="928">
        <f t="shared" si="6"/>
        <v>-306</v>
      </c>
      <c r="K25" s="928">
        <f t="shared" si="6"/>
        <v>-306</v>
      </c>
      <c r="L25" s="928">
        <f t="shared" si="6"/>
        <v>-306</v>
      </c>
      <c r="M25" s="928">
        <f t="shared" si="6"/>
        <v>-306</v>
      </c>
      <c r="N25" s="928">
        <f t="shared" si="6"/>
        <v>-306</v>
      </c>
      <c r="O25" s="928">
        <f t="shared" si="6"/>
        <v>-306</v>
      </c>
      <c r="P25" s="928">
        <f t="shared" si="6"/>
        <v>-306</v>
      </c>
    </row>
    <row r="26" spans="1:16" ht="14.25" customHeight="1" x14ac:dyDescent="0.2">
      <c r="A26" s="1452" t="s">
        <v>256</v>
      </c>
      <c r="B26" s="912">
        <v>11</v>
      </c>
      <c r="C26" s="920" t="s">
        <v>257</v>
      </c>
      <c r="D26" s="930">
        <f>SUM(E26:P26)</f>
        <v>9000</v>
      </c>
      <c r="E26" s="914">
        <f>SUM('détails investissements (2)'!C129:N129)*1000</f>
        <v>0</v>
      </c>
      <c r="F26" s="914">
        <f>SUM('détails investissements (2)'!O129:Z129)*1000</f>
        <v>3150.0000000000005</v>
      </c>
      <c r="G26" s="914">
        <f>SUM('détails investissements (2)'!AA129:AL129)*1000</f>
        <v>4949.9999999999991</v>
      </c>
      <c r="H26" s="914">
        <f>SUM('détails investissements (2)'!AM129:AX129)*1000</f>
        <v>900</v>
      </c>
      <c r="I26" s="914">
        <f>SUM('détails investissements (2)'!AY129:BJ129)</f>
        <v>0</v>
      </c>
      <c r="J26" s="914"/>
      <c r="K26" s="914"/>
      <c r="L26" s="914"/>
      <c r="M26" s="914"/>
      <c r="N26" s="914"/>
      <c r="O26" s="914"/>
      <c r="P26" s="914"/>
    </row>
    <row r="27" spans="1:16" ht="14.25" customHeight="1" x14ac:dyDescent="0.2">
      <c r="A27" s="1452"/>
      <c r="B27" s="915">
        <v>12</v>
      </c>
      <c r="C27" s="913" t="s">
        <v>260</v>
      </c>
      <c r="D27" s="930" t="str">
        <f>SUM(E27:P27)&amp;" "&amp;B7</f>
        <v>0 K€</v>
      </c>
      <c r="E27" s="916"/>
      <c r="F27" s="916"/>
      <c r="G27" s="916"/>
      <c r="H27" s="916"/>
      <c r="I27" s="916"/>
      <c r="J27" s="916"/>
      <c r="K27" s="916"/>
      <c r="L27" s="916"/>
      <c r="M27" s="916"/>
      <c r="N27" s="916"/>
      <c r="O27" s="916"/>
      <c r="P27" s="916"/>
    </row>
    <row r="28" spans="1:16" ht="14.25" customHeight="1" x14ac:dyDescent="0.2">
      <c r="A28" s="1452"/>
      <c r="B28" s="915">
        <v>13</v>
      </c>
      <c r="C28" s="913" t="s">
        <v>690</v>
      </c>
      <c r="D28" s="905" t="str">
        <f>SUM(E28:P28)&amp;" "&amp;B7</f>
        <v>0 K€</v>
      </c>
      <c r="E28" s="916"/>
      <c r="F28" s="916"/>
      <c r="G28" s="916"/>
      <c r="H28" s="916"/>
      <c r="I28" s="916"/>
      <c r="J28" s="916"/>
      <c r="K28" s="916"/>
      <c r="L28" s="916"/>
      <c r="M28" s="916"/>
      <c r="N28" s="916"/>
      <c r="O28" s="916"/>
      <c r="P28" s="916"/>
    </row>
    <row r="29" spans="1:16" ht="14.25" customHeight="1" x14ac:dyDescent="0.2">
      <c r="A29" s="1452"/>
      <c r="B29" s="926">
        <v>14</v>
      </c>
      <c r="C29" s="927" t="s">
        <v>691</v>
      </c>
      <c r="D29" s="927"/>
      <c r="E29" s="928">
        <f t="shared" ref="E29:P29" si="7">E26+E27+E28</f>
        <v>0</v>
      </c>
      <c r="F29" s="928">
        <f t="shared" si="7"/>
        <v>3150.0000000000005</v>
      </c>
      <c r="G29" s="928">
        <f t="shared" si="7"/>
        <v>4949.9999999999991</v>
      </c>
      <c r="H29" s="928">
        <f t="shared" si="7"/>
        <v>900</v>
      </c>
      <c r="I29" s="928">
        <f t="shared" si="7"/>
        <v>0</v>
      </c>
      <c r="J29" s="928">
        <f t="shared" si="7"/>
        <v>0</v>
      </c>
      <c r="K29" s="928">
        <f t="shared" si="7"/>
        <v>0</v>
      </c>
      <c r="L29" s="928">
        <f t="shared" si="7"/>
        <v>0</v>
      </c>
      <c r="M29" s="928">
        <f t="shared" si="7"/>
        <v>0</v>
      </c>
      <c r="N29" s="928">
        <f t="shared" si="7"/>
        <v>0</v>
      </c>
      <c r="O29" s="928">
        <f t="shared" si="7"/>
        <v>0</v>
      </c>
      <c r="P29" s="928">
        <f t="shared" si="7"/>
        <v>0</v>
      </c>
    </row>
    <row r="30" spans="1:16" ht="14.25" customHeight="1" x14ac:dyDescent="0.2">
      <c r="A30" s="931"/>
      <c r="B30" s="932">
        <v>15</v>
      </c>
      <c r="C30" s="933" t="s">
        <v>261</v>
      </c>
      <c r="D30" s="933"/>
      <c r="E30" s="934">
        <f t="shared" ref="E30:P30" si="8">E22-E29</f>
        <v>0</v>
      </c>
      <c r="F30" s="934">
        <f t="shared" si="8"/>
        <v>-3150.0000000000005</v>
      </c>
      <c r="G30" s="934">
        <f t="shared" si="8"/>
        <v>-4842.8999999999987</v>
      </c>
      <c r="H30" s="934">
        <f t="shared" si="8"/>
        <v>-624.59999999999991</v>
      </c>
      <c r="I30" s="934">
        <f t="shared" si="8"/>
        <v>306</v>
      </c>
      <c r="J30" s="934">
        <f t="shared" si="8"/>
        <v>306</v>
      </c>
      <c r="K30" s="934">
        <f t="shared" si="8"/>
        <v>306</v>
      </c>
      <c r="L30" s="934">
        <f t="shared" si="8"/>
        <v>306</v>
      </c>
      <c r="M30" s="934">
        <f t="shared" si="8"/>
        <v>306</v>
      </c>
      <c r="N30" s="934">
        <f t="shared" si="8"/>
        <v>306</v>
      </c>
      <c r="O30" s="934">
        <f t="shared" si="8"/>
        <v>306</v>
      </c>
      <c r="P30" s="934">
        <f t="shared" si="8"/>
        <v>306</v>
      </c>
    </row>
    <row r="31" spans="1:16" ht="14.25" customHeight="1" x14ac:dyDescent="0.2">
      <c r="B31" s="899"/>
      <c r="E31" s="935"/>
      <c r="F31" s="935"/>
      <c r="G31" s="935"/>
      <c r="H31" s="935"/>
      <c r="I31" s="935"/>
      <c r="J31" s="935"/>
      <c r="K31" s="935"/>
      <c r="L31" s="935"/>
      <c r="M31" s="935"/>
      <c r="N31" s="935"/>
      <c r="O31" s="935"/>
      <c r="P31" s="935"/>
    </row>
    <row r="32" spans="1:16" ht="14.25" customHeight="1" x14ac:dyDescent="0.2">
      <c r="A32" s="936">
        <f>E40</f>
        <v>0.105</v>
      </c>
      <c r="B32" s="912">
        <v>16</v>
      </c>
      <c r="C32" s="920" t="s">
        <v>262</v>
      </c>
      <c r="D32" s="920"/>
      <c r="E32" s="921">
        <f>E30/E51</f>
        <v>0</v>
      </c>
      <c r="F32" s="921">
        <f t="shared" ref="F32:P32" si="9">F30/F51</f>
        <v>-2850.6787330316747</v>
      </c>
      <c r="G32" s="921">
        <f t="shared" si="9"/>
        <v>-3966.2578571282311</v>
      </c>
      <c r="H32" s="921">
        <f t="shared" si="9"/>
        <v>-462.92980797140149</v>
      </c>
      <c r="I32" s="921">
        <f t="shared" si="9"/>
        <v>205.24487163440548</v>
      </c>
      <c r="J32" s="921">
        <f t="shared" si="9"/>
        <v>185.74196528000496</v>
      </c>
      <c r="K32" s="921">
        <f t="shared" si="9"/>
        <v>168.0922762714977</v>
      </c>
      <c r="L32" s="921">
        <f t="shared" si="9"/>
        <v>152.11970703302958</v>
      </c>
      <c r="M32" s="921">
        <f t="shared" si="9"/>
        <v>137.66489324256071</v>
      </c>
      <c r="N32" s="921">
        <f t="shared" si="9"/>
        <v>124.58361379417261</v>
      </c>
      <c r="O32" s="921">
        <f t="shared" si="9"/>
        <v>112.74535184992996</v>
      </c>
      <c r="P32" s="921">
        <f t="shared" si="9"/>
        <v>102.03199262437101</v>
      </c>
    </row>
    <row r="33" spans="1:25" ht="14.25" customHeight="1" x14ac:dyDescent="0.2">
      <c r="A33" s="937"/>
      <c r="B33" s="917">
        <v>17</v>
      </c>
      <c r="C33" s="918" t="s">
        <v>263</v>
      </c>
      <c r="D33" s="918"/>
      <c r="E33" s="938">
        <f>SUM(E32:$E32)</f>
        <v>0</v>
      </c>
      <c r="F33" s="938">
        <f>SUM($E32:F32)</f>
        <v>-2850.6787330316747</v>
      </c>
      <c r="G33" s="938">
        <f>SUM($E32:G32)</f>
        <v>-6816.9365901599058</v>
      </c>
      <c r="H33" s="938">
        <f>SUM($E32:H32)</f>
        <v>-7279.8663981313075</v>
      </c>
      <c r="I33" s="938">
        <f>SUM($E32:I32)</f>
        <v>-7074.6215264969023</v>
      </c>
      <c r="J33" s="938">
        <f>SUM($E32:J32)</f>
        <v>-6888.8795612168969</v>
      </c>
      <c r="K33" s="938">
        <f>SUM($E32:K32)</f>
        <v>-6720.7872849453988</v>
      </c>
      <c r="L33" s="938">
        <f>SUM($E32:L32)</f>
        <v>-6568.6675779123689</v>
      </c>
      <c r="M33" s="938">
        <f>SUM($E32:M32)</f>
        <v>-6431.0026846698083</v>
      </c>
      <c r="N33" s="938">
        <f>SUM($E32:N32)</f>
        <v>-6306.419070875636</v>
      </c>
      <c r="O33" s="938">
        <f>SUM($E32:O32)</f>
        <v>-6193.6737190257063</v>
      </c>
      <c r="P33" s="938">
        <f>SUM($E32:P32)</f>
        <v>-6091.6417264013353</v>
      </c>
    </row>
    <row r="34" spans="1:25" ht="14.25" customHeight="1" x14ac:dyDescent="0.2">
      <c r="B34" s="899"/>
    </row>
    <row r="35" spans="1:25" ht="14.25" customHeight="1" x14ac:dyDescent="0.2">
      <c r="B35" s="899">
        <v>18</v>
      </c>
      <c r="C35" s="939" t="s">
        <v>695</v>
      </c>
      <c r="D35" s="940">
        <f>P33+O36</f>
        <v>-5593.9246892092815</v>
      </c>
      <c r="E35" s="941" t="str">
        <f>B7</f>
        <v>K€</v>
      </c>
      <c r="I35" s="898">
        <v>21</v>
      </c>
      <c r="J35" s="1468" t="s">
        <v>696</v>
      </c>
      <c r="K35" s="1469"/>
      <c r="L35" s="1469"/>
      <c r="M35" s="1469"/>
      <c r="N35" s="1469"/>
      <c r="O35" s="1470">
        <f>SUM(L30:P30)/5/(E40-O38)</f>
        <v>1492.6829268292681</v>
      </c>
      <c r="P35" s="1471"/>
    </row>
    <row r="36" spans="1:25" ht="14.25" customHeight="1" x14ac:dyDescent="0.2">
      <c r="B36" s="899"/>
      <c r="I36" s="898">
        <v>22</v>
      </c>
      <c r="J36" s="1472" t="s">
        <v>697</v>
      </c>
      <c r="K36" s="1473"/>
      <c r="L36" s="1473"/>
      <c r="M36" s="1473"/>
      <c r="N36" s="1473"/>
      <c r="O36" s="1474">
        <f>O35/P51</f>
        <v>497.71703719205362</v>
      </c>
      <c r="P36" s="1475"/>
    </row>
    <row r="37" spans="1:25" ht="14.25" customHeight="1" thickBot="1" x14ac:dyDescent="0.25">
      <c r="B37" s="899">
        <v>19</v>
      </c>
      <c r="C37" s="939" t="s">
        <v>264</v>
      </c>
      <c r="D37" s="1476">
        <f>IRR(E53:P53)</f>
        <v>-0.10028961921260382</v>
      </c>
      <c r="E37" s="1477"/>
      <c r="I37" s="898">
        <v>23</v>
      </c>
      <c r="J37" s="1468" t="s">
        <v>266</v>
      </c>
      <c r="K37" s="1469"/>
      <c r="L37" s="1469"/>
      <c r="M37" s="1469"/>
      <c r="N37" s="1469"/>
      <c r="O37" s="1478">
        <f>5*O35/SUM(L30:P30)</f>
        <v>4.8780487804878039</v>
      </c>
      <c r="P37" s="1479"/>
    </row>
    <row r="38" spans="1:25" ht="14.25" customHeight="1" x14ac:dyDescent="0.2">
      <c r="B38" s="899"/>
      <c r="F38" s="1448" t="s">
        <v>32</v>
      </c>
      <c r="G38" s="1449"/>
      <c r="I38" s="942">
        <v>24</v>
      </c>
      <c r="J38" s="1480" t="s">
        <v>700</v>
      </c>
      <c r="K38" s="1481"/>
      <c r="L38" s="1481"/>
      <c r="M38" s="1481"/>
      <c r="N38" s="1481"/>
      <c r="O38" s="1482">
        <v>-0.1</v>
      </c>
      <c r="P38" s="1483"/>
    </row>
    <row r="39" spans="1:25" ht="14.25" customHeight="1" x14ac:dyDescent="0.2">
      <c r="B39" s="899">
        <v>20</v>
      </c>
      <c r="C39" s="939" t="s">
        <v>268</v>
      </c>
      <c r="D39" s="943">
        <f>SUM(E55:P55)+1</f>
        <v>12</v>
      </c>
      <c r="E39" s="944">
        <f>SUM(E56:P56)</f>
        <v>0</v>
      </c>
      <c r="F39" s="961">
        <f ca="1">IF(OFFSET(E33,0,20-1)&lt;0, "&gt; " &amp; "20 ans", SUM(E61:X61)+1)</f>
        <v>9</v>
      </c>
      <c r="G39" s="898">
        <f ca="1">IF(OFFSET(E33,0,20-1)&lt;0, "", SUM(E62:X62))</f>
        <v>0</v>
      </c>
      <c r="I39" s="945">
        <v>25</v>
      </c>
      <c r="J39" s="1488" t="s">
        <v>701</v>
      </c>
      <c r="K39" s="1489"/>
      <c r="L39" s="1489"/>
      <c r="M39" s="1489"/>
      <c r="N39" s="1489"/>
      <c r="O39" s="1490">
        <v>0</v>
      </c>
      <c r="P39" s="1491"/>
    </row>
    <row r="40" spans="1:25" ht="14.25" customHeight="1" x14ac:dyDescent="0.2">
      <c r="D40" s="900" t="s">
        <v>702</v>
      </c>
      <c r="E40" s="946">
        <v>0.105</v>
      </c>
      <c r="O40" s="900" t="s">
        <v>703</v>
      </c>
      <c r="P40" s="947">
        <v>10</v>
      </c>
    </row>
    <row r="41" spans="1:25" ht="14.25" customHeight="1" x14ac:dyDescent="0.2">
      <c r="D41" s="900" t="s">
        <v>704</v>
      </c>
      <c r="E41" s="948">
        <v>0.34</v>
      </c>
      <c r="O41" s="900" t="s">
        <v>705</v>
      </c>
      <c r="P41" s="947"/>
    </row>
    <row r="42" spans="1:25" ht="18" customHeight="1" x14ac:dyDescent="0.2">
      <c r="B42" s="899"/>
      <c r="Q42" s="949" t="s">
        <v>265</v>
      </c>
      <c r="R42" s="950">
        <f>D35</f>
        <v>-5593.9246892092815</v>
      </c>
      <c r="S42" s="950" t="str">
        <f>E35</f>
        <v>K€</v>
      </c>
    </row>
    <row r="43" spans="1:25" ht="18" customHeight="1" x14ac:dyDescent="0.2">
      <c r="B43" s="899"/>
      <c r="D43" s="900"/>
      <c r="E43" s="951"/>
      <c r="Q43" s="952" t="s">
        <v>267</v>
      </c>
      <c r="R43" s="953">
        <f>O36</f>
        <v>497.71703719205362</v>
      </c>
      <c r="S43" s="953" t="str">
        <f>S42</f>
        <v>K€</v>
      </c>
    </row>
    <row r="44" spans="1:25" ht="18" customHeight="1" x14ac:dyDescent="0.2">
      <c r="B44" s="899"/>
      <c r="E44" s="954"/>
      <c r="F44" s="954"/>
      <c r="G44" s="954"/>
      <c r="H44" s="954"/>
      <c r="I44" s="954"/>
      <c r="J44" s="954"/>
      <c r="K44" s="954"/>
      <c r="L44" s="954"/>
      <c r="M44" s="954"/>
      <c r="N44" s="954"/>
      <c r="O44" s="954"/>
      <c r="P44" s="954"/>
      <c r="Q44" s="949" t="s">
        <v>269</v>
      </c>
      <c r="R44" s="1485">
        <f>D37</f>
        <v>-0.10028961921260382</v>
      </c>
      <c r="S44" s="1485"/>
    </row>
    <row r="45" spans="1:25" ht="15" x14ac:dyDescent="0.2">
      <c r="B45" s="899"/>
      <c r="E45" s="954"/>
      <c r="F45" s="954"/>
      <c r="G45" s="954"/>
      <c r="H45" s="954"/>
      <c r="I45" s="954"/>
      <c r="J45" s="954"/>
      <c r="K45" s="954"/>
      <c r="L45" s="954"/>
      <c r="M45" s="954"/>
      <c r="N45" s="954"/>
      <c r="O45" s="954"/>
      <c r="P45" s="954"/>
      <c r="Q45" s="952" t="s">
        <v>670</v>
      </c>
      <c r="R45" s="955">
        <f>D39</f>
        <v>12</v>
      </c>
      <c r="S45" s="956">
        <f>E39</f>
        <v>0</v>
      </c>
    </row>
    <row r="46" spans="1:25" ht="15.75" x14ac:dyDescent="0.2">
      <c r="B46" s="899"/>
      <c r="E46" s="954"/>
      <c r="F46" s="954"/>
      <c r="G46" s="954"/>
      <c r="H46" s="954"/>
      <c r="I46" s="954"/>
      <c r="J46" s="954"/>
      <c r="K46" s="954"/>
      <c r="L46" s="954"/>
      <c r="M46" s="954"/>
      <c r="N46" s="954"/>
      <c r="O46" s="954"/>
      <c r="P46" s="954"/>
      <c r="Q46" s="952"/>
      <c r="R46" s="955"/>
      <c r="S46" s="956"/>
      <c r="T46" s="957" t="str">
        <f t="shared" ref="T46:U49" si="10">A3</f>
        <v xml:space="preserve">Unité : </v>
      </c>
      <c r="U46" s="1486">
        <f t="shared" si="10"/>
        <v>0</v>
      </c>
      <c r="V46" s="1486"/>
      <c r="W46" s="1486"/>
      <c r="X46" s="1486"/>
      <c r="Y46" s="1486"/>
    </row>
    <row r="47" spans="1:25" ht="15.75" x14ac:dyDescent="0.2">
      <c r="B47" s="899"/>
      <c r="E47" s="954"/>
      <c r="F47" s="954"/>
      <c r="G47" s="954"/>
      <c r="H47" s="954"/>
      <c r="I47" s="954"/>
      <c r="J47" s="954"/>
      <c r="K47" s="954"/>
      <c r="L47" s="954"/>
      <c r="M47" s="954"/>
      <c r="N47" s="954"/>
      <c r="O47" s="954"/>
      <c r="P47" s="954"/>
      <c r="Q47" s="952"/>
      <c r="R47" s="955"/>
      <c r="S47" s="956"/>
      <c r="T47" s="957" t="str">
        <f t="shared" si="10"/>
        <v xml:space="preserve">Société : </v>
      </c>
      <c r="U47" s="1486" t="str">
        <f t="shared" si="10"/>
        <v>AUBERT et DUVAL Alliages</v>
      </c>
      <c r="V47" s="1486"/>
      <c r="W47" s="1486"/>
      <c r="X47" s="1486"/>
      <c r="Y47" s="1486"/>
    </row>
    <row r="48" spans="1:25" ht="15.75" x14ac:dyDescent="0.2">
      <c r="B48" s="899"/>
      <c r="E48" s="954"/>
      <c r="F48" s="954"/>
      <c r="G48" s="954"/>
      <c r="H48" s="954"/>
      <c r="I48" s="954"/>
      <c r="J48" s="954"/>
      <c r="K48" s="954"/>
      <c r="L48" s="954"/>
      <c r="M48" s="954"/>
      <c r="N48" s="954"/>
      <c r="O48" s="954"/>
      <c r="P48" s="954"/>
      <c r="Q48" s="952"/>
      <c r="R48" s="955"/>
      <c r="S48" s="956"/>
      <c r="T48" s="957" t="str">
        <f t="shared" si="10"/>
        <v xml:space="preserve">Site : </v>
      </c>
      <c r="U48" s="1486" t="str">
        <f t="shared" si="10"/>
        <v>EcoTitanium</v>
      </c>
      <c r="V48" s="1486"/>
      <c r="W48" s="1486"/>
      <c r="X48" s="1486"/>
      <c r="Y48" s="1486"/>
    </row>
    <row r="49" spans="2:25" ht="15.75" x14ac:dyDescent="0.2">
      <c r="B49" s="899"/>
      <c r="E49" s="954"/>
      <c r="F49" s="954"/>
      <c r="G49" s="954"/>
      <c r="H49" s="954"/>
      <c r="I49" s="954"/>
      <c r="J49" s="954"/>
      <c r="K49" s="954"/>
      <c r="L49" s="954"/>
      <c r="M49" s="954"/>
      <c r="N49" s="954"/>
      <c r="O49" s="954"/>
      <c r="P49" s="954"/>
      <c r="Q49" s="952"/>
      <c r="R49" s="955"/>
      <c r="S49" s="956"/>
      <c r="T49" s="957" t="str">
        <f t="shared" si="10"/>
        <v xml:space="preserve">Projet : </v>
      </c>
      <c r="U49" s="1486" t="str">
        <f t="shared" si="10"/>
        <v>Bâtiments</v>
      </c>
      <c r="V49" s="1486"/>
      <c r="W49" s="1486"/>
      <c r="X49" s="1486"/>
      <c r="Y49" s="1486"/>
    </row>
    <row r="50" spans="2:25" x14ac:dyDescent="0.2">
      <c r="B50" s="899"/>
      <c r="C50" s="900"/>
      <c r="D50" s="958" t="s">
        <v>707</v>
      </c>
      <c r="E50" s="954">
        <v>1</v>
      </c>
      <c r="F50" s="954">
        <f t="shared" ref="F50:P50" si="11">E50*(1+$O39)</f>
        <v>1</v>
      </c>
      <c r="G50" s="954">
        <f t="shared" si="11"/>
        <v>1</v>
      </c>
      <c r="H50" s="954">
        <f t="shared" si="11"/>
        <v>1</v>
      </c>
      <c r="I50" s="954">
        <f t="shared" si="11"/>
        <v>1</v>
      </c>
      <c r="J50" s="954">
        <f t="shared" si="11"/>
        <v>1</v>
      </c>
      <c r="K50" s="954">
        <f t="shared" si="11"/>
        <v>1</v>
      </c>
      <c r="L50" s="954">
        <f t="shared" si="11"/>
        <v>1</v>
      </c>
      <c r="M50" s="954">
        <f t="shared" si="11"/>
        <v>1</v>
      </c>
      <c r="N50" s="954">
        <f t="shared" si="11"/>
        <v>1</v>
      </c>
      <c r="O50" s="954">
        <f t="shared" si="11"/>
        <v>1</v>
      </c>
      <c r="P50" s="954">
        <f t="shared" si="11"/>
        <v>1</v>
      </c>
    </row>
    <row r="51" spans="2:25" x14ac:dyDescent="0.2">
      <c r="D51" s="958" t="s">
        <v>708</v>
      </c>
      <c r="E51" s="954">
        <v>1</v>
      </c>
      <c r="F51" s="954">
        <f>E51*(1+$E40)</f>
        <v>1.105</v>
      </c>
      <c r="G51" s="954">
        <f>F51*(1+$E40)</f>
        <v>1.221025</v>
      </c>
      <c r="H51" s="954">
        <f t="shared" ref="H51:P51" si="12">G51*(1+$E40)</f>
        <v>1.349232625</v>
      </c>
      <c r="I51" s="954">
        <f t="shared" si="12"/>
        <v>1.4909020506249999</v>
      </c>
      <c r="J51" s="954">
        <f t="shared" si="12"/>
        <v>1.6474467659406249</v>
      </c>
      <c r="K51" s="954">
        <f t="shared" si="12"/>
        <v>1.8204286763643904</v>
      </c>
      <c r="L51" s="954">
        <f t="shared" si="12"/>
        <v>2.0115736873826515</v>
      </c>
      <c r="M51" s="954">
        <f t="shared" si="12"/>
        <v>2.2227889245578298</v>
      </c>
      <c r="N51" s="954">
        <f t="shared" si="12"/>
        <v>2.4561817616364019</v>
      </c>
      <c r="O51" s="954">
        <f t="shared" si="12"/>
        <v>2.714080846608224</v>
      </c>
      <c r="P51" s="954">
        <f t="shared" si="12"/>
        <v>2.9990593355020874</v>
      </c>
    </row>
    <row r="52" spans="2:25" x14ac:dyDescent="0.2">
      <c r="B52" s="899"/>
      <c r="E52" s="954"/>
      <c r="F52" s="954"/>
      <c r="G52" s="954"/>
      <c r="H52" s="954"/>
      <c r="I52" s="954"/>
      <c r="J52" s="954"/>
      <c r="K52" s="954"/>
      <c r="L52" s="954"/>
      <c r="M52" s="954"/>
      <c r="N52" s="954"/>
      <c r="O52" s="954"/>
      <c r="P52" s="954"/>
    </row>
    <row r="53" spans="2:25" x14ac:dyDescent="0.2">
      <c r="B53" s="899"/>
      <c r="D53" s="900" t="s">
        <v>270</v>
      </c>
      <c r="E53" s="935">
        <f t="shared" ref="E53:J53" si="13">E30</f>
        <v>0</v>
      </c>
      <c r="F53" s="935">
        <f t="shared" si="13"/>
        <v>-3150.0000000000005</v>
      </c>
      <c r="G53" s="935">
        <f t="shared" si="13"/>
        <v>-4842.8999999999987</v>
      </c>
      <c r="H53" s="935">
        <f t="shared" si="13"/>
        <v>-624.59999999999991</v>
      </c>
      <c r="I53" s="935">
        <f t="shared" si="13"/>
        <v>306</v>
      </c>
      <c r="J53" s="935">
        <f t="shared" si="13"/>
        <v>306</v>
      </c>
      <c r="K53" s="898">
        <f>K30</f>
        <v>306</v>
      </c>
      <c r="L53" s="898">
        <f>L30</f>
        <v>306</v>
      </c>
      <c r="M53" s="898">
        <f>M30</f>
        <v>306</v>
      </c>
      <c r="N53" s="898">
        <f>N30</f>
        <v>306</v>
      </c>
      <c r="O53" s="898">
        <f>O30</f>
        <v>306</v>
      </c>
      <c r="P53" s="898">
        <f>P30+O35</f>
        <v>1798.6829268292681</v>
      </c>
    </row>
    <row r="54" spans="2:25" x14ac:dyDescent="0.2">
      <c r="B54" s="899"/>
    </row>
    <row r="55" spans="2:25" x14ac:dyDescent="0.2">
      <c r="B55" s="899"/>
      <c r="C55" s="900" t="s">
        <v>710</v>
      </c>
      <c r="D55" s="898" t="s">
        <v>713</v>
      </c>
      <c r="E55" s="898">
        <f t="shared" ref="E55:P55" si="14">IF(F33&lt;0,1,0)</f>
        <v>1</v>
      </c>
      <c r="F55" s="898">
        <f t="shared" si="14"/>
        <v>1</v>
      </c>
      <c r="G55" s="898">
        <f t="shared" si="14"/>
        <v>1</v>
      </c>
      <c r="H55" s="898">
        <f t="shared" si="14"/>
        <v>1</v>
      </c>
      <c r="I55" s="898">
        <f t="shared" si="14"/>
        <v>1</v>
      </c>
      <c r="J55" s="898">
        <f t="shared" si="14"/>
        <v>1</v>
      </c>
      <c r="K55" s="898">
        <f t="shared" si="14"/>
        <v>1</v>
      </c>
      <c r="L55" s="898">
        <f t="shared" si="14"/>
        <v>1</v>
      </c>
      <c r="M55" s="898">
        <f t="shared" si="14"/>
        <v>1</v>
      </c>
      <c r="N55" s="898">
        <f t="shared" si="14"/>
        <v>1</v>
      </c>
      <c r="O55" s="898">
        <f t="shared" si="14"/>
        <v>1</v>
      </c>
      <c r="P55" s="898">
        <f t="shared" si="14"/>
        <v>0</v>
      </c>
    </row>
    <row r="56" spans="2:25" x14ac:dyDescent="0.2">
      <c r="B56" s="899"/>
      <c r="E56" s="898">
        <f t="shared" ref="E56:P56" si="15">IF(E33*F33&lt;0,-12*E33/(F33-E33),0)</f>
        <v>0</v>
      </c>
      <c r="F56" s="898">
        <f>IF(F33*G33&lt;0,-12*F33/(G33-F33),0)</f>
        <v>0</v>
      </c>
      <c r="G56" s="898">
        <f t="shared" si="15"/>
        <v>0</v>
      </c>
      <c r="H56" s="898">
        <f t="shared" si="15"/>
        <v>0</v>
      </c>
      <c r="I56" s="898">
        <f t="shared" si="15"/>
        <v>0</v>
      </c>
      <c r="J56" s="898">
        <f t="shared" si="15"/>
        <v>0</v>
      </c>
      <c r="K56" s="898">
        <f t="shared" si="15"/>
        <v>0</v>
      </c>
      <c r="L56" s="898">
        <f t="shared" si="15"/>
        <v>0</v>
      </c>
      <c r="M56" s="898">
        <f t="shared" si="15"/>
        <v>0</v>
      </c>
      <c r="N56" s="898">
        <f t="shared" si="15"/>
        <v>0</v>
      </c>
      <c r="O56" s="898">
        <f t="shared" si="15"/>
        <v>0</v>
      </c>
      <c r="P56" s="898">
        <f t="shared" si="15"/>
        <v>0</v>
      </c>
    </row>
    <row r="57" spans="2:25" x14ac:dyDescent="0.2">
      <c r="B57" s="899"/>
      <c r="C57" s="682" t="s">
        <v>710</v>
      </c>
      <c r="D57" s="205" t="s">
        <v>711</v>
      </c>
      <c r="E57" s="935">
        <f>E26</f>
        <v>0</v>
      </c>
      <c r="F57" s="935">
        <f>SUM($E26:F26)</f>
        <v>3150.0000000000005</v>
      </c>
      <c r="G57" s="935">
        <f>SUM($E26:G26)</f>
        <v>8100</v>
      </c>
      <c r="H57" s="935">
        <f>SUM($E26:H26)</f>
        <v>9000</v>
      </c>
      <c r="I57" s="935">
        <f>SUM($E26:I26)</f>
        <v>9000</v>
      </c>
      <c r="J57" s="935">
        <f>SUM($E26:J26)</f>
        <v>9000</v>
      </c>
      <c r="K57" s="935">
        <f>SUM($E26:K26)</f>
        <v>9000</v>
      </c>
      <c r="L57" s="935">
        <f>SUM($E26:L26)</f>
        <v>9000</v>
      </c>
      <c r="M57" s="935">
        <f>SUM($E26:M26)</f>
        <v>9000</v>
      </c>
      <c r="N57" s="935">
        <f>SUM($E26:N26)</f>
        <v>9000</v>
      </c>
      <c r="O57" s="935">
        <f>SUM($E26:O26)</f>
        <v>9000</v>
      </c>
      <c r="P57" s="935">
        <f>SUM($E26:P26)</f>
        <v>9000</v>
      </c>
      <c r="Q57" s="935"/>
    </row>
    <row r="58" spans="2:25" x14ac:dyDescent="0.2">
      <c r="B58" s="899"/>
      <c r="D58" s="205" t="s">
        <v>712</v>
      </c>
      <c r="E58" s="898">
        <f>P57/2</f>
        <v>4500</v>
      </c>
    </row>
    <row r="59" spans="2:25" x14ac:dyDescent="0.2">
      <c r="B59" s="899"/>
      <c r="E59" s="898" t="b">
        <f t="shared" ref="E59:P59" si="16">IF(E60&lt;=0,FALSE,TRUE)</f>
        <v>0</v>
      </c>
      <c r="F59" s="898" t="b">
        <f t="shared" si="16"/>
        <v>0</v>
      </c>
      <c r="G59" s="898" t="b">
        <f t="shared" si="16"/>
        <v>1</v>
      </c>
      <c r="H59" s="898" t="b">
        <f t="shared" si="16"/>
        <v>1</v>
      </c>
      <c r="I59" s="898" t="b">
        <f t="shared" si="16"/>
        <v>1</v>
      </c>
      <c r="J59" s="898" t="b">
        <f t="shared" si="16"/>
        <v>1</v>
      </c>
      <c r="K59" s="898" t="b">
        <f t="shared" si="16"/>
        <v>1</v>
      </c>
      <c r="L59" s="898" t="b">
        <f t="shared" si="16"/>
        <v>1</v>
      </c>
      <c r="M59" s="898" t="b">
        <f t="shared" si="16"/>
        <v>1</v>
      </c>
      <c r="N59" s="898" t="b">
        <f t="shared" si="16"/>
        <v>1</v>
      </c>
      <c r="O59" s="898" t="b">
        <f t="shared" si="16"/>
        <v>1</v>
      </c>
      <c r="P59" s="898" t="b">
        <f t="shared" si="16"/>
        <v>1</v>
      </c>
    </row>
    <row r="60" spans="2:25" x14ac:dyDescent="0.2">
      <c r="B60" s="899"/>
      <c r="D60" s="683">
        <f>MATCH(TRUE,E59:X59,0)</f>
        <v>3</v>
      </c>
      <c r="E60" s="899">
        <f>IF(E57&lt;$E58, 0, IF(E57=E$58, 13, 12*((E57-$E58)/E57)))</f>
        <v>0</v>
      </c>
      <c r="F60" s="960">
        <f t="shared" ref="F60:P60" si="17">IF(F57&lt;$E58, 0, IF(F57=$E58, 13, IF(E60&gt;0, 12, 12 * (($E$58 - E57) / (F57-E57)))))</f>
        <v>0</v>
      </c>
      <c r="G60" s="960">
        <f t="shared" si="17"/>
        <v>3.2727272727272716</v>
      </c>
      <c r="H60" s="960">
        <f t="shared" si="17"/>
        <v>12</v>
      </c>
      <c r="I60" s="960">
        <f t="shared" si="17"/>
        <v>12</v>
      </c>
      <c r="J60" s="960">
        <f t="shared" si="17"/>
        <v>12</v>
      </c>
      <c r="K60" s="960">
        <f t="shared" si="17"/>
        <v>12</v>
      </c>
      <c r="L60" s="960">
        <f t="shared" si="17"/>
        <v>12</v>
      </c>
      <c r="M60" s="960">
        <f t="shared" si="17"/>
        <v>12</v>
      </c>
      <c r="N60" s="960">
        <f t="shared" si="17"/>
        <v>12</v>
      </c>
      <c r="O60" s="960">
        <f t="shared" si="17"/>
        <v>12</v>
      </c>
      <c r="P60" s="960">
        <f t="shared" si="17"/>
        <v>12</v>
      </c>
      <c r="Q60" s="960"/>
    </row>
    <row r="61" spans="2:25" x14ac:dyDescent="0.2">
      <c r="B61" s="899"/>
      <c r="D61" s="682" t="s">
        <v>713</v>
      </c>
      <c r="E61" s="898">
        <f t="shared" ref="E61:Q61" si="18">IF(E60&lt;&gt;12, 0, IF(F33&lt;0,1,0))</f>
        <v>0</v>
      </c>
      <c r="F61" s="898">
        <f t="shared" si="18"/>
        <v>0</v>
      </c>
      <c r="G61" s="898">
        <f t="shared" si="18"/>
        <v>0</v>
      </c>
      <c r="H61" s="898">
        <f t="shared" si="18"/>
        <v>1</v>
      </c>
      <c r="I61" s="898">
        <f t="shared" si="18"/>
        <v>1</v>
      </c>
      <c r="J61" s="898">
        <f t="shared" si="18"/>
        <v>1</v>
      </c>
      <c r="K61" s="898">
        <f t="shared" si="18"/>
        <v>1</v>
      </c>
      <c r="L61" s="898">
        <f t="shared" si="18"/>
        <v>1</v>
      </c>
      <c r="M61" s="898">
        <f t="shared" si="18"/>
        <v>1</v>
      </c>
      <c r="N61" s="898">
        <f t="shared" si="18"/>
        <v>1</v>
      </c>
      <c r="O61" s="898">
        <f t="shared" si="18"/>
        <v>1</v>
      </c>
      <c r="P61" s="898">
        <f t="shared" si="18"/>
        <v>0</v>
      </c>
      <c r="Q61" s="898">
        <f t="shared" si="18"/>
        <v>0</v>
      </c>
    </row>
    <row r="62" spans="2:25" x14ac:dyDescent="0.2">
      <c r="B62" s="899"/>
      <c r="D62" s="682" t="s">
        <v>714</v>
      </c>
      <c r="E62" s="898">
        <f>IF(E33*F33&lt;0,-E60*E33/(F33-E33)+SUM($E$63:$X$63),0)</f>
        <v>0</v>
      </c>
      <c r="F62" s="898">
        <f t="shared" ref="F62:P62" si="19">IF(F33*G33&lt;0,-F60*F33/(G33-F33)+SUM($E$63:$X$63),0)</f>
        <v>0</v>
      </c>
      <c r="G62" s="898">
        <f t="shared" si="19"/>
        <v>0</v>
      </c>
      <c r="H62" s="898">
        <f t="shared" si="19"/>
        <v>0</v>
      </c>
      <c r="I62" s="898">
        <f t="shared" si="19"/>
        <v>0</v>
      </c>
      <c r="J62" s="898">
        <f t="shared" si="19"/>
        <v>0</v>
      </c>
      <c r="K62" s="898">
        <f t="shared" si="19"/>
        <v>0</v>
      </c>
      <c r="L62" s="898">
        <f t="shared" si="19"/>
        <v>0</v>
      </c>
      <c r="M62" s="898">
        <f t="shared" si="19"/>
        <v>0</v>
      </c>
      <c r="N62" s="898">
        <f t="shared" si="19"/>
        <v>0</v>
      </c>
      <c r="O62" s="898">
        <f t="shared" si="19"/>
        <v>0</v>
      </c>
      <c r="P62" s="898">
        <f t="shared" si="19"/>
        <v>0</v>
      </c>
    </row>
    <row r="63" spans="2:25" x14ac:dyDescent="0.2">
      <c r="B63" s="899"/>
      <c r="D63" s="682"/>
      <c r="E63" s="898">
        <f t="shared" ref="E63:O63" si="20">IF(E59=FALSE,0,F60-E60)</f>
        <v>0</v>
      </c>
      <c r="F63" s="898">
        <f t="shared" si="20"/>
        <v>0</v>
      </c>
      <c r="G63" s="898">
        <f t="shared" si="20"/>
        <v>8.7272727272727284</v>
      </c>
      <c r="H63" s="898">
        <f t="shared" si="20"/>
        <v>0</v>
      </c>
      <c r="I63" s="898">
        <f t="shared" si="20"/>
        <v>0</v>
      </c>
      <c r="J63" s="898">
        <f t="shared" si="20"/>
        <v>0</v>
      </c>
      <c r="K63" s="898">
        <f t="shared" si="20"/>
        <v>0</v>
      </c>
      <c r="L63" s="898">
        <f t="shared" si="20"/>
        <v>0</v>
      </c>
      <c r="M63" s="898">
        <f t="shared" si="20"/>
        <v>0</v>
      </c>
      <c r="N63" s="898">
        <f t="shared" si="20"/>
        <v>0</v>
      </c>
      <c r="O63" s="898">
        <f t="shared" si="20"/>
        <v>0</v>
      </c>
    </row>
    <row r="64" spans="2:25" x14ac:dyDescent="0.2">
      <c r="B64" s="899"/>
      <c r="C64" s="898" t="s">
        <v>271</v>
      </c>
    </row>
    <row r="65" spans="2:16" x14ac:dyDescent="0.2">
      <c r="B65" s="899"/>
      <c r="C65" s="900" t="s">
        <v>716</v>
      </c>
      <c r="D65" s="898">
        <f t="array" ref="D65:D75">TRANSPOSE(E9:O9)</f>
        <v>2014</v>
      </c>
      <c r="F65" s="898">
        <f>IF($P$40&gt;0,$E$26/$P$40,0)</f>
        <v>0</v>
      </c>
      <c r="G65" s="898">
        <f>IF($P$40&gt;1,$E$26/$P$40,0)</f>
        <v>0</v>
      </c>
      <c r="H65" s="898">
        <f>IF($P$40&gt;2,$E$26/$P$40,0)</f>
        <v>0</v>
      </c>
      <c r="I65" s="898">
        <f>IF($P$40&gt;3,$E$26/$P$40,0)</f>
        <v>0</v>
      </c>
      <c r="J65" s="898">
        <f>IF($P$40&gt;4,$E$26/$P$40,0)</f>
        <v>0</v>
      </c>
      <c r="K65" s="898">
        <f>IF($P$40&gt;5,$E$26/$P$40,0)</f>
        <v>0</v>
      </c>
      <c r="L65" s="898">
        <f>IF($P$40&gt;6,$E$26/$P$40,0)</f>
        <v>0</v>
      </c>
      <c r="M65" s="898">
        <f>IF($P$40&gt;7,$E$26/$P$40,0)</f>
        <v>0</v>
      </c>
      <c r="N65" s="898">
        <f>IF($P$40&gt;8,$E$26/$P$40,0)</f>
        <v>0</v>
      </c>
      <c r="O65" s="898">
        <f>IF($P$40&gt;9,$E$26/$P$40,0)</f>
        <v>0</v>
      </c>
      <c r="P65" s="898">
        <f>IF($P$40&gt;10,$E$26/$P$40,0)</f>
        <v>0</v>
      </c>
    </row>
    <row r="66" spans="2:16" x14ac:dyDescent="0.2">
      <c r="B66" s="899"/>
      <c r="D66" s="898">
        <v>2015</v>
      </c>
      <c r="G66" s="898">
        <f>IF($P$40&gt;0,$F$26/$P$40,0)</f>
        <v>315.00000000000006</v>
      </c>
      <c r="H66" s="898">
        <f>IF($P$40&gt;1,$F$26/$P$40,0)</f>
        <v>315.00000000000006</v>
      </c>
      <c r="I66" s="898">
        <f>IF($P$40&gt;2,$F$26/$P$40,0)</f>
        <v>315.00000000000006</v>
      </c>
      <c r="J66" s="898">
        <f>IF($P$40&gt;3,$F$26/$P$40,0)</f>
        <v>315.00000000000006</v>
      </c>
      <c r="K66" s="898">
        <f>IF($P$40&gt;4,$F$26/$P$40,0)</f>
        <v>315.00000000000006</v>
      </c>
      <c r="L66" s="898">
        <f>IF($P$40&gt;5,$F$26/$P$40,0)</f>
        <v>315.00000000000006</v>
      </c>
      <c r="M66" s="898">
        <f>IF($P$40&gt;6,$F$26/$P$40,0)</f>
        <v>315.00000000000006</v>
      </c>
      <c r="N66" s="898">
        <f>IF($P$40&gt;7,$F$26/$P$40,0)</f>
        <v>315.00000000000006</v>
      </c>
      <c r="O66" s="898">
        <f>IF($P$40&gt;8,$F$26/$P$40,0)</f>
        <v>315.00000000000006</v>
      </c>
      <c r="P66" s="898">
        <f>IF($P$40&gt;9,$F$26/$P$40,0)</f>
        <v>315.00000000000006</v>
      </c>
    </row>
    <row r="67" spans="2:16" x14ac:dyDescent="0.2">
      <c r="B67" s="899"/>
      <c r="D67" s="898">
        <v>2016</v>
      </c>
      <c r="H67" s="898">
        <f>IF($P$40&gt;0,$G$26/$P$40,0)</f>
        <v>494.99999999999989</v>
      </c>
      <c r="I67" s="898">
        <f>IF($P$40&gt;1,$G$26/$P$40,0)</f>
        <v>494.99999999999989</v>
      </c>
      <c r="J67" s="898">
        <f>IF($P$40&gt;2,$G$26/$P$40,0)</f>
        <v>494.99999999999989</v>
      </c>
      <c r="K67" s="898">
        <f>IF($P$40&gt;3,$G$26/$P$40,0)</f>
        <v>494.99999999999989</v>
      </c>
      <c r="L67" s="898">
        <f>IF($P$40&gt;4,$G$26/$P$40,0)</f>
        <v>494.99999999999989</v>
      </c>
      <c r="M67" s="898">
        <f>IF($P$40&gt;5,$G$26/$P$40,0)</f>
        <v>494.99999999999989</v>
      </c>
      <c r="N67" s="898">
        <f>IF($P$40&gt;6,$G$26/$P$40,0)</f>
        <v>494.99999999999989</v>
      </c>
      <c r="O67" s="898">
        <f>IF($P$40&gt;7,$G$26/$P$40,0)</f>
        <v>494.99999999999989</v>
      </c>
      <c r="P67" s="898">
        <f>IF($P$40&gt;8,$G$26/$P$40,0)</f>
        <v>494.99999999999989</v>
      </c>
    </row>
    <row r="68" spans="2:16" x14ac:dyDescent="0.2">
      <c r="B68" s="899"/>
      <c r="D68" s="898">
        <v>2017</v>
      </c>
      <c r="I68" s="898">
        <f>IF($P$40&gt;0,$H$26/$P$40,0)</f>
        <v>90</v>
      </c>
      <c r="J68" s="898">
        <f>IF($P$40&gt;1,$H$26/$P$40,0)</f>
        <v>90</v>
      </c>
      <c r="K68" s="898">
        <f>IF($P$40&gt;2,$H$26/$P$40,0)</f>
        <v>90</v>
      </c>
      <c r="L68" s="898">
        <f>IF($P$40&gt;3,$H$26/$P$40,0)</f>
        <v>90</v>
      </c>
      <c r="M68" s="898">
        <f>IF($P$40&gt;4,$H$26/$P$40,0)</f>
        <v>90</v>
      </c>
      <c r="N68" s="898">
        <f>IF($P$40&gt;5,$H$26/$P$40,0)</f>
        <v>90</v>
      </c>
      <c r="O68" s="898">
        <f>IF($P$40&gt;6,$H$26/$P$40,0)</f>
        <v>90</v>
      </c>
      <c r="P68" s="898">
        <f>IF($P$40&gt;7,$H$26/$P$40,0)</f>
        <v>90</v>
      </c>
    </row>
    <row r="69" spans="2:16" x14ac:dyDescent="0.2">
      <c r="B69" s="899"/>
      <c r="D69" s="898">
        <v>2018</v>
      </c>
      <c r="J69" s="898">
        <f>IF($P$40&gt;0,$I$26/$P$40,0)</f>
        <v>0</v>
      </c>
      <c r="K69" s="898">
        <f>IF($P$40&gt;1,$I$26/$P$40,0)</f>
        <v>0</v>
      </c>
      <c r="L69" s="898">
        <f>IF($P$40&gt;2,$I$26/$P$40,0)</f>
        <v>0</v>
      </c>
      <c r="M69" s="898">
        <f>IF($P$40&gt;3,$I$26/$P$40,0)</f>
        <v>0</v>
      </c>
      <c r="N69" s="898">
        <f>IF($P$40&gt;4,$I$26/$P$40,0)</f>
        <v>0</v>
      </c>
      <c r="O69" s="898">
        <f>IF($P$40&gt;5,$I$26/$P$40,0)</f>
        <v>0</v>
      </c>
      <c r="P69" s="898">
        <f>IF($P$40&gt;6,$I$26/$P$40,0)</f>
        <v>0</v>
      </c>
    </row>
    <row r="70" spans="2:16" x14ac:dyDescent="0.2">
      <c r="B70" s="899"/>
      <c r="D70" s="898">
        <v>2019</v>
      </c>
      <c r="K70" s="898">
        <f>IF($P$40&gt;0,$J$26/$P$40,0)</f>
        <v>0</v>
      </c>
      <c r="L70" s="898">
        <f>IF($P$40&gt;1,$J$26/$P$40,0)</f>
        <v>0</v>
      </c>
      <c r="M70" s="898">
        <f>IF($P$40&gt;2,$J$26/$P$40,0)</f>
        <v>0</v>
      </c>
      <c r="N70" s="898">
        <f>IF($P$40&gt;3,$J$26/$P$40,0)</f>
        <v>0</v>
      </c>
      <c r="O70" s="898">
        <f>IF($P$40&gt;4,$J$26/$P$40,0)</f>
        <v>0</v>
      </c>
      <c r="P70" s="898">
        <f>IF($P$40&gt;5,$J$26/$P$40,0)</f>
        <v>0</v>
      </c>
    </row>
    <row r="71" spans="2:16" x14ac:dyDescent="0.2">
      <c r="B71" s="899"/>
      <c r="D71" s="898">
        <v>2020</v>
      </c>
      <c r="L71" s="898">
        <f>IF($P$40&gt;0,$K$26/$P$40,0)</f>
        <v>0</v>
      </c>
      <c r="M71" s="898">
        <f>IF($P$40&gt;1,$K$26/$P$40,0)</f>
        <v>0</v>
      </c>
      <c r="N71" s="898">
        <f>IF($P$40&gt;2,$K$26/$P$40,0)</f>
        <v>0</v>
      </c>
      <c r="O71" s="898">
        <f>IF($P$40&gt;3,$K$26/$P$40,0)</f>
        <v>0</v>
      </c>
      <c r="P71" s="898">
        <f>IF($P$40&gt;4,$K$26/$P$40,0)</f>
        <v>0</v>
      </c>
    </row>
    <row r="72" spans="2:16" x14ac:dyDescent="0.2">
      <c r="B72" s="899"/>
      <c r="D72" s="898">
        <v>2021</v>
      </c>
      <c r="M72" s="898">
        <f>IF($P$40&gt;0,$L$26/$P$40,0)</f>
        <v>0</v>
      </c>
      <c r="N72" s="898">
        <f>IF($P$40&gt;1,$L$26/$P$40,0)</f>
        <v>0</v>
      </c>
      <c r="O72" s="898">
        <f>IF($P$40&gt;2,$L$26/$P$40,0)</f>
        <v>0</v>
      </c>
      <c r="P72" s="898">
        <f>IF($P$40&gt;3,$L$26/$P$40,0)</f>
        <v>0</v>
      </c>
    </row>
    <row r="73" spans="2:16" x14ac:dyDescent="0.2">
      <c r="B73" s="899"/>
      <c r="D73" s="898">
        <v>2022</v>
      </c>
      <c r="N73" s="898">
        <f>IF($P$40&gt;0,$M$26/$P$40,0)</f>
        <v>0</v>
      </c>
      <c r="O73" s="898">
        <f>IF($P$40&gt;1,$M$26/$P$40,0)</f>
        <v>0</v>
      </c>
      <c r="P73" s="898">
        <f>IF($P$40&gt;2,$M$26/$P$40,0)</f>
        <v>0</v>
      </c>
    </row>
    <row r="74" spans="2:16" x14ac:dyDescent="0.2">
      <c r="B74" s="899"/>
      <c r="D74" s="898">
        <v>2023</v>
      </c>
      <c r="O74" s="898">
        <f>IF($P$40&gt;0,$N$26/$P$40,0)</f>
        <v>0</v>
      </c>
      <c r="P74" s="898">
        <f>IF($P$40&gt;1,$N$26/$P$40,0)</f>
        <v>0</v>
      </c>
    </row>
    <row r="75" spans="2:16" x14ac:dyDescent="0.2">
      <c r="B75" s="899"/>
      <c r="D75" s="898">
        <v>2024</v>
      </c>
      <c r="P75" s="898">
        <f>IF($P$40&gt;0,$O$26/$P$40,0)</f>
        <v>0</v>
      </c>
    </row>
    <row r="76" spans="2:16" x14ac:dyDescent="0.2">
      <c r="B76" s="899"/>
    </row>
    <row r="77" spans="2:16" x14ac:dyDescent="0.2">
      <c r="B77" s="899"/>
      <c r="C77" s="900" t="s">
        <v>717</v>
      </c>
      <c r="D77" s="898">
        <f t="shared" ref="D77:D87" si="21">D65</f>
        <v>2014</v>
      </c>
      <c r="F77" s="898">
        <f>IF($P$41&gt;0,$E$27/$P$41,0)</f>
        <v>0</v>
      </c>
      <c r="G77" s="898">
        <f>IF($P$41&gt;1,$E$27/$P$41,0)</f>
        <v>0</v>
      </c>
      <c r="H77" s="898">
        <f>IF($P$41&gt;2,$E$27/$P$41,0)</f>
        <v>0</v>
      </c>
      <c r="I77" s="898">
        <f>IF($P$41&gt;3,$E$27/$P$41,0)</f>
        <v>0</v>
      </c>
      <c r="J77" s="898">
        <f>IF($P$41&gt;4,$E$27/$P$41,0)</f>
        <v>0</v>
      </c>
      <c r="K77" s="898">
        <f>IF($P$41&gt;5,$E$27/$P$41,0)</f>
        <v>0</v>
      </c>
      <c r="L77" s="898">
        <f>IF($P$41&gt;6,$E$27/$P$41,0)</f>
        <v>0</v>
      </c>
      <c r="M77" s="898">
        <f>IF($P$41&gt;7,$E$27/$P$41,0)</f>
        <v>0</v>
      </c>
      <c r="N77" s="898">
        <f>IF($P$41&gt;8,$E$27/$P$41,0)</f>
        <v>0</v>
      </c>
      <c r="O77" s="898">
        <f>IF($P$41&gt;9,$E$27/$P$41,0)</f>
        <v>0</v>
      </c>
      <c r="P77" s="898">
        <f>IF($P$41&gt;10,$E$27/$P$41,0)</f>
        <v>0</v>
      </c>
    </row>
    <row r="78" spans="2:16" x14ac:dyDescent="0.2">
      <c r="B78" s="899"/>
      <c r="D78" s="898">
        <f t="shared" si="21"/>
        <v>2015</v>
      </c>
      <c r="G78" s="898">
        <f>IF($P$41&gt;0,$F$27/$P$41,0)</f>
        <v>0</v>
      </c>
      <c r="H78" s="898">
        <f>IF($P$41&gt;1,$F$27/$P$41,0)</f>
        <v>0</v>
      </c>
      <c r="I78" s="898">
        <f>IF($P$41&gt;2,$F$27/$P$41,0)</f>
        <v>0</v>
      </c>
      <c r="J78" s="898">
        <f>IF($P$41&gt;3,$F$27/$P$41,0)</f>
        <v>0</v>
      </c>
      <c r="K78" s="898">
        <f>IF($P$41&gt;4,$F$27/$P$41,0)</f>
        <v>0</v>
      </c>
      <c r="L78" s="898">
        <f>IF($P$41&gt;5,$F$27/$P$41,0)</f>
        <v>0</v>
      </c>
      <c r="M78" s="898">
        <f>IF($P$41&gt;6,$F$27/$P$41,0)</f>
        <v>0</v>
      </c>
      <c r="N78" s="898">
        <f>IF($P$41&gt;7,$F$27/$P$41,0)</f>
        <v>0</v>
      </c>
      <c r="O78" s="898">
        <f>IF($P$41&gt;8,$F$27/$P$41,0)</f>
        <v>0</v>
      </c>
      <c r="P78" s="898">
        <f>IF($P$41&gt;9,$F$27/$P$41,0)</f>
        <v>0</v>
      </c>
    </row>
    <row r="79" spans="2:16" x14ac:dyDescent="0.2">
      <c r="B79" s="899"/>
      <c r="D79" s="898">
        <f t="shared" si="21"/>
        <v>2016</v>
      </c>
      <c r="H79" s="898">
        <f>IF($P$41&gt;0,$G$27/$P$41,0)</f>
        <v>0</v>
      </c>
      <c r="I79" s="898">
        <f>IF($P$41&gt;1,$G$27/$P$41,0)</f>
        <v>0</v>
      </c>
      <c r="J79" s="898">
        <f>IF($P$41&gt;2,$G$27/$P$41,0)</f>
        <v>0</v>
      </c>
      <c r="K79" s="898">
        <f>IF($P$41&gt;3,$G$27/$P$41,0)</f>
        <v>0</v>
      </c>
      <c r="L79" s="898">
        <f>IF($P$41&gt;4,$G$27/$P$41,0)</f>
        <v>0</v>
      </c>
      <c r="M79" s="898">
        <f>IF($P$41&gt;5,$G$27/$P$41,0)</f>
        <v>0</v>
      </c>
      <c r="N79" s="898">
        <f>IF($P$41&gt;6,$G$27/$P$41,0)</f>
        <v>0</v>
      </c>
      <c r="O79" s="898">
        <f>IF($P$41&gt;7,$G$27/$P$41,0)</f>
        <v>0</v>
      </c>
      <c r="P79" s="898">
        <f>IF($P$41&gt;8,$G$27/$P$41,0)</f>
        <v>0</v>
      </c>
    </row>
    <row r="80" spans="2:16" x14ac:dyDescent="0.2">
      <c r="B80" s="899"/>
      <c r="D80" s="898">
        <f t="shared" si="21"/>
        <v>2017</v>
      </c>
      <c r="I80" s="898">
        <f>IF($P$41&gt;0,$H$27/$P$41,0)</f>
        <v>0</v>
      </c>
      <c r="J80" s="898">
        <f>IF($P$41&gt;1,$H$27/$P$41,0)</f>
        <v>0</v>
      </c>
      <c r="K80" s="898">
        <f>IF($P$41&gt;2,$H$27/$P$41,0)</f>
        <v>0</v>
      </c>
      <c r="L80" s="898">
        <f>IF($P$41&gt;3,$H$27/$P$41,0)</f>
        <v>0</v>
      </c>
      <c r="M80" s="898">
        <f>IF($P$41&gt;4,$H$27/$P$41,0)</f>
        <v>0</v>
      </c>
      <c r="N80" s="898">
        <f>IF($P$41&gt;5,$H$27/$P$41,0)</f>
        <v>0</v>
      </c>
      <c r="O80" s="898">
        <f>IF($P$41&gt;6,$H$27/$P$41,0)</f>
        <v>0</v>
      </c>
      <c r="P80" s="898">
        <f>IF($P$41&gt;7,$H$27/$P$41,0)</f>
        <v>0</v>
      </c>
    </row>
    <row r="81" spans="2:16" x14ac:dyDescent="0.2">
      <c r="B81" s="899"/>
      <c r="D81" s="898">
        <f t="shared" si="21"/>
        <v>2018</v>
      </c>
      <c r="J81" s="898">
        <f>IF($P$41&gt;0,$I$27/$P$41,0)</f>
        <v>0</v>
      </c>
      <c r="K81" s="898">
        <f>IF($P$41&gt;1,$I$27/$P$41,0)</f>
        <v>0</v>
      </c>
      <c r="L81" s="898">
        <f>IF($P$41&gt;2,$I$27/$P$41,0)</f>
        <v>0</v>
      </c>
      <c r="M81" s="898">
        <f>IF($P$41&gt;3,$I$27/$P$41,0)</f>
        <v>0</v>
      </c>
      <c r="N81" s="898">
        <f>IF($P$41&gt;4,$I$27/$P$41,0)</f>
        <v>0</v>
      </c>
      <c r="O81" s="898">
        <f>IF($P$41&gt;5,$I$27/$P$41,0)</f>
        <v>0</v>
      </c>
      <c r="P81" s="898">
        <f>IF($P$41&gt;6,$I$27/$P$41,0)</f>
        <v>0</v>
      </c>
    </row>
    <row r="82" spans="2:16" x14ac:dyDescent="0.2">
      <c r="B82" s="899"/>
      <c r="D82" s="898">
        <f t="shared" si="21"/>
        <v>2019</v>
      </c>
      <c r="K82" s="898">
        <f>IF($P$41&gt;0,$J$27/$P$41,0)</f>
        <v>0</v>
      </c>
      <c r="L82" s="898">
        <f>IF($P$41&gt;1,$J$27/$P$41,0)</f>
        <v>0</v>
      </c>
      <c r="M82" s="898">
        <f>IF($P$41&gt;2,$J$27/$P$41,0)</f>
        <v>0</v>
      </c>
      <c r="N82" s="898">
        <f>IF($P$41&gt;3,$J$27/$P$41,0)</f>
        <v>0</v>
      </c>
      <c r="O82" s="898">
        <f>IF($P$41&gt;4,$J$27/$P$41,0)</f>
        <v>0</v>
      </c>
      <c r="P82" s="898">
        <f>IF($P$41&gt;5,$J$27/$P$41,0)</f>
        <v>0</v>
      </c>
    </row>
    <row r="83" spans="2:16" x14ac:dyDescent="0.2">
      <c r="B83" s="899"/>
      <c r="D83" s="898">
        <f t="shared" si="21"/>
        <v>2020</v>
      </c>
      <c r="L83" s="898">
        <f>IF($P$41&gt;0,$K$27/$P$41,0)</f>
        <v>0</v>
      </c>
      <c r="M83" s="898">
        <f>IF($P$41&gt;1,$K$27/$P$41,0)</f>
        <v>0</v>
      </c>
      <c r="N83" s="898">
        <f>IF($P$41&gt;2,$K$27/$P$41,0)</f>
        <v>0</v>
      </c>
      <c r="O83" s="898">
        <f>IF($P$41&gt;3,$K$27/$P$41,0)</f>
        <v>0</v>
      </c>
      <c r="P83" s="898">
        <f>IF($P$41&gt;4,$K$27/$P$41,0)</f>
        <v>0</v>
      </c>
    </row>
    <row r="84" spans="2:16" x14ac:dyDescent="0.2">
      <c r="B84" s="899"/>
      <c r="D84" s="898">
        <f t="shared" si="21"/>
        <v>2021</v>
      </c>
      <c r="M84" s="898">
        <f>IF($P$41&gt;0,$L$27/$P$41,0)</f>
        <v>0</v>
      </c>
      <c r="N84" s="898">
        <f>IF($P$41&gt;1,$L$27/$P$41,0)</f>
        <v>0</v>
      </c>
      <c r="O84" s="898">
        <f>IF($P$41&gt;2,$L$27/$P$41,0)</f>
        <v>0</v>
      </c>
      <c r="P84" s="898">
        <f>IF($P$41&gt;3,$L$27/$P$41,0)</f>
        <v>0</v>
      </c>
    </row>
    <row r="85" spans="2:16" x14ac:dyDescent="0.2">
      <c r="B85" s="899"/>
      <c r="D85" s="898">
        <f t="shared" si="21"/>
        <v>2022</v>
      </c>
      <c r="N85" s="898">
        <f>IF($P$41&gt;0,$M$27/$P$41,0)</f>
        <v>0</v>
      </c>
      <c r="O85" s="898">
        <f>IF($P$41&gt;1,$M$27/$P$41,0)</f>
        <v>0</v>
      </c>
      <c r="P85" s="898">
        <f>IF($P$41&gt;2,$M$27/$P$41,0)</f>
        <v>0</v>
      </c>
    </row>
    <row r="86" spans="2:16" x14ac:dyDescent="0.2">
      <c r="B86" s="899"/>
      <c r="D86" s="898">
        <f t="shared" si="21"/>
        <v>2023</v>
      </c>
      <c r="O86" s="898">
        <f>IF($P$41&gt;0,$N$27/$P$41,0)</f>
        <v>0</v>
      </c>
      <c r="P86" s="898">
        <f>IF($P$41&gt;1,$N$27/$P$41,0)</f>
        <v>0</v>
      </c>
    </row>
    <row r="87" spans="2:16" x14ac:dyDescent="0.2">
      <c r="B87" s="899"/>
      <c r="D87" s="898">
        <f t="shared" si="21"/>
        <v>2024</v>
      </c>
      <c r="P87" s="898">
        <f>IF($P$41&gt;0,$O$27/$P$41,0)</f>
        <v>0</v>
      </c>
    </row>
    <row r="88" spans="2:16" x14ac:dyDescent="0.2">
      <c r="B88" s="899"/>
      <c r="C88" s="898" t="s">
        <v>718</v>
      </c>
      <c r="F88" s="898">
        <f t="shared" ref="F88:P88" si="22">SUM(F65:F87)</f>
        <v>0</v>
      </c>
      <c r="G88" s="898">
        <f t="shared" si="22"/>
        <v>315.00000000000006</v>
      </c>
      <c r="H88" s="898">
        <f t="shared" si="22"/>
        <v>810</v>
      </c>
      <c r="I88" s="898">
        <f t="shared" si="22"/>
        <v>900</v>
      </c>
      <c r="J88" s="898">
        <f t="shared" si="22"/>
        <v>900</v>
      </c>
      <c r="K88" s="898">
        <f t="shared" si="22"/>
        <v>900</v>
      </c>
      <c r="L88" s="898">
        <f t="shared" si="22"/>
        <v>900</v>
      </c>
      <c r="M88" s="898">
        <f t="shared" si="22"/>
        <v>900</v>
      </c>
      <c r="N88" s="898">
        <f t="shared" si="22"/>
        <v>900</v>
      </c>
      <c r="O88" s="898">
        <f t="shared" si="22"/>
        <v>900</v>
      </c>
      <c r="P88" s="898">
        <f t="shared" si="22"/>
        <v>900</v>
      </c>
    </row>
    <row r="89" spans="2:16" x14ac:dyDescent="0.2">
      <c r="B89" s="899"/>
    </row>
    <row r="90" spans="2:16" x14ac:dyDescent="0.2">
      <c r="B90" s="899"/>
      <c r="C90" s="959"/>
    </row>
    <row r="91" spans="2:16" x14ac:dyDescent="0.2">
      <c r="B91" s="1487"/>
      <c r="C91" s="1487"/>
    </row>
    <row r="92" spans="2:16" x14ac:dyDescent="0.2">
      <c r="B92" s="1484"/>
      <c r="C92" s="1484"/>
    </row>
  </sheetData>
  <mergeCells count="35">
    <mergeCell ref="B92:C92"/>
    <mergeCell ref="F38:G38"/>
    <mergeCell ref="R44:S44"/>
    <mergeCell ref="U46:Y46"/>
    <mergeCell ref="U47:Y47"/>
    <mergeCell ref="U48:Y48"/>
    <mergeCell ref="U49:Y49"/>
    <mergeCell ref="B91:C91"/>
    <mergeCell ref="J39:N39"/>
    <mergeCell ref="O39:P39"/>
    <mergeCell ref="D37:E37"/>
    <mergeCell ref="J37:N37"/>
    <mergeCell ref="O37:P37"/>
    <mergeCell ref="J38:N38"/>
    <mergeCell ref="O38:P38"/>
    <mergeCell ref="A23:A25"/>
    <mergeCell ref="A26:A29"/>
    <mergeCell ref="J35:N35"/>
    <mergeCell ref="O35:P35"/>
    <mergeCell ref="J36:N36"/>
    <mergeCell ref="O36:P36"/>
    <mergeCell ref="A15:A22"/>
    <mergeCell ref="A1:P1"/>
    <mergeCell ref="B3:G3"/>
    <mergeCell ref="L3:N3"/>
    <mergeCell ref="B4:G4"/>
    <mergeCell ref="L4:N4"/>
    <mergeCell ref="B5:G5"/>
    <mergeCell ref="L5:N5"/>
    <mergeCell ref="O5:P5"/>
    <mergeCell ref="B6:G6"/>
    <mergeCell ref="L6:N6"/>
    <mergeCell ref="O6:P6"/>
    <mergeCell ref="B7:G7"/>
    <mergeCell ref="A12:A14"/>
  </mergeCells>
  <printOptions horizontalCentered="1" verticalCentered="1"/>
  <pageMargins left="0.39370078740157483" right="0.39370078740157483" top="0.39370078740157483" bottom="0.39370078740157483" header="0.39370078740157483" footer="0.39370078740157483"/>
  <pageSetup paperSize="9" scale="96" orientation="landscape"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3">
    <pageSetUpPr fitToPage="1"/>
  </sheetPr>
  <dimension ref="A1:AC134"/>
  <sheetViews>
    <sheetView showGridLines="0" showZeros="0" topLeftCell="A31" zoomScale="110" workbookViewId="0">
      <selection activeCell="H27" sqref="H27"/>
    </sheetView>
  </sheetViews>
  <sheetFormatPr baseColWidth="10" defaultColWidth="10.28515625" defaultRowHeight="11.25" x14ac:dyDescent="0.2"/>
  <cols>
    <col min="1" max="1" width="16.140625" style="681" customWidth="1"/>
    <col min="2" max="2" width="3.28515625" style="681" customWidth="1"/>
    <col min="3" max="3" width="34.42578125" style="681" customWidth="1"/>
    <col min="4" max="4" width="8.85546875" style="681" customWidth="1"/>
    <col min="5" max="6" width="8" style="681" customWidth="1"/>
    <col min="7" max="7" width="8.42578125" style="681" customWidth="1"/>
    <col min="8" max="8" width="9.28515625" style="681" customWidth="1"/>
    <col min="9" max="9" width="9.7109375" style="681" customWidth="1"/>
    <col min="10" max="13" width="8" style="681" customWidth="1"/>
    <col min="14" max="14" width="10" style="681" customWidth="1"/>
    <col min="15" max="17" width="8" style="681" customWidth="1"/>
    <col min="18" max="18" width="8.42578125" style="681" customWidth="1"/>
    <col min="19" max="19" width="8" style="681" customWidth="1"/>
    <col min="20" max="20" width="8" style="682" customWidth="1"/>
    <col min="21" max="25" width="8" style="681" customWidth="1"/>
    <col min="26" max="16384" width="10.28515625" style="681"/>
  </cols>
  <sheetData>
    <row r="1" spans="1:29" ht="22.5" customHeight="1" x14ac:dyDescent="0.2">
      <c r="A1" s="1384" t="s">
        <v>243</v>
      </c>
      <c r="B1" s="1384"/>
      <c r="C1" s="1384"/>
      <c r="D1" s="1384"/>
      <c r="E1" s="1384"/>
      <c r="F1" s="1384"/>
      <c r="G1" s="1384"/>
      <c r="H1" s="1384"/>
      <c r="I1" s="1384"/>
      <c r="J1" s="1384"/>
      <c r="K1" s="1384"/>
      <c r="L1" s="1384"/>
      <c r="M1" s="1384"/>
      <c r="N1" s="1384"/>
      <c r="O1" s="1384"/>
      <c r="P1" s="1384"/>
    </row>
    <row r="2" spans="1:29" ht="14.25" customHeight="1" x14ac:dyDescent="0.2">
      <c r="B2" s="683"/>
    </row>
    <row r="3" spans="1:29" ht="14.25" customHeight="1" x14ac:dyDescent="0.2">
      <c r="A3" s="813" t="s">
        <v>244</v>
      </c>
      <c r="B3" s="1450" t="s">
        <v>646</v>
      </c>
      <c r="C3" s="1450"/>
      <c r="D3" s="812"/>
      <c r="E3" s="812"/>
      <c r="F3" s="812"/>
      <c r="G3" s="812"/>
      <c r="T3" s="681"/>
      <c r="U3" s="1377" t="s">
        <v>647</v>
      </c>
      <c r="V3" s="1378"/>
      <c r="W3" s="1378"/>
      <c r="X3" s="811">
        <v>9500</v>
      </c>
      <c r="Y3" s="684" t="str">
        <f>B7</f>
        <v>k€</v>
      </c>
      <c r="AC3" s="682"/>
    </row>
    <row r="4" spans="1:29" ht="14.25" customHeight="1" x14ac:dyDescent="0.2">
      <c r="A4" s="813" t="s">
        <v>245</v>
      </c>
      <c r="B4" s="1450" t="s">
        <v>655</v>
      </c>
      <c r="C4" s="1450"/>
      <c r="D4" s="812"/>
      <c r="E4" s="812"/>
      <c r="F4" s="812"/>
      <c r="G4" s="812"/>
      <c r="T4" s="681"/>
      <c r="U4" s="1380" t="s">
        <v>246</v>
      </c>
      <c r="V4" s="1381"/>
      <c r="W4" s="1381"/>
      <c r="X4" s="783">
        <f>X3-'Données gestion'!E75/1000</f>
        <v>9500</v>
      </c>
      <c r="Y4" s="685" t="str">
        <f>B7</f>
        <v>k€</v>
      </c>
      <c r="AC4" s="682"/>
    </row>
    <row r="5" spans="1:29" ht="14.25" customHeight="1" x14ac:dyDescent="0.2">
      <c r="A5" s="813" t="s">
        <v>247</v>
      </c>
      <c r="B5" s="1450" t="s">
        <v>29</v>
      </c>
      <c r="C5" s="1450"/>
      <c r="D5" s="812"/>
      <c r="E5" s="812"/>
      <c r="F5" s="812"/>
      <c r="G5" s="812"/>
      <c r="T5" s="681"/>
      <c r="U5" s="1373" t="s">
        <v>658</v>
      </c>
      <c r="V5" s="1374"/>
      <c r="W5" s="1374"/>
      <c r="X5" s="1375" t="s">
        <v>49</v>
      </c>
      <c r="Y5" s="1376"/>
      <c r="AC5" s="682"/>
    </row>
    <row r="6" spans="1:29" ht="14.25" customHeight="1" x14ac:dyDescent="0.2">
      <c r="A6" s="813" t="s">
        <v>248</v>
      </c>
      <c r="B6" s="1450" t="s">
        <v>1229</v>
      </c>
      <c r="C6" s="1450"/>
      <c r="D6" s="812"/>
      <c r="E6" s="812"/>
      <c r="F6" s="812"/>
      <c r="G6" s="812"/>
      <c r="T6" s="681"/>
      <c r="U6" s="1405" t="s">
        <v>660</v>
      </c>
      <c r="V6" s="1406"/>
      <c r="W6" s="1406"/>
      <c r="X6" s="1401" t="s">
        <v>50</v>
      </c>
      <c r="Y6" s="1402"/>
      <c r="AC6" s="682"/>
    </row>
    <row r="7" spans="1:29" ht="14.25" customHeight="1" x14ac:dyDescent="0.2">
      <c r="A7" s="813" t="s">
        <v>661</v>
      </c>
      <c r="B7" s="1450" t="s">
        <v>984</v>
      </c>
      <c r="C7" s="1450"/>
      <c r="D7" s="812"/>
      <c r="E7" s="812"/>
      <c r="F7" s="812"/>
      <c r="G7" s="812"/>
      <c r="T7" s="681"/>
      <c r="U7" s="784" t="s">
        <v>30</v>
      </c>
      <c r="V7" s="785"/>
      <c r="W7" s="785"/>
      <c r="X7" s="785"/>
      <c r="Y7" s="786">
        <v>20</v>
      </c>
      <c r="AC7" s="682"/>
    </row>
    <row r="8" spans="1:29" ht="14.25" customHeight="1" x14ac:dyDescent="0.2">
      <c r="B8" s="683"/>
      <c r="E8" s="787"/>
      <c r="T8" s="681"/>
      <c r="W8" s="682"/>
    </row>
    <row r="9" spans="1:29" ht="14.25" customHeight="1" x14ac:dyDescent="0.2">
      <c r="B9" s="683"/>
      <c r="C9" s="686" t="s">
        <v>662</v>
      </c>
      <c r="D9" s="687"/>
      <c r="E9" s="688">
        <v>2014</v>
      </c>
      <c r="F9" s="689">
        <f t="shared" ref="F9:Y9" si="0">E9+1</f>
        <v>2015</v>
      </c>
      <c r="G9" s="689">
        <f t="shared" si="0"/>
        <v>2016</v>
      </c>
      <c r="H9" s="689">
        <f t="shared" si="0"/>
        <v>2017</v>
      </c>
      <c r="I9" s="689">
        <f t="shared" si="0"/>
        <v>2018</v>
      </c>
      <c r="J9" s="689">
        <f t="shared" si="0"/>
        <v>2019</v>
      </c>
      <c r="K9" s="689">
        <f t="shared" si="0"/>
        <v>2020</v>
      </c>
      <c r="L9" s="689">
        <f t="shared" si="0"/>
        <v>2021</v>
      </c>
      <c r="M9" s="689">
        <f t="shared" si="0"/>
        <v>2022</v>
      </c>
      <c r="N9" s="689">
        <f t="shared" si="0"/>
        <v>2023</v>
      </c>
      <c r="O9" s="689">
        <f t="shared" si="0"/>
        <v>2024</v>
      </c>
      <c r="P9" s="689">
        <f t="shared" si="0"/>
        <v>2025</v>
      </c>
      <c r="Q9" s="689">
        <f t="shared" si="0"/>
        <v>2026</v>
      </c>
      <c r="R9" s="689">
        <f t="shared" si="0"/>
        <v>2027</v>
      </c>
      <c r="S9" s="689">
        <f t="shared" si="0"/>
        <v>2028</v>
      </c>
      <c r="T9" s="689">
        <f t="shared" si="0"/>
        <v>2029</v>
      </c>
      <c r="U9" s="689">
        <f t="shared" si="0"/>
        <v>2030</v>
      </c>
      <c r="V9" s="689">
        <f t="shared" si="0"/>
        <v>2031</v>
      </c>
      <c r="W9" s="689">
        <f t="shared" si="0"/>
        <v>2032</v>
      </c>
      <c r="X9" s="689">
        <f t="shared" si="0"/>
        <v>2033</v>
      </c>
      <c r="Y9" s="689">
        <f t="shared" si="0"/>
        <v>2034</v>
      </c>
      <c r="AB9" s="682"/>
    </row>
    <row r="10" spans="1:29" ht="14.25" customHeight="1" x14ac:dyDescent="0.2">
      <c r="B10" s="683"/>
      <c r="E10" s="815" t="s">
        <v>349</v>
      </c>
      <c r="F10" s="815" t="s">
        <v>834</v>
      </c>
      <c r="G10" s="815" t="s">
        <v>835</v>
      </c>
      <c r="H10" s="815" t="s">
        <v>945</v>
      </c>
      <c r="I10" s="815" t="s">
        <v>946</v>
      </c>
      <c r="J10" s="815" t="s">
        <v>947</v>
      </c>
      <c r="K10" s="815" t="s">
        <v>948</v>
      </c>
      <c r="L10" s="815" t="s">
        <v>949</v>
      </c>
      <c r="M10" s="815" t="s">
        <v>846</v>
      </c>
      <c r="N10" s="815" t="s">
        <v>847</v>
      </c>
      <c r="O10" s="815" t="s">
        <v>848</v>
      </c>
      <c r="P10" s="815" t="s">
        <v>849</v>
      </c>
      <c r="Q10" s="815" t="s">
        <v>509</v>
      </c>
      <c r="R10" s="815" t="s">
        <v>510</v>
      </c>
      <c r="S10" s="815" t="s">
        <v>368</v>
      </c>
      <c r="T10" s="815" t="s">
        <v>369</v>
      </c>
      <c r="U10" s="815" t="s">
        <v>370</v>
      </c>
      <c r="V10" s="815" t="s">
        <v>371</v>
      </c>
      <c r="W10" s="815" t="s">
        <v>372</v>
      </c>
      <c r="X10" s="815" t="s">
        <v>373</v>
      </c>
      <c r="Y10" s="815" t="s">
        <v>374</v>
      </c>
      <c r="AB10" s="682"/>
    </row>
    <row r="11" spans="1:29" ht="14.25" customHeight="1" x14ac:dyDescent="0.2">
      <c r="B11" s="683"/>
      <c r="C11" s="686" t="s">
        <v>665</v>
      </c>
      <c r="D11" s="690"/>
      <c r="E11" s="691"/>
      <c r="F11" s="691"/>
      <c r="G11" s="691"/>
      <c r="H11" s="691"/>
      <c r="I11" s="691"/>
      <c r="J11" s="691"/>
      <c r="K11" s="691"/>
      <c r="L11" s="691"/>
      <c r="M11" s="691"/>
      <c r="N11" s="691"/>
      <c r="O11" s="691"/>
      <c r="P11" s="691"/>
      <c r="Q11" s="691"/>
      <c r="R11" s="691"/>
      <c r="S11" s="691"/>
      <c r="T11" s="691"/>
      <c r="U11" s="691"/>
      <c r="V11" s="691"/>
      <c r="W11" s="691"/>
      <c r="X11" s="691"/>
      <c r="Y11" s="691"/>
      <c r="AB11" s="682"/>
    </row>
    <row r="12" spans="1:29" ht="14.25" customHeight="1" x14ac:dyDescent="0.2">
      <c r="A12" s="1383" t="s">
        <v>249</v>
      </c>
      <c r="B12" s="692" t="s">
        <v>668</v>
      </c>
      <c r="C12" s="693" t="s">
        <v>669</v>
      </c>
      <c r="D12" s="693"/>
      <c r="E12" s="233"/>
      <c r="F12" s="233"/>
      <c r="G12" s="233">
        <f>Exploitation!B21/1000</f>
        <v>0</v>
      </c>
      <c r="H12" s="233">
        <f>Exploitation!C21/1000</f>
        <v>0</v>
      </c>
      <c r="I12" s="233">
        <f>Exploitation!D21/1000</f>
        <v>0</v>
      </c>
      <c r="J12" s="233">
        <f>Exploitation!E21/1000</f>
        <v>0</v>
      </c>
      <c r="K12" s="233">
        <f>Exploitation!F21/1000</f>
        <v>0</v>
      </c>
      <c r="L12" s="233">
        <f>Exploitation!G21/1000</f>
        <v>0</v>
      </c>
      <c r="M12" s="233">
        <f>Exploitation!H21/1000</f>
        <v>0</v>
      </c>
      <c r="N12" s="233">
        <f>Exploitation!I21/1000</f>
        <v>0</v>
      </c>
      <c r="O12" s="233">
        <f>Exploitation!J21/1000</f>
        <v>0</v>
      </c>
      <c r="P12" s="233">
        <f>Exploitation!K21/1000</f>
        <v>0</v>
      </c>
      <c r="Q12" s="233">
        <f>Exploitation!L21/1000</f>
        <v>0</v>
      </c>
      <c r="R12" s="233">
        <f>Exploitation!M21/1000</f>
        <v>0</v>
      </c>
      <c r="S12" s="233">
        <f>Exploitation!N21/1000</f>
        <v>0</v>
      </c>
      <c r="T12" s="233">
        <f>Exploitation!O21/1000</f>
        <v>0</v>
      </c>
      <c r="U12" s="233">
        <f>Exploitation!P21/1000</f>
        <v>0</v>
      </c>
      <c r="V12" s="233">
        <f>Exploitation!Q21/1000</f>
        <v>0</v>
      </c>
      <c r="W12" s="233">
        <f>Exploitation!R21/1000</f>
        <v>0</v>
      </c>
      <c r="X12" s="233">
        <f>Exploitation!S21/1000</f>
        <v>0</v>
      </c>
      <c r="Y12" s="233">
        <f>Exploitation!T21/1000</f>
        <v>0</v>
      </c>
      <c r="AB12" s="682"/>
    </row>
    <row r="13" spans="1:29" ht="14.25" customHeight="1" x14ac:dyDescent="0.2">
      <c r="A13" s="1383"/>
      <c r="B13" s="695" t="s">
        <v>671</v>
      </c>
      <c r="C13" s="693" t="s">
        <v>673</v>
      </c>
      <c r="D13" s="693"/>
      <c r="E13" s="696"/>
      <c r="F13" s="696"/>
      <c r="G13" s="696"/>
      <c r="H13" s="696"/>
      <c r="I13" s="696"/>
      <c r="J13" s="696"/>
      <c r="K13" s="696"/>
      <c r="L13" s="696"/>
      <c r="M13" s="696"/>
      <c r="N13" s="696"/>
      <c r="O13" s="696"/>
      <c r="P13" s="696"/>
      <c r="Q13" s="696"/>
      <c r="R13" s="696"/>
      <c r="S13" s="696"/>
      <c r="T13" s="696"/>
      <c r="U13" s="696"/>
      <c r="V13" s="696"/>
      <c r="W13" s="696"/>
      <c r="X13" s="696"/>
      <c r="Y13" s="696"/>
      <c r="AB13" s="682"/>
    </row>
    <row r="14" spans="1:29" ht="14.25" customHeight="1" x14ac:dyDescent="0.2">
      <c r="A14" s="1383"/>
      <c r="B14" s="697" t="s">
        <v>674</v>
      </c>
      <c r="C14" s="698" t="s">
        <v>675</v>
      </c>
      <c r="D14" s="698"/>
      <c r="E14" s="699"/>
      <c r="F14" s="699"/>
      <c r="G14" s="699"/>
      <c r="H14" s="699"/>
      <c r="I14" s="699"/>
      <c r="J14" s="699"/>
      <c r="K14" s="699"/>
      <c r="L14" s="699"/>
      <c r="M14" s="699"/>
      <c r="N14" s="699"/>
      <c r="O14" s="699"/>
      <c r="P14" s="699"/>
      <c r="Q14" s="699"/>
      <c r="R14" s="699"/>
      <c r="S14" s="699"/>
      <c r="T14" s="699"/>
      <c r="U14" s="699"/>
      <c r="V14" s="699"/>
      <c r="W14" s="699"/>
      <c r="X14" s="699"/>
      <c r="Y14" s="699"/>
      <c r="AB14" s="682"/>
    </row>
    <row r="15" spans="1:29" ht="14.25" customHeight="1" x14ac:dyDescent="0.2">
      <c r="A15" s="1383" t="s">
        <v>250</v>
      </c>
      <c r="B15" s="692">
        <v>1</v>
      </c>
      <c r="C15" s="700" t="s">
        <v>669</v>
      </c>
      <c r="D15" s="700"/>
      <c r="E15" s="701">
        <f t="shared" ref="E15:Y17" si="1">E12*E$52</f>
        <v>0</v>
      </c>
      <c r="F15" s="701">
        <f t="shared" si="1"/>
        <v>0</v>
      </c>
      <c r="G15" s="701">
        <f t="shared" si="1"/>
        <v>0</v>
      </c>
      <c r="H15" s="701">
        <f t="shared" si="1"/>
        <v>0</v>
      </c>
      <c r="I15" s="701">
        <f t="shared" si="1"/>
        <v>0</v>
      </c>
      <c r="J15" s="701">
        <f t="shared" si="1"/>
        <v>0</v>
      </c>
      <c r="K15" s="701">
        <f t="shared" si="1"/>
        <v>0</v>
      </c>
      <c r="L15" s="701">
        <f t="shared" si="1"/>
        <v>0</v>
      </c>
      <c r="M15" s="701">
        <f t="shared" si="1"/>
        <v>0</v>
      </c>
      <c r="N15" s="701">
        <f t="shared" si="1"/>
        <v>0</v>
      </c>
      <c r="O15" s="701">
        <f t="shared" si="1"/>
        <v>0</v>
      </c>
      <c r="P15" s="701">
        <f t="shared" si="1"/>
        <v>0</v>
      </c>
      <c r="Q15" s="701">
        <f t="shared" si="1"/>
        <v>0</v>
      </c>
      <c r="R15" s="701">
        <f t="shared" si="1"/>
        <v>0</v>
      </c>
      <c r="S15" s="701">
        <f t="shared" si="1"/>
        <v>0</v>
      </c>
      <c r="T15" s="701">
        <f t="shared" si="1"/>
        <v>0</v>
      </c>
      <c r="U15" s="701">
        <f t="shared" si="1"/>
        <v>0</v>
      </c>
      <c r="V15" s="701">
        <f t="shared" si="1"/>
        <v>0</v>
      </c>
      <c r="W15" s="701">
        <f t="shared" si="1"/>
        <v>0</v>
      </c>
      <c r="X15" s="701">
        <f t="shared" si="1"/>
        <v>0</v>
      </c>
      <c r="Y15" s="701">
        <f t="shared" si="1"/>
        <v>0</v>
      </c>
      <c r="AB15" s="682"/>
    </row>
    <row r="16" spans="1:29" ht="14.25" customHeight="1" x14ac:dyDescent="0.2">
      <c r="A16" s="1383"/>
      <c r="B16" s="695">
        <v>2</v>
      </c>
      <c r="C16" s="693" t="s">
        <v>673</v>
      </c>
      <c r="D16" s="693"/>
      <c r="E16" s="702">
        <f t="shared" si="1"/>
        <v>0</v>
      </c>
      <c r="F16" s="702">
        <f t="shared" si="1"/>
        <v>0</v>
      </c>
      <c r="G16" s="702">
        <f t="shared" si="1"/>
        <v>0</v>
      </c>
      <c r="H16" s="702">
        <f t="shared" si="1"/>
        <v>0</v>
      </c>
      <c r="I16" s="702">
        <f t="shared" si="1"/>
        <v>0</v>
      </c>
      <c r="J16" s="702">
        <f t="shared" si="1"/>
        <v>0</v>
      </c>
      <c r="K16" s="702">
        <f t="shared" si="1"/>
        <v>0</v>
      </c>
      <c r="L16" s="702">
        <f t="shared" si="1"/>
        <v>0</v>
      </c>
      <c r="M16" s="702">
        <f t="shared" si="1"/>
        <v>0</v>
      </c>
      <c r="N16" s="702">
        <f t="shared" si="1"/>
        <v>0</v>
      </c>
      <c r="O16" s="702">
        <f t="shared" si="1"/>
        <v>0</v>
      </c>
      <c r="P16" s="702">
        <f t="shared" si="1"/>
        <v>0</v>
      </c>
      <c r="Q16" s="702">
        <f t="shared" si="1"/>
        <v>0</v>
      </c>
      <c r="R16" s="702">
        <f t="shared" si="1"/>
        <v>0</v>
      </c>
      <c r="S16" s="702">
        <f t="shared" si="1"/>
        <v>0</v>
      </c>
      <c r="T16" s="702">
        <f t="shared" si="1"/>
        <v>0</v>
      </c>
      <c r="U16" s="702">
        <f t="shared" si="1"/>
        <v>0</v>
      </c>
      <c r="V16" s="702">
        <f t="shared" si="1"/>
        <v>0</v>
      </c>
      <c r="W16" s="702">
        <f t="shared" si="1"/>
        <v>0</v>
      </c>
      <c r="X16" s="702">
        <f t="shared" si="1"/>
        <v>0</v>
      </c>
      <c r="Y16" s="702">
        <f t="shared" si="1"/>
        <v>0</v>
      </c>
      <c r="AB16" s="682"/>
    </row>
    <row r="17" spans="1:28" ht="14.25" customHeight="1" x14ac:dyDescent="0.2">
      <c r="A17" s="1383"/>
      <c r="B17" s="695">
        <v>3</v>
      </c>
      <c r="C17" s="693" t="s">
        <v>675</v>
      </c>
      <c r="D17" s="693"/>
      <c r="E17" s="702">
        <f t="shared" si="1"/>
        <v>0</v>
      </c>
      <c r="F17" s="702">
        <f t="shared" si="1"/>
        <v>0</v>
      </c>
      <c r="G17" s="702">
        <f t="shared" si="1"/>
        <v>0</v>
      </c>
      <c r="H17" s="702">
        <f t="shared" si="1"/>
        <v>0</v>
      </c>
      <c r="I17" s="702">
        <f t="shared" si="1"/>
        <v>0</v>
      </c>
      <c r="J17" s="702">
        <f t="shared" si="1"/>
        <v>0</v>
      </c>
      <c r="K17" s="702">
        <f t="shared" si="1"/>
        <v>0</v>
      </c>
      <c r="L17" s="702">
        <f t="shared" si="1"/>
        <v>0</v>
      </c>
      <c r="M17" s="702">
        <f t="shared" si="1"/>
        <v>0</v>
      </c>
      <c r="N17" s="702">
        <f t="shared" si="1"/>
        <v>0</v>
      </c>
      <c r="O17" s="702">
        <f t="shared" si="1"/>
        <v>0</v>
      </c>
      <c r="P17" s="702">
        <f t="shared" si="1"/>
        <v>0</v>
      </c>
      <c r="Q17" s="702">
        <f t="shared" si="1"/>
        <v>0</v>
      </c>
      <c r="R17" s="702">
        <f t="shared" si="1"/>
        <v>0</v>
      </c>
      <c r="S17" s="702">
        <f t="shared" si="1"/>
        <v>0</v>
      </c>
      <c r="T17" s="702">
        <f t="shared" si="1"/>
        <v>0</v>
      </c>
      <c r="U17" s="702">
        <f t="shared" si="1"/>
        <v>0</v>
      </c>
      <c r="V17" s="702">
        <f t="shared" si="1"/>
        <v>0</v>
      </c>
      <c r="W17" s="702">
        <f t="shared" si="1"/>
        <v>0</v>
      </c>
      <c r="X17" s="702">
        <f t="shared" si="1"/>
        <v>0</v>
      </c>
      <c r="Y17" s="702">
        <f t="shared" si="1"/>
        <v>0</v>
      </c>
      <c r="AB17" s="682"/>
    </row>
    <row r="18" spans="1:28" ht="14.25" customHeight="1" x14ac:dyDescent="0.2">
      <c r="A18" s="1383"/>
      <c r="B18" s="695">
        <v>4</v>
      </c>
      <c r="C18" s="693" t="s">
        <v>678</v>
      </c>
      <c r="D18" s="693"/>
      <c r="E18" s="696"/>
      <c r="F18" s="696"/>
      <c r="G18" s="696"/>
      <c r="H18" s="696"/>
      <c r="I18" s="696"/>
      <c r="J18" s="696"/>
      <c r="K18" s="696"/>
      <c r="L18" s="696"/>
      <c r="M18" s="696"/>
      <c r="N18" s="696"/>
      <c r="O18" s="696"/>
      <c r="P18" s="696"/>
      <c r="Q18" s="696"/>
      <c r="R18" s="696"/>
      <c r="S18" s="696"/>
      <c r="T18" s="696"/>
      <c r="U18" s="696"/>
      <c r="V18" s="696"/>
      <c r="W18" s="696"/>
      <c r="X18" s="696"/>
      <c r="Y18" s="696"/>
      <c r="AB18" s="682"/>
    </row>
    <row r="19" spans="1:28" ht="14.25" customHeight="1" x14ac:dyDescent="0.2">
      <c r="A19" s="1383"/>
      <c r="B19" s="703">
        <v>5</v>
      </c>
      <c r="C19" s="704" t="s">
        <v>251</v>
      </c>
      <c r="D19" s="704"/>
      <c r="E19" s="705">
        <f t="shared" ref="E19:Y19" si="2">E15+E16-E17-E18</f>
        <v>0</v>
      </c>
      <c r="F19" s="705">
        <f t="shared" si="2"/>
        <v>0</v>
      </c>
      <c r="G19" s="705">
        <f t="shared" si="2"/>
        <v>0</v>
      </c>
      <c r="H19" s="705">
        <f t="shared" si="2"/>
        <v>0</v>
      </c>
      <c r="I19" s="705">
        <f t="shared" si="2"/>
        <v>0</v>
      </c>
      <c r="J19" s="705">
        <f t="shared" si="2"/>
        <v>0</v>
      </c>
      <c r="K19" s="705">
        <f t="shared" si="2"/>
        <v>0</v>
      </c>
      <c r="L19" s="705">
        <f t="shared" si="2"/>
        <v>0</v>
      </c>
      <c r="M19" s="705">
        <f t="shared" si="2"/>
        <v>0</v>
      </c>
      <c r="N19" s="705">
        <f t="shared" si="2"/>
        <v>0</v>
      </c>
      <c r="O19" s="705">
        <f t="shared" si="2"/>
        <v>0</v>
      </c>
      <c r="P19" s="705">
        <f t="shared" si="2"/>
        <v>0</v>
      </c>
      <c r="Q19" s="705">
        <f t="shared" si="2"/>
        <v>0</v>
      </c>
      <c r="R19" s="705">
        <f t="shared" si="2"/>
        <v>0</v>
      </c>
      <c r="S19" s="705">
        <f t="shared" si="2"/>
        <v>0</v>
      </c>
      <c r="T19" s="705">
        <f t="shared" si="2"/>
        <v>0</v>
      </c>
      <c r="U19" s="705">
        <f t="shared" si="2"/>
        <v>0</v>
      </c>
      <c r="V19" s="705">
        <f t="shared" si="2"/>
        <v>0</v>
      </c>
      <c r="W19" s="705">
        <f t="shared" si="2"/>
        <v>0</v>
      </c>
      <c r="X19" s="705">
        <f t="shared" si="2"/>
        <v>0</v>
      </c>
      <c r="Y19" s="705">
        <f t="shared" si="2"/>
        <v>0</v>
      </c>
      <c r="AB19" s="682"/>
    </row>
    <row r="20" spans="1:28" ht="14.25" customHeight="1" x14ac:dyDescent="0.2">
      <c r="A20" s="1383"/>
      <c r="B20" s="695">
        <v>6</v>
      </c>
      <c r="C20" s="693" t="s">
        <v>252</v>
      </c>
      <c r="D20" s="693"/>
      <c r="E20" s="696"/>
      <c r="F20" s="696"/>
      <c r="G20" s="696"/>
      <c r="H20" s="696"/>
      <c r="I20" s="696"/>
      <c r="J20" s="696"/>
      <c r="K20" s="696"/>
      <c r="L20" s="696"/>
      <c r="M20" s="696"/>
      <c r="N20" s="696"/>
      <c r="O20" s="696"/>
      <c r="P20" s="696"/>
      <c r="Q20" s="696"/>
      <c r="R20" s="696"/>
      <c r="S20" s="696"/>
      <c r="T20" s="696"/>
      <c r="U20" s="696"/>
      <c r="V20" s="696"/>
      <c r="W20" s="696"/>
      <c r="X20" s="696"/>
      <c r="Y20" s="696"/>
      <c r="AB20" s="682"/>
    </row>
    <row r="21" spans="1:28" ht="14.25" customHeight="1" x14ac:dyDescent="0.2">
      <c r="A21" s="1383"/>
      <c r="B21" s="695">
        <v>7</v>
      </c>
      <c r="C21" s="693" t="s">
        <v>681</v>
      </c>
      <c r="D21" s="693"/>
      <c r="E21" s="702">
        <f t="shared" ref="E21:Y21" si="3">E25</f>
        <v>0</v>
      </c>
      <c r="F21" s="702">
        <f t="shared" si="3"/>
        <v>0</v>
      </c>
      <c r="G21" s="702">
        <f t="shared" si="3"/>
        <v>-89.250000000000028</v>
      </c>
      <c r="H21" s="702">
        <f t="shared" si="3"/>
        <v>-229.50000000000003</v>
      </c>
      <c r="I21" s="702">
        <f t="shared" si="3"/>
        <v>-255.00000000000003</v>
      </c>
      <c r="J21" s="702">
        <f t="shared" si="3"/>
        <v>-255.00000000000003</v>
      </c>
      <c r="K21" s="702">
        <f t="shared" si="3"/>
        <v>-255.00000000000003</v>
      </c>
      <c r="L21" s="702">
        <f t="shared" si="3"/>
        <v>-255.00000000000003</v>
      </c>
      <c r="M21" s="702">
        <f t="shared" si="3"/>
        <v>-255.00000000000003</v>
      </c>
      <c r="N21" s="702">
        <f t="shared" si="3"/>
        <v>-255.00000000000003</v>
      </c>
      <c r="O21" s="702">
        <f t="shared" si="3"/>
        <v>-255.00000000000003</v>
      </c>
      <c r="P21" s="702">
        <f t="shared" si="3"/>
        <v>-255.00000000000003</v>
      </c>
      <c r="Q21" s="702">
        <f t="shared" si="3"/>
        <v>-255.00000000000003</v>
      </c>
      <c r="R21" s="702">
        <f t="shared" si="3"/>
        <v>-255.00000000000003</v>
      </c>
      <c r="S21" s="702">
        <f t="shared" si="3"/>
        <v>-165.75</v>
      </c>
      <c r="T21" s="702">
        <f t="shared" si="3"/>
        <v>-25.500000000000004</v>
      </c>
      <c r="U21" s="702">
        <f t="shared" si="3"/>
        <v>0</v>
      </c>
      <c r="V21" s="702">
        <f t="shared" si="3"/>
        <v>0</v>
      </c>
      <c r="W21" s="702">
        <f t="shared" si="3"/>
        <v>0</v>
      </c>
      <c r="X21" s="702">
        <f t="shared" si="3"/>
        <v>0</v>
      </c>
      <c r="Y21" s="702">
        <f t="shared" si="3"/>
        <v>0</v>
      </c>
      <c r="AB21" s="682"/>
    </row>
    <row r="22" spans="1:28" ht="14.25" customHeight="1" x14ac:dyDescent="0.2">
      <c r="A22" s="1383"/>
      <c r="B22" s="706">
        <v>8</v>
      </c>
      <c r="C22" s="707" t="s">
        <v>253</v>
      </c>
      <c r="D22" s="707"/>
      <c r="E22" s="708">
        <f t="shared" ref="E22:Y22" si="4">E19-E20-E21</f>
        <v>0</v>
      </c>
      <c r="F22" s="708">
        <f t="shared" si="4"/>
        <v>0</v>
      </c>
      <c r="G22" s="708">
        <f t="shared" si="4"/>
        <v>89.250000000000028</v>
      </c>
      <c r="H22" s="708">
        <f t="shared" si="4"/>
        <v>229.50000000000003</v>
      </c>
      <c r="I22" s="708">
        <f t="shared" si="4"/>
        <v>255.00000000000003</v>
      </c>
      <c r="J22" s="708">
        <f t="shared" si="4"/>
        <v>255.00000000000003</v>
      </c>
      <c r="K22" s="708">
        <f t="shared" si="4"/>
        <v>255.00000000000003</v>
      </c>
      <c r="L22" s="708">
        <f t="shared" si="4"/>
        <v>255.00000000000003</v>
      </c>
      <c r="M22" s="708">
        <f t="shared" si="4"/>
        <v>255.00000000000003</v>
      </c>
      <c r="N22" s="708">
        <f t="shared" si="4"/>
        <v>255.00000000000003</v>
      </c>
      <c r="O22" s="708">
        <f t="shared" si="4"/>
        <v>255.00000000000003</v>
      </c>
      <c r="P22" s="708">
        <f t="shared" si="4"/>
        <v>255.00000000000003</v>
      </c>
      <c r="Q22" s="708">
        <f t="shared" si="4"/>
        <v>255.00000000000003</v>
      </c>
      <c r="R22" s="708">
        <f t="shared" si="4"/>
        <v>255.00000000000003</v>
      </c>
      <c r="S22" s="708">
        <f t="shared" si="4"/>
        <v>165.75</v>
      </c>
      <c r="T22" s="708">
        <f t="shared" si="4"/>
        <v>25.500000000000004</v>
      </c>
      <c r="U22" s="708">
        <f t="shared" si="4"/>
        <v>0</v>
      </c>
      <c r="V22" s="708">
        <f t="shared" si="4"/>
        <v>0</v>
      </c>
      <c r="W22" s="708">
        <f t="shared" si="4"/>
        <v>0</v>
      </c>
      <c r="X22" s="708">
        <f t="shared" si="4"/>
        <v>0</v>
      </c>
      <c r="Y22" s="708">
        <f t="shared" si="4"/>
        <v>0</v>
      </c>
      <c r="AB22" s="682"/>
    </row>
    <row r="23" spans="1:28" ht="14.25" customHeight="1" x14ac:dyDescent="0.2">
      <c r="A23" s="1383" t="s">
        <v>254</v>
      </c>
      <c r="B23" s="692">
        <v>9</v>
      </c>
      <c r="C23" s="700" t="s">
        <v>684</v>
      </c>
      <c r="D23" s="700"/>
      <c r="E23" s="694"/>
      <c r="F23" s="694">
        <f t="shared" ref="F23:Y23" si="5">F112</f>
        <v>0</v>
      </c>
      <c r="G23" s="694">
        <f t="shared" si="5"/>
        <v>262.50000000000006</v>
      </c>
      <c r="H23" s="694">
        <f t="shared" si="5"/>
        <v>675</v>
      </c>
      <c r="I23" s="694">
        <f t="shared" si="5"/>
        <v>750</v>
      </c>
      <c r="J23" s="694">
        <f t="shared" si="5"/>
        <v>750</v>
      </c>
      <c r="K23" s="694">
        <f t="shared" si="5"/>
        <v>750</v>
      </c>
      <c r="L23" s="694">
        <f t="shared" si="5"/>
        <v>750</v>
      </c>
      <c r="M23" s="694">
        <f t="shared" si="5"/>
        <v>750</v>
      </c>
      <c r="N23" s="694">
        <f t="shared" si="5"/>
        <v>750</v>
      </c>
      <c r="O23" s="694">
        <f t="shared" si="5"/>
        <v>750</v>
      </c>
      <c r="P23" s="694">
        <f t="shared" si="5"/>
        <v>750</v>
      </c>
      <c r="Q23" s="694">
        <f t="shared" si="5"/>
        <v>750</v>
      </c>
      <c r="R23" s="694">
        <f t="shared" si="5"/>
        <v>750</v>
      </c>
      <c r="S23" s="694">
        <f t="shared" si="5"/>
        <v>487.49999999999994</v>
      </c>
      <c r="T23" s="694">
        <f t="shared" si="5"/>
        <v>75</v>
      </c>
      <c r="U23" s="694">
        <f t="shared" si="5"/>
        <v>0</v>
      </c>
      <c r="V23" s="694">
        <f t="shared" si="5"/>
        <v>0</v>
      </c>
      <c r="W23" s="694">
        <f t="shared" si="5"/>
        <v>0</v>
      </c>
      <c r="X23" s="694">
        <f t="shared" si="5"/>
        <v>0</v>
      </c>
      <c r="Y23" s="694">
        <f t="shared" si="5"/>
        <v>0</v>
      </c>
      <c r="AB23" s="682"/>
    </row>
    <row r="24" spans="1:28" ht="14.25" customHeight="1" x14ac:dyDescent="0.2">
      <c r="A24" s="1383"/>
      <c r="B24" s="695"/>
      <c r="C24" s="693" t="s">
        <v>685</v>
      </c>
      <c r="D24" s="693"/>
      <c r="E24" s="709">
        <f t="shared" ref="E24:Y24" si="6">$E41</f>
        <v>0.34</v>
      </c>
      <c r="F24" s="709">
        <f t="shared" si="6"/>
        <v>0.34</v>
      </c>
      <c r="G24" s="709">
        <f t="shared" si="6"/>
        <v>0.34</v>
      </c>
      <c r="H24" s="709">
        <f t="shared" si="6"/>
        <v>0.34</v>
      </c>
      <c r="I24" s="709">
        <f t="shared" si="6"/>
        <v>0.34</v>
      </c>
      <c r="J24" s="709">
        <f t="shared" si="6"/>
        <v>0.34</v>
      </c>
      <c r="K24" s="709">
        <f t="shared" si="6"/>
        <v>0.34</v>
      </c>
      <c r="L24" s="709">
        <f t="shared" si="6"/>
        <v>0.34</v>
      </c>
      <c r="M24" s="709">
        <f t="shared" si="6"/>
        <v>0.34</v>
      </c>
      <c r="N24" s="709">
        <f t="shared" si="6"/>
        <v>0.34</v>
      </c>
      <c r="O24" s="709">
        <f t="shared" si="6"/>
        <v>0.34</v>
      </c>
      <c r="P24" s="709">
        <f t="shared" si="6"/>
        <v>0.34</v>
      </c>
      <c r="Q24" s="709">
        <f t="shared" si="6"/>
        <v>0.34</v>
      </c>
      <c r="R24" s="709">
        <f t="shared" si="6"/>
        <v>0.34</v>
      </c>
      <c r="S24" s="709">
        <f t="shared" si="6"/>
        <v>0.34</v>
      </c>
      <c r="T24" s="709">
        <f t="shared" si="6"/>
        <v>0.34</v>
      </c>
      <c r="U24" s="709">
        <f t="shared" si="6"/>
        <v>0.34</v>
      </c>
      <c r="V24" s="709">
        <f t="shared" si="6"/>
        <v>0.34</v>
      </c>
      <c r="W24" s="709">
        <f t="shared" si="6"/>
        <v>0.34</v>
      </c>
      <c r="X24" s="709">
        <f t="shared" si="6"/>
        <v>0.34</v>
      </c>
      <c r="Y24" s="709">
        <f t="shared" si="6"/>
        <v>0.34</v>
      </c>
      <c r="AB24" s="682"/>
    </row>
    <row r="25" spans="1:28" ht="14.25" customHeight="1" x14ac:dyDescent="0.2">
      <c r="A25" s="1383"/>
      <c r="B25" s="706">
        <v>10</v>
      </c>
      <c r="C25" s="707" t="s">
        <v>255</v>
      </c>
      <c r="D25" s="707"/>
      <c r="E25" s="708">
        <f t="shared" ref="E25:Y25" si="7">E24*(E19-E20-E23)</f>
        <v>0</v>
      </c>
      <c r="F25" s="708">
        <f t="shared" si="7"/>
        <v>0</v>
      </c>
      <c r="G25" s="708">
        <f t="shared" si="7"/>
        <v>-89.250000000000028</v>
      </c>
      <c r="H25" s="708">
        <f t="shared" si="7"/>
        <v>-229.50000000000003</v>
      </c>
      <c r="I25" s="708">
        <f t="shared" si="7"/>
        <v>-255.00000000000003</v>
      </c>
      <c r="J25" s="708">
        <f t="shared" si="7"/>
        <v>-255.00000000000003</v>
      </c>
      <c r="K25" s="708">
        <f t="shared" si="7"/>
        <v>-255.00000000000003</v>
      </c>
      <c r="L25" s="708">
        <f t="shared" si="7"/>
        <v>-255.00000000000003</v>
      </c>
      <c r="M25" s="708">
        <f t="shared" si="7"/>
        <v>-255.00000000000003</v>
      </c>
      <c r="N25" s="708">
        <f t="shared" si="7"/>
        <v>-255.00000000000003</v>
      </c>
      <c r="O25" s="708">
        <f t="shared" si="7"/>
        <v>-255.00000000000003</v>
      </c>
      <c r="P25" s="708">
        <f t="shared" si="7"/>
        <v>-255.00000000000003</v>
      </c>
      <c r="Q25" s="708">
        <f t="shared" si="7"/>
        <v>-255.00000000000003</v>
      </c>
      <c r="R25" s="708">
        <f t="shared" si="7"/>
        <v>-255.00000000000003</v>
      </c>
      <c r="S25" s="708">
        <f t="shared" si="7"/>
        <v>-165.75</v>
      </c>
      <c r="T25" s="708">
        <f t="shared" si="7"/>
        <v>-25.500000000000004</v>
      </c>
      <c r="U25" s="708">
        <f t="shared" si="7"/>
        <v>0</v>
      </c>
      <c r="V25" s="708">
        <f t="shared" si="7"/>
        <v>0</v>
      </c>
      <c r="W25" s="708">
        <f t="shared" si="7"/>
        <v>0</v>
      </c>
      <c r="X25" s="708">
        <f t="shared" si="7"/>
        <v>0</v>
      </c>
      <c r="Y25" s="708">
        <f t="shared" si="7"/>
        <v>0</v>
      </c>
      <c r="AB25" s="682"/>
    </row>
    <row r="26" spans="1:28" ht="14.25" customHeight="1" x14ac:dyDescent="0.2">
      <c r="A26" s="1383" t="s">
        <v>256</v>
      </c>
      <c r="B26" s="692">
        <v>11</v>
      </c>
      <c r="C26" s="700" t="s">
        <v>257</v>
      </c>
      <c r="D26" s="752" t="str">
        <f>SUM(E26:Y26)&amp;" "&amp;B7</f>
        <v>9000 k€</v>
      </c>
      <c r="E26" s="914">
        <f>SUM('détails investissements (2)'!C129:N129)*1000</f>
        <v>0</v>
      </c>
      <c r="F26" s="914">
        <f>SUM('détails investissements (2)'!O129:Z129)*1000</f>
        <v>3150.0000000000005</v>
      </c>
      <c r="G26" s="914">
        <f>SUM('détails investissements (2)'!AA129:AL129)*1000</f>
        <v>4949.9999999999991</v>
      </c>
      <c r="H26" s="914">
        <f>SUM('détails investissements (2)'!AM129:AX129)*1000</f>
        <v>900</v>
      </c>
      <c r="I26" s="914">
        <f>SUM('détails investissements (2)'!AY129:BJ129)</f>
        <v>0</v>
      </c>
      <c r="J26" s="233"/>
      <c r="K26" s="233"/>
      <c r="L26" s="233"/>
      <c r="M26" s="233"/>
      <c r="N26" s="233"/>
      <c r="O26" s="233"/>
      <c r="P26" s="233"/>
      <c r="Q26" s="233"/>
      <c r="R26" s="233"/>
      <c r="S26" s="233"/>
      <c r="T26" s="233"/>
      <c r="U26" s="233"/>
      <c r="V26" s="233"/>
      <c r="W26" s="233"/>
      <c r="X26" s="233"/>
      <c r="Y26" s="694"/>
      <c r="AB26" s="682"/>
    </row>
    <row r="27" spans="1:28" ht="14.25" customHeight="1" x14ac:dyDescent="0.2">
      <c r="A27" s="1383"/>
      <c r="B27" s="695">
        <v>12</v>
      </c>
      <c r="C27" s="693" t="s">
        <v>260</v>
      </c>
      <c r="D27" s="753" t="str">
        <f>SUM(E27:Y27)&amp;" "&amp;B7</f>
        <v>0 k€</v>
      </c>
      <c r="E27" s="696"/>
      <c r="F27" s="696"/>
      <c r="G27" s="696"/>
      <c r="H27" s="696"/>
      <c r="I27" s="696"/>
      <c r="J27" s="696"/>
      <c r="K27" s="696"/>
      <c r="L27" s="696"/>
      <c r="M27" s="696"/>
      <c r="N27" s="696"/>
      <c r="O27" s="696"/>
      <c r="P27" s="696"/>
      <c r="Q27" s="696"/>
      <c r="R27" s="696"/>
      <c r="S27" s="696"/>
      <c r="T27" s="696"/>
      <c r="U27" s="696"/>
      <c r="V27" s="696"/>
      <c r="W27" s="696"/>
      <c r="X27" s="696"/>
      <c r="Y27" s="696"/>
      <c r="AB27" s="682"/>
    </row>
    <row r="28" spans="1:28" ht="14.25" customHeight="1" x14ac:dyDescent="0.2">
      <c r="A28" s="1383"/>
      <c r="B28" s="695">
        <v>13</v>
      </c>
      <c r="C28" s="693" t="s">
        <v>690</v>
      </c>
      <c r="D28" s="782" t="str">
        <f>SUM(E28:Y28)&amp;" "&amp;B7</f>
        <v>0 k€</v>
      </c>
      <c r="E28" s="237"/>
      <c r="F28" s="237"/>
      <c r="G28" s="237"/>
      <c r="H28" s="237"/>
      <c r="I28" s="237"/>
      <c r="J28" s="237"/>
      <c r="K28" s="237"/>
      <c r="L28" s="237"/>
      <c r="M28" s="237"/>
      <c r="N28" s="237"/>
      <c r="O28" s="237"/>
      <c r="P28" s="237"/>
      <c r="Q28" s="237"/>
      <c r="R28" s="237"/>
      <c r="S28" s="237"/>
      <c r="T28" s="237"/>
      <c r="U28" s="237"/>
      <c r="V28" s="237"/>
      <c r="W28" s="237"/>
      <c r="X28" s="237"/>
      <c r="Y28" s="237"/>
      <c r="AB28" s="682"/>
    </row>
    <row r="29" spans="1:28" ht="14.25" customHeight="1" x14ac:dyDescent="0.2">
      <c r="A29" s="1383"/>
      <c r="B29" s="706">
        <v>14</v>
      </c>
      <c r="C29" s="707" t="s">
        <v>691</v>
      </c>
      <c r="D29" s="707"/>
      <c r="E29" s="708">
        <f t="shared" ref="E29:Y29" si="8">E26+E27+E28</f>
        <v>0</v>
      </c>
      <c r="F29" s="708">
        <f t="shared" si="8"/>
        <v>3150.0000000000005</v>
      </c>
      <c r="G29" s="708">
        <f t="shared" si="8"/>
        <v>4949.9999999999991</v>
      </c>
      <c r="H29" s="708">
        <f t="shared" si="8"/>
        <v>900</v>
      </c>
      <c r="I29" s="708">
        <f t="shared" si="8"/>
        <v>0</v>
      </c>
      <c r="J29" s="708">
        <f t="shared" si="8"/>
        <v>0</v>
      </c>
      <c r="K29" s="708">
        <f t="shared" si="8"/>
        <v>0</v>
      </c>
      <c r="L29" s="708">
        <f t="shared" si="8"/>
        <v>0</v>
      </c>
      <c r="M29" s="708">
        <f t="shared" si="8"/>
        <v>0</v>
      </c>
      <c r="N29" s="708">
        <f t="shared" si="8"/>
        <v>0</v>
      </c>
      <c r="O29" s="708">
        <f t="shared" si="8"/>
        <v>0</v>
      </c>
      <c r="P29" s="708">
        <f t="shared" si="8"/>
        <v>0</v>
      </c>
      <c r="Q29" s="708">
        <f t="shared" si="8"/>
        <v>0</v>
      </c>
      <c r="R29" s="708">
        <f t="shared" si="8"/>
        <v>0</v>
      </c>
      <c r="S29" s="708">
        <f t="shared" si="8"/>
        <v>0</v>
      </c>
      <c r="T29" s="708">
        <f t="shared" si="8"/>
        <v>0</v>
      </c>
      <c r="U29" s="708">
        <f t="shared" si="8"/>
        <v>0</v>
      </c>
      <c r="V29" s="708">
        <f t="shared" si="8"/>
        <v>0</v>
      </c>
      <c r="W29" s="708">
        <f t="shared" si="8"/>
        <v>0</v>
      </c>
      <c r="X29" s="708">
        <f t="shared" si="8"/>
        <v>0</v>
      </c>
      <c r="Y29" s="708">
        <f t="shared" si="8"/>
        <v>0</v>
      </c>
      <c r="AB29" s="682"/>
    </row>
    <row r="30" spans="1:28" ht="14.25" customHeight="1" x14ac:dyDescent="0.2">
      <c r="A30" s="710"/>
      <c r="B30" s="711">
        <v>15</v>
      </c>
      <c r="C30" s="712" t="s">
        <v>261</v>
      </c>
      <c r="D30" s="712"/>
      <c r="E30" s="713">
        <f t="shared" ref="E30:Y30" si="9">E22-E29</f>
        <v>0</v>
      </c>
      <c r="F30" s="713">
        <f t="shared" si="9"/>
        <v>-3150.0000000000005</v>
      </c>
      <c r="G30" s="713">
        <f t="shared" si="9"/>
        <v>-4860.7499999999991</v>
      </c>
      <c r="H30" s="713">
        <f t="shared" si="9"/>
        <v>-670.5</v>
      </c>
      <c r="I30" s="713">
        <f t="shared" si="9"/>
        <v>255.00000000000003</v>
      </c>
      <c r="J30" s="713">
        <f t="shared" si="9"/>
        <v>255.00000000000003</v>
      </c>
      <c r="K30" s="713">
        <f t="shared" si="9"/>
        <v>255.00000000000003</v>
      </c>
      <c r="L30" s="713">
        <f t="shared" si="9"/>
        <v>255.00000000000003</v>
      </c>
      <c r="M30" s="713">
        <f t="shared" si="9"/>
        <v>255.00000000000003</v>
      </c>
      <c r="N30" s="713">
        <f t="shared" si="9"/>
        <v>255.00000000000003</v>
      </c>
      <c r="O30" s="713">
        <f t="shared" si="9"/>
        <v>255.00000000000003</v>
      </c>
      <c r="P30" s="713">
        <f t="shared" si="9"/>
        <v>255.00000000000003</v>
      </c>
      <c r="Q30" s="713">
        <f t="shared" si="9"/>
        <v>255.00000000000003</v>
      </c>
      <c r="R30" s="713">
        <f t="shared" si="9"/>
        <v>255.00000000000003</v>
      </c>
      <c r="S30" s="713">
        <f t="shared" si="9"/>
        <v>165.75</v>
      </c>
      <c r="T30" s="713">
        <f t="shared" si="9"/>
        <v>25.500000000000004</v>
      </c>
      <c r="U30" s="713">
        <f t="shared" si="9"/>
        <v>0</v>
      </c>
      <c r="V30" s="713">
        <f t="shared" si="9"/>
        <v>0</v>
      </c>
      <c r="W30" s="713">
        <f t="shared" si="9"/>
        <v>0</v>
      </c>
      <c r="X30" s="713">
        <f t="shared" si="9"/>
        <v>0</v>
      </c>
      <c r="Y30" s="713">
        <f t="shared" si="9"/>
        <v>0</v>
      </c>
      <c r="AB30" s="682"/>
    </row>
    <row r="31" spans="1:28" ht="14.25" customHeight="1" x14ac:dyDescent="0.2">
      <c r="B31" s="683"/>
      <c r="E31" s="714">
        <f>Bilan!E17/1000</f>
        <v>126.74200913406392</v>
      </c>
      <c r="F31" s="714">
        <f>(Bilan!F17-Bilan!E17)/1000</f>
        <v>350.56292237442926</v>
      </c>
      <c r="G31" s="714">
        <f>(Bilan!G17-Bilan!F17)/1000</f>
        <v>289.84694174964608</v>
      </c>
      <c r="H31" s="714">
        <f>(Bilan!H17-Bilan!G17)/1000</f>
        <v>1445.7124744155601</v>
      </c>
      <c r="I31" s="714">
        <f>(Bilan!I17-Bilan!H17)/1000</f>
        <v>845.20310310696482</v>
      </c>
      <c r="J31" s="714">
        <f>(Bilan!J17-Bilan!I17)/1000</f>
        <v>1489.1927927520792</v>
      </c>
      <c r="K31" s="714">
        <f>(Bilan!K17-Bilan!J17)/1000</f>
        <v>1085.9277567831352</v>
      </c>
      <c r="L31" s="714">
        <f>(Bilan!L17-Bilan!K17)/1000</f>
        <v>879.38923651147729</v>
      </c>
      <c r="M31" s="714">
        <f>(Bilan!M17-Bilan!L17)/1000</f>
        <v>41.624930337485857</v>
      </c>
      <c r="N31" s="714">
        <f>(Bilan!N17-Bilan!M17)/1000</f>
        <v>22.33611242715083</v>
      </c>
      <c r="O31" s="714">
        <f>(Bilan!O17-Bilan!N17)/1000</f>
        <v>-12.451028292285278</v>
      </c>
      <c r="P31" s="714">
        <f>(Bilan!P17-Bilan!O17)/1000</f>
        <v>21.778887895310298</v>
      </c>
      <c r="Q31" s="714">
        <f>(Bilan!Q17-Bilan!P17)/1000</f>
        <v>2.028685961181298</v>
      </c>
      <c r="R31" s="714">
        <f>(Bilan!R17-Bilan!Q17)/1000</f>
        <v>-60.199840531321243</v>
      </c>
      <c r="S31" s="714">
        <f>(Bilan!S17-Bilan!R17)/1000</f>
        <v>7.3308809039359915</v>
      </c>
      <c r="T31" s="714">
        <f>(Bilan!T17-Bilan!S17)/1000</f>
        <v>6.1880417604651301</v>
      </c>
      <c r="U31" s="714">
        <f>(Bilan!U17-Bilan!T17)/1000</f>
        <v>1.9427157504744827</v>
      </c>
      <c r="V31" s="714">
        <f>(Bilan!V17-Bilan!U17)/1000</f>
        <v>5.4220411625811833</v>
      </c>
      <c r="W31" s="714">
        <f>(Bilan!W17-Bilan!V17)/1000</f>
        <v>-10.541266091640107</v>
      </c>
      <c r="X31" s="714">
        <f>(Bilan!X17-Bilan!W17)/1000</f>
        <v>3.2003133412469178</v>
      </c>
      <c r="Y31" s="714">
        <f>(Bilan!Y17-Bilan!X17)/1000</f>
        <v>8.6786729730125511</v>
      </c>
      <c r="AB31" s="682"/>
    </row>
    <row r="32" spans="1:28" ht="14.25" customHeight="1" x14ac:dyDescent="0.2">
      <c r="A32" s="715">
        <f>E40</f>
        <v>0.105</v>
      </c>
      <c r="B32" s="692">
        <v>16</v>
      </c>
      <c r="C32" s="700" t="s">
        <v>262</v>
      </c>
      <c r="D32" s="700"/>
      <c r="E32" s="701">
        <f t="shared" ref="E32:Y32" si="10">E30/E53</f>
        <v>0</v>
      </c>
      <c r="F32" s="701">
        <f t="shared" si="10"/>
        <v>-2850.6787330316747</v>
      </c>
      <c r="G32" s="701">
        <f t="shared" si="10"/>
        <v>-3980.8767224258299</v>
      </c>
      <c r="H32" s="701">
        <f t="shared" si="10"/>
        <v>-496.94914544480423</v>
      </c>
      <c r="I32" s="701">
        <f t="shared" si="10"/>
        <v>171.03739302867126</v>
      </c>
      <c r="J32" s="701">
        <f t="shared" si="10"/>
        <v>154.78497106667081</v>
      </c>
      <c r="K32" s="701">
        <f t="shared" si="10"/>
        <v>140.07689689291476</v>
      </c>
      <c r="L32" s="701">
        <f t="shared" si="10"/>
        <v>126.76642252752467</v>
      </c>
      <c r="M32" s="701">
        <f t="shared" si="10"/>
        <v>114.72074436880061</v>
      </c>
      <c r="N32" s="701">
        <f t="shared" si="10"/>
        <v>103.81967816181051</v>
      </c>
      <c r="O32" s="701">
        <f t="shared" si="10"/>
        <v>93.954459874941648</v>
      </c>
      <c r="P32" s="701">
        <f t="shared" si="10"/>
        <v>85.026660520309179</v>
      </c>
      <c r="Q32" s="701">
        <f t="shared" si="10"/>
        <v>76.947204090777547</v>
      </c>
      <c r="R32" s="701">
        <f t="shared" si="10"/>
        <v>69.635478815183305</v>
      </c>
      <c r="S32" s="701">
        <f t="shared" si="10"/>
        <v>40.962046361872524</v>
      </c>
      <c r="T32" s="701">
        <f t="shared" si="10"/>
        <v>5.7030346483637357</v>
      </c>
      <c r="U32" s="701">
        <f t="shared" si="10"/>
        <v>0</v>
      </c>
      <c r="V32" s="701">
        <f t="shared" si="10"/>
        <v>0</v>
      </c>
      <c r="W32" s="701">
        <f t="shared" si="10"/>
        <v>0</v>
      </c>
      <c r="X32" s="701">
        <f t="shared" si="10"/>
        <v>0</v>
      </c>
      <c r="Y32" s="701">
        <f t="shared" si="10"/>
        <v>0</v>
      </c>
      <c r="AB32" s="682"/>
    </row>
    <row r="33" spans="1:29" ht="14.25" customHeight="1" x14ac:dyDescent="0.2">
      <c r="A33" s="716"/>
      <c r="B33" s="697">
        <v>17</v>
      </c>
      <c r="C33" s="698" t="s">
        <v>263</v>
      </c>
      <c r="D33" s="698"/>
      <c r="E33" s="717">
        <f>SUM(E32:$E32)</f>
        <v>0</v>
      </c>
      <c r="F33" s="717">
        <f>SUM($E32:F32)</f>
        <v>-2850.6787330316747</v>
      </c>
      <c r="G33" s="717">
        <f>SUM($E32:G32)</f>
        <v>-6831.5554554575046</v>
      </c>
      <c r="H33" s="717">
        <f>SUM($E32:H32)</f>
        <v>-7328.504600902309</v>
      </c>
      <c r="I33" s="717">
        <f>SUM($E32:I32)</f>
        <v>-7157.4672078736376</v>
      </c>
      <c r="J33" s="717">
        <f>SUM($E32:J32)</f>
        <v>-7002.682236806967</v>
      </c>
      <c r="K33" s="717">
        <f>SUM($E32:K32)</f>
        <v>-6862.6053399140519</v>
      </c>
      <c r="L33" s="717">
        <f>SUM($E32:L32)</f>
        <v>-6735.8389173865271</v>
      </c>
      <c r="M33" s="717">
        <f>SUM($E32:M32)</f>
        <v>-6621.1181730177268</v>
      </c>
      <c r="N33" s="717">
        <f>SUM($E32:N32)</f>
        <v>-6517.298494855916</v>
      </c>
      <c r="O33" s="717">
        <f>SUM($E32:O32)</f>
        <v>-6423.3440349809744</v>
      </c>
      <c r="P33" s="717">
        <f>SUM($E32:P32)</f>
        <v>-6338.3173744606647</v>
      </c>
      <c r="Q33" s="717">
        <f>SUM($E32:Q32)</f>
        <v>-6261.3701703698871</v>
      </c>
      <c r="R33" s="717">
        <f>SUM($E32:R32)</f>
        <v>-6191.7346915547041</v>
      </c>
      <c r="S33" s="717">
        <f>SUM($E32:S32)</f>
        <v>-6150.772645192832</v>
      </c>
      <c r="T33" s="717">
        <f>SUM($E32:T32)</f>
        <v>-6145.0696105444686</v>
      </c>
      <c r="U33" s="717">
        <f>SUM($E32:U32)</f>
        <v>-6145.0696105444686</v>
      </c>
      <c r="V33" s="717">
        <f>SUM($E32:V32)</f>
        <v>-6145.0696105444686</v>
      </c>
      <c r="W33" s="717">
        <f>SUM($E32:W32)</f>
        <v>-6145.0696105444686</v>
      </c>
      <c r="X33" s="717">
        <f>SUM($E32:X32)</f>
        <v>-6145.0696105444686</v>
      </c>
      <c r="Y33" s="717">
        <f>SUM($E32:Y32)</f>
        <v>-6145.0696105444686</v>
      </c>
      <c r="AB33" s="682"/>
    </row>
    <row r="34" spans="1:29" ht="14.25" customHeight="1" x14ac:dyDescent="0.2">
      <c r="B34" s="683"/>
      <c r="T34" s="681"/>
      <c r="AB34" s="682"/>
    </row>
    <row r="35" spans="1:29" ht="14.25" customHeight="1" x14ac:dyDescent="0.2">
      <c r="B35" s="683">
        <v>18</v>
      </c>
      <c r="C35" s="718" t="s">
        <v>695</v>
      </c>
      <c r="D35" s="719">
        <f>Y33+X36</f>
        <v>-6145.0696105444686</v>
      </c>
      <c r="E35" s="720" t="str">
        <f>B7</f>
        <v>k€</v>
      </c>
      <c r="R35" s="681">
        <v>21</v>
      </c>
      <c r="S35" s="1399" t="s">
        <v>696</v>
      </c>
      <c r="T35" s="1400"/>
      <c r="U35" s="1400"/>
      <c r="V35" s="1400"/>
      <c r="W35" s="1400"/>
      <c r="X35" s="1413">
        <f>D134</f>
        <v>0</v>
      </c>
      <c r="Y35" s="1414"/>
      <c r="Z35" s="788" t="s">
        <v>31</v>
      </c>
      <c r="AC35" s="682"/>
    </row>
    <row r="36" spans="1:29" ht="14.25" customHeight="1" x14ac:dyDescent="0.2">
      <c r="B36" s="683"/>
      <c r="E36" s="789"/>
      <c r="F36" s="789"/>
      <c r="R36" s="681">
        <v>22</v>
      </c>
      <c r="S36" s="1407" t="s">
        <v>697</v>
      </c>
      <c r="T36" s="1408"/>
      <c r="U36" s="1408"/>
      <c r="V36" s="1408"/>
      <c r="W36" s="1408"/>
      <c r="X36" s="1409">
        <f>X35/(1+E40)^Y7</f>
        <v>0</v>
      </c>
      <c r="Y36" s="1410"/>
      <c r="AC36" s="682"/>
    </row>
    <row r="37" spans="1:29" ht="14.25" customHeight="1" thickBot="1" x14ac:dyDescent="0.25">
      <c r="B37" s="683">
        <v>19</v>
      </c>
      <c r="C37" s="718" t="s">
        <v>264</v>
      </c>
      <c r="D37" s="1446">
        <f>IRR(E55:Z55)</f>
        <v>-0.13646925911715835</v>
      </c>
      <c r="E37" s="1447"/>
      <c r="H37" s="721" t="s">
        <v>265</v>
      </c>
      <c r="N37" s="722">
        <f>D35</f>
        <v>-6145.0696105444686</v>
      </c>
      <c r="O37" s="722" t="str">
        <f>E35</f>
        <v>k€</v>
      </c>
      <c r="P37" s="682"/>
      <c r="R37" s="681">
        <v>23</v>
      </c>
      <c r="S37" s="1399" t="s">
        <v>266</v>
      </c>
      <c r="T37" s="1400"/>
      <c r="U37" s="1400"/>
      <c r="V37" s="1400"/>
      <c r="W37" s="1400"/>
      <c r="X37" s="1403">
        <f>5*X35/SUM(L30:X30)</f>
        <v>0</v>
      </c>
      <c r="Y37" s="1404"/>
      <c r="AC37" s="682"/>
    </row>
    <row r="38" spans="1:29" ht="14.25" customHeight="1" x14ac:dyDescent="0.2">
      <c r="B38" s="683"/>
      <c r="F38" s="1448" t="s">
        <v>32</v>
      </c>
      <c r="G38" s="1449"/>
      <c r="H38" s="723" t="s">
        <v>267</v>
      </c>
      <c r="N38" s="724">
        <f>X36</f>
        <v>0</v>
      </c>
      <c r="O38" s="724" t="str">
        <f>O37</f>
        <v>k€</v>
      </c>
      <c r="P38" s="682"/>
      <c r="R38" s="725">
        <v>24</v>
      </c>
      <c r="S38" s="1389" t="s">
        <v>700</v>
      </c>
      <c r="T38" s="1390"/>
      <c r="U38" s="1390"/>
      <c r="V38" s="1390"/>
      <c r="W38" s="1390"/>
      <c r="X38" s="1392">
        <v>0</v>
      </c>
      <c r="Y38" s="1393"/>
      <c r="AC38" s="682"/>
    </row>
    <row r="39" spans="1:29" ht="14.25" customHeight="1" thickBot="1" x14ac:dyDescent="0.25">
      <c r="B39" s="683">
        <v>20</v>
      </c>
      <c r="C39" s="718" t="s">
        <v>268</v>
      </c>
      <c r="D39" s="822">
        <f>SUM(E64:Y64)+1</f>
        <v>21</v>
      </c>
      <c r="E39" s="823">
        <f>SUM(E65:Y65)</f>
        <v>0</v>
      </c>
      <c r="F39" s="820" t="str">
        <f ca="1">IF(OFFSET(E33,0,20-1)&lt;0, "&gt; " &amp; "20 ans", SUM(E61:X61)+1)</f>
        <v>&gt; 20 ans</v>
      </c>
      <c r="G39" s="821" t="str">
        <f ca="1">IF(OFFSET(E33,0,20-1)&lt;0, "", SUM(E62:X62))</f>
        <v/>
      </c>
      <c r="H39" s="721" t="s">
        <v>269</v>
      </c>
      <c r="I39" s="728"/>
      <c r="J39" s="728"/>
      <c r="K39" s="728"/>
      <c r="L39" s="728"/>
      <c r="N39" s="790">
        <f>D37</f>
        <v>-0.13646925911715835</v>
      </c>
      <c r="O39" s="729"/>
      <c r="P39" s="682"/>
      <c r="R39" s="730">
        <v>25</v>
      </c>
      <c r="S39" s="1387" t="s">
        <v>701</v>
      </c>
      <c r="T39" s="1388"/>
      <c r="U39" s="1388"/>
      <c r="V39" s="1388"/>
      <c r="W39" s="1388"/>
      <c r="X39" s="1394">
        <v>0</v>
      </c>
      <c r="Y39" s="1395"/>
      <c r="AC39" s="682"/>
    </row>
    <row r="40" spans="1:29" ht="14.25" customHeight="1" x14ac:dyDescent="0.2">
      <c r="D40" s="682" t="s">
        <v>702</v>
      </c>
      <c r="E40" s="731">
        <v>0.105</v>
      </c>
      <c r="H40" s="723" t="s">
        <v>670</v>
      </c>
      <c r="I40" s="728"/>
      <c r="J40" s="728"/>
      <c r="K40" s="728"/>
      <c r="L40" s="728"/>
      <c r="N40" s="732" t="str">
        <f ca="1">F39</f>
        <v>&gt; 20 ans</v>
      </c>
      <c r="O40" s="1396" t="str">
        <f ca="1">G39</f>
        <v/>
      </c>
      <c r="P40" s="1396"/>
      <c r="T40" s="681"/>
      <c r="X40" s="682" t="s">
        <v>703</v>
      </c>
      <c r="Y40" s="733">
        <v>12</v>
      </c>
      <c r="AC40" s="682"/>
    </row>
    <row r="41" spans="1:29" ht="14.25" customHeight="1" x14ac:dyDescent="0.2">
      <c r="D41" s="682" t="s">
        <v>704</v>
      </c>
      <c r="E41" s="731">
        <v>0.34</v>
      </c>
      <c r="H41" s="734" t="str">
        <f>A3</f>
        <v xml:space="preserve">Unité : </v>
      </c>
      <c r="I41" s="728"/>
      <c r="J41" s="728"/>
      <c r="K41" s="728"/>
      <c r="L41" s="728"/>
      <c r="M41" s="735"/>
      <c r="N41" s="732"/>
      <c r="O41" s="736"/>
      <c r="T41" s="681"/>
      <c r="X41" s="682" t="s">
        <v>705</v>
      </c>
      <c r="Y41" s="733">
        <v>12</v>
      </c>
      <c r="AC41" s="682"/>
    </row>
    <row r="42" spans="1:29" ht="18" customHeight="1" x14ac:dyDescent="0.2">
      <c r="B42" s="683"/>
      <c r="D42" s="204" t="s">
        <v>706</v>
      </c>
      <c r="H42" s="734" t="str">
        <f>A4</f>
        <v xml:space="preserve">Société : </v>
      </c>
      <c r="I42" s="728"/>
      <c r="J42" s="728"/>
      <c r="K42" s="728"/>
      <c r="L42" s="728"/>
      <c r="M42" s="735"/>
      <c r="N42" s="732"/>
      <c r="O42" s="736"/>
      <c r="T42" s="681"/>
    </row>
    <row r="43" spans="1:29" ht="18" customHeight="1" x14ac:dyDescent="0.2">
      <c r="B43" s="683"/>
      <c r="D43" s="682"/>
      <c r="E43" s="737"/>
      <c r="H43" s="734" t="str">
        <f>A5</f>
        <v xml:space="preserve">Site : </v>
      </c>
      <c r="I43" s="728"/>
      <c r="J43" s="728"/>
      <c r="K43" s="728"/>
      <c r="L43" s="728"/>
      <c r="M43" s="728"/>
      <c r="N43" s="728"/>
      <c r="O43" s="735"/>
      <c r="P43" s="732"/>
      <c r="T43" s="681"/>
    </row>
    <row r="44" spans="1:29" ht="18" customHeight="1" x14ac:dyDescent="0.2">
      <c r="B44" s="683"/>
      <c r="D44" s="789"/>
      <c r="E44" s="728"/>
      <c r="F44" s="728"/>
      <c r="G44" s="728"/>
      <c r="H44" s="734" t="str">
        <f>A6</f>
        <v xml:space="preserve">Projet : </v>
      </c>
      <c r="I44" s="728"/>
      <c r="J44" s="728"/>
      <c r="K44" s="728"/>
      <c r="L44" s="728"/>
      <c r="M44" s="728"/>
      <c r="N44" s="728"/>
      <c r="O44" s="735"/>
      <c r="P44" s="732"/>
      <c r="T44" s="681"/>
    </row>
    <row r="45" spans="1:29" x14ac:dyDescent="0.2">
      <c r="B45" s="683"/>
      <c r="E45" s="728"/>
      <c r="F45" s="728"/>
      <c r="G45" s="728"/>
      <c r="H45" s="728"/>
      <c r="I45" s="728"/>
      <c r="T45" s="681"/>
    </row>
    <row r="46" spans="1:29" ht="15.75" x14ac:dyDescent="0.2">
      <c r="B46" s="683"/>
      <c r="E46" s="728"/>
      <c r="F46" s="728"/>
      <c r="G46" s="728"/>
      <c r="H46" s="728"/>
      <c r="I46" s="728"/>
      <c r="S46" s="1391" t="str">
        <f>B3</f>
        <v>AD</v>
      </c>
      <c r="T46" s="1391"/>
      <c r="U46" s="1391"/>
      <c r="V46" s="1391"/>
      <c r="W46" s="1391"/>
    </row>
    <row r="47" spans="1:29" ht="15.75" x14ac:dyDescent="0.2">
      <c r="B47" s="683"/>
      <c r="E47" s="728"/>
      <c r="F47" s="728"/>
      <c r="G47" s="728"/>
      <c r="H47" s="728"/>
      <c r="I47" s="728"/>
      <c r="S47" s="1391" t="str">
        <f>B4</f>
        <v>Les Ancizes</v>
      </c>
      <c r="T47" s="1391"/>
      <c r="U47" s="1391"/>
      <c r="V47" s="1391"/>
      <c r="W47" s="1391"/>
    </row>
    <row r="48" spans="1:29" ht="15.75" x14ac:dyDescent="0.2">
      <c r="B48" s="683"/>
      <c r="E48" s="728"/>
      <c r="F48" s="728"/>
      <c r="G48" s="728"/>
      <c r="H48" s="728"/>
      <c r="I48" s="728"/>
      <c r="S48" s="736"/>
      <c r="U48" s="1391" t="str">
        <f>B5</f>
        <v>Nouvelle unité</v>
      </c>
      <c r="V48" s="1391"/>
      <c r="W48" s="1391"/>
      <c r="X48" s="1391"/>
      <c r="Y48" s="1391"/>
    </row>
    <row r="49" spans="1:26" ht="15.75" x14ac:dyDescent="0.2">
      <c r="B49" s="683"/>
      <c r="E49" s="728"/>
      <c r="F49" s="728"/>
      <c r="G49" s="728"/>
      <c r="H49" s="728"/>
      <c r="I49" s="728"/>
      <c r="S49" s="736"/>
      <c r="U49" s="1391" t="str">
        <f>B6</f>
        <v>Bâtiment</v>
      </c>
      <c r="V49" s="1391"/>
      <c r="W49" s="1391"/>
      <c r="X49" s="1391"/>
      <c r="Y49" s="1391"/>
    </row>
    <row r="50" spans="1:26" ht="15.75" x14ac:dyDescent="0.2">
      <c r="B50" s="683"/>
      <c r="E50" s="728"/>
      <c r="F50" s="728"/>
      <c r="G50" s="728"/>
      <c r="H50" s="728"/>
      <c r="I50" s="728"/>
      <c r="J50" s="734"/>
      <c r="K50" s="728"/>
      <c r="L50" s="728"/>
      <c r="M50" s="728"/>
      <c r="N50" s="728"/>
      <c r="O50" s="728"/>
      <c r="P50" s="728"/>
      <c r="Q50" s="735"/>
      <c r="R50" s="732"/>
      <c r="S50" s="736"/>
      <c r="U50" s="738"/>
      <c r="V50" s="738"/>
      <c r="W50" s="738"/>
      <c r="X50" s="738"/>
      <c r="Y50" s="738"/>
    </row>
    <row r="51" spans="1:26" ht="15.75" x14ac:dyDescent="0.2">
      <c r="B51" s="683"/>
      <c r="E51" s="728"/>
      <c r="F51" s="728"/>
      <c r="G51" s="728"/>
      <c r="H51" s="728"/>
      <c r="I51" s="728"/>
      <c r="J51" s="734"/>
      <c r="K51" s="728"/>
      <c r="L51" s="728"/>
      <c r="M51" s="728"/>
      <c r="N51" s="728"/>
      <c r="O51" s="728"/>
      <c r="P51" s="728"/>
      <c r="Q51" s="735"/>
      <c r="R51" s="732"/>
      <c r="S51" s="736"/>
      <c r="U51" s="738"/>
      <c r="V51" s="738"/>
      <c r="W51" s="738"/>
      <c r="X51" s="738"/>
      <c r="Y51" s="738"/>
    </row>
    <row r="52" spans="1:26" x14ac:dyDescent="0.2">
      <c r="B52" s="683"/>
      <c r="C52" s="682"/>
      <c r="D52" s="739" t="s">
        <v>707</v>
      </c>
      <c r="E52" s="740">
        <v>1</v>
      </c>
      <c r="F52" s="740">
        <f t="shared" ref="F52:Y52" si="11">E52*(1+$X39)</f>
        <v>1</v>
      </c>
      <c r="G52" s="740">
        <f t="shared" si="11"/>
        <v>1</v>
      </c>
      <c r="H52" s="740">
        <f t="shared" si="11"/>
        <v>1</v>
      </c>
      <c r="I52" s="740">
        <f t="shared" si="11"/>
        <v>1</v>
      </c>
      <c r="J52" s="740">
        <f t="shared" si="11"/>
        <v>1</v>
      </c>
      <c r="K52" s="740">
        <f t="shared" si="11"/>
        <v>1</v>
      </c>
      <c r="L52" s="740">
        <f t="shared" si="11"/>
        <v>1</v>
      </c>
      <c r="M52" s="740">
        <f t="shared" si="11"/>
        <v>1</v>
      </c>
      <c r="N52" s="740">
        <f t="shared" si="11"/>
        <v>1</v>
      </c>
      <c r="O52" s="740">
        <f t="shared" si="11"/>
        <v>1</v>
      </c>
      <c r="P52" s="740">
        <f t="shared" si="11"/>
        <v>1</v>
      </c>
      <c r="Q52" s="740">
        <f t="shared" si="11"/>
        <v>1</v>
      </c>
      <c r="R52" s="740">
        <f t="shared" si="11"/>
        <v>1</v>
      </c>
      <c r="S52" s="740">
        <f t="shared" si="11"/>
        <v>1</v>
      </c>
      <c r="T52" s="740">
        <f t="shared" si="11"/>
        <v>1</v>
      </c>
      <c r="U52" s="740">
        <f t="shared" si="11"/>
        <v>1</v>
      </c>
      <c r="V52" s="740">
        <f t="shared" si="11"/>
        <v>1</v>
      </c>
      <c r="W52" s="740">
        <f t="shared" si="11"/>
        <v>1</v>
      </c>
      <c r="X52" s="740">
        <f t="shared" si="11"/>
        <v>1</v>
      </c>
      <c r="Y52" s="740">
        <f t="shared" si="11"/>
        <v>1</v>
      </c>
    </row>
    <row r="53" spans="1:26" x14ac:dyDescent="0.2">
      <c r="D53" s="739" t="s">
        <v>708</v>
      </c>
      <c r="E53" s="740">
        <v>1</v>
      </c>
      <c r="F53" s="740">
        <f t="shared" ref="F53:Y53" si="12">E53*(1+$E40)</f>
        <v>1.105</v>
      </c>
      <c r="G53" s="740">
        <f t="shared" si="12"/>
        <v>1.221025</v>
      </c>
      <c r="H53" s="740">
        <f t="shared" si="12"/>
        <v>1.349232625</v>
      </c>
      <c r="I53" s="740">
        <f t="shared" si="12"/>
        <v>1.4909020506249999</v>
      </c>
      <c r="J53" s="740">
        <f t="shared" si="12"/>
        <v>1.6474467659406249</v>
      </c>
      <c r="K53" s="740">
        <f t="shared" si="12"/>
        <v>1.8204286763643904</v>
      </c>
      <c r="L53" s="740">
        <f t="shared" si="12"/>
        <v>2.0115736873826515</v>
      </c>
      <c r="M53" s="740">
        <f t="shared" si="12"/>
        <v>2.2227889245578298</v>
      </c>
      <c r="N53" s="740">
        <f t="shared" si="12"/>
        <v>2.4561817616364019</v>
      </c>
      <c r="O53" s="740">
        <f t="shared" si="12"/>
        <v>2.714080846608224</v>
      </c>
      <c r="P53" s="740">
        <f t="shared" si="12"/>
        <v>2.9990593355020874</v>
      </c>
      <c r="Q53" s="740">
        <f t="shared" si="12"/>
        <v>3.3139605657298064</v>
      </c>
      <c r="R53" s="740">
        <f t="shared" si="12"/>
        <v>3.6619264251314361</v>
      </c>
      <c r="S53" s="740">
        <f t="shared" si="12"/>
        <v>4.046428699770237</v>
      </c>
      <c r="T53" s="740">
        <f t="shared" si="12"/>
        <v>4.4713037132461118</v>
      </c>
      <c r="U53" s="740">
        <f t="shared" si="12"/>
        <v>4.9407906031369535</v>
      </c>
      <c r="V53" s="740">
        <f t="shared" si="12"/>
        <v>5.4595736164663338</v>
      </c>
      <c r="W53" s="740">
        <f t="shared" si="12"/>
        <v>6.032828846195299</v>
      </c>
      <c r="X53" s="740">
        <f t="shared" si="12"/>
        <v>6.6662758750458053</v>
      </c>
      <c r="Y53" s="740">
        <f t="shared" si="12"/>
        <v>7.366234841925615</v>
      </c>
    </row>
    <row r="54" spans="1:26" x14ac:dyDescent="0.2">
      <c r="B54" s="683"/>
      <c r="E54" s="728"/>
      <c r="F54" s="728"/>
      <c r="G54" s="728"/>
      <c r="H54" s="728"/>
      <c r="I54" s="728"/>
      <c r="J54" s="728"/>
      <c r="K54" s="728"/>
      <c r="L54" s="728"/>
      <c r="M54" s="728"/>
      <c r="N54" s="728"/>
      <c r="O54" s="728"/>
      <c r="P54" s="728"/>
      <c r="Q54" s="728"/>
      <c r="R54" s="728"/>
      <c r="S54" s="728"/>
      <c r="T54" s="728"/>
      <c r="U54" s="728"/>
      <c r="V54" s="728"/>
      <c r="W54" s="728"/>
      <c r="X54" s="728"/>
      <c r="Y54" s="728"/>
    </row>
    <row r="55" spans="1:26" x14ac:dyDescent="0.2">
      <c r="B55" s="683"/>
      <c r="D55" s="682" t="s">
        <v>270</v>
      </c>
      <c r="E55" s="741">
        <f t="shared" ref="E55:Y55" si="13">E30</f>
        <v>0</v>
      </c>
      <c r="F55" s="741">
        <f t="shared" si="13"/>
        <v>-3150.0000000000005</v>
      </c>
      <c r="G55" s="741">
        <f t="shared" si="13"/>
        <v>-4860.7499999999991</v>
      </c>
      <c r="H55" s="741">
        <f t="shared" si="13"/>
        <v>-670.5</v>
      </c>
      <c r="I55" s="741">
        <f t="shared" si="13"/>
        <v>255.00000000000003</v>
      </c>
      <c r="J55" s="741">
        <f t="shared" si="13"/>
        <v>255.00000000000003</v>
      </c>
      <c r="K55" s="741">
        <f t="shared" si="13"/>
        <v>255.00000000000003</v>
      </c>
      <c r="L55" s="741">
        <f t="shared" si="13"/>
        <v>255.00000000000003</v>
      </c>
      <c r="M55" s="741">
        <f t="shared" si="13"/>
        <v>255.00000000000003</v>
      </c>
      <c r="N55" s="741">
        <f t="shared" si="13"/>
        <v>255.00000000000003</v>
      </c>
      <c r="O55" s="741">
        <f t="shared" si="13"/>
        <v>255.00000000000003</v>
      </c>
      <c r="P55" s="741">
        <f t="shared" si="13"/>
        <v>255.00000000000003</v>
      </c>
      <c r="Q55" s="741">
        <f t="shared" si="13"/>
        <v>255.00000000000003</v>
      </c>
      <c r="R55" s="741">
        <f t="shared" si="13"/>
        <v>255.00000000000003</v>
      </c>
      <c r="S55" s="741">
        <f t="shared" si="13"/>
        <v>165.75</v>
      </c>
      <c r="T55" s="741">
        <f t="shared" si="13"/>
        <v>25.500000000000004</v>
      </c>
      <c r="U55" s="741">
        <f t="shared" si="13"/>
        <v>0</v>
      </c>
      <c r="V55" s="741">
        <f t="shared" si="13"/>
        <v>0</v>
      </c>
      <c r="W55" s="741">
        <f t="shared" si="13"/>
        <v>0</v>
      </c>
      <c r="X55" s="741">
        <f t="shared" si="13"/>
        <v>0</v>
      </c>
      <c r="Y55" s="741">
        <f t="shared" si="13"/>
        <v>0</v>
      </c>
      <c r="Z55" s="714">
        <f>+X35</f>
        <v>0</v>
      </c>
    </row>
    <row r="56" spans="1:26" x14ac:dyDescent="0.2">
      <c r="B56" s="683"/>
      <c r="D56" s="682"/>
      <c r="E56" s="741"/>
      <c r="F56" s="741"/>
      <c r="G56" s="741"/>
      <c r="H56" s="741"/>
      <c r="I56" s="741"/>
      <c r="J56" s="741"/>
      <c r="K56" s="741"/>
      <c r="L56" s="741"/>
      <c r="M56" s="741"/>
      <c r="N56" s="741"/>
      <c r="O56" s="741"/>
      <c r="P56" s="741"/>
      <c r="Q56" s="741"/>
      <c r="R56" s="741"/>
      <c r="S56" s="741"/>
      <c r="T56" s="741"/>
      <c r="U56" s="741"/>
      <c r="V56" s="741"/>
      <c r="W56" s="741"/>
      <c r="X56" s="741"/>
      <c r="Y56" s="741"/>
      <c r="Z56" s="714"/>
    </row>
    <row r="57" spans="1:26" x14ac:dyDescent="0.2">
      <c r="A57" s="681" t="s">
        <v>33</v>
      </c>
      <c r="B57" s="791"/>
      <c r="C57" s="682" t="s">
        <v>710</v>
      </c>
      <c r="D57" s="205" t="s">
        <v>711</v>
      </c>
      <c r="E57" s="741">
        <f>E26</f>
        <v>0</v>
      </c>
      <c r="F57" s="741">
        <f>SUM($E26:F26)</f>
        <v>3150.0000000000005</v>
      </c>
      <c r="G57" s="741">
        <f>SUM($E26:G26)</f>
        <v>8100</v>
      </c>
      <c r="H57" s="741">
        <f>SUM($E26:H26)</f>
        <v>9000</v>
      </c>
      <c r="I57" s="741">
        <f>SUM($E26:I26)</f>
        <v>9000</v>
      </c>
      <c r="J57" s="741">
        <f>SUM($E26:J26)</f>
        <v>9000</v>
      </c>
      <c r="K57" s="741">
        <f>SUM($E26:K26)</f>
        <v>9000</v>
      </c>
      <c r="L57" s="741">
        <f>SUM($E26:L26)</f>
        <v>9000</v>
      </c>
      <c r="M57" s="741">
        <f>SUM($E26:M26)</f>
        <v>9000</v>
      </c>
      <c r="N57" s="741">
        <f>SUM($E26:N26)</f>
        <v>9000</v>
      </c>
      <c r="O57" s="741">
        <f>SUM($E26:O26)</f>
        <v>9000</v>
      </c>
      <c r="P57" s="741">
        <f>SUM($E26:P26)</f>
        <v>9000</v>
      </c>
      <c r="Q57" s="741">
        <f>SUM($E26:Q26)</f>
        <v>9000</v>
      </c>
      <c r="R57" s="741">
        <f>SUM($E26:R26)</f>
        <v>9000</v>
      </c>
      <c r="S57" s="741">
        <f>SUM($E26:S26)</f>
        <v>9000</v>
      </c>
      <c r="T57" s="741">
        <f>SUM($E26:T26)</f>
        <v>9000</v>
      </c>
      <c r="U57" s="741">
        <f>SUM($E26:U26)</f>
        <v>9000</v>
      </c>
      <c r="V57" s="741">
        <f>SUM($E26:V26)</f>
        <v>9000</v>
      </c>
      <c r="W57" s="741">
        <f>SUM($E26:W26)</f>
        <v>9000</v>
      </c>
      <c r="X57" s="741">
        <f>SUM($E26:X26)</f>
        <v>9000</v>
      </c>
      <c r="Y57" s="741">
        <f>SUM($E26:Y26)</f>
        <v>9000</v>
      </c>
      <c r="Z57" s="714"/>
    </row>
    <row r="58" spans="1:26" x14ac:dyDescent="0.2">
      <c r="A58" s="681" t="s">
        <v>34</v>
      </c>
      <c r="B58" s="791"/>
      <c r="D58" s="205" t="s">
        <v>712</v>
      </c>
      <c r="E58" s="741">
        <f>Y57/2</f>
        <v>4500</v>
      </c>
      <c r="F58" s="741"/>
      <c r="G58" s="741"/>
      <c r="H58" s="741"/>
      <c r="I58" s="741"/>
      <c r="J58" s="741"/>
      <c r="K58" s="741"/>
      <c r="L58" s="741"/>
      <c r="M58" s="741"/>
      <c r="N58" s="741"/>
      <c r="O58" s="741"/>
      <c r="P58" s="741"/>
      <c r="Q58" s="741"/>
      <c r="R58" s="741"/>
      <c r="S58" s="741"/>
      <c r="T58" s="741"/>
      <c r="U58" s="741"/>
      <c r="V58" s="741"/>
      <c r="W58" s="741"/>
      <c r="X58" s="741"/>
      <c r="Y58" s="741"/>
      <c r="Z58" s="714"/>
    </row>
    <row r="59" spans="1:26" x14ac:dyDescent="0.2">
      <c r="A59" s="681" t="s">
        <v>35</v>
      </c>
      <c r="B59" s="791"/>
      <c r="D59" s="205"/>
      <c r="E59" s="741" t="b">
        <f t="shared" ref="E59:Y59" si="14">IF(E60&lt;=0,FALSE,TRUE)</f>
        <v>0</v>
      </c>
      <c r="F59" s="741" t="b">
        <f t="shared" si="14"/>
        <v>0</v>
      </c>
      <c r="G59" s="741" t="b">
        <f t="shared" si="14"/>
        <v>1</v>
      </c>
      <c r="H59" s="741" t="b">
        <f t="shared" si="14"/>
        <v>1</v>
      </c>
      <c r="I59" s="741" t="b">
        <f t="shared" si="14"/>
        <v>1</v>
      </c>
      <c r="J59" s="741" t="b">
        <f t="shared" si="14"/>
        <v>1</v>
      </c>
      <c r="K59" s="741" t="b">
        <f t="shared" si="14"/>
        <v>1</v>
      </c>
      <c r="L59" s="741" t="b">
        <f t="shared" si="14"/>
        <v>1</v>
      </c>
      <c r="M59" s="741" t="b">
        <f t="shared" si="14"/>
        <v>1</v>
      </c>
      <c r="N59" s="741" t="b">
        <f t="shared" si="14"/>
        <v>1</v>
      </c>
      <c r="O59" s="741" t="b">
        <f t="shared" si="14"/>
        <v>1</v>
      </c>
      <c r="P59" s="741" t="b">
        <f t="shared" si="14"/>
        <v>1</v>
      </c>
      <c r="Q59" s="741" t="b">
        <f t="shared" si="14"/>
        <v>1</v>
      </c>
      <c r="R59" s="741" t="b">
        <f t="shared" si="14"/>
        <v>1</v>
      </c>
      <c r="S59" s="741" t="b">
        <f t="shared" si="14"/>
        <v>1</v>
      </c>
      <c r="T59" s="741" t="b">
        <f t="shared" si="14"/>
        <v>1</v>
      </c>
      <c r="U59" s="741" t="b">
        <f t="shared" si="14"/>
        <v>1</v>
      </c>
      <c r="V59" s="741" t="b">
        <f t="shared" si="14"/>
        <v>1</v>
      </c>
      <c r="W59" s="741" t="b">
        <f t="shared" si="14"/>
        <v>1</v>
      </c>
      <c r="X59" s="741" t="b">
        <f t="shared" si="14"/>
        <v>1</v>
      </c>
      <c r="Y59" s="741" t="b">
        <f t="shared" si="14"/>
        <v>1</v>
      </c>
      <c r="Z59" s="714"/>
    </row>
    <row r="60" spans="1:26" x14ac:dyDescent="0.2">
      <c r="A60" s="681" t="s">
        <v>36</v>
      </c>
      <c r="B60" s="791"/>
      <c r="D60" s="683">
        <f>MATCH(TRUE,E59:X59,0)</f>
        <v>3</v>
      </c>
      <c r="E60" s="792">
        <f>IF(E57&lt;$E58, 0, IF(E57=E$58, 13, 12*((E57-$E58)/E57)))</f>
        <v>0</v>
      </c>
      <c r="F60" s="792">
        <f t="shared" ref="F60:Y60" si="15">IF(F57&lt;$E58, 0, IF(F57=$E58, 13, IF(E60&gt;0, 12, 12 * (($E$58 - E57) / (F57-E57)))))</f>
        <v>0</v>
      </c>
      <c r="G60" s="792">
        <f t="shared" si="15"/>
        <v>3.2727272727272716</v>
      </c>
      <c r="H60" s="792">
        <f t="shared" si="15"/>
        <v>12</v>
      </c>
      <c r="I60" s="792">
        <f t="shared" si="15"/>
        <v>12</v>
      </c>
      <c r="J60" s="792">
        <f t="shared" si="15"/>
        <v>12</v>
      </c>
      <c r="K60" s="792">
        <f t="shared" si="15"/>
        <v>12</v>
      </c>
      <c r="L60" s="792">
        <f t="shared" si="15"/>
        <v>12</v>
      </c>
      <c r="M60" s="792">
        <f t="shared" si="15"/>
        <v>12</v>
      </c>
      <c r="N60" s="792">
        <f t="shared" si="15"/>
        <v>12</v>
      </c>
      <c r="O60" s="792">
        <f t="shared" si="15"/>
        <v>12</v>
      </c>
      <c r="P60" s="792">
        <f t="shared" si="15"/>
        <v>12</v>
      </c>
      <c r="Q60" s="792">
        <f t="shared" si="15"/>
        <v>12</v>
      </c>
      <c r="R60" s="792">
        <f t="shared" si="15"/>
        <v>12</v>
      </c>
      <c r="S60" s="792">
        <f t="shared" si="15"/>
        <v>12</v>
      </c>
      <c r="T60" s="792">
        <f t="shared" si="15"/>
        <v>12</v>
      </c>
      <c r="U60" s="792">
        <f t="shared" si="15"/>
        <v>12</v>
      </c>
      <c r="V60" s="792">
        <f t="shared" si="15"/>
        <v>12</v>
      </c>
      <c r="W60" s="792">
        <f t="shared" si="15"/>
        <v>12</v>
      </c>
      <c r="X60" s="792">
        <f t="shared" si="15"/>
        <v>12</v>
      </c>
      <c r="Y60" s="792">
        <f t="shared" si="15"/>
        <v>12</v>
      </c>
      <c r="Z60" s="714"/>
    </row>
    <row r="61" spans="1:26" x14ac:dyDescent="0.2">
      <c r="B61" s="791"/>
      <c r="D61" s="682" t="s">
        <v>713</v>
      </c>
      <c r="E61" s="792">
        <f t="shared" ref="E61:Y61" si="16">IF(E60&lt;&gt;12, 0, IF(F33&lt;0,1,0))</f>
        <v>0</v>
      </c>
      <c r="F61" s="792">
        <f t="shared" si="16"/>
        <v>0</v>
      </c>
      <c r="G61" s="792">
        <f t="shared" si="16"/>
        <v>0</v>
      </c>
      <c r="H61" s="792">
        <f t="shared" si="16"/>
        <v>1</v>
      </c>
      <c r="I61" s="792">
        <f t="shared" si="16"/>
        <v>1</v>
      </c>
      <c r="J61" s="792">
        <f t="shared" si="16"/>
        <v>1</v>
      </c>
      <c r="K61" s="792">
        <f t="shared" si="16"/>
        <v>1</v>
      </c>
      <c r="L61" s="792">
        <f t="shared" si="16"/>
        <v>1</v>
      </c>
      <c r="M61" s="792">
        <f t="shared" si="16"/>
        <v>1</v>
      </c>
      <c r="N61" s="792">
        <f t="shared" si="16"/>
        <v>1</v>
      </c>
      <c r="O61" s="792">
        <f t="shared" si="16"/>
        <v>1</v>
      </c>
      <c r="P61" s="792">
        <f t="shared" si="16"/>
        <v>1</v>
      </c>
      <c r="Q61" s="792">
        <f t="shared" si="16"/>
        <v>1</v>
      </c>
      <c r="R61" s="792">
        <f t="shared" si="16"/>
        <v>1</v>
      </c>
      <c r="S61" s="792">
        <f t="shared" si="16"/>
        <v>1</v>
      </c>
      <c r="T61" s="792">
        <f t="shared" si="16"/>
        <v>1</v>
      </c>
      <c r="U61" s="792">
        <f t="shared" si="16"/>
        <v>1</v>
      </c>
      <c r="V61" s="792">
        <f t="shared" si="16"/>
        <v>1</v>
      </c>
      <c r="W61" s="792">
        <f t="shared" si="16"/>
        <v>1</v>
      </c>
      <c r="X61" s="792">
        <f t="shared" si="16"/>
        <v>1</v>
      </c>
      <c r="Y61" s="792">
        <f t="shared" si="16"/>
        <v>0</v>
      </c>
      <c r="Z61" s="714"/>
    </row>
    <row r="62" spans="1:26" x14ac:dyDescent="0.2">
      <c r="B62" s="791"/>
      <c r="D62" s="682" t="s">
        <v>714</v>
      </c>
      <c r="E62" s="792">
        <f t="shared" ref="E62:Y62" si="17">IF(E33*F33&lt;0,-E60*E33/(F33-E33)+SUM($E$63:$X$63),0)</f>
        <v>0</v>
      </c>
      <c r="F62" s="792">
        <f t="shared" si="17"/>
        <v>0</v>
      </c>
      <c r="G62" s="792">
        <f t="shared" si="17"/>
        <v>0</v>
      </c>
      <c r="H62" s="792">
        <f t="shared" si="17"/>
        <v>0</v>
      </c>
      <c r="I62" s="792">
        <f t="shared" si="17"/>
        <v>0</v>
      </c>
      <c r="J62" s="792">
        <f t="shared" si="17"/>
        <v>0</v>
      </c>
      <c r="K62" s="792">
        <f t="shared" si="17"/>
        <v>0</v>
      </c>
      <c r="L62" s="792">
        <f t="shared" si="17"/>
        <v>0</v>
      </c>
      <c r="M62" s="792">
        <f t="shared" si="17"/>
        <v>0</v>
      </c>
      <c r="N62" s="792">
        <f t="shared" si="17"/>
        <v>0</v>
      </c>
      <c r="O62" s="792">
        <f t="shared" si="17"/>
        <v>0</v>
      </c>
      <c r="P62" s="792">
        <f t="shared" si="17"/>
        <v>0</v>
      </c>
      <c r="Q62" s="792">
        <f t="shared" si="17"/>
        <v>0</v>
      </c>
      <c r="R62" s="792">
        <f t="shared" si="17"/>
        <v>0</v>
      </c>
      <c r="S62" s="792">
        <f t="shared" si="17"/>
        <v>0</v>
      </c>
      <c r="T62" s="792">
        <f t="shared" si="17"/>
        <v>0</v>
      </c>
      <c r="U62" s="792">
        <f t="shared" si="17"/>
        <v>0</v>
      </c>
      <c r="V62" s="792">
        <f t="shared" si="17"/>
        <v>0</v>
      </c>
      <c r="W62" s="792">
        <f t="shared" si="17"/>
        <v>0</v>
      </c>
      <c r="X62" s="792">
        <f t="shared" si="17"/>
        <v>0</v>
      </c>
      <c r="Y62" s="792">
        <f t="shared" si="17"/>
        <v>0</v>
      </c>
      <c r="Z62" s="714"/>
    </row>
    <row r="63" spans="1:26" x14ac:dyDescent="0.2">
      <c r="B63" s="683"/>
      <c r="E63" s="793">
        <f t="shared" ref="E63:X63" si="18">IF(E59=FALSE,0,F60-E60)</f>
        <v>0</v>
      </c>
      <c r="F63" s="793">
        <f t="shared" si="18"/>
        <v>0</v>
      </c>
      <c r="G63" s="793">
        <f t="shared" si="18"/>
        <v>8.7272727272727284</v>
      </c>
      <c r="H63" s="793">
        <f t="shared" si="18"/>
        <v>0</v>
      </c>
      <c r="I63" s="793">
        <f t="shared" si="18"/>
        <v>0</v>
      </c>
      <c r="J63" s="793">
        <f t="shared" si="18"/>
        <v>0</v>
      </c>
      <c r="K63" s="793">
        <f t="shared" si="18"/>
        <v>0</v>
      </c>
      <c r="L63" s="793">
        <f t="shared" si="18"/>
        <v>0</v>
      </c>
      <c r="M63" s="793">
        <f t="shared" si="18"/>
        <v>0</v>
      </c>
      <c r="N63" s="793">
        <f t="shared" si="18"/>
        <v>0</v>
      </c>
      <c r="O63" s="793">
        <f t="shared" si="18"/>
        <v>0</v>
      </c>
      <c r="P63" s="793">
        <f t="shared" si="18"/>
        <v>0</v>
      </c>
      <c r="Q63" s="793">
        <f t="shared" si="18"/>
        <v>0</v>
      </c>
      <c r="R63" s="793">
        <f t="shared" si="18"/>
        <v>0</v>
      </c>
      <c r="S63" s="793">
        <f t="shared" si="18"/>
        <v>0</v>
      </c>
      <c r="T63" s="793">
        <f t="shared" si="18"/>
        <v>0</v>
      </c>
      <c r="U63" s="793">
        <f t="shared" si="18"/>
        <v>0</v>
      </c>
      <c r="V63" s="793">
        <f t="shared" si="18"/>
        <v>0</v>
      </c>
      <c r="W63" s="793">
        <f t="shared" si="18"/>
        <v>0</v>
      </c>
      <c r="X63" s="793">
        <f t="shared" si="18"/>
        <v>0</v>
      </c>
    </row>
    <row r="64" spans="1:26" x14ac:dyDescent="0.2">
      <c r="B64" s="683"/>
      <c r="C64" s="682" t="s">
        <v>710</v>
      </c>
      <c r="D64" s="681" t="s">
        <v>713</v>
      </c>
      <c r="E64" s="681">
        <f t="shared" ref="E64:Y64" si="19">IF(F33&lt;0,1,0)</f>
        <v>1</v>
      </c>
      <c r="F64" s="681">
        <f t="shared" si="19"/>
        <v>1</v>
      </c>
      <c r="G64" s="681">
        <f t="shared" si="19"/>
        <v>1</v>
      </c>
      <c r="H64" s="681">
        <f t="shared" si="19"/>
        <v>1</v>
      </c>
      <c r="I64" s="681">
        <f t="shared" si="19"/>
        <v>1</v>
      </c>
      <c r="J64" s="681">
        <f t="shared" si="19"/>
        <v>1</v>
      </c>
      <c r="K64" s="681">
        <f t="shared" si="19"/>
        <v>1</v>
      </c>
      <c r="L64" s="681">
        <f t="shared" si="19"/>
        <v>1</v>
      </c>
      <c r="M64" s="681">
        <f t="shared" si="19"/>
        <v>1</v>
      </c>
      <c r="N64" s="681">
        <f t="shared" si="19"/>
        <v>1</v>
      </c>
      <c r="O64" s="681">
        <f t="shared" si="19"/>
        <v>1</v>
      </c>
      <c r="P64" s="681">
        <f t="shared" si="19"/>
        <v>1</v>
      </c>
      <c r="Q64" s="681">
        <f t="shared" si="19"/>
        <v>1</v>
      </c>
      <c r="R64" s="681">
        <f t="shared" si="19"/>
        <v>1</v>
      </c>
      <c r="S64" s="681">
        <f t="shared" si="19"/>
        <v>1</v>
      </c>
      <c r="T64" s="681">
        <f t="shared" si="19"/>
        <v>1</v>
      </c>
      <c r="U64" s="681">
        <f t="shared" si="19"/>
        <v>1</v>
      </c>
      <c r="V64" s="681">
        <f t="shared" si="19"/>
        <v>1</v>
      </c>
      <c r="W64" s="681">
        <f t="shared" si="19"/>
        <v>1</v>
      </c>
      <c r="X64" s="681">
        <f t="shared" si="19"/>
        <v>1</v>
      </c>
      <c r="Y64" s="681">
        <f t="shared" si="19"/>
        <v>0</v>
      </c>
    </row>
    <row r="65" spans="2:25" x14ac:dyDescent="0.2">
      <c r="B65" s="683"/>
      <c r="D65" s="681" t="s">
        <v>37</v>
      </c>
      <c r="E65" s="741"/>
      <c r="F65" s="741">
        <f t="shared" ref="F65:Y65" si="20">IF(F33*G33&lt;0,-12*F33/(G33-F33),0)</f>
        <v>0</v>
      </c>
      <c r="G65" s="741">
        <f t="shared" si="20"/>
        <v>0</v>
      </c>
      <c r="H65" s="741">
        <f t="shared" si="20"/>
        <v>0</v>
      </c>
      <c r="I65" s="741">
        <f t="shared" si="20"/>
        <v>0</v>
      </c>
      <c r="J65" s="741">
        <f t="shared" si="20"/>
        <v>0</v>
      </c>
      <c r="K65" s="741">
        <f t="shared" si="20"/>
        <v>0</v>
      </c>
      <c r="L65" s="741">
        <f t="shared" si="20"/>
        <v>0</v>
      </c>
      <c r="M65" s="741">
        <f t="shared" si="20"/>
        <v>0</v>
      </c>
      <c r="N65" s="741">
        <f t="shared" si="20"/>
        <v>0</v>
      </c>
      <c r="O65" s="741">
        <f t="shared" si="20"/>
        <v>0</v>
      </c>
      <c r="P65" s="741">
        <f t="shared" si="20"/>
        <v>0</v>
      </c>
      <c r="Q65" s="741">
        <f t="shared" si="20"/>
        <v>0</v>
      </c>
      <c r="R65" s="741">
        <f t="shared" si="20"/>
        <v>0</v>
      </c>
      <c r="S65" s="741">
        <f t="shared" si="20"/>
        <v>0</v>
      </c>
      <c r="T65" s="741">
        <f t="shared" si="20"/>
        <v>0</v>
      </c>
      <c r="U65" s="741">
        <f t="shared" si="20"/>
        <v>0</v>
      </c>
      <c r="V65" s="741">
        <f t="shared" si="20"/>
        <v>0</v>
      </c>
      <c r="W65" s="741">
        <f t="shared" si="20"/>
        <v>0</v>
      </c>
      <c r="X65" s="741">
        <f t="shared" si="20"/>
        <v>0</v>
      </c>
      <c r="Y65" s="741">
        <f t="shared" si="20"/>
        <v>0</v>
      </c>
    </row>
    <row r="66" spans="2:25" x14ac:dyDescent="0.2">
      <c r="B66" s="683"/>
      <c r="T66" s="681"/>
      <c r="Y66" s="793"/>
    </row>
    <row r="67" spans="2:25" ht="15" x14ac:dyDescent="0.2">
      <c r="B67" s="683"/>
      <c r="C67" s="732" t="s">
        <v>271</v>
      </c>
      <c r="T67" s="681"/>
    </row>
    <row r="68" spans="2:25" x14ac:dyDescent="0.2">
      <c r="B68" s="683"/>
      <c r="C68" s="682" t="s">
        <v>716</v>
      </c>
      <c r="D68" s="688"/>
      <c r="E68" s="737"/>
      <c r="F68" s="794">
        <f>IF($Y$40&gt;0,$E$26/$Y$40,0)</f>
        <v>0</v>
      </c>
      <c r="G68" s="737">
        <f>IF($Y$40&gt;1,$E$26/$Y$40,0)</f>
        <v>0</v>
      </c>
      <c r="H68" s="737">
        <f>IF($Y$40&gt;2,$E$26/$Y$40,0)</f>
        <v>0</v>
      </c>
      <c r="I68" s="737">
        <f>IF($Y$40&gt;3,$E$26/$Y$40,0)</f>
        <v>0</v>
      </c>
      <c r="J68" s="737">
        <f>IF($Y$40&gt;4,$E$26/$Y$40,0)</f>
        <v>0</v>
      </c>
      <c r="K68" s="737">
        <f>IF($Y$40&gt;5,$E$26/$Y$40,0)</f>
        <v>0</v>
      </c>
      <c r="L68" s="737">
        <f>IF($Y$40&gt;6,$E$26/$Y$40,0)</f>
        <v>0</v>
      </c>
      <c r="M68" s="737">
        <f>IF($Y$40&gt;7,$E$26/$Y$40,0)</f>
        <v>0</v>
      </c>
      <c r="N68" s="737">
        <f>IF($Y$40&gt;8,$E$26/$Y$40,0)</f>
        <v>0</v>
      </c>
      <c r="O68" s="737">
        <f>IF($Y$40&gt;9,$E$26/$Y$40,0)</f>
        <v>0</v>
      </c>
      <c r="P68" s="737">
        <f>IF($Y$40&gt;10,$E$26/$Y$40,0)</f>
        <v>0</v>
      </c>
      <c r="Q68" s="737">
        <f>IF($Y$40&gt;11,$E$26/$Y$40,0)</f>
        <v>0</v>
      </c>
      <c r="R68" s="737">
        <f>IF($Y$40&gt;12,$E$26/$Y$40,0)</f>
        <v>0</v>
      </c>
      <c r="S68" s="737">
        <f>IF($Y$40&gt;13,$E$26/$Y$40,0)</f>
        <v>0</v>
      </c>
      <c r="T68" s="737">
        <f>IF($Y$40&gt;14,$E$26/$Y$40,0)</f>
        <v>0</v>
      </c>
      <c r="U68" s="737">
        <f>IF($Y$40&gt;15,$E$26/$Y$40,0)</f>
        <v>0</v>
      </c>
      <c r="V68" s="737">
        <f>IF($Y$40&gt;16,$E$26/$Y$40,0)</f>
        <v>0</v>
      </c>
      <c r="W68" s="737">
        <f>IF($Y$40&gt;17,$E$26/$Y$40,0)</f>
        <v>0</v>
      </c>
      <c r="X68" s="737">
        <f>IF($Y$40&gt;18,$E$26/$Y$40,0)</f>
        <v>0</v>
      </c>
      <c r="Y68" s="737">
        <f>IF($Y$40&gt;19,$E$26/$Y$40,0)</f>
        <v>0</v>
      </c>
    </row>
    <row r="69" spans="2:25" x14ac:dyDescent="0.2">
      <c r="B69" s="683"/>
      <c r="D69" s="689">
        <f t="shared" ref="D69:D88" si="21">D68+1</f>
        <v>1</v>
      </c>
      <c r="E69" s="737"/>
      <c r="F69" s="737"/>
      <c r="G69" s="795">
        <f>IF($Y$40&gt;0,$F$26/$Y$40,0)</f>
        <v>262.50000000000006</v>
      </c>
      <c r="H69" s="737">
        <f>IF($Y$40&gt;1,$F$26/$Y$40,0)</f>
        <v>262.50000000000006</v>
      </c>
      <c r="I69" s="737">
        <f>IF($Y$40&gt;2,$F$26/$Y$40,0)</f>
        <v>262.50000000000006</v>
      </c>
      <c r="J69" s="737">
        <f>IF($Y$40&gt;3,$F$26/$Y$40,0)</f>
        <v>262.50000000000006</v>
      </c>
      <c r="K69" s="737">
        <f>IF($Y$40&gt;4,$F$26/$Y$40,0)</f>
        <v>262.50000000000006</v>
      </c>
      <c r="L69" s="737">
        <f>IF($Y$40&gt;5,$F$26/$Y$40,0)</f>
        <v>262.50000000000006</v>
      </c>
      <c r="M69" s="737">
        <f>IF($Y$40&gt;6,$F$26/$Y$40,0)</f>
        <v>262.50000000000006</v>
      </c>
      <c r="N69" s="737">
        <f>IF($Y$40&gt;7,$F$26/$Y$40,0)</f>
        <v>262.50000000000006</v>
      </c>
      <c r="O69" s="737">
        <f>IF($Y$40&gt;8,$F$26/$Y$40,0)</f>
        <v>262.50000000000006</v>
      </c>
      <c r="P69" s="737">
        <f>IF($Y$40&gt;9,$F$26/$Y$40,0)</f>
        <v>262.50000000000006</v>
      </c>
      <c r="Q69" s="737">
        <f>IF($Y$40&gt;10,$F$26/$Y$40,0)</f>
        <v>262.50000000000006</v>
      </c>
      <c r="R69" s="737">
        <f>IF($Y$40&gt;11,$F$26/$Y$40,0)</f>
        <v>262.50000000000006</v>
      </c>
      <c r="S69" s="737">
        <f>IF($Y$40&gt;12,$F$26/$Y$40,0)</f>
        <v>0</v>
      </c>
      <c r="T69" s="737">
        <f>IF($Y$40&gt;13,$F$26/$Y$40,0)</f>
        <v>0</v>
      </c>
      <c r="U69" s="737">
        <f>IF($Y$40&gt;14,$F$26/$Y$40,0)</f>
        <v>0</v>
      </c>
      <c r="V69" s="737">
        <f>IF($Y$40&gt;15,$F$26/$Y$40,0)</f>
        <v>0</v>
      </c>
      <c r="W69" s="737">
        <f>IF($Y$40&gt;16,$F$26/$Y$40,0)</f>
        <v>0</v>
      </c>
      <c r="X69" s="737">
        <f>IF($Y$40&gt;17,$F$26/$Y$40,0)</f>
        <v>0</v>
      </c>
      <c r="Y69" s="737">
        <f>IF($Y$40&gt;18,$F$26/$Y$40,0)</f>
        <v>0</v>
      </c>
    </row>
    <row r="70" spans="2:25" x14ac:dyDescent="0.2">
      <c r="B70" s="683"/>
      <c r="D70" s="689">
        <f t="shared" si="21"/>
        <v>2</v>
      </c>
      <c r="E70" s="737"/>
      <c r="F70" s="737"/>
      <c r="G70" s="737"/>
      <c r="H70" s="737">
        <f>IF($Y$40&gt;0,$G$26/$Y$40,0)</f>
        <v>412.49999999999994</v>
      </c>
      <c r="I70" s="737">
        <f>IF($Y$40&gt;1,$G$26/$Y$40,0)</f>
        <v>412.49999999999994</v>
      </c>
      <c r="J70" s="737">
        <f>IF($Y$40&gt;2,$G$26/$Y$40,0)</f>
        <v>412.49999999999994</v>
      </c>
      <c r="K70" s="737">
        <f>IF($Y$40&gt;3,$G$26/$Y$40,0)</f>
        <v>412.49999999999994</v>
      </c>
      <c r="L70" s="737">
        <f>IF($Y$40&gt;4,$G$26/$Y$40,0)</f>
        <v>412.49999999999994</v>
      </c>
      <c r="M70" s="737">
        <f>IF($Y$40&gt;5,$G$26/$Y$40,0)</f>
        <v>412.49999999999994</v>
      </c>
      <c r="N70" s="737">
        <f>IF($Y$40&gt;6,$G$26/$Y$40,0)</f>
        <v>412.49999999999994</v>
      </c>
      <c r="O70" s="737">
        <f>IF($Y$40&gt;7,$G$26/$Y$40,0)</f>
        <v>412.49999999999994</v>
      </c>
      <c r="P70" s="737">
        <f>IF($Y$40&gt;8,$G$26/$Y$40,0)</f>
        <v>412.49999999999994</v>
      </c>
      <c r="Q70" s="737">
        <f>IF($Y$40&gt;9,$G$26/$Y$40,0)</f>
        <v>412.49999999999994</v>
      </c>
      <c r="R70" s="737">
        <f>IF($Y$40&gt;10,$G$26/$Y$40,0)</f>
        <v>412.49999999999994</v>
      </c>
      <c r="S70" s="737">
        <f>IF($Y$40&gt;11,$G$26/$Y$40,0)</f>
        <v>412.49999999999994</v>
      </c>
      <c r="T70" s="737">
        <f>IF($Y$40&gt;12,$G$26/$Y$40,0)</f>
        <v>0</v>
      </c>
      <c r="U70" s="737">
        <f>IF($Y$40&gt;13,$G$26/$Y$40,0)</f>
        <v>0</v>
      </c>
      <c r="V70" s="737">
        <f>IF($Y$40&gt;14,$G$26/$Y$40,0)</f>
        <v>0</v>
      </c>
      <c r="W70" s="737">
        <f>IF($Y$40&gt;15,$G$26/$Y$40,0)</f>
        <v>0</v>
      </c>
      <c r="X70" s="737">
        <f>IF($Y$40&gt;16,$G$26/$Y$40,0)</f>
        <v>0</v>
      </c>
      <c r="Y70" s="737">
        <f>IF($Y$40&gt;17,$G$26/$Y$40,0)</f>
        <v>0</v>
      </c>
    </row>
    <row r="71" spans="2:25" x14ac:dyDescent="0.2">
      <c r="B71" s="683"/>
      <c r="D71" s="689">
        <f t="shared" si="21"/>
        <v>3</v>
      </c>
      <c r="E71" s="737"/>
      <c r="F71" s="737"/>
      <c r="G71" s="737"/>
      <c r="H71" s="737"/>
      <c r="I71" s="737">
        <f>IF($Y$40&gt;0,$H$26/$Y$40,0)</f>
        <v>75</v>
      </c>
      <c r="J71" s="737">
        <f>IF($Y$40&gt;1,$H$26/$Y$40,0)</f>
        <v>75</v>
      </c>
      <c r="K71" s="737">
        <f>IF($Y$40&gt;2,$H$26/$Y$40,0)</f>
        <v>75</v>
      </c>
      <c r="L71" s="737">
        <f>IF($Y$40&gt;3,$H$26/$Y$40,0)</f>
        <v>75</v>
      </c>
      <c r="M71" s="737">
        <f>IF($Y$40&gt;4,$H$26/$Y$40,0)</f>
        <v>75</v>
      </c>
      <c r="N71" s="737">
        <f>IF($Y$40&gt;5,$H$26/$Y$40,0)</f>
        <v>75</v>
      </c>
      <c r="O71" s="737">
        <f>IF($Y$40&gt;6,$H$26/$Y$40,0)</f>
        <v>75</v>
      </c>
      <c r="P71" s="737">
        <f>IF($Y$40&gt;7,$H$26/$Y$40,0)</f>
        <v>75</v>
      </c>
      <c r="Q71" s="737">
        <f>IF($Y$40&gt;8,$H$26/$Y$40,0)</f>
        <v>75</v>
      </c>
      <c r="R71" s="737">
        <f>IF($Y$40&gt;9,$H$26/$Y$40,0)</f>
        <v>75</v>
      </c>
      <c r="S71" s="737">
        <f>IF($Y$40&gt;10,$H$26/$Y$40,0)</f>
        <v>75</v>
      </c>
      <c r="T71" s="737">
        <f>IF($Y$40&gt;11,$H$26/$Y$40,0)</f>
        <v>75</v>
      </c>
      <c r="U71" s="737">
        <f>IF($Y$40&gt;12,$H$26/$Y$40,0)</f>
        <v>0</v>
      </c>
      <c r="V71" s="737">
        <f>IF($Y$40&gt;13,$H$26/$Y$40,0)</f>
        <v>0</v>
      </c>
      <c r="W71" s="737">
        <f>IF($Y$40&gt;14,$H$26/$Y$40,0)</f>
        <v>0</v>
      </c>
      <c r="X71" s="737">
        <f>IF($Y$40&gt;15,$H$26/$Y$40,0)</f>
        <v>0</v>
      </c>
      <c r="Y71" s="737">
        <f>IF($Y$40&gt;16,$H$26/$Y$40,0)</f>
        <v>0</v>
      </c>
    </row>
    <row r="72" spans="2:25" x14ac:dyDescent="0.2">
      <c r="B72" s="683"/>
      <c r="D72" s="689">
        <f t="shared" si="21"/>
        <v>4</v>
      </c>
      <c r="E72" s="737"/>
      <c r="F72" s="737"/>
      <c r="G72" s="737"/>
      <c r="H72" s="737"/>
      <c r="I72" s="737"/>
      <c r="J72" s="737">
        <f>IF($Y$40&gt;0,$I$26/$Y$40,0)</f>
        <v>0</v>
      </c>
      <c r="K72" s="737">
        <f>IF($Y$40&gt;1,$I$26/$Y$40,0)</f>
        <v>0</v>
      </c>
      <c r="L72" s="737">
        <f>IF($Y$40&gt;2,$I$26/$Y$40,0)</f>
        <v>0</v>
      </c>
      <c r="M72" s="737">
        <f>IF($Y$40&gt;3,$I$26/$Y$40,0)</f>
        <v>0</v>
      </c>
      <c r="N72" s="737">
        <f>IF($Y$40&gt;4,$I$26/$Y$40,0)</f>
        <v>0</v>
      </c>
      <c r="O72" s="737">
        <f>IF($Y$40&gt;5,$I$26/$Y$40,0)</f>
        <v>0</v>
      </c>
      <c r="P72" s="737">
        <f>IF($Y$40&gt;6,$I$26/$Y$40,0)</f>
        <v>0</v>
      </c>
      <c r="Q72" s="737">
        <f>IF($Y$40&gt;7,$I$26/$Y$40,0)</f>
        <v>0</v>
      </c>
      <c r="R72" s="737">
        <f>IF($Y$40&gt;8,$I$26/$Y$40,0)</f>
        <v>0</v>
      </c>
      <c r="S72" s="737">
        <f>IF($Y$40&gt;9,$I$26/$Y$40,0)</f>
        <v>0</v>
      </c>
      <c r="T72" s="737">
        <f>IF($Y$40&gt;10,$I$26/$Y$40,0)</f>
        <v>0</v>
      </c>
      <c r="U72" s="737">
        <f>IF($Y$40&gt;11,$I$26/$Y$40,0)</f>
        <v>0</v>
      </c>
      <c r="V72" s="737">
        <f>IF($Y$40&gt;12,$I$26/$Y$40,0)</f>
        <v>0</v>
      </c>
      <c r="W72" s="737">
        <f>IF($Y$40&gt;13,$I$26/$Y$40,0)</f>
        <v>0</v>
      </c>
      <c r="X72" s="737">
        <f>IF($Y$40&gt;14,$I$26/$Y$40,0)</f>
        <v>0</v>
      </c>
      <c r="Y72" s="737">
        <f>IF($Y$40&gt;15,$I$26/$Y$40,0)</f>
        <v>0</v>
      </c>
    </row>
    <row r="73" spans="2:25" x14ac:dyDescent="0.2">
      <c r="B73" s="683"/>
      <c r="D73" s="689">
        <f t="shared" si="21"/>
        <v>5</v>
      </c>
      <c r="E73" s="737"/>
      <c r="F73" s="737"/>
      <c r="G73" s="737"/>
      <c r="H73" s="737"/>
      <c r="I73" s="737"/>
      <c r="J73" s="737"/>
      <c r="K73" s="737">
        <f>IF($Y$40&gt;0,$J$26/$Y$40,0)</f>
        <v>0</v>
      </c>
      <c r="L73" s="737">
        <f>IF($Y$40&gt;1,$J$26/$Y$40,0)</f>
        <v>0</v>
      </c>
      <c r="M73" s="737">
        <f>IF($Y$40&gt;2,$J$26/$Y$40,0)</f>
        <v>0</v>
      </c>
      <c r="N73" s="737">
        <f>IF($Y$40&gt;3,$J$26/$Y$40,0)</f>
        <v>0</v>
      </c>
      <c r="O73" s="737">
        <f>IF($Y$40&gt;4,$J$26/$Y$40,0)</f>
        <v>0</v>
      </c>
      <c r="P73" s="737">
        <f>IF($Y$40&gt;5,$J$26/$Y$40,0)</f>
        <v>0</v>
      </c>
      <c r="Q73" s="737">
        <f>IF($Y$40&gt;6,$J$26/$Y$40,0)</f>
        <v>0</v>
      </c>
      <c r="R73" s="737">
        <f>IF($Y$40&gt;7,$J$26/$Y$40,0)</f>
        <v>0</v>
      </c>
      <c r="S73" s="737">
        <f>IF($Y$40&gt;8,$J$26/$Y$40,0)</f>
        <v>0</v>
      </c>
      <c r="T73" s="737">
        <f>IF($Y$40&gt;9,$J$26/$Y$40,0)</f>
        <v>0</v>
      </c>
      <c r="U73" s="737">
        <f>IF($Y$40&gt;10,$J$26/$Y$40,0)</f>
        <v>0</v>
      </c>
      <c r="V73" s="737">
        <f>IF($Y$40&gt;11,$J$26/$Y$40,0)</f>
        <v>0</v>
      </c>
      <c r="W73" s="737">
        <f>IF($Y$40&gt;12,$J$26/$Y$40,0)</f>
        <v>0</v>
      </c>
      <c r="X73" s="737">
        <f>IF($Y$40&gt;13,$J$26/$Y$40,0)</f>
        <v>0</v>
      </c>
      <c r="Y73" s="737">
        <f>IF($Y$40&gt;14,$J$26/$Y$40,0)</f>
        <v>0</v>
      </c>
    </row>
    <row r="74" spans="2:25" x14ac:dyDescent="0.2">
      <c r="B74" s="683"/>
      <c r="D74" s="689">
        <f t="shared" si="21"/>
        <v>6</v>
      </c>
      <c r="E74" s="737"/>
      <c r="F74" s="737"/>
      <c r="G74" s="737"/>
      <c r="H74" s="737"/>
      <c r="I74" s="737"/>
      <c r="J74" s="737"/>
      <c r="K74" s="737"/>
      <c r="L74" s="737">
        <f>IF($Y$40&gt;0,$K$26/$Y$40,0)</f>
        <v>0</v>
      </c>
      <c r="M74" s="737">
        <f>IF($Y$40&gt;1,$K$26/$Y$40,0)</f>
        <v>0</v>
      </c>
      <c r="N74" s="737">
        <f>IF($Y$40&gt;2,$K$26/$Y$40,0)</f>
        <v>0</v>
      </c>
      <c r="O74" s="737">
        <f>IF($Y$40&gt;3,$K$26/$Y$40,0)</f>
        <v>0</v>
      </c>
      <c r="P74" s="737">
        <f>IF($Y$40&gt;4,$K$26/$Y$40,0)</f>
        <v>0</v>
      </c>
      <c r="Q74" s="737">
        <f>IF($Y$40&gt;5,$K$26/$Y$40,0)</f>
        <v>0</v>
      </c>
      <c r="R74" s="737">
        <f>IF($Y$40&gt;6,$K$26/$Y$40,0)</f>
        <v>0</v>
      </c>
      <c r="S74" s="737">
        <f>IF($Y$40&gt;7,$K$26/$Y$40,0)</f>
        <v>0</v>
      </c>
      <c r="T74" s="737">
        <f>IF($Y$40&gt;8,$K$26/$Y$40,0)</f>
        <v>0</v>
      </c>
      <c r="U74" s="737">
        <f>IF($Y$40&gt;9,$K$26/$Y$40,0)</f>
        <v>0</v>
      </c>
      <c r="V74" s="737">
        <f>IF($Y$40&gt;10,$K$26/$Y$40,0)</f>
        <v>0</v>
      </c>
      <c r="W74" s="737">
        <f>IF($Y$40&gt;11,$K$26/$Y$40,0)</f>
        <v>0</v>
      </c>
      <c r="X74" s="737">
        <f>IF($Y$40&gt;12,$K$26/$Y$40,0)</f>
        <v>0</v>
      </c>
      <c r="Y74" s="737">
        <f>IF($Y$40&gt;13,$K$26/$Y$40,0)</f>
        <v>0</v>
      </c>
    </row>
    <row r="75" spans="2:25" x14ac:dyDescent="0.2">
      <c r="B75" s="683"/>
      <c r="D75" s="689">
        <f t="shared" si="21"/>
        <v>7</v>
      </c>
      <c r="E75" s="737"/>
      <c r="F75" s="737"/>
      <c r="G75" s="737"/>
      <c r="H75" s="737"/>
      <c r="I75" s="737"/>
      <c r="J75" s="737"/>
      <c r="K75" s="737"/>
      <c r="L75" s="737"/>
      <c r="M75" s="737">
        <f>IF($Y$40&gt;0,$L$26/$Y$40,0)</f>
        <v>0</v>
      </c>
      <c r="N75" s="737">
        <f>IF($Y$40&gt;1,$L$26/$Y$40,0)</f>
        <v>0</v>
      </c>
      <c r="O75" s="737">
        <f>IF($Y$40&gt;2,$L$26/$Y$40,0)</f>
        <v>0</v>
      </c>
      <c r="P75" s="737">
        <f>IF($Y$40&gt;3,$L$26/$Y$40,0)</f>
        <v>0</v>
      </c>
      <c r="Q75" s="737">
        <f>IF($Y$40&gt;4,$L$26/$Y$40,0)</f>
        <v>0</v>
      </c>
      <c r="R75" s="737">
        <f>IF($Y$40&gt;5,$L$26/$Y$40,0)</f>
        <v>0</v>
      </c>
      <c r="S75" s="737">
        <f>IF($Y$40&gt;6,$L$26/$Y$40,0)</f>
        <v>0</v>
      </c>
      <c r="T75" s="737">
        <f>IF($Y$40&gt;7,$L$26/$Y$40,0)</f>
        <v>0</v>
      </c>
      <c r="U75" s="737">
        <f>IF($Y$40&gt;8,$L$26/$Y$40,0)</f>
        <v>0</v>
      </c>
      <c r="V75" s="737">
        <f>IF($Y$40&gt;9,$L$26/$Y$40,0)</f>
        <v>0</v>
      </c>
      <c r="W75" s="737">
        <f>IF($Y$40&gt;10,$L$26/$Y$40,0)</f>
        <v>0</v>
      </c>
      <c r="X75" s="737">
        <f>IF($Y$40&gt;11,$L$26/$Y$40,0)</f>
        <v>0</v>
      </c>
      <c r="Y75" s="737">
        <f>IF($Y$40&gt;12,$L$26/$Y$40,0)</f>
        <v>0</v>
      </c>
    </row>
    <row r="76" spans="2:25" x14ac:dyDescent="0.2">
      <c r="B76" s="683"/>
      <c r="D76" s="689">
        <f t="shared" si="21"/>
        <v>8</v>
      </c>
      <c r="E76" s="737"/>
      <c r="F76" s="737"/>
      <c r="G76" s="737"/>
      <c r="H76" s="737"/>
      <c r="I76" s="737"/>
      <c r="J76" s="737"/>
      <c r="K76" s="737"/>
      <c r="L76" s="737"/>
      <c r="M76" s="737"/>
      <c r="N76" s="737">
        <f>IF($Y$40&gt;0,$M$26/$Y$40,0)</f>
        <v>0</v>
      </c>
      <c r="O76" s="737">
        <f>IF($Y$40&gt;1,$M$26/$Y$40,0)</f>
        <v>0</v>
      </c>
      <c r="P76" s="737">
        <f>IF($Y$40&gt;2,$M$26/$Y$40,0)</f>
        <v>0</v>
      </c>
      <c r="Q76" s="737">
        <f>IF($Y$40&gt;3,$M$26/$Y$40,0)</f>
        <v>0</v>
      </c>
      <c r="R76" s="737">
        <f>IF($Y$40&gt;4,$M$26/$Y$40,0)</f>
        <v>0</v>
      </c>
      <c r="S76" s="737">
        <f>IF($Y$40&gt;5,$M$26/$Y$40,0)</f>
        <v>0</v>
      </c>
      <c r="T76" s="737">
        <f>IF($Y$40&gt;6,$M$26/$Y$40,0)</f>
        <v>0</v>
      </c>
      <c r="U76" s="737">
        <f>IF($Y$40&gt;7,$M$26/$Y$40,0)</f>
        <v>0</v>
      </c>
      <c r="V76" s="737">
        <f>IF($Y$40&gt;8,$M$26/$Y$40,0)</f>
        <v>0</v>
      </c>
      <c r="W76" s="737">
        <f>IF($Y$40&gt;9,$M$26/$Y$40,0)</f>
        <v>0</v>
      </c>
      <c r="X76" s="737">
        <f>IF($Y$40&gt;10,$M$26/$Y$40,0)</f>
        <v>0</v>
      </c>
      <c r="Y76" s="737">
        <f>IF($Y$40&gt;11,$M$26/$Y$40,0)</f>
        <v>0</v>
      </c>
    </row>
    <row r="77" spans="2:25" x14ac:dyDescent="0.2">
      <c r="B77" s="683"/>
      <c r="D77" s="689">
        <f t="shared" si="21"/>
        <v>9</v>
      </c>
      <c r="E77" s="737"/>
      <c r="F77" s="737"/>
      <c r="G77" s="737"/>
      <c r="H77" s="737"/>
      <c r="I77" s="737"/>
      <c r="J77" s="737"/>
      <c r="K77" s="737"/>
      <c r="L77" s="737"/>
      <c r="M77" s="737"/>
      <c r="N77" s="737"/>
      <c r="O77" s="737">
        <f>IF($Y$40&gt;0,$N$26/$Y$40,0)</f>
        <v>0</v>
      </c>
      <c r="P77" s="737">
        <f>IF($Y$40&gt;1,$N$26/$Y$40,0)</f>
        <v>0</v>
      </c>
      <c r="Q77" s="737">
        <f>IF($Y$40&gt;2,$N$26/$Y$40,0)</f>
        <v>0</v>
      </c>
      <c r="R77" s="737">
        <f>IF($Y$40&gt;3,$N$26/$Y$40,0)</f>
        <v>0</v>
      </c>
      <c r="S77" s="737">
        <f>IF($Y$40&gt;4,$N$26/$Y$40,0)</f>
        <v>0</v>
      </c>
      <c r="T77" s="737">
        <f>IF($Y$40&gt;5,$N$26/$Y$40,0)</f>
        <v>0</v>
      </c>
      <c r="U77" s="737">
        <f>IF($Y$40&gt;6,$N$26/$Y$40,0)</f>
        <v>0</v>
      </c>
      <c r="V77" s="737">
        <f>IF($Y$40&gt;7,$N$26/$Y$40,0)</f>
        <v>0</v>
      </c>
      <c r="W77" s="737">
        <f>IF($Y$40&gt;8,$N$26/$Y$40,0)</f>
        <v>0</v>
      </c>
      <c r="X77" s="737">
        <f>IF($Y$40&gt;9,$N$26/$Y$40,0)</f>
        <v>0</v>
      </c>
      <c r="Y77" s="737">
        <f>IF($Y$40&gt;10,$N$26/$Y$40,0)</f>
        <v>0</v>
      </c>
    </row>
    <row r="78" spans="2:25" x14ac:dyDescent="0.2">
      <c r="B78" s="683"/>
      <c r="D78" s="689">
        <f t="shared" si="21"/>
        <v>10</v>
      </c>
      <c r="E78" s="737"/>
      <c r="F78" s="737"/>
      <c r="G78" s="737"/>
      <c r="H78" s="737"/>
      <c r="I78" s="737"/>
      <c r="J78" s="737"/>
      <c r="K78" s="737"/>
      <c r="L78" s="737"/>
      <c r="M78" s="737"/>
      <c r="N78" s="737"/>
      <c r="O78" s="737"/>
      <c r="P78" s="737">
        <f>IF($Y$40&gt;0,$O$26/$Y$40,0)</f>
        <v>0</v>
      </c>
      <c r="Q78" s="737">
        <f>IF($Y$40&gt;1,$O$26/$Y$40,0)</f>
        <v>0</v>
      </c>
      <c r="R78" s="737">
        <f>IF($Y$40&gt;2,$O$26/$Y$40,0)</f>
        <v>0</v>
      </c>
      <c r="S78" s="737">
        <f>IF($Y$40&gt;3,$O$26/$Y$40,0)</f>
        <v>0</v>
      </c>
      <c r="T78" s="737">
        <f>IF($Y$40&gt;4,$O$26/$Y$40,0)</f>
        <v>0</v>
      </c>
      <c r="U78" s="737">
        <f>IF($Y$40&gt;5,$O$26/$Y$40,0)</f>
        <v>0</v>
      </c>
      <c r="V78" s="737">
        <f>IF($Y$40&gt;6,$O$26/$Y$40,0)</f>
        <v>0</v>
      </c>
      <c r="W78" s="737">
        <f>IF($Y$40&gt;7,$O$26/$Y$40,0)</f>
        <v>0</v>
      </c>
      <c r="X78" s="737">
        <f>IF($Y$40&gt;8,$O$26/$Y$40,0)</f>
        <v>0</v>
      </c>
      <c r="Y78" s="737">
        <f>IF($Y$40&gt;9,$O$26/$Y$40,0)</f>
        <v>0</v>
      </c>
    </row>
    <row r="79" spans="2:25" x14ac:dyDescent="0.2">
      <c r="B79" s="683"/>
      <c r="D79" s="689">
        <f t="shared" si="21"/>
        <v>11</v>
      </c>
      <c r="E79" s="737"/>
      <c r="F79" s="737"/>
      <c r="G79" s="737"/>
      <c r="H79" s="737"/>
      <c r="I79" s="737"/>
      <c r="J79" s="737"/>
      <c r="K79" s="737"/>
      <c r="L79" s="737"/>
      <c r="M79" s="737"/>
      <c r="N79" s="737"/>
      <c r="O79" s="737"/>
      <c r="P79" s="737"/>
      <c r="Q79" s="737">
        <f>IF($Y$40&gt;0,$P$26/$Y$40,0)</f>
        <v>0</v>
      </c>
      <c r="R79" s="737">
        <f>IF($Y$40&gt;1,$P$26/$Y$40,0)</f>
        <v>0</v>
      </c>
      <c r="S79" s="737">
        <f>IF($Y$40&gt;2,$P$26/$Y$40,0)</f>
        <v>0</v>
      </c>
      <c r="T79" s="737">
        <f>IF($Y$40&gt;3,$P$26/$Y$40,0)</f>
        <v>0</v>
      </c>
      <c r="U79" s="737">
        <f>IF($Y$40&gt;4,$P$26/$Y$40,0)</f>
        <v>0</v>
      </c>
      <c r="V79" s="737">
        <f>IF($Y$40&gt;5,$P$26/$Y$40,0)</f>
        <v>0</v>
      </c>
      <c r="W79" s="737">
        <f>IF($Y$40&gt;6,$P$26/$Y$40,0)</f>
        <v>0</v>
      </c>
      <c r="X79" s="737">
        <f>IF($Y$40&gt;7,$P$26/$Y$40,0)</f>
        <v>0</v>
      </c>
      <c r="Y79" s="737">
        <f>IF($Y$40&gt;8,$P$26/$Y$40,0)</f>
        <v>0</v>
      </c>
    </row>
    <row r="80" spans="2:25" x14ac:dyDescent="0.2">
      <c r="B80" s="683"/>
      <c r="D80" s="689">
        <f t="shared" si="21"/>
        <v>12</v>
      </c>
      <c r="E80" s="737"/>
      <c r="F80" s="737"/>
      <c r="G80" s="737"/>
      <c r="H80" s="737"/>
      <c r="I80" s="737"/>
      <c r="J80" s="737"/>
      <c r="K80" s="737"/>
      <c r="L80" s="737"/>
      <c r="M80" s="737"/>
      <c r="N80" s="737"/>
      <c r="O80" s="737"/>
      <c r="P80" s="737"/>
      <c r="Q80" s="737"/>
      <c r="R80" s="737">
        <f>IF($Y$40&gt;0,$Q$26/$Y$40,0)</f>
        <v>0</v>
      </c>
      <c r="S80" s="737">
        <f>IF($Y$40&gt;1,$Q$26/$Y$40,0)</f>
        <v>0</v>
      </c>
      <c r="T80" s="737">
        <f>IF($Y$40&gt;2,$Q$26/$Y$40,0)</f>
        <v>0</v>
      </c>
      <c r="U80" s="737">
        <f>IF($Y$40&gt;3,$Q$26/$Y$40,0)</f>
        <v>0</v>
      </c>
      <c r="V80" s="737">
        <f>IF($Y$40&gt;4,$Q$26/$Y$40,0)</f>
        <v>0</v>
      </c>
      <c r="W80" s="737">
        <f>IF($Y$40&gt;5,$Q$26/$Y$40,0)</f>
        <v>0</v>
      </c>
      <c r="X80" s="737">
        <f>IF($Y$40&gt;6,$Q$26/$Y$40,0)</f>
        <v>0</v>
      </c>
      <c r="Y80" s="737">
        <f>IF($Y$40&gt;7,$Q$26/$Y$40,0)</f>
        <v>0</v>
      </c>
    </row>
    <row r="81" spans="2:25" x14ac:dyDescent="0.2">
      <c r="B81" s="683"/>
      <c r="D81" s="689">
        <f t="shared" si="21"/>
        <v>13</v>
      </c>
      <c r="E81" s="737"/>
      <c r="F81" s="737"/>
      <c r="G81" s="737"/>
      <c r="H81" s="737"/>
      <c r="I81" s="737"/>
      <c r="J81" s="737"/>
      <c r="K81" s="737"/>
      <c r="L81" s="737"/>
      <c r="M81" s="737"/>
      <c r="N81" s="737"/>
      <c r="O81" s="737"/>
      <c r="P81" s="737"/>
      <c r="Q81" s="737"/>
      <c r="R81" s="737"/>
      <c r="S81" s="737">
        <f>IF($Y$40&gt;0,$R$26/$Y$40,0)</f>
        <v>0</v>
      </c>
      <c r="T81" s="737">
        <f>IF($Y$40&gt;1,$R$26/$Y$40,0)</f>
        <v>0</v>
      </c>
      <c r="U81" s="737">
        <f>IF($Y$40&gt;2,$R$26/$Y$40,0)</f>
        <v>0</v>
      </c>
      <c r="V81" s="737">
        <f>IF($Y$40&gt;3,$R$26/$Y$40,0)</f>
        <v>0</v>
      </c>
      <c r="W81" s="737">
        <f>IF($Y$40&gt;4,$R$26/$Y$40,0)</f>
        <v>0</v>
      </c>
      <c r="X81" s="737">
        <f>IF($Y$40&gt;5,$R$26/$Y$40,0)</f>
        <v>0</v>
      </c>
      <c r="Y81" s="737">
        <f>IF($Y$40&gt;6,$R$26/$Y$40,0)</f>
        <v>0</v>
      </c>
    </row>
    <row r="82" spans="2:25" x14ac:dyDescent="0.2">
      <c r="B82" s="683"/>
      <c r="D82" s="689">
        <f t="shared" si="21"/>
        <v>14</v>
      </c>
      <c r="E82" s="737"/>
      <c r="F82" s="737"/>
      <c r="G82" s="737"/>
      <c r="H82" s="737"/>
      <c r="I82" s="737"/>
      <c r="J82" s="737"/>
      <c r="K82" s="737"/>
      <c r="L82" s="737"/>
      <c r="M82" s="737"/>
      <c r="N82" s="737"/>
      <c r="O82" s="737"/>
      <c r="P82" s="737"/>
      <c r="Q82" s="737"/>
      <c r="R82" s="737"/>
      <c r="S82" s="737"/>
      <c r="T82" s="737">
        <f>IF($Y$40&gt;0,$S$26/$Y$40,0)</f>
        <v>0</v>
      </c>
      <c r="U82" s="737">
        <f>IF($Y$40&gt;1,$S$26/$Y$40,0)</f>
        <v>0</v>
      </c>
      <c r="V82" s="737">
        <f>IF($Y$40&gt;2,$S$26/$Y$40,0)</f>
        <v>0</v>
      </c>
      <c r="W82" s="737">
        <f>IF($Y$40&gt;3,$S$26/$Y$40,0)</f>
        <v>0</v>
      </c>
      <c r="X82" s="737">
        <f>IF($Y$40&gt;4,$S$26/$Y$40,0)</f>
        <v>0</v>
      </c>
      <c r="Y82" s="737">
        <f>IF($Y$40&gt;5,$S$26/$Y$40,0)</f>
        <v>0</v>
      </c>
    </row>
    <row r="83" spans="2:25" x14ac:dyDescent="0.2">
      <c r="B83" s="683"/>
      <c r="D83" s="689">
        <f t="shared" si="21"/>
        <v>15</v>
      </c>
      <c r="E83" s="737"/>
      <c r="F83" s="737"/>
      <c r="G83" s="737"/>
      <c r="H83" s="737"/>
      <c r="I83" s="737"/>
      <c r="J83" s="737"/>
      <c r="K83" s="737"/>
      <c r="L83" s="737"/>
      <c r="M83" s="737"/>
      <c r="N83" s="737"/>
      <c r="O83" s="737"/>
      <c r="P83" s="737"/>
      <c r="Q83" s="737"/>
      <c r="R83" s="737"/>
      <c r="S83" s="737"/>
      <c r="T83" s="742"/>
      <c r="U83" s="737">
        <f>IF($Y$40&gt;0,$T$26/$Y$40,0)</f>
        <v>0</v>
      </c>
      <c r="V83" s="737">
        <f>IF($Y$40&gt;1,$T$26/$Y$40,0)</f>
        <v>0</v>
      </c>
      <c r="W83" s="737">
        <f>IF($Y$40&gt;2,$T$26/$Y$40,0)</f>
        <v>0</v>
      </c>
      <c r="X83" s="737">
        <f>IF($Y$40&gt;3,$T$26/$Y$40,0)</f>
        <v>0</v>
      </c>
      <c r="Y83" s="737">
        <f>IF($Y$40&gt;4,$T$26/$Y$40,0)</f>
        <v>0</v>
      </c>
    </row>
    <row r="84" spans="2:25" x14ac:dyDescent="0.2">
      <c r="B84" s="683"/>
      <c r="D84" s="689">
        <f t="shared" si="21"/>
        <v>16</v>
      </c>
      <c r="E84" s="737"/>
      <c r="F84" s="737"/>
      <c r="G84" s="737"/>
      <c r="H84" s="737"/>
      <c r="I84" s="737"/>
      <c r="J84" s="737"/>
      <c r="K84" s="737"/>
      <c r="L84" s="737"/>
      <c r="M84" s="737"/>
      <c r="N84" s="737"/>
      <c r="O84" s="737"/>
      <c r="P84" s="737"/>
      <c r="Q84" s="737"/>
      <c r="R84" s="737"/>
      <c r="S84" s="737"/>
      <c r="T84" s="742"/>
      <c r="U84" s="737"/>
      <c r="V84" s="737">
        <f>IF($Y$40&gt;0,$U$26/$Y$40,0)</f>
        <v>0</v>
      </c>
      <c r="W84" s="737">
        <f>IF($Y$40&gt;1,$U$26/$Y$40,0)</f>
        <v>0</v>
      </c>
      <c r="X84" s="737">
        <f>IF($Y$40&gt;2,$U$26/$Y$40,0)</f>
        <v>0</v>
      </c>
      <c r="Y84" s="737">
        <f>IF($Y$40&gt;3,$U$26/$Y$40,0)</f>
        <v>0</v>
      </c>
    </row>
    <row r="85" spans="2:25" x14ac:dyDescent="0.2">
      <c r="B85" s="683"/>
      <c r="D85" s="689">
        <f t="shared" si="21"/>
        <v>17</v>
      </c>
      <c r="E85" s="737"/>
      <c r="F85" s="737"/>
      <c r="G85" s="737"/>
      <c r="H85" s="737"/>
      <c r="I85" s="737"/>
      <c r="J85" s="737"/>
      <c r="K85" s="737"/>
      <c r="L85" s="737"/>
      <c r="M85" s="737"/>
      <c r="N85" s="737"/>
      <c r="O85" s="737"/>
      <c r="P85" s="737"/>
      <c r="Q85" s="737"/>
      <c r="R85" s="737"/>
      <c r="S85" s="737"/>
      <c r="T85" s="742"/>
      <c r="U85" s="737"/>
      <c r="V85" s="737"/>
      <c r="W85" s="737">
        <f>IF($Y$40&gt;0,$V$26/$Y$40,0)</f>
        <v>0</v>
      </c>
      <c r="X85" s="737">
        <f>IF($Y$40&gt;1,$V$26/$Y$40,0)</f>
        <v>0</v>
      </c>
      <c r="Y85" s="737">
        <f>IF($Y$40&gt;2,$V$26/$Y$40,0)</f>
        <v>0</v>
      </c>
    </row>
    <row r="86" spans="2:25" x14ac:dyDescent="0.2">
      <c r="B86" s="683"/>
      <c r="D86" s="689">
        <f t="shared" si="21"/>
        <v>18</v>
      </c>
      <c r="E86" s="737"/>
      <c r="F86" s="737"/>
      <c r="G86" s="737"/>
      <c r="H86" s="737"/>
      <c r="I86" s="737"/>
      <c r="J86" s="737"/>
      <c r="K86" s="737"/>
      <c r="L86" s="737"/>
      <c r="M86" s="737"/>
      <c r="N86" s="737"/>
      <c r="O86" s="737"/>
      <c r="P86" s="737"/>
      <c r="Q86" s="737"/>
      <c r="R86" s="737"/>
      <c r="S86" s="737"/>
      <c r="T86" s="742"/>
      <c r="U86" s="737"/>
      <c r="V86" s="737"/>
      <c r="W86" s="737"/>
      <c r="X86" s="737">
        <f>IF($Y$40&gt;0,$W$26/$Y$40,0)</f>
        <v>0</v>
      </c>
      <c r="Y86" s="737">
        <f>IF($Y$40&gt;1,$W$26/$Y$40,0)</f>
        <v>0</v>
      </c>
    </row>
    <row r="87" spans="2:25" x14ac:dyDescent="0.2">
      <c r="B87" s="683"/>
      <c r="D87" s="689">
        <f t="shared" si="21"/>
        <v>19</v>
      </c>
      <c r="E87" s="737"/>
      <c r="F87" s="737"/>
      <c r="G87" s="737"/>
      <c r="H87" s="737"/>
      <c r="I87" s="737"/>
      <c r="J87" s="737"/>
      <c r="K87" s="737"/>
      <c r="L87" s="737"/>
      <c r="M87" s="737"/>
      <c r="N87" s="737"/>
      <c r="O87" s="737"/>
      <c r="P87" s="737"/>
      <c r="Q87" s="737"/>
      <c r="R87" s="737"/>
      <c r="S87" s="737"/>
      <c r="T87" s="742"/>
      <c r="U87" s="737"/>
      <c r="V87" s="737"/>
      <c r="W87" s="737"/>
      <c r="X87" s="737"/>
      <c r="Y87" s="737">
        <f>IF($Y$40&gt;0,$X$26/$Y$40,0)</f>
        <v>0</v>
      </c>
    </row>
    <row r="88" spans="2:25" x14ac:dyDescent="0.2">
      <c r="B88" s="683"/>
      <c r="D88" s="689">
        <f t="shared" si="21"/>
        <v>20</v>
      </c>
      <c r="E88" s="737"/>
      <c r="F88" s="737"/>
      <c r="G88" s="737"/>
      <c r="H88" s="737"/>
      <c r="I88" s="737"/>
      <c r="J88" s="737"/>
      <c r="K88" s="737"/>
      <c r="L88" s="737"/>
      <c r="M88" s="737"/>
      <c r="N88" s="737"/>
      <c r="O88" s="737"/>
      <c r="P88" s="737"/>
      <c r="Q88" s="737"/>
      <c r="R88" s="737"/>
      <c r="S88" s="737"/>
      <c r="T88" s="742"/>
      <c r="U88" s="737"/>
      <c r="V88" s="737"/>
      <c r="W88" s="737"/>
      <c r="X88" s="737"/>
      <c r="Y88" s="737"/>
    </row>
    <row r="89" spans="2:25" x14ac:dyDescent="0.2">
      <c r="B89" s="683"/>
      <c r="E89" s="737"/>
      <c r="F89" s="737"/>
      <c r="G89" s="737"/>
      <c r="H89" s="737"/>
      <c r="I89" s="737"/>
      <c r="J89" s="737"/>
      <c r="K89" s="737"/>
      <c r="L89" s="737"/>
      <c r="M89" s="737"/>
      <c r="N89" s="737"/>
      <c r="O89" s="737"/>
      <c r="P89" s="737"/>
      <c r="Q89" s="737"/>
      <c r="R89" s="737"/>
      <c r="S89" s="737"/>
      <c r="T89" s="742"/>
      <c r="U89" s="737"/>
      <c r="V89" s="737"/>
      <c r="W89" s="737"/>
      <c r="X89" s="737"/>
      <c r="Y89" s="737"/>
    </row>
    <row r="90" spans="2:25" x14ac:dyDescent="0.2">
      <c r="B90" s="683"/>
      <c r="C90" s="682" t="s">
        <v>717</v>
      </c>
      <c r="D90" s="688"/>
      <c r="E90" s="737"/>
      <c r="F90" s="737">
        <f>IF($Y$40&gt;0,$E$27/$Y$40,0)</f>
        <v>0</v>
      </c>
      <c r="G90" s="737">
        <f>IF($Y$40&gt;1,$E$27/$Y$40,0)</f>
        <v>0</v>
      </c>
      <c r="H90" s="737">
        <f>IF($Y$40&gt;2,$E$27/$Y$40,0)</f>
        <v>0</v>
      </c>
      <c r="I90" s="737">
        <f>IF($Y$40&gt;3,$E$27/$Y$40,0)</f>
        <v>0</v>
      </c>
      <c r="J90" s="737">
        <f>IF($Y$40&gt;4,$E$27/$Y$40,0)</f>
        <v>0</v>
      </c>
      <c r="K90" s="737">
        <f>IF($Y$40&gt;5,$E$27/$Y$40,0)</f>
        <v>0</v>
      </c>
      <c r="L90" s="737">
        <f>IF($Y$40&gt;6,$E$27/$Y$40,0)</f>
        <v>0</v>
      </c>
      <c r="M90" s="737">
        <f>IF($Y$40&gt;7,$E$27/$Y$40,0)</f>
        <v>0</v>
      </c>
      <c r="N90" s="737">
        <f>IF($Y$40&gt;8,$E$27/$Y$40,0)</f>
        <v>0</v>
      </c>
      <c r="O90" s="737">
        <f>IF($Y$40&gt;9,$E$27/$Y$40,0)</f>
        <v>0</v>
      </c>
      <c r="P90" s="737">
        <f>IF($Y$40&gt;10,$E$27/$Y$40,0)</f>
        <v>0</v>
      </c>
      <c r="Q90" s="737">
        <f>IF($Y$40&gt;11,$E$27/$Y$40,0)</f>
        <v>0</v>
      </c>
      <c r="R90" s="737">
        <f>IF($Y$40&gt;12,$E$27/$Y$40,0)</f>
        <v>0</v>
      </c>
      <c r="S90" s="737">
        <f>IF($Y$40&gt;13,$E$27/$Y$40,0)</f>
        <v>0</v>
      </c>
      <c r="T90" s="737">
        <f>IF($Y$40&gt;14,$E$27/$Y$40,0)</f>
        <v>0</v>
      </c>
      <c r="U90" s="737">
        <f>IF($Y$40&gt;15,$E$27/$Y$40,0)</f>
        <v>0</v>
      </c>
      <c r="V90" s="737">
        <f>IF($Y$40&gt;16,$E$27/$Y$40,0)</f>
        <v>0</v>
      </c>
      <c r="W90" s="737">
        <f>IF($Y$40&gt;17,$E$27/$Y$40,0)</f>
        <v>0</v>
      </c>
      <c r="X90" s="737">
        <f>IF($Y$40&gt;18,$E$27/$Y$40,0)</f>
        <v>0</v>
      </c>
      <c r="Y90" s="737">
        <f>IF($Y$40&gt;19,$E$27/$Y$40,0)</f>
        <v>0</v>
      </c>
    </row>
    <row r="91" spans="2:25" x14ac:dyDescent="0.2">
      <c r="B91" s="683"/>
      <c r="D91" s="689">
        <f t="shared" ref="D91:D110" si="22">D90+1</f>
        <v>1</v>
      </c>
      <c r="E91" s="737"/>
      <c r="F91" s="737"/>
      <c r="G91" s="737">
        <f>IF($Y$40&gt;0,$F$27/$Y$40,0)</f>
        <v>0</v>
      </c>
      <c r="H91" s="737">
        <f>IF($Y$40&gt;1,$F$27/$Y$40,0)</f>
        <v>0</v>
      </c>
      <c r="I91" s="737">
        <f>IF($Y$40&gt;2,$F$27/$Y$40,0)</f>
        <v>0</v>
      </c>
      <c r="J91" s="737">
        <f>IF($Y$40&gt;3,$F$27/$Y$40,0)</f>
        <v>0</v>
      </c>
      <c r="K91" s="737">
        <f>IF($Y$40&gt;4,$F$27/$Y$40,0)</f>
        <v>0</v>
      </c>
      <c r="L91" s="737">
        <f>IF($Y$40&gt;5,$F$27/$Y$40,0)</f>
        <v>0</v>
      </c>
      <c r="M91" s="737">
        <f>IF($Y$40&gt;6,$F$27/$Y$40,0)</f>
        <v>0</v>
      </c>
      <c r="N91" s="737">
        <f>IF($Y$40&gt;7,$F$27/$Y$40,0)</f>
        <v>0</v>
      </c>
      <c r="O91" s="737">
        <f>IF($Y$40&gt;8,$F$27/$Y$40,0)</f>
        <v>0</v>
      </c>
      <c r="P91" s="737">
        <f>IF($Y$40&gt;9,$F$27/$Y$40,0)</f>
        <v>0</v>
      </c>
      <c r="Q91" s="737">
        <f>IF($Y$40&gt;10,$F$27/$Y$40,0)</f>
        <v>0</v>
      </c>
      <c r="R91" s="737">
        <f>IF($Y$40&gt;11,$F$27/$Y$40,0)</f>
        <v>0</v>
      </c>
      <c r="S91" s="737">
        <f>IF($Y$40&gt;12,$F$27/$Y$40,0)</f>
        <v>0</v>
      </c>
      <c r="T91" s="737">
        <f>IF($Y$40&gt;13,$F$27/$Y$40,0)</f>
        <v>0</v>
      </c>
      <c r="U91" s="737">
        <f>IF($Y$40&gt;14,$F$27/$Y$40,0)</f>
        <v>0</v>
      </c>
      <c r="V91" s="737">
        <f>IF($Y$40&gt;15,$F$27/$Y$40,0)</f>
        <v>0</v>
      </c>
      <c r="W91" s="737">
        <f>IF($Y$40&gt;16,$F$27/$Y$40,0)</f>
        <v>0</v>
      </c>
      <c r="X91" s="737">
        <f>IF($Y$40&gt;17,$F$27/$Y$40,0)</f>
        <v>0</v>
      </c>
      <c r="Y91" s="737">
        <f>IF($Y$40&gt;18,$F$27/$Y$40,0)</f>
        <v>0</v>
      </c>
    </row>
    <row r="92" spans="2:25" x14ac:dyDescent="0.2">
      <c r="B92" s="683"/>
      <c r="D92" s="689">
        <f t="shared" si="22"/>
        <v>2</v>
      </c>
      <c r="E92" s="737"/>
      <c r="F92" s="737"/>
      <c r="G92" s="737"/>
      <c r="H92" s="737">
        <f>IF($Y$40&gt;0,$G$27/$Y$40,0)</f>
        <v>0</v>
      </c>
      <c r="I92" s="737">
        <f>IF($Y$40&gt;1,$G$27/$Y$40,0)</f>
        <v>0</v>
      </c>
      <c r="J92" s="737">
        <f>IF($Y$40&gt;2,$G$27/$Y$40,0)</f>
        <v>0</v>
      </c>
      <c r="K92" s="737">
        <f>IF($Y$40&gt;3,$G$27/$Y$40,0)</f>
        <v>0</v>
      </c>
      <c r="L92" s="737">
        <f>IF($Y$40&gt;4,$G$27/$Y$40,0)</f>
        <v>0</v>
      </c>
      <c r="M92" s="737">
        <f>IF($Y$40&gt;5,$G$27/$Y$40,0)</f>
        <v>0</v>
      </c>
      <c r="N92" s="737">
        <f>IF($Y$40&gt;6,$G$27/$Y$40,0)</f>
        <v>0</v>
      </c>
      <c r="O92" s="737">
        <f>IF($Y$40&gt;7,$G$27/$Y$40,0)</f>
        <v>0</v>
      </c>
      <c r="P92" s="737">
        <f>IF($Y$40&gt;8,$G$27/$Y$40,0)</f>
        <v>0</v>
      </c>
      <c r="Q92" s="737">
        <f>IF($Y$40&gt;9,$G$27/$Y$40,0)</f>
        <v>0</v>
      </c>
      <c r="R92" s="737">
        <f>IF($Y$40&gt;10,$G$27/$Y$40,0)</f>
        <v>0</v>
      </c>
      <c r="S92" s="737">
        <f>IF($Y$40&gt;11,$G$27/$Y$40,0)</f>
        <v>0</v>
      </c>
      <c r="T92" s="737">
        <f>IF($Y$40&gt;12,$G$27/$Y$40,0)</f>
        <v>0</v>
      </c>
      <c r="U92" s="737">
        <f>IF($Y$40&gt;13,$G$27/$Y$40,0)</f>
        <v>0</v>
      </c>
      <c r="V92" s="737">
        <f>IF($Y$40&gt;14,$G$27/$Y$40,0)</f>
        <v>0</v>
      </c>
      <c r="W92" s="737">
        <f>IF($Y$40&gt;15,$G$27/$Y$40,0)</f>
        <v>0</v>
      </c>
      <c r="X92" s="737">
        <f>IF($Y$40&gt;16,$G$27/$Y$40,0)</f>
        <v>0</v>
      </c>
      <c r="Y92" s="737">
        <f>IF($Y$40&gt;17,$G$27/$Y$40,0)</f>
        <v>0</v>
      </c>
    </row>
    <row r="93" spans="2:25" x14ac:dyDescent="0.2">
      <c r="B93" s="683"/>
      <c r="D93" s="689">
        <f t="shared" si="22"/>
        <v>3</v>
      </c>
      <c r="E93" s="737"/>
      <c r="F93" s="737"/>
      <c r="G93" s="737"/>
      <c r="H93" s="737"/>
      <c r="I93" s="737">
        <f>IF($Y$40&gt;0,$H$27/$Y$40,0)</f>
        <v>0</v>
      </c>
      <c r="J93" s="737">
        <f>IF($Y$40&gt;1,$H$27/$Y$40,0)</f>
        <v>0</v>
      </c>
      <c r="K93" s="737">
        <f>IF($Y$40&gt;2,$H$27/$Y$40,0)</f>
        <v>0</v>
      </c>
      <c r="L93" s="737">
        <f>IF($Y$40&gt;3,$H$27/$Y$40,0)</f>
        <v>0</v>
      </c>
      <c r="M93" s="737">
        <f>IF($Y$40&gt;4,$H$27/$Y$40,0)</f>
        <v>0</v>
      </c>
      <c r="N93" s="737">
        <f>IF($Y$40&gt;5,$H$27/$Y$40,0)</f>
        <v>0</v>
      </c>
      <c r="O93" s="737">
        <f>IF($Y$40&gt;6,$H$27/$Y$40,0)</f>
        <v>0</v>
      </c>
      <c r="P93" s="737">
        <f>IF($Y$40&gt;7,$H$27/$Y$40,0)</f>
        <v>0</v>
      </c>
      <c r="Q93" s="737">
        <f>IF($Y$40&gt;8,$H$27/$Y$40,0)</f>
        <v>0</v>
      </c>
      <c r="R93" s="737">
        <f>IF($Y$40&gt;9,$H$27/$Y$40,0)</f>
        <v>0</v>
      </c>
      <c r="S93" s="737">
        <f>IF($Y$40&gt;10,$H$27/$Y$40,0)</f>
        <v>0</v>
      </c>
      <c r="T93" s="737">
        <f>IF($Y$40&gt;11,$H$27/$Y$40,0)</f>
        <v>0</v>
      </c>
      <c r="U93" s="737">
        <f>IF($Y$40&gt;12,$H$27/$Y$40,0)</f>
        <v>0</v>
      </c>
      <c r="V93" s="737">
        <f>IF($Y$40&gt;13,$H$27/$Y$40,0)</f>
        <v>0</v>
      </c>
      <c r="W93" s="737">
        <f>IF($Y$40&gt;14,$H$27/$Y$40,0)</f>
        <v>0</v>
      </c>
      <c r="X93" s="737">
        <f>IF($Y$40&gt;15,$H$27/$Y$40,0)</f>
        <v>0</v>
      </c>
      <c r="Y93" s="737">
        <f>IF($Y$40&gt;16,$H$27/$Y$40,0)</f>
        <v>0</v>
      </c>
    </row>
    <row r="94" spans="2:25" x14ac:dyDescent="0.2">
      <c r="B94" s="683"/>
      <c r="D94" s="689">
        <f t="shared" si="22"/>
        <v>4</v>
      </c>
      <c r="E94" s="737"/>
      <c r="F94" s="737"/>
      <c r="G94" s="737"/>
      <c r="H94" s="737"/>
      <c r="I94" s="737"/>
      <c r="J94" s="737">
        <f>IF($Y$40&gt;0,$I$27/$Y$40,0)</f>
        <v>0</v>
      </c>
      <c r="K94" s="737">
        <f>IF($Y$40&gt;1,$I$27/$Y$40,0)</f>
        <v>0</v>
      </c>
      <c r="L94" s="737">
        <f>IF($Y$40&gt;2,$I$27/$Y$40,0)</f>
        <v>0</v>
      </c>
      <c r="M94" s="737">
        <f>IF($Y$40&gt;3,$I$27/$Y$40,0)</f>
        <v>0</v>
      </c>
      <c r="N94" s="737">
        <f>IF($Y$40&gt;4,$I$27/$Y$40,0)</f>
        <v>0</v>
      </c>
      <c r="O94" s="737">
        <f>IF($Y$40&gt;5,$I$27/$Y$40,0)</f>
        <v>0</v>
      </c>
      <c r="P94" s="737">
        <f>IF($Y$40&gt;6,$I$27/$Y$40,0)</f>
        <v>0</v>
      </c>
      <c r="Q94" s="737">
        <f>IF($Y$40&gt;7,$I$27/$Y$40,0)</f>
        <v>0</v>
      </c>
      <c r="R94" s="737">
        <f>IF($Y$40&gt;8,$I$27/$Y$40,0)</f>
        <v>0</v>
      </c>
      <c r="S94" s="737">
        <f>IF($Y$40&gt;9,$I$27/$Y$40,0)</f>
        <v>0</v>
      </c>
      <c r="T94" s="737">
        <f>IF($Y$40&gt;10,$I$27/$Y$40,0)</f>
        <v>0</v>
      </c>
      <c r="U94" s="737">
        <f>IF($Y$40&gt;11,$I$27/$Y$40,0)</f>
        <v>0</v>
      </c>
      <c r="V94" s="737">
        <f>IF($Y$40&gt;12,$I$27/$Y$40,0)</f>
        <v>0</v>
      </c>
      <c r="W94" s="737">
        <f>IF($Y$40&gt;13,$I$27/$Y$40,0)</f>
        <v>0</v>
      </c>
      <c r="X94" s="737">
        <f>IF($Y$40&gt;14,$I$27/$Y$40,0)</f>
        <v>0</v>
      </c>
      <c r="Y94" s="737">
        <f>IF($Y$40&gt;15,$I$27/$Y$40,0)</f>
        <v>0</v>
      </c>
    </row>
    <row r="95" spans="2:25" x14ac:dyDescent="0.2">
      <c r="B95" s="683"/>
      <c r="D95" s="689">
        <f t="shared" si="22"/>
        <v>5</v>
      </c>
      <c r="E95" s="737"/>
      <c r="F95" s="737"/>
      <c r="G95" s="737"/>
      <c r="H95" s="737"/>
      <c r="I95" s="737"/>
      <c r="J95" s="737"/>
      <c r="K95" s="737">
        <f>IF($Y$40&gt;0,$J$27/$Y$40,0)</f>
        <v>0</v>
      </c>
      <c r="L95" s="737">
        <f>IF($Y$40&gt;1,$J$27/$Y$40,0)</f>
        <v>0</v>
      </c>
      <c r="M95" s="737">
        <f>IF($Y$40&gt;2,$J$27/$Y$40,0)</f>
        <v>0</v>
      </c>
      <c r="N95" s="737">
        <f>IF($Y$40&gt;3,$J$27/$Y$40,0)</f>
        <v>0</v>
      </c>
      <c r="O95" s="737">
        <f>IF($Y$40&gt;4,$J$27/$Y$40,0)</f>
        <v>0</v>
      </c>
      <c r="P95" s="737">
        <f>IF($Y$40&gt;5,$J$27/$Y$40,0)</f>
        <v>0</v>
      </c>
      <c r="Q95" s="737">
        <f>IF($Y$40&gt;6,$J$27/$Y$40,0)</f>
        <v>0</v>
      </c>
      <c r="R95" s="737">
        <f>IF($Y$40&gt;7,$J$27/$Y$40,0)</f>
        <v>0</v>
      </c>
      <c r="S95" s="737">
        <f>IF($Y$40&gt;8,$J$27/$Y$40,0)</f>
        <v>0</v>
      </c>
      <c r="T95" s="737">
        <f>IF($Y$40&gt;9,$J$27/$Y$40,0)</f>
        <v>0</v>
      </c>
      <c r="U95" s="737">
        <f>IF($Y$40&gt;10,$J$27/$Y$40,0)</f>
        <v>0</v>
      </c>
      <c r="V95" s="737">
        <f>IF($Y$40&gt;11,$J$27/$Y$40,0)</f>
        <v>0</v>
      </c>
      <c r="W95" s="737">
        <f>IF($Y$40&gt;12,$J$27/$Y$40,0)</f>
        <v>0</v>
      </c>
      <c r="X95" s="737">
        <f>IF($Y$40&gt;13,$J$27/$Y$40,0)</f>
        <v>0</v>
      </c>
      <c r="Y95" s="737">
        <f>IF($Y$40&gt;14,$J$27/$Y$40,0)</f>
        <v>0</v>
      </c>
    </row>
    <row r="96" spans="2:25" x14ac:dyDescent="0.2">
      <c r="B96" s="683"/>
      <c r="D96" s="689">
        <f t="shared" si="22"/>
        <v>6</v>
      </c>
      <c r="E96" s="737"/>
      <c r="F96" s="737"/>
      <c r="G96" s="737"/>
      <c r="H96" s="737"/>
      <c r="I96" s="737"/>
      <c r="J96" s="737"/>
      <c r="K96" s="737"/>
      <c r="L96" s="737">
        <f>IF($Y$40&gt;0,$K$27/$Y$40,0)</f>
        <v>0</v>
      </c>
      <c r="M96" s="737">
        <f>IF($Y$40&gt;1,$K$27/$Y$40,0)</f>
        <v>0</v>
      </c>
      <c r="N96" s="737">
        <f>IF($Y$40&gt;2,$K$27/$Y$40,0)</f>
        <v>0</v>
      </c>
      <c r="O96" s="737">
        <f>IF($Y$40&gt;3,$K$27/$Y$40,0)</f>
        <v>0</v>
      </c>
      <c r="P96" s="737">
        <f>IF($Y$40&gt;4,$K$27/$Y$40,0)</f>
        <v>0</v>
      </c>
      <c r="Q96" s="737">
        <f>IF($Y$40&gt;5,$K$27/$Y$40,0)</f>
        <v>0</v>
      </c>
      <c r="R96" s="737">
        <f>IF($Y$40&gt;6,$K$27/$Y$40,0)</f>
        <v>0</v>
      </c>
      <c r="S96" s="737">
        <f>IF($Y$40&gt;7,$K$27/$Y$40,0)</f>
        <v>0</v>
      </c>
      <c r="T96" s="737">
        <f>IF($Y$40&gt;8,$K$27/$Y$40,0)</f>
        <v>0</v>
      </c>
      <c r="U96" s="737">
        <f>IF($Y$40&gt;9,$K$27/$Y$40,0)</f>
        <v>0</v>
      </c>
      <c r="V96" s="737">
        <f>IF($Y$40&gt;10,$K$27/$Y$40,0)</f>
        <v>0</v>
      </c>
      <c r="W96" s="737">
        <f>IF($Y$40&gt;11,$K$27/$Y$40,0)</f>
        <v>0</v>
      </c>
      <c r="X96" s="737">
        <f>IF($Y$40&gt;12,$K$27/$Y$40,0)</f>
        <v>0</v>
      </c>
      <c r="Y96" s="737">
        <f>IF($Y$40&gt;13,$K$27/$Y$40,0)</f>
        <v>0</v>
      </c>
    </row>
    <row r="97" spans="2:25" x14ac:dyDescent="0.2">
      <c r="B97" s="683"/>
      <c r="D97" s="689">
        <f t="shared" si="22"/>
        <v>7</v>
      </c>
      <c r="E97" s="737"/>
      <c r="F97" s="737"/>
      <c r="G97" s="737"/>
      <c r="H97" s="737"/>
      <c r="I97" s="737"/>
      <c r="J97" s="737"/>
      <c r="K97" s="737"/>
      <c r="L97" s="737"/>
      <c r="M97" s="737">
        <f>IF($Y$40&gt;0,$L$27/$Y$40,0)</f>
        <v>0</v>
      </c>
      <c r="N97" s="737">
        <f>IF($Y$40&gt;1,$L$27/$Y$40,0)</f>
        <v>0</v>
      </c>
      <c r="O97" s="737">
        <f>IF($Y$40&gt;2,$L$27/$Y$40,0)</f>
        <v>0</v>
      </c>
      <c r="P97" s="737">
        <f>IF($Y$40&gt;3,$L$27/$Y$40,0)</f>
        <v>0</v>
      </c>
      <c r="Q97" s="737">
        <f>IF($Y$40&gt;4,$L$27/$Y$40,0)</f>
        <v>0</v>
      </c>
      <c r="R97" s="737">
        <f>IF($Y$40&gt;5,$L$27/$Y$40,0)</f>
        <v>0</v>
      </c>
      <c r="S97" s="737">
        <f>IF($Y$40&gt;6,$L$27/$Y$40,0)</f>
        <v>0</v>
      </c>
      <c r="T97" s="737">
        <f>IF($Y$40&gt;7,$L$27/$Y$40,0)</f>
        <v>0</v>
      </c>
      <c r="U97" s="737">
        <f>IF($Y$40&gt;8,$L$27/$Y$40,0)</f>
        <v>0</v>
      </c>
      <c r="V97" s="737">
        <f>IF($Y$40&gt;9,$L$27/$Y$40,0)</f>
        <v>0</v>
      </c>
      <c r="W97" s="737">
        <f>IF($Y$40&gt;10,$L$27/$Y$40,0)</f>
        <v>0</v>
      </c>
      <c r="X97" s="737">
        <f>IF($Y$40&gt;11,$L$27/$Y$40,0)</f>
        <v>0</v>
      </c>
      <c r="Y97" s="737">
        <f>IF($Y$40&gt;12,$L$27/$Y$40,0)</f>
        <v>0</v>
      </c>
    </row>
    <row r="98" spans="2:25" x14ac:dyDescent="0.2">
      <c r="B98" s="683"/>
      <c r="D98" s="689">
        <f t="shared" si="22"/>
        <v>8</v>
      </c>
      <c r="E98" s="737"/>
      <c r="F98" s="737"/>
      <c r="G98" s="737"/>
      <c r="H98" s="737"/>
      <c r="I98" s="737"/>
      <c r="J98" s="737"/>
      <c r="K98" s="737"/>
      <c r="L98" s="737"/>
      <c r="M98" s="737"/>
      <c r="N98" s="737">
        <f>IF($Y$40&gt;0,$M$27/$Y$40,0)</f>
        <v>0</v>
      </c>
      <c r="O98" s="737">
        <f>IF($Y$40&gt;1,$M$27/$Y$40,0)</f>
        <v>0</v>
      </c>
      <c r="P98" s="737">
        <f>IF($Y$40&gt;2,$M$27/$Y$40,0)</f>
        <v>0</v>
      </c>
      <c r="Q98" s="737">
        <f>IF($Y$40&gt;3,$M$27/$Y$40,0)</f>
        <v>0</v>
      </c>
      <c r="R98" s="737">
        <f>IF($Y$40&gt;4,$M$27/$Y$40,0)</f>
        <v>0</v>
      </c>
      <c r="S98" s="737">
        <f>IF($Y$40&gt;5,$M$27/$Y$40,0)</f>
        <v>0</v>
      </c>
      <c r="T98" s="737">
        <f>IF($Y$40&gt;6,$M$27/$Y$40,0)</f>
        <v>0</v>
      </c>
      <c r="U98" s="737">
        <f>IF($Y$40&gt;7,$M$27/$Y$40,0)</f>
        <v>0</v>
      </c>
      <c r="V98" s="737">
        <f>IF($Y$40&gt;8,$M$27/$Y$40,0)</f>
        <v>0</v>
      </c>
      <c r="W98" s="737">
        <f>IF($Y$40&gt;9,$M$27/$Y$40,0)</f>
        <v>0</v>
      </c>
      <c r="X98" s="737">
        <f>IF($Y$40&gt;10,$M$27/$Y$40,0)</f>
        <v>0</v>
      </c>
      <c r="Y98" s="737">
        <f>IF($Y$40&gt;11,$M$27/$Y$40,0)</f>
        <v>0</v>
      </c>
    </row>
    <row r="99" spans="2:25" x14ac:dyDescent="0.2">
      <c r="B99" s="683"/>
      <c r="D99" s="689">
        <f t="shared" si="22"/>
        <v>9</v>
      </c>
      <c r="E99" s="737"/>
      <c r="F99" s="737"/>
      <c r="G99" s="737"/>
      <c r="H99" s="737"/>
      <c r="I99" s="737"/>
      <c r="J99" s="737"/>
      <c r="K99" s="737"/>
      <c r="L99" s="737"/>
      <c r="M99" s="737"/>
      <c r="N99" s="737"/>
      <c r="O99" s="737">
        <f>IF($Y$40&gt;0,$N$27/$Y$40,0)</f>
        <v>0</v>
      </c>
      <c r="P99" s="737">
        <f>IF($Y$40&gt;1,$N$27/$Y$40,0)</f>
        <v>0</v>
      </c>
      <c r="Q99" s="737">
        <f>IF($Y$40&gt;2,$N$27/$Y$40,0)</f>
        <v>0</v>
      </c>
      <c r="R99" s="737">
        <f>IF($Y$40&gt;3,$N$27/$Y$40,0)</f>
        <v>0</v>
      </c>
      <c r="S99" s="737">
        <f>IF($Y$40&gt;4,$N$27/$Y$40,0)</f>
        <v>0</v>
      </c>
      <c r="T99" s="737">
        <f>IF($Y$40&gt;5,$N$27/$Y$40,0)</f>
        <v>0</v>
      </c>
      <c r="U99" s="737">
        <f>IF($Y$40&gt;6,$N$27/$Y$40,0)</f>
        <v>0</v>
      </c>
      <c r="V99" s="737">
        <f>IF($Y$40&gt;7,$N$27/$Y$40,0)</f>
        <v>0</v>
      </c>
      <c r="W99" s="737">
        <f>IF($Y$40&gt;8,$N$27/$Y$40,0)</f>
        <v>0</v>
      </c>
      <c r="X99" s="737">
        <f>IF($Y$40&gt;9,$N$27/$Y$40,0)</f>
        <v>0</v>
      </c>
      <c r="Y99" s="737">
        <f>IF($Y$40&gt;10,$N$27/$Y$40,0)</f>
        <v>0</v>
      </c>
    </row>
    <row r="100" spans="2:25" x14ac:dyDescent="0.2">
      <c r="B100" s="683"/>
      <c r="D100" s="689">
        <f t="shared" si="22"/>
        <v>10</v>
      </c>
      <c r="E100" s="737"/>
      <c r="F100" s="737"/>
      <c r="G100" s="737"/>
      <c r="H100" s="737"/>
      <c r="I100" s="737"/>
      <c r="J100" s="737"/>
      <c r="K100" s="737"/>
      <c r="L100" s="737"/>
      <c r="M100" s="737"/>
      <c r="N100" s="737"/>
      <c r="O100" s="737"/>
      <c r="P100" s="737">
        <f>IF($Y$40&gt;0,$O$27/$Y$40,0)</f>
        <v>0</v>
      </c>
      <c r="Q100" s="737">
        <f>IF($Y$40&gt;1,$O$27/$Y$40,0)</f>
        <v>0</v>
      </c>
      <c r="R100" s="737">
        <f>IF($Y$40&gt;2,$O$27/$Y$40,0)</f>
        <v>0</v>
      </c>
      <c r="S100" s="737">
        <f>IF($Y$40&gt;3,$O$27/$Y$40,0)</f>
        <v>0</v>
      </c>
      <c r="T100" s="737">
        <f>IF($Y$40&gt;4,$O$27/$Y$40,0)</f>
        <v>0</v>
      </c>
      <c r="U100" s="737">
        <f>IF($Y$40&gt;5,$O$27/$Y$40,0)</f>
        <v>0</v>
      </c>
      <c r="V100" s="737">
        <f>IF($Y$40&gt;6,$O$27/$Y$40,0)</f>
        <v>0</v>
      </c>
      <c r="W100" s="737">
        <f>IF($Y$40&gt;7,$O$27/$Y$40,0)</f>
        <v>0</v>
      </c>
      <c r="X100" s="737">
        <f>IF($Y$40&gt;8,$O$27/$Y$40,0)</f>
        <v>0</v>
      </c>
      <c r="Y100" s="737">
        <f>IF($Y$40&gt;9,$O$27/$Y$40,0)</f>
        <v>0</v>
      </c>
    </row>
    <row r="101" spans="2:25" x14ac:dyDescent="0.2">
      <c r="B101" s="683"/>
      <c r="D101" s="689">
        <f t="shared" si="22"/>
        <v>11</v>
      </c>
      <c r="E101" s="737"/>
      <c r="F101" s="737"/>
      <c r="G101" s="737"/>
      <c r="H101" s="737"/>
      <c r="I101" s="737"/>
      <c r="J101" s="737"/>
      <c r="K101" s="737"/>
      <c r="L101" s="737"/>
      <c r="M101" s="737"/>
      <c r="N101" s="737"/>
      <c r="O101" s="737"/>
      <c r="P101" s="737"/>
      <c r="Q101" s="737">
        <f>IF($Y$40&gt;0,$P$27/$Y$40,0)</f>
        <v>0</v>
      </c>
      <c r="R101" s="737">
        <f>IF($Y$40&gt;1,$P$27/$Y$40,0)</f>
        <v>0</v>
      </c>
      <c r="S101" s="737">
        <f>IF($Y$40&gt;2,$P$27/$Y$40,0)</f>
        <v>0</v>
      </c>
      <c r="T101" s="737">
        <f>IF($Y$40&gt;3,$P$27/$Y$40,0)</f>
        <v>0</v>
      </c>
      <c r="U101" s="737">
        <f>IF($Y$40&gt;4,$P$27/$Y$40,0)</f>
        <v>0</v>
      </c>
      <c r="V101" s="737">
        <f>IF($Y$40&gt;5,$P$27/$Y$40,0)</f>
        <v>0</v>
      </c>
      <c r="W101" s="737">
        <f>IF($Y$40&gt;6,$P$27/$Y$40,0)</f>
        <v>0</v>
      </c>
      <c r="X101" s="737">
        <f>IF($Y$40&gt;7,$P$27/$Y$40,0)</f>
        <v>0</v>
      </c>
      <c r="Y101" s="737">
        <f>IF($Y$40&gt;8,$P$27/$Y$40,0)</f>
        <v>0</v>
      </c>
    </row>
    <row r="102" spans="2:25" x14ac:dyDescent="0.2">
      <c r="B102" s="683"/>
      <c r="D102" s="689">
        <f t="shared" si="22"/>
        <v>12</v>
      </c>
      <c r="E102" s="737"/>
      <c r="F102" s="737"/>
      <c r="G102" s="737"/>
      <c r="H102" s="737"/>
      <c r="I102" s="737"/>
      <c r="J102" s="737"/>
      <c r="K102" s="737"/>
      <c r="L102" s="737"/>
      <c r="M102" s="737"/>
      <c r="N102" s="737"/>
      <c r="O102" s="737"/>
      <c r="P102" s="737"/>
      <c r="Q102" s="737"/>
      <c r="R102" s="737">
        <f>IF($Y$40&gt;0,$Q$27/$Y$40,0)</f>
        <v>0</v>
      </c>
      <c r="S102" s="737">
        <f>IF($Y$40&gt;1,$Q$27/$Y$40,0)</f>
        <v>0</v>
      </c>
      <c r="T102" s="737">
        <f>IF($Y$40&gt;2,$Q$27/$Y$40,0)</f>
        <v>0</v>
      </c>
      <c r="U102" s="737">
        <f>IF($Y$40&gt;3,$Q$27/$Y$40,0)</f>
        <v>0</v>
      </c>
      <c r="V102" s="737">
        <f>IF($Y$40&gt;4,$Q$27/$Y$40,0)</f>
        <v>0</v>
      </c>
      <c r="W102" s="737">
        <f>IF($Y$40&gt;5,$Q$27/$Y$40,0)</f>
        <v>0</v>
      </c>
      <c r="X102" s="737">
        <f>IF($Y$40&gt;6,$Q$27/$Y$40,0)</f>
        <v>0</v>
      </c>
      <c r="Y102" s="737">
        <f>IF($Y$40&gt;7,$Q$27/$Y$40,0)</f>
        <v>0</v>
      </c>
    </row>
    <row r="103" spans="2:25" x14ac:dyDescent="0.2">
      <c r="B103" s="683"/>
      <c r="D103" s="689">
        <f t="shared" si="22"/>
        <v>13</v>
      </c>
      <c r="E103" s="737"/>
      <c r="F103" s="737"/>
      <c r="G103" s="737"/>
      <c r="H103" s="737"/>
      <c r="I103" s="737"/>
      <c r="J103" s="737"/>
      <c r="K103" s="737"/>
      <c r="L103" s="737"/>
      <c r="M103" s="737"/>
      <c r="N103" s="737"/>
      <c r="O103" s="737"/>
      <c r="P103" s="737"/>
      <c r="Q103" s="737"/>
      <c r="R103" s="737"/>
      <c r="S103" s="737">
        <f>IF($Y$40&gt;0,$R$27/$Y$40,0)</f>
        <v>0</v>
      </c>
      <c r="T103" s="737">
        <f>IF($Y$40&gt;1,$R$27/$Y$40,0)</f>
        <v>0</v>
      </c>
      <c r="U103" s="737">
        <f>IF($Y$40&gt;2,$R$27/$Y$40,0)</f>
        <v>0</v>
      </c>
      <c r="V103" s="737">
        <f>IF($Y$40&gt;3,$R$27/$Y$40,0)</f>
        <v>0</v>
      </c>
      <c r="W103" s="737">
        <f>IF($Y$40&gt;4,$R$27/$Y$40,0)</f>
        <v>0</v>
      </c>
      <c r="X103" s="737">
        <f>IF($Y$40&gt;5,$R$27/$Y$40,0)</f>
        <v>0</v>
      </c>
      <c r="Y103" s="737">
        <f>IF($Y$40&gt;6,$R$27/$Y$40,0)</f>
        <v>0</v>
      </c>
    </row>
    <row r="104" spans="2:25" x14ac:dyDescent="0.2">
      <c r="B104" s="683"/>
      <c r="D104" s="689">
        <f t="shared" si="22"/>
        <v>14</v>
      </c>
      <c r="E104" s="737"/>
      <c r="F104" s="737"/>
      <c r="G104" s="737"/>
      <c r="H104" s="737"/>
      <c r="I104" s="737"/>
      <c r="J104" s="737"/>
      <c r="K104" s="737"/>
      <c r="L104" s="737"/>
      <c r="M104" s="737"/>
      <c r="N104" s="737"/>
      <c r="O104" s="737"/>
      <c r="P104" s="737"/>
      <c r="Q104" s="737"/>
      <c r="R104" s="737"/>
      <c r="S104" s="737"/>
      <c r="T104" s="737">
        <f>IF($Y$40&gt;0,$S$27/$Y$40,0)</f>
        <v>0</v>
      </c>
      <c r="U104" s="737">
        <f>IF($Y$40&gt;1,$S$27/$Y$40,0)</f>
        <v>0</v>
      </c>
      <c r="V104" s="737">
        <f>IF($Y$40&gt;2,$S$27/$Y$40,0)</f>
        <v>0</v>
      </c>
      <c r="W104" s="737">
        <f>IF($Y$40&gt;3,$S$27/$Y$40,0)</f>
        <v>0</v>
      </c>
      <c r="X104" s="737">
        <f>IF($Y$40&gt;4,$S$27/$Y$40,0)</f>
        <v>0</v>
      </c>
      <c r="Y104" s="737">
        <f>IF($Y$40&gt;5,$S$27/$Y$40,0)</f>
        <v>0</v>
      </c>
    </row>
    <row r="105" spans="2:25" x14ac:dyDescent="0.2">
      <c r="B105" s="683"/>
      <c r="D105" s="689">
        <f t="shared" si="22"/>
        <v>15</v>
      </c>
      <c r="E105" s="737"/>
      <c r="F105" s="737"/>
      <c r="G105" s="737"/>
      <c r="H105" s="737"/>
      <c r="I105" s="737"/>
      <c r="J105" s="737"/>
      <c r="K105" s="737"/>
      <c r="L105" s="737"/>
      <c r="M105" s="737"/>
      <c r="N105" s="737"/>
      <c r="O105" s="737"/>
      <c r="P105" s="737"/>
      <c r="Q105" s="737"/>
      <c r="R105" s="737"/>
      <c r="S105" s="737"/>
      <c r="T105" s="742"/>
      <c r="U105" s="737">
        <f>IF($Y$40&gt;0,$T$27/$Y$40,0)</f>
        <v>0</v>
      </c>
      <c r="V105" s="737">
        <f>IF($Y$40&gt;1,$T$27/$Y$40,0)</f>
        <v>0</v>
      </c>
      <c r="W105" s="737">
        <f>IF($Y$40&gt;2,$T$27/$Y$40,0)</f>
        <v>0</v>
      </c>
      <c r="X105" s="737">
        <f>IF($Y$40&gt;3,$T$27/$Y$40,0)</f>
        <v>0</v>
      </c>
      <c r="Y105" s="737">
        <f>IF($Y$40&gt;4,$T$27/$Y$40,0)</f>
        <v>0</v>
      </c>
    </row>
    <row r="106" spans="2:25" x14ac:dyDescent="0.2">
      <c r="B106" s="683"/>
      <c r="D106" s="689">
        <f t="shared" si="22"/>
        <v>16</v>
      </c>
      <c r="E106" s="737"/>
      <c r="F106" s="737"/>
      <c r="G106" s="737"/>
      <c r="H106" s="737"/>
      <c r="I106" s="737"/>
      <c r="J106" s="737"/>
      <c r="K106" s="737"/>
      <c r="L106" s="737"/>
      <c r="M106" s="737"/>
      <c r="N106" s="737"/>
      <c r="O106" s="737"/>
      <c r="P106" s="737"/>
      <c r="Q106" s="737"/>
      <c r="R106" s="737"/>
      <c r="S106" s="737"/>
      <c r="T106" s="742"/>
      <c r="U106" s="737"/>
      <c r="V106" s="737">
        <f>IF($Y$40&gt;0,$U$27/$Y$40,0)</f>
        <v>0</v>
      </c>
      <c r="W106" s="737">
        <f>IF($Y$40&gt;1,$U$27/$Y$40,0)</f>
        <v>0</v>
      </c>
      <c r="X106" s="737">
        <f>IF($Y$40&gt;2,$U$27/$Y$40,0)</f>
        <v>0</v>
      </c>
      <c r="Y106" s="737">
        <f>IF($Y$40&gt;3,$U$27/$Y$40,0)</f>
        <v>0</v>
      </c>
    </row>
    <row r="107" spans="2:25" x14ac:dyDescent="0.2">
      <c r="B107" s="683"/>
      <c r="D107" s="689">
        <f t="shared" si="22"/>
        <v>17</v>
      </c>
      <c r="E107" s="737"/>
      <c r="F107" s="737"/>
      <c r="G107" s="737"/>
      <c r="H107" s="737"/>
      <c r="I107" s="737"/>
      <c r="J107" s="737"/>
      <c r="K107" s="737"/>
      <c r="L107" s="737"/>
      <c r="M107" s="737"/>
      <c r="N107" s="737"/>
      <c r="O107" s="737"/>
      <c r="P107" s="737"/>
      <c r="Q107" s="737"/>
      <c r="R107" s="737"/>
      <c r="S107" s="737"/>
      <c r="T107" s="742"/>
      <c r="U107" s="737"/>
      <c r="V107" s="737"/>
      <c r="W107" s="737">
        <f>IF($Y$40&gt;0,$V$27/$Y$40,0)</f>
        <v>0</v>
      </c>
      <c r="X107" s="737">
        <f>IF($Y$40&gt;1,$V$27/$Y$40,0)</f>
        <v>0</v>
      </c>
      <c r="Y107" s="737">
        <f>IF($Y$40&gt;2,$V$27/$Y$40,0)</f>
        <v>0</v>
      </c>
    </row>
    <row r="108" spans="2:25" x14ac:dyDescent="0.2">
      <c r="B108" s="683"/>
      <c r="D108" s="689">
        <f t="shared" si="22"/>
        <v>18</v>
      </c>
      <c r="E108" s="737"/>
      <c r="F108" s="737"/>
      <c r="G108" s="737"/>
      <c r="H108" s="737"/>
      <c r="I108" s="737"/>
      <c r="J108" s="737"/>
      <c r="K108" s="737"/>
      <c r="L108" s="737"/>
      <c r="M108" s="737"/>
      <c r="N108" s="737"/>
      <c r="O108" s="737"/>
      <c r="P108" s="737"/>
      <c r="Q108" s="737"/>
      <c r="R108" s="737"/>
      <c r="S108" s="737"/>
      <c r="T108" s="742"/>
      <c r="U108" s="737"/>
      <c r="V108" s="737"/>
      <c r="W108" s="737"/>
      <c r="X108" s="737">
        <f>IF($Y$40&gt;0,$W$27/$Y$40,0)</f>
        <v>0</v>
      </c>
      <c r="Y108" s="737">
        <f>IF($Y$40&gt;1,$W$27/$Y$40,0)</f>
        <v>0</v>
      </c>
    </row>
    <row r="109" spans="2:25" x14ac:dyDescent="0.2">
      <c r="B109" s="683"/>
      <c r="D109" s="689">
        <f t="shared" si="22"/>
        <v>19</v>
      </c>
      <c r="E109" s="737"/>
      <c r="F109" s="737"/>
      <c r="G109" s="737"/>
      <c r="H109" s="737"/>
      <c r="I109" s="737"/>
      <c r="J109" s="737"/>
      <c r="K109" s="737"/>
      <c r="L109" s="737"/>
      <c r="M109" s="737"/>
      <c r="N109" s="737"/>
      <c r="O109" s="737"/>
      <c r="P109" s="737"/>
      <c r="Q109" s="737"/>
      <c r="R109" s="737"/>
      <c r="S109" s="737"/>
      <c r="T109" s="742"/>
      <c r="U109" s="737"/>
      <c r="V109" s="737"/>
      <c r="W109" s="737"/>
      <c r="X109" s="737"/>
      <c r="Y109" s="737">
        <f>IF($Y$40&gt;0,$X$27/$Y$40,0)</f>
        <v>0</v>
      </c>
    </row>
    <row r="110" spans="2:25" x14ac:dyDescent="0.2">
      <c r="B110" s="683"/>
      <c r="D110" s="689">
        <f t="shared" si="22"/>
        <v>20</v>
      </c>
      <c r="E110" s="737"/>
      <c r="F110" s="737"/>
      <c r="G110" s="737"/>
      <c r="H110" s="737"/>
      <c r="I110" s="737"/>
      <c r="J110" s="737"/>
      <c r="K110" s="737"/>
      <c r="L110" s="737"/>
      <c r="M110" s="737"/>
      <c r="N110" s="737"/>
      <c r="O110" s="737"/>
      <c r="P110" s="737"/>
      <c r="Q110" s="737"/>
      <c r="R110" s="737"/>
      <c r="S110" s="737"/>
      <c r="T110" s="742"/>
      <c r="U110" s="737"/>
      <c r="V110" s="737"/>
      <c r="W110" s="737"/>
      <c r="X110" s="737"/>
      <c r="Y110" s="737"/>
    </row>
    <row r="111" spans="2:25" x14ac:dyDescent="0.2">
      <c r="B111" s="683"/>
      <c r="E111" s="737"/>
      <c r="F111" s="737"/>
      <c r="G111" s="737"/>
      <c r="H111" s="737"/>
      <c r="I111" s="737"/>
      <c r="J111" s="737"/>
      <c r="K111" s="737"/>
      <c r="L111" s="737"/>
      <c r="M111" s="737"/>
      <c r="N111" s="737"/>
      <c r="O111" s="737"/>
      <c r="P111" s="737">
        <f>IF($Y$41&gt;0,$W$27/$Y$41,0)</f>
        <v>0</v>
      </c>
      <c r="Q111" s="737"/>
      <c r="R111" s="737"/>
      <c r="S111" s="737"/>
      <c r="T111" s="742"/>
      <c r="U111" s="737"/>
      <c r="V111" s="737"/>
      <c r="W111" s="737"/>
      <c r="X111" s="737"/>
      <c r="Y111" s="737"/>
    </row>
    <row r="112" spans="2:25" x14ac:dyDescent="0.2">
      <c r="B112" s="683"/>
      <c r="C112" s="681" t="s">
        <v>718</v>
      </c>
      <c r="E112" s="737"/>
      <c r="F112" s="737">
        <f t="shared" ref="F112:Y112" si="23">SUM(F68:F111)</f>
        <v>0</v>
      </c>
      <c r="G112" s="737">
        <f t="shared" si="23"/>
        <v>262.50000000000006</v>
      </c>
      <c r="H112" s="737">
        <f t="shared" si="23"/>
        <v>675</v>
      </c>
      <c r="I112" s="737">
        <f t="shared" si="23"/>
        <v>750</v>
      </c>
      <c r="J112" s="737">
        <f t="shared" si="23"/>
        <v>750</v>
      </c>
      <c r="K112" s="737">
        <f t="shared" si="23"/>
        <v>750</v>
      </c>
      <c r="L112" s="737">
        <f t="shared" si="23"/>
        <v>750</v>
      </c>
      <c r="M112" s="737">
        <f t="shared" si="23"/>
        <v>750</v>
      </c>
      <c r="N112" s="737">
        <f t="shared" si="23"/>
        <v>750</v>
      </c>
      <c r="O112" s="737">
        <f t="shared" si="23"/>
        <v>750</v>
      </c>
      <c r="P112" s="737">
        <f t="shared" si="23"/>
        <v>750</v>
      </c>
      <c r="Q112" s="737">
        <f t="shared" si="23"/>
        <v>750</v>
      </c>
      <c r="R112" s="737">
        <f t="shared" si="23"/>
        <v>750</v>
      </c>
      <c r="S112" s="737">
        <f t="shared" si="23"/>
        <v>487.49999999999994</v>
      </c>
      <c r="T112" s="737">
        <f t="shared" si="23"/>
        <v>75</v>
      </c>
      <c r="U112" s="737">
        <f t="shared" si="23"/>
        <v>0</v>
      </c>
      <c r="V112" s="737">
        <f t="shared" si="23"/>
        <v>0</v>
      </c>
      <c r="W112" s="737">
        <f t="shared" si="23"/>
        <v>0</v>
      </c>
      <c r="X112" s="737">
        <f t="shared" si="23"/>
        <v>0</v>
      </c>
      <c r="Y112" s="737">
        <f t="shared" si="23"/>
        <v>0</v>
      </c>
    </row>
    <row r="113" spans="2:25" x14ac:dyDescent="0.2">
      <c r="B113" s="683"/>
      <c r="E113" s="737"/>
      <c r="F113" s="737"/>
      <c r="G113" s="737"/>
      <c r="H113" s="737"/>
      <c r="I113" s="737"/>
      <c r="J113" s="737"/>
      <c r="K113" s="737"/>
      <c r="L113" s="737"/>
      <c r="M113" s="737"/>
      <c r="N113" s="737"/>
      <c r="O113" s="737"/>
      <c r="P113" s="737"/>
      <c r="Q113" s="737"/>
      <c r="R113" s="737"/>
      <c r="S113" s="737"/>
      <c r="T113" s="742"/>
      <c r="U113" s="737"/>
      <c r="V113" s="737"/>
      <c r="W113" s="737"/>
      <c r="X113" s="737"/>
      <c r="Y113" s="737"/>
    </row>
    <row r="114" spans="2:25" x14ac:dyDescent="0.2">
      <c r="B114" s="683"/>
      <c r="C114" s="743"/>
      <c r="E114" s="737"/>
      <c r="F114" s="737"/>
      <c r="G114" s="737"/>
      <c r="H114" s="737"/>
      <c r="I114" s="737"/>
      <c r="J114" s="737"/>
      <c r="K114" s="737"/>
      <c r="L114" s="737"/>
      <c r="M114" s="737"/>
      <c r="N114" s="737"/>
      <c r="O114" s="737"/>
      <c r="P114" s="737"/>
      <c r="Q114" s="737"/>
      <c r="R114" s="737"/>
      <c r="S114" s="737"/>
      <c r="T114" s="742"/>
      <c r="U114" s="737"/>
      <c r="V114" s="737"/>
      <c r="W114" s="737"/>
      <c r="X114" s="737"/>
      <c r="Y114" s="737"/>
    </row>
    <row r="115" spans="2:25" x14ac:dyDescent="0.2">
      <c r="B115" s="1386"/>
      <c r="C115" s="1386"/>
      <c r="E115" s="737"/>
      <c r="F115" s="737"/>
      <c r="G115" s="737"/>
      <c r="H115" s="737"/>
      <c r="I115" s="737"/>
      <c r="J115" s="737"/>
      <c r="K115" s="737"/>
      <c r="L115" s="737"/>
      <c r="M115" s="737"/>
      <c r="N115" s="737"/>
      <c r="O115" s="737"/>
      <c r="P115" s="737"/>
      <c r="Q115" s="737"/>
      <c r="R115" s="737"/>
      <c r="S115" s="737"/>
      <c r="T115" s="742"/>
      <c r="U115" s="737"/>
      <c r="V115" s="737"/>
      <c r="W115" s="737"/>
      <c r="X115" s="737"/>
      <c r="Y115" s="737"/>
    </row>
    <row r="116" spans="2:25" x14ac:dyDescent="0.2">
      <c r="B116" s="1385"/>
      <c r="C116" s="1385"/>
      <c r="E116" s="737"/>
      <c r="F116" s="737"/>
      <c r="G116" s="737"/>
      <c r="H116" s="737"/>
      <c r="I116" s="737"/>
      <c r="J116" s="737"/>
      <c r="K116" s="737"/>
      <c r="L116" s="737"/>
      <c r="M116" s="737"/>
      <c r="N116" s="737"/>
      <c r="O116" s="737"/>
      <c r="P116" s="737"/>
      <c r="Q116" s="737"/>
      <c r="R116" s="737"/>
      <c r="S116" s="737"/>
      <c r="T116" s="742"/>
      <c r="U116" s="737"/>
      <c r="V116" s="737"/>
      <c r="W116" s="737"/>
      <c r="X116" s="737"/>
      <c r="Y116" s="737"/>
    </row>
    <row r="117" spans="2:25" ht="12" thickBot="1" x14ac:dyDescent="0.25"/>
    <row r="118" spans="2:25" ht="15" x14ac:dyDescent="0.2">
      <c r="B118" s="796"/>
      <c r="C118" s="797" t="s">
        <v>38</v>
      </c>
      <c r="D118" s="798"/>
    </row>
    <row r="119" spans="2:25" x14ac:dyDescent="0.2">
      <c r="B119" s="799"/>
      <c r="C119" s="693"/>
      <c r="D119" s="800"/>
    </row>
    <row r="120" spans="2:25" x14ac:dyDescent="0.2">
      <c r="B120" s="801" t="s">
        <v>39</v>
      </c>
      <c r="C120" s="693"/>
      <c r="D120" s="802">
        <f>AVERAGE(U30:Y30)</f>
        <v>0</v>
      </c>
    </row>
    <row r="121" spans="2:25" x14ac:dyDescent="0.2">
      <c r="B121" s="801" t="s">
        <v>40</v>
      </c>
      <c r="C121" s="693"/>
      <c r="D121" s="803">
        <v>10</v>
      </c>
    </row>
    <row r="122" spans="2:25" x14ac:dyDescent="0.2">
      <c r="B122" s="799" t="s">
        <v>41</v>
      </c>
      <c r="C122" s="693"/>
      <c r="D122" s="804">
        <v>0.02</v>
      </c>
    </row>
    <row r="123" spans="2:25" x14ac:dyDescent="0.2">
      <c r="B123" s="799"/>
      <c r="C123" s="693"/>
      <c r="D123" s="800"/>
    </row>
    <row r="124" spans="2:25" x14ac:dyDescent="0.2">
      <c r="B124" s="805" t="str">
        <f>"Flux de liquidation en " &amp; B7</f>
        <v>Flux de liquidation en k€</v>
      </c>
      <c r="C124" s="693"/>
      <c r="D124" s="800"/>
    </row>
    <row r="125" spans="2:25" x14ac:dyDescent="0.2">
      <c r="B125" s="799"/>
      <c r="C125" s="693"/>
      <c r="D125" s="800"/>
    </row>
    <row r="126" spans="2:25" x14ac:dyDescent="0.2">
      <c r="B126" s="806" t="s">
        <v>42</v>
      </c>
      <c r="C126" s="693"/>
      <c r="D126" s="807"/>
    </row>
    <row r="127" spans="2:25" x14ac:dyDescent="0.2">
      <c r="B127" s="806" t="s">
        <v>43</v>
      </c>
      <c r="C127" s="693"/>
      <c r="D127" s="807"/>
    </row>
    <row r="128" spans="2:25" x14ac:dyDescent="0.2">
      <c r="B128" s="806" t="s">
        <v>44</v>
      </c>
      <c r="C128" s="693"/>
      <c r="D128" s="807"/>
    </row>
    <row r="129" spans="2:4" x14ac:dyDescent="0.2">
      <c r="B129" s="806" t="s">
        <v>45</v>
      </c>
      <c r="C129" s="693"/>
      <c r="D129" s="807"/>
    </row>
    <row r="130" spans="2:4" x14ac:dyDescent="0.2">
      <c r="B130" s="806" t="s">
        <v>46</v>
      </c>
      <c r="C130" s="693"/>
      <c r="D130" s="807"/>
    </row>
    <row r="131" spans="2:4" x14ac:dyDescent="0.2">
      <c r="B131" s="806" t="s">
        <v>47</v>
      </c>
      <c r="C131" s="693"/>
      <c r="D131" s="807">
        <f>D126+D127+D128-D129-D130</f>
        <v>0</v>
      </c>
    </row>
    <row r="132" spans="2:4" x14ac:dyDescent="0.2">
      <c r="B132" s="799"/>
      <c r="C132" s="693"/>
      <c r="D132" s="800"/>
    </row>
    <row r="133" spans="2:4" x14ac:dyDescent="0.2">
      <c r="B133" s="799"/>
      <c r="C133" s="693"/>
      <c r="D133" s="800"/>
    </row>
    <row r="134" spans="2:4" ht="12" thickBot="1" x14ac:dyDescent="0.25">
      <c r="B134" s="808" t="s">
        <v>48</v>
      </c>
      <c r="C134" s="809"/>
      <c r="D134" s="810">
        <f>D120/(E40-D122)*(1+D122)*(1-1/(1+E40)^D121)+D131/(1+E40)^(1+D121)</f>
        <v>0</v>
      </c>
    </row>
  </sheetData>
  <mergeCells count="35">
    <mergeCell ref="U49:Y49"/>
    <mergeCell ref="B115:C115"/>
    <mergeCell ref="B116:C116"/>
    <mergeCell ref="S39:W39"/>
    <mergeCell ref="X39:Y39"/>
    <mergeCell ref="O40:P40"/>
    <mergeCell ref="S46:W46"/>
    <mergeCell ref="S47:W47"/>
    <mergeCell ref="U48:Y48"/>
    <mergeCell ref="D37:E37"/>
    <mergeCell ref="S37:W37"/>
    <mergeCell ref="X37:Y37"/>
    <mergeCell ref="F38:G38"/>
    <mergeCell ref="S38:W38"/>
    <mergeCell ref="X38:Y38"/>
    <mergeCell ref="A15:A22"/>
    <mergeCell ref="A23:A25"/>
    <mergeCell ref="A26:A29"/>
    <mergeCell ref="S35:W35"/>
    <mergeCell ref="X35:Y35"/>
    <mergeCell ref="S36:W36"/>
    <mergeCell ref="X36:Y36"/>
    <mergeCell ref="X5:Y5"/>
    <mergeCell ref="B6:C6"/>
    <mergeCell ref="U6:W6"/>
    <mergeCell ref="X6:Y6"/>
    <mergeCell ref="B7:C7"/>
    <mergeCell ref="A12:A14"/>
    <mergeCell ref="A1:P1"/>
    <mergeCell ref="B3:C3"/>
    <mergeCell ref="U3:W3"/>
    <mergeCell ref="B4:C4"/>
    <mergeCell ref="U4:W4"/>
    <mergeCell ref="B5:C5"/>
    <mergeCell ref="U5:W5"/>
  </mergeCells>
  <printOptions horizontalCentered="1" verticalCentered="1"/>
  <pageMargins left="0.39370078740157483" right="0.39370078740157483" top="0.39370078740157483" bottom="0.39370078740157483" header="0.39370078740157483" footer="0.39370078740157483"/>
  <pageSetup paperSize="9" scale="96" orientation="landscape" horizontalDpi="300"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E28"/>
  <sheetViews>
    <sheetView workbookViewId="0">
      <selection activeCell="G23" sqref="G23"/>
    </sheetView>
  </sheetViews>
  <sheetFormatPr baseColWidth="10" defaultRowHeight="12.75" x14ac:dyDescent="0.2"/>
  <cols>
    <col min="1" max="1" width="25.5703125" bestFit="1" customWidth="1"/>
    <col min="2" max="2" width="19.140625" customWidth="1"/>
    <col min="3" max="3" width="17.140625" customWidth="1"/>
    <col min="4" max="4" width="15.7109375" style="43" customWidth="1"/>
    <col min="5" max="5" width="15.28515625" style="43" customWidth="1"/>
  </cols>
  <sheetData>
    <row r="1" spans="1:5" x14ac:dyDescent="0.2">
      <c r="A1" s="137" t="s">
        <v>1230</v>
      </c>
    </row>
    <row r="6" spans="1:5" x14ac:dyDescent="0.2">
      <c r="A6" s="971" t="s">
        <v>1225</v>
      </c>
      <c r="B6" s="970" t="s">
        <v>624</v>
      </c>
      <c r="C6" s="970" t="s">
        <v>1235</v>
      </c>
      <c r="D6" s="970" t="s">
        <v>1246</v>
      </c>
      <c r="E6" s="970" t="s">
        <v>1250</v>
      </c>
    </row>
    <row r="7" spans="1:5" x14ac:dyDescent="0.2">
      <c r="A7" s="967" t="s">
        <v>1236</v>
      </c>
      <c r="B7" s="16">
        <v>56.92</v>
      </c>
      <c r="C7" s="51">
        <v>47.423500000000004</v>
      </c>
      <c r="D7" s="51">
        <v>47.423500000000004</v>
      </c>
      <c r="E7" s="51">
        <v>47.423500000000004</v>
      </c>
    </row>
    <row r="8" spans="1:5" x14ac:dyDescent="0.2">
      <c r="A8" s="967" t="s">
        <v>1232</v>
      </c>
      <c r="B8" s="968"/>
      <c r="C8" s="16">
        <v>16.5</v>
      </c>
      <c r="D8" s="969">
        <v>20.11</v>
      </c>
      <c r="E8" s="969">
        <v>13</v>
      </c>
    </row>
    <row r="9" spans="1:5" x14ac:dyDescent="0.2">
      <c r="A9" s="967" t="s">
        <v>1238</v>
      </c>
      <c r="B9" s="16">
        <v>5.75</v>
      </c>
      <c r="C9" s="16">
        <v>5.75</v>
      </c>
      <c r="D9" s="16">
        <v>5.75</v>
      </c>
      <c r="E9" s="16">
        <v>5.75</v>
      </c>
    </row>
    <row r="10" spans="1:5" x14ac:dyDescent="0.2">
      <c r="A10" s="967" t="s">
        <v>1239</v>
      </c>
      <c r="B10" s="16">
        <v>5.75</v>
      </c>
      <c r="C10" s="16">
        <v>5.75</v>
      </c>
      <c r="D10" s="16">
        <v>5.75</v>
      </c>
      <c r="E10" s="16">
        <v>5.75</v>
      </c>
    </row>
    <row r="11" spans="1:5" x14ac:dyDescent="0.2">
      <c r="A11" s="967" t="s">
        <v>1240</v>
      </c>
      <c r="B11" s="16">
        <v>11.5</v>
      </c>
      <c r="C11" s="16">
        <v>11.5</v>
      </c>
      <c r="D11" s="16">
        <v>11.5</v>
      </c>
      <c r="E11" s="16">
        <v>11.5</v>
      </c>
    </row>
    <row r="12" spans="1:5" x14ac:dyDescent="0.2">
      <c r="A12" s="967" t="s">
        <v>1237</v>
      </c>
      <c r="B12" s="16">
        <v>50.45</v>
      </c>
      <c r="C12" s="16">
        <v>39.74</v>
      </c>
      <c r="D12" s="16">
        <v>40.94</v>
      </c>
      <c r="E12" s="16">
        <v>38.53</v>
      </c>
    </row>
    <row r="13" spans="1:5" x14ac:dyDescent="0.2">
      <c r="A13" s="967" t="s">
        <v>1243</v>
      </c>
      <c r="B13" s="16">
        <v>10.25</v>
      </c>
      <c r="C13" s="51">
        <v>8</v>
      </c>
      <c r="D13" s="16">
        <v>8.25</v>
      </c>
      <c r="E13" s="16">
        <v>7.76</v>
      </c>
    </row>
    <row r="14" spans="1:5" x14ac:dyDescent="0.2">
      <c r="A14" s="967" t="s">
        <v>816</v>
      </c>
      <c r="B14" s="44">
        <v>0.154</v>
      </c>
      <c r="C14" s="44">
        <v>0.158</v>
      </c>
      <c r="D14" s="44">
        <v>0.154</v>
      </c>
      <c r="E14" s="44">
        <v>0.16200000000000001</v>
      </c>
    </row>
    <row r="15" spans="1:5" x14ac:dyDescent="0.2">
      <c r="A15" s="967" t="s">
        <v>1231</v>
      </c>
      <c r="B15" s="966" t="s">
        <v>1242</v>
      </c>
      <c r="C15" s="966" t="s">
        <v>1241</v>
      </c>
      <c r="D15" s="966" t="s">
        <v>1242</v>
      </c>
      <c r="E15" s="966" t="s">
        <v>1251</v>
      </c>
    </row>
    <row r="16" spans="1:5" x14ac:dyDescent="0.2">
      <c r="A16" s="967" t="s">
        <v>1247</v>
      </c>
      <c r="B16" s="966">
        <v>-4.9000000000000004</v>
      </c>
      <c r="C16" s="966">
        <v>-0.9</v>
      </c>
      <c r="D16" s="16">
        <v>-2.2999999999999998</v>
      </c>
      <c r="E16" s="16">
        <v>0.5</v>
      </c>
    </row>
    <row r="17" spans="1:5" x14ac:dyDescent="0.2">
      <c r="A17" s="967" t="s">
        <v>1248</v>
      </c>
      <c r="B17" s="966">
        <v>23.5</v>
      </c>
      <c r="C17" s="966">
        <v>25.1</v>
      </c>
      <c r="D17" s="16">
        <v>23.2</v>
      </c>
      <c r="E17" s="51">
        <v>27</v>
      </c>
    </row>
    <row r="18" spans="1:5" x14ac:dyDescent="0.2">
      <c r="A18" s="964"/>
      <c r="B18" s="849"/>
      <c r="C18" s="849"/>
    </row>
    <row r="19" spans="1:5" x14ac:dyDescent="0.2">
      <c r="A19" s="971" t="s">
        <v>1234</v>
      </c>
      <c r="D19"/>
      <c r="E19"/>
    </row>
    <row r="20" spans="1:5" x14ac:dyDescent="0.2">
      <c r="A20" s="967" t="s">
        <v>1236</v>
      </c>
      <c r="B20" s="968"/>
      <c r="C20" s="16">
        <v>9.5</v>
      </c>
      <c r="D20" s="16">
        <v>9.5</v>
      </c>
      <c r="E20" s="16">
        <v>9.5</v>
      </c>
    </row>
    <row r="21" spans="1:5" x14ac:dyDescent="0.2">
      <c r="A21" s="967" t="s">
        <v>816</v>
      </c>
      <c r="B21" s="968"/>
      <c r="C21" s="44">
        <v>0.124</v>
      </c>
      <c r="D21" s="44">
        <v>0.153</v>
      </c>
      <c r="E21" s="117">
        <v>9.1999999999999998E-2</v>
      </c>
    </row>
    <row r="22" spans="1:5" x14ac:dyDescent="0.2">
      <c r="A22" s="967" t="s">
        <v>1231</v>
      </c>
      <c r="B22" s="968"/>
      <c r="C22" s="966" t="s">
        <v>1244</v>
      </c>
      <c r="D22" s="966" t="s">
        <v>1244</v>
      </c>
      <c r="E22" s="966" t="s">
        <v>1244</v>
      </c>
    </row>
    <row r="23" spans="1:5" x14ac:dyDescent="0.2">
      <c r="B23" s="43"/>
      <c r="C23" s="43"/>
    </row>
    <row r="24" spans="1:5" x14ac:dyDescent="0.2">
      <c r="A24" s="971" t="s">
        <v>1233</v>
      </c>
      <c r="D24"/>
      <c r="E24"/>
    </row>
    <row r="25" spans="1:5" x14ac:dyDescent="0.2">
      <c r="A25" s="967" t="s">
        <v>1236</v>
      </c>
      <c r="B25" s="968"/>
      <c r="C25" s="16">
        <v>9.5</v>
      </c>
      <c r="D25" s="16">
        <v>9.5</v>
      </c>
      <c r="E25" s="16">
        <v>9.5</v>
      </c>
    </row>
    <row r="26" spans="1:5" x14ac:dyDescent="0.2">
      <c r="A26" s="967" t="s">
        <v>816</v>
      </c>
      <c r="B26" s="968"/>
      <c r="C26" s="44">
        <v>0.13400000000000001</v>
      </c>
      <c r="D26" s="44">
        <v>0.158</v>
      </c>
      <c r="E26" s="44">
        <v>0.108</v>
      </c>
    </row>
    <row r="27" spans="1:5" x14ac:dyDescent="0.2">
      <c r="A27" s="967" t="s">
        <v>1231</v>
      </c>
      <c r="B27" s="968"/>
      <c r="C27" s="966" t="s">
        <v>1245</v>
      </c>
      <c r="D27" s="966" t="s">
        <v>1249</v>
      </c>
      <c r="E27" s="966" t="s">
        <v>1252</v>
      </c>
    </row>
    <row r="28" spans="1:5" x14ac:dyDescent="0.2">
      <c r="C28" s="4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00B050"/>
    <pageSetUpPr fitToPage="1"/>
  </sheetPr>
  <dimension ref="A1:Y64"/>
  <sheetViews>
    <sheetView zoomScale="110" workbookViewId="0">
      <pane xSplit="1" ySplit="1" topLeftCell="B2" activePane="bottomRight" state="frozenSplit"/>
      <selection activeCell="J64" sqref="J64"/>
      <selection pane="topRight" activeCell="J64" sqref="J64"/>
      <selection pane="bottomLeft" activeCell="J64" sqref="J64"/>
      <selection pane="bottomRight" activeCell="E60" sqref="E60"/>
    </sheetView>
  </sheetViews>
  <sheetFormatPr baseColWidth="10" defaultRowHeight="12.75" x14ac:dyDescent="0.2"/>
  <cols>
    <col min="1" max="1" width="34.140625" customWidth="1"/>
    <col min="2" max="6" width="17" customWidth="1"/>
    <col min="7" max="11" width="17.42578125" customWidth="1"/>
    <col min="23" max="23" width="13.42578125" bestFit="1" customWidth="1"/>
  </cols>
  <sheetData>
    <row r="1" spans="1:24" ht="29.25" customHeight="1" thickTop="1" thickBot="1" x14ac:dyDescent="0.25">
      <c r="A1" s="427" t="s">
        <v>953</v>
      </c>
      <c r="B1" s="411" t="s">
        <v>1460</v>
      </c>
      <c r="C1" s="192" t="s">
        <v>1461</v>
      </c>
      <c r="D1" s="192" t="s">
        <v>1462</v>
      </c>
      <c r="E1" s="192" t="s">
        <v>1463</v>
      </c>
      <c r="F1" s="192" t="s">
        <v>1464</v>
      </c>
      <c r="G1" s="192" t="s">
        <v>1465</v>
      </c>
      <c r="H1" s="192" t="s">
        <v>1466</v>
      </c>
      <c r="I1" s="192" t="s">
        <v>1467</v>
      </c>
      <c r="J1" s="440" t="s">
        <v>1468</v>
      </c>
      <c r="K1" s="440" t="s">
        <v>1469</v>
      </c>
      <c r="L1" s="440" t="s">
        <v>1470</v>
      </c>
      <c r="M1" s="440" t="s">
        <v>1471</v>
      </c>
      <c r="N1" s="440" t="s">
        <v>1472</v>
      </c>
      <c r="O1" s="440" t="s">
        <v>1473</v>
      </c>
      <c r="P1" s="440" t="s">
        <v>1474</v>
      </c>
      <c r="Q1" s="440" t="s">
        <v>1475</v>
      </c>
      <c r="R1" s="440" t="s">
        <v>1476</v>
      </c>
      <c r="S1" s="440" t="s">
        <v>1477</v>
      </c>
      <c r="T1" s="440" t="s">
        <v>1478</v>
      </c>
      <c r="U1" s="440" t="s">
        <v>1479</v>
      </c>
      <c r="V1" s="193" t="s">
        <v>1480</v>
      </c>
    </row>
    <row r="2" spans="1:24" ht="21" customHeight="1" thickTop="1" x14ac:dyDescent="0.2">
      <c r="A2" s="1"/>
      <c r="B2" s="2"/>
      <c r="C2" s="2"/>
      <c r="D2" s="2"/>
      <c r="E2" s="2"/>
      <c r="F2" s="2"/>
      <c r="G2" s="2"/>
      <c r="H2" s="2"/>
      <c r="I2" s="2"/>
      <c r="J2" s="441"/>
      <c r="K2" s="441"/>
      <c r="L2" s="441"/>
      <c r="M2" s="441"/>
      <c r="N2" s="441"/>
      <c r="O2" s="441"/>
      <c r="P2" s="441"/>
      <c r="Q2" s="441"/>
      <c r="R2" s="441"/>
      <c r="S2" s="441"/>
      <c r="T2" s="441"/>
      <c r="U2" s="441"/>
      <c r="V2" s="680"/>
    </row>
    <row r="3" spans="1:24" ht="21" customHeight="1" x14ac:dyDescent="0.2">
      <c r="A3" s="3" t="s">
        <v>932</v>
      </c>
      <c r="B3" s="96">
        <f>'Para de décalage'!B23*'Exploitation année pleine'!B3</f>
        <v>1508177.0916400589</v>
      </c>
      <c r="C3" s="96">
        <f>'Para de décalage'!C26*'Exploitation année pleine'!B3+'Para de décalage'!C23*'Exploitation année pleine'!C3</f>
        <v>15600602.903834956</v>
      </c>
      <c r="D3" s="96">
        <f>'Para de décalage'!D26*'Exploitation année pleine'!C3+'Para de décalage'!D23*'Exploitation année pleine'!D3</f>
        <v>24546576.190663636</v>
      </c>
      <c r="E3" s="96">
        <f>'Para de décalage'!E26*'Exploitation année pleine'!D3+'Para de décalage'!E23*'Exploitation année pleine'!E3</f>
        <v>37947814.553180665</v>
      </c>
      <c r="F3" s="96">
        <f>'Para de décalage'!F26*'Exploitation année pleine'!E3+'Para de décalage'!F23*'Exploitation année pleine'!F3</f>
        <v>47968010.187921666</v>
      </c>
      <c r="G3" s="96">
        <f>'Para de décalage'!G26*'Exploitation année pleine'!F3+'Para de décalage'!G23*'Exploitation année pleine'!G3</f>
        <v>56236292.151528887</v>
      </c>
      <c r="H3" s="96">
        <f>'Para de décalage'!H26*'Exploitation année pleine'!G3+'Para de décalage'!H23*'Exploitation année pleine'!H3</f>
        <v>56739713.20062308</v>
      </c>
      <c r="I3" s="96">
        <f>'Para de décalage'!I26*'Exploitation année pleine'!H3+'Para de décalage'!I23*'Exploitation année pleine'!I3</f>
        <v>57093420.773875006</v>
      </c>
      <c r="J3" s="96">
        <f>Scénario!I2*1000/'Données gestion'!K9+'Données PAMCHR'!K239+'Données VAR'!K110</f>
        <v>57160386.565884449</v>
      </c>
      <c r="K3" s="96">
        <f>Scénario!J2*1000/'Données gestion'!L9+'Données PAMCHR'!L239+'Données VAR'!L110</f>
        <v>57492493.947117828</v>
      </c>
      <c r="L3" s="96">
        <f>Scénario!K2*1000/'Données gestion'!M9+'Données PAMCHR'!M239+'Données VAR'!M110</f>
        <v>57492493.947117828</v>
      </c>
      <c r="M3" s="96">
        <f>Scénario!L2*1000/'Données gestion'!N9+'Données PAMCHR'!N239+'Données VAR'!N110</f>
        <v>57492493.947117828</v>
      </c>
      <c r="N3" s="96">
        <f>Scénario!M2*1000/'Données gestion'!O9+'Données PAMCHR'!O239+'Données VAR'!O110</f>
        <v>57492493.947117828</v>
      </c>
      <c r="O3" s="96">
        <f>Scénario!N2*1000/'Données gestion'!P9+'Données PAMCHR'!P239+'Données VAR'!P110</f>
        <v>57492493.947117828</v>
      </c>
      <c r="P3" s="96">
        <f>Scénario!O2*1000/'Données gestion'!Q9+'Données PAMCHR'!Q239+'Données VAR'!Q110</f>
        <v>57492493.947117828</v>
      </c>
      <c r="Q3" s="96">
        <f>Scénario!P2*1000/'Données gestion'!R9+'Données PAMCHR'!R239+'Données VAR'!R110</f>
        <v>57492493.947117828</v>
      </c>
      <c r="R3" s="96">
        <f>Scénario!Q2*1000/'Données gestion'!S9+'Données PAMCHR'!S239+'Données VAR'!S110</f>
        <v>57492493.947117828</v>
      </c>
      <c r="S3" s="96">
        <f>Scénario!R2*1000/'Données gestion'!T9+'Données PAMCHR'!T239+'Données VAR'!T110</f>
        <v>57492493.947117828</v>
      </c>
      <c r="T3" s="96">
        <f>Scénario!S2*1000/'Données gestion'!U9+'Données PAMCHR'!U239+'Données VAR'!U110</f>
        <v>57492493.947117828</v>
      </c>
      <c r="U3" s="96">
        <f>Scénario!T2*1000/'Données gestion'!V9+'Données PAMCHR'!V239+'Données VAR'!V110</f>
        <v>57492493.947117828</v>
      </c>
      <c r="V3" s="181">
        <f>Scénario!U2*1000/'Données gestion'!W9+'Données PAMCHR'!W239+'Données VAR'!W110</f>
        <v>57492493.947117828</v>
      </c>
      <c r="W3" s="333"/>
      <c r="X3" s="333"/>
    </row>
    <row r="4" spans="1:24" ht="21" customHeight="1" x14ac:dyDescent="0.2">
      <c r="A4" s="3" t="s">
        <v>933</v>
      </c>
      <c r="B4" s="4"/>
      <c r="C4" s="4"/>
      <c r="D4" s="4"/>
      <c r="E4" s="4"/>
      <c r="F4" s="4"/>
      <c r="G4" s="4"/>
      <c r="H4" s="4"/>
      <c r="I4" s="4"/>
      <c r="J4" s="443"/>
      <c r="K4" s="443"/>
      <c r="L4" s="443"/>
      <c r="M4" s="443"/>
      <c r="N4" s="443"/>
      <c r="O4" s="443"/>
      <c r="P4" s="443"/>
      <c r="Q4" s="443"/>
      <c r="R4" s="443"/>
      <c r="S4" s="443"/>
      <c r="T4" s="443"/>
      <c r="U4" s="443"/>
      <c r="V4" s="680"/>
    </row>
    <row r="5" spans="1:24" ht="21" customHeight="1" x14ac:dyDescent="0.2">
      <c r="A5" s="3" t="s">
        <v>18</v>
      </c>
      <c r="B5" s="98">
        <f>'Para de décalage'!B23*'Exploitation année pleine'!B5</f>
        <v>142925.28343361852</v>
      </c>
      <c r="C5" s="98">
        <f>'Para de décalage'!C26*'Exploitation année pleine'!B5+'Para de décalage'!C23*'Exploitation année pleine'!C5</f>
        <v>561782.27019864961</v>
      </c>
      <c r="D5" s="98">
        <f>'Para de décalage'!D26*'Exploitation année pleine'!C5+'Para de décalage'!D23*'Exploitation année pleine'!D5</f>
        <v>698679.274207882</v>
      </c>
      <c r="E5" s="98">
        <f>'Para de décalage'!E26*'Exploitation année pleine'!D5+'Para de décalage'!E23*'Exploitation année pleine'!E5</f>
        <v>813323.01417668175</v>
      </c>
      <c r="F5" s="98">
        <f>'Para de décalage'!F26*'Exploitation année pleine'!E5+'Para de décalage'!F23*'Exploitation année pleine'!F5</f>
        <v>712702.38459580834</v>
      </c>
      <c r="G5" s="98">
        <f>'Para de décalage'!G26*'Exploitation année pleine'!F5+'Para de décalage'!G23*'Exploitation année pleine'!G5</f>
        <v>726084.23978516599</v>
      </c>
      <c r="H5" s="98">
        <f>'Para de décalage'!H26*'Exploitation année pleine'!G5+'Para de décalage'!H23*'Exploitation année pleine'!H5</f>
        <v>726084.23978516599</v>
      </c>
      <c r="I5" s="98">
        <f>'Para de décalage'!I26*'Exploitation année pleine'!H5+'Para de décalage'!I23*'Exploitation année pleine'!I5</f>
        <v>726084.24813930318</v>
      </c>
      <c r="J5" s="98">
        <f>'Données PAMCHR'!L62+'Données PAMCHR'!L72+'Données VAR'!L70+'Données VAR'!L72+'Données VAR'!L74</f>
        <v>726084.23978516599</v>
      </c>
      <c r="K5" s="98">
        <f>'Données PAMCHR'!M62+'Données PAMCHR'!M72+'Données VAR'!M70+'Données VAR'!M72+'Données VAR'!M74</f>
        <v>726084.23978516599</v>
      </c>
      <c r="L5" s="98">
        <f>'Données PAMCHR'!N62+'Données PAMCHR'!N72+'Données VAR'!N70+'Données VAR'!N72+'Données VAR'!N74</f>
        <v>726084.23978516599</v>
      </c>
      <c r="M5" s="98">
        <f>'Données PAMCHR'!O62+'Données PAMCHR'!O72+'Données VAR'!O70+'Données VAR'!O72+'Données VAR'!O74</f>
        <v>726084.23978516599</v>
      </c>
      <c r="N5" s="98">
        <f>'Données PAMCHR'!P62+'Données PAMCHR'!P72+'Données VAR'!P70+'Données VAR'!P72+'Données VAR'!P74</f>
        <v>726084.23978516599</v>
      </c>
      <c r="O5" s="98">
        <f>'Données PAMCHR'!Q62+'Données PAMCHR'!Q72+'Données VAR'!Q70+'Données VAR'!Q72+'Données VAR'!Q74</f>
        <v>726084.23978516599</v>
      </c>
      <c r="P5" s="98">
        <f>'Données PAMCHR'!R62+'Données PAMCHR'!R72+'Données VAR'!R70+'Données VAR'!R72+'Données VAR'!R74</f>
        <v>726084.23978516599</v>
      </c>
      <c r="Q5" s="98">
        <f>'Données PAMCHR'!S62+'Données PAMCHR'!S72+'Données VAR'!S70+'Données VAR'!S72+'Données VAR'!S74</f>
        <v>726084.23978516599</v>
      </c>
      <c r="R5" s="98">
        <f>'Données PAMCHR'!T62+'Données PAMCHR'!T72+'Données VAR'!T70+'Données VAR'!T72+'Données VAR'!T74</f>
        <v>726084.23978516599</v>
      </c>
      <c r="S5" s="98">
        <f>'Données PAMCHR'!U62+'Données PAMCHR'!U72+'Données VAR'!U70+'Données VAR'!U72+'Données VAR'!U74</f>
        <v>726084.23978516599</v>
      </c>
      <c r="T5" s="98">
        <f>'Données PAMCHR'!V62+'Données PAMCHR'!V72+'Données VAR'!V70+'Données VAR'!V72+'Données VAR'!V74</f>
        <v>726084.23978516599</v>
      </c>
      <c r="U5" s="98">
        <f>'Données PAMCHR'!W62+'Données PAMCHR'!W72+'Données VAR'!W70+'Données VAR'!W72+'Données VAR'!W74</f>
        <v>726084.23978516599</v>
      </c>
      <c r="V5" s="384">
        <f>'Données PAMCHR'!X62+'Données PAMCHR'!X72+'Données VAR'!X70+'Données VAR'!X72+'Données VAR'!X74</f>
        <v>726084.23978516599</v>
      </c>
    </row>
    <row r="6" spans="1:24" ht="21" customHeight="1" x14ac:dyDescent="0.2">
      <c r="A6" s="3"/>
      <c r="B6" s="4"/>
      <c r="C6" s="4"/>
      <c r="D6" s="4"/>
      <c r="E6" s="4"/>
      <c r="F6" s="4"/>
      <c r="G6" s="4"/>
      <c r="H6" s="4"/>
      <c r="I6" s="4"/>
      <c r="J6" s="443"/>
      <c r="K6" s="443"/>
      <c r="L6" s="443"/>
      <c r="M6" s="443"/>
      <c r="N6" s="443"/>
      <c r="O6" s="443"/>
      <c r="P6" s="443"/>
      <c r="Q6" s="443"/>
      <c r="R6" s="443"/>
      <c r="S6" s="443"/>
      <c r="T6" s="443"/>
      <c r="U6" s="443"/>
      <c r="V6" s="680"/>
    </row>
    <row r="7" spans="1:24" ht="21" customHeight="1" x14ac:dyDescent="0.25">
      <c r="A7" s="5" t="s">
        <v>934</v>
      </c>
      <c r="B7" s="6">
        <f t="shared" ref="B7:V7" si="0">SUM(B3:B5)</f>
        <v>1651102.3750736774</v>
      </c>
      <c r="C7" s="6">
        <f t="shared" si="0"/>
        <v>16162385.174033605</v>
      </c>
      <c r="D7" s="6">
        <f t="shared" si="0"/>
        <v>25245255.464871518</v>
      </c>
      <c r="E7" s="6">
        <f t="shared" si="0"/>
        <v>38761137.567357346</v>
      </c>
      <c r="F7" s="6">
        <f t="shared" si="0"/>
        <v>48680712.572517477</v>
      </c>
      <c r="G7" s="6">
        <f t="shared" si="0"/>
        <v>56962376.391314052</v>
      </c>
      <c r="H7" s="6">
        <f t="shared" si="0"/>
        <v>57465797.440408245</v>
      </c>
      <c r="I7" s="6">
        <f t="shared" si="0"/>
        <v>57819505.022014305</v>
      </c>
      <c r="J7" s="6">
        <f t="shared" si="0"/>
        <v>57886470.805669613</v>
      </c>
      <c r="K7" s="6">
        <f t="shared" si="0"/>
        <v>58218578.186902992</v>
      </c>
      <c r="L7" s="6">
        <f t="shared" si="0"/>
        <v>58218578.186902992</v>
      </c>
      <c r="M7" s="6">
        <f t="shared" si="0"/>
        <v>58218578.186902992</v>
      </c>
      <c r="N7" s="6">
        <f t="shared" si="0"/>
        <v>58218578.186902992</v>
      </c>
      <c r="O7" s="6">
        <f t="shared" si="0"/>
        <v>58218578.186902992</v>
      </c>
      <c r="P7" s="6">
        <f t="shared" si="0"/>
        <v>58218578.186902992</v>
      </c>
      <c r="Q7" s="6">
        <f t="shared" si="0"/>
        <v>58218578.186902992</v>
      </c>
      <c r="R7" s="6">
        <f t="shared" si="0"/>
        <v>58218578.186902992</v>
      </c>
      <c r="S7" s="6">
        <f t="shared" si="0"/>
        <v>58218578.186902992</v>
      </c>
      <c r="T7" s="6">
        <f t="shared" si="0"/>
        <v>58218578.186902992</v>
      </c>
      <c r="U7" s="6">
        <f t="shared" si="0"/>
        <v>58218578.186902992</v>
      </c>
      <c r="V7" s="182">
        <f t="shared" si="0"/>
        <v>58218578.186902992</v>
      </c>
    </row>
    <row r="8" spans="1:24" ht="21" customHeight="1" thickBot="1" x14ac:dyDescent="0.25">
      <c r="A8" s="7" t="s">
        <v>209</v>
      </c>
      <c r="B8" s="121">
        <f>'Exploitation année pleine'!B8</f>
        <v>124.23205038221242</v>
      </c>
      <c r="C8" s="121">
        <f>'Exploitation année pleine'!C8</f>
        <v>1169.2428271267052</v>
      </c>
      <c r="D8" s="121">
        <f>'Exploitation année pleine'!D8</f>
        <v>1812.3263820463928</v>
      </c>
      <c r="E8" s="121">
        <f>'Exploitation année pleine'!E8</f>
        <v>2806.1827851040921</v>
      </c>
      <c r="F8" s="121">
        <f>'Exploitation année pleine'!F8</f>
        <v>3507.7284813801152</v>
      </c>
      <c r="G8" s="121">
        <f>'Exploitation année pleine'!G8</f>
        <v>4033.8877535871325</v>
      </c>
      <c r="H8" s="121">
        <f>'Exploitation année pleine'!H8</f>
        <v>4033.8877535871325</v>
      </c>
      <c r="I8" s="121">
        <f>'Exploitation année pleine'!I8</f>
        <v>4033.8877535871325</v>
      </c>
      <c r="J8" s="121">
        <f>'Exploitation année pleine'!J8</f>
        <v>4033.8877535871325</v>
      </c>
      <c r="K8" s="121">
        <f>'Exploitation année pleine'!K8</f>
        <v>4033.8877535871325</v>
      </c>
      <c r="L8" s="121">
        <f>'Exploitation année pleine'!L8</f>
        <v>4033.8877535871325</v>
      </c>
      <c r="M8" s="121">
        <f>'Exploitation année pleine'!M8</f>
        <v>4033.8877535871325</v>
      </c>
      <c r="N8" s="121">
        <f>'Exploitation année pleine'!N8</f>
        <v>4033.8877535871325</v>
      </c>
      <c r="O8" s="121">
        <f>'Exploitation année pleine'!O8</f>
        <v>4033.8877535871325</v>
      </c>
      <c r="P8" s="121">
        <f>'Exploitation année pleine'!P8</f>
        <v>4033.8877535871325</v>
      </c>
      <c r="Q8" s="121">
        <f>'Exploitation année pleine'!Q8</f>
        <v>4033.8877535871325</v>
      </c>
      <c r="R8" s="121">
        <f>'Exploitation année pleine'!R8</f>
        <v>4033.8877535871325</v>
      </c>
      <c r="S8" s="121">
        <f>'Exploitation année pleine'!S8</f>
        <v>4033.8877535871325</v>
      </c>
      <c r="T8" s="121">
        <f>'Exploitation année pleine'!T8</f>
        <v>4033.8877535871325</v>
      </c>
      <c r="U8" s="121">
        <f>'Exploitation année pleine'!U8</f>
        <v>4033.8877535871325</v>
      </c>
      <c r="V8" s="438">
        <f>'Exploitation année pleine'!V8</f>
        <v>4033.8877535871325</v>
      </c>
    </row>
    <row r="9" spans="1:24" ht="21" customHeight="1" thickTop="1" x14ac:dyDescent="0.2">
      <c r="A9" s="1"/>
      <c r="B9" s="2"/>
      <c r="C9" s="2"/>
      <c r="D9" s="2"/>
      <c r="E9" s="2"/>
      <c r="F9" s="2"/>
      <c r="G9" s="2"/>
      <c r="H9" s="2"/>
      <c r="I9" s="2"/>
      <c r="J9" s="441"/>
      <c r="K9" s="441"/>
      <c r="L9" s="441"/>
      <c r="M9" s="441"/>
      <c r="N9" s="441"/>
      <c r="O9" s="441"/>
      <c r="P9" s="441"/>
      <c r="Q9" s="441"/>
      <c r="R9" s="441"/>
      <c r="S9" s="441"/>
      <c r="T9" s="441"/>
      <c r="U9" s="441"/>
      <c r="V9" s="180"/>
    </row>
    <row r="10" spans="1:24" ht="21" customHeight="1" thickBot="1" x14ac:dyDescent="0.25">
      <c r="A10" s="3" t="s">
        <v>935</v>
      </c>
      <c r="B10" s="96">
        <f>'Para de décalage'!B23*'Exploitation année pleine'!B10</f>
        <v>665975.12244075234</v>
      </c>
      <c r="C10" s="96">
        <f>'Para de décalage'!C26*'Exploitation année pleine'!B10+'Para de décalage'!C23*'Exploitation année pleine'!C10</f>
        <v>7472602.5076406887</v>
      </c>
      <c r="D10" s="96">
        <f>'Para de décalage'!D26*'Exploitation année pleine'!C10+'Para de décalage'!D23*'Exploitation année pleine'!D10</f>
        <v>12433045.189442432</v>
      </c>
      <c r="E10" s="96">
        <f>'Para de décalage'!E26*'Exploitation année pleine'!D10+'Para de décalage'!E23*'Exploitation année pleine'!E10</f>
        <v>19321408.673628271</v>
      </c>
      <c r="F10" s="96">
        <f>'Para de décalage'!F26*'Exploitation année pleine'!E10+'Para de décalage'!F23*'Exploitation année pleine'!F10</f>
        <v>23316451.925534528</v>
      </c>
      <c r="G10" s="96">
        <f>'Para de décalage'!G26*'Exploitation année pleine'!F10+'Para de décalage'!G23*'Exploitation année pleine'!G10</f>
        <v>25908865.758602891</v>
      </c>
      <c r="H10" s="96">
        <f>'Para de décalage'!H26*'Exploitation année pleine'!G10+'Para de décalage'!H23*'Exploitation année pleine'!H10</f>
        <v>25880124.476029724</v>
      </c>
      <c r="I10" s="96">
        <f>'Para de décalage'!I26*'Exploitation année pleine'!H10+'Para de décalage'!I23*'Exploitation année pleine'!I10</f>
        <v>25790316.355193913</v>
      </c>
      <c r="J10" s="96">
        <f>'Données PAMCHR'!N177</f>
        <v>25923073.084068563</v>
      </c>
      <c r="K10" s="96">
        <f>'Données PAMCHR'!O177</f>
        <v>26105736.997947417</v>
      </c>
      <c r="L10" s="96">
        <f>'Données PAMCHR'!P177</f>
        <v>26333379.378345892</v>
      </c>
      <c r="M10" s="96">
        <f>'Données PAMCHR'!Q177</f>
        <v>26567679.501648173</v>
      </c>
      <c r="N10" s="96">
        <f>'Données PAMCHR'!R177</f>
        <v>26808835.384856291</v>
      </c>
      <c r="O10" s="96">
        <f>'Données PAMCHR'!S177</f>
        <v>27057050.968329489</v>
      </c>
      <c r="P10" s="96">
        <f>'Données PAMCHR'!T177</f>
        <v>27312536.293313421</v>
      </c>
      <c r="Q10" s="96">
        <f>'Données PAMCHR'!U177</f>
        <v>27575507.684793457</v>
      </c>
      <c r="R10" s="96">
        <f>'Données PAMCHR'!V177</f>
        <v>27846187.93983195</v>
      </c>
      <c r="S10" s="96">
        <f>'Données PAMCHR'!W177</f>
        <v>28124806.521553807</v>
      </c>
      <c r="T10" s="96">
        <f>'Données PAMCHR'!X177</f>
        <v>28411599.758949839</v>
      </c>
      <c r="U10" s="96">
        <f>'Données PAMCHR'!Y177</f>
        <v>28706811.052672498</v>
      </c>
      <c r="V10" s="181">
        <f>'Données PAMCHR'!Z177</f>
        <v>29010691.087003633</v>
      </c>
    </row>
    <row r="11" spans="1:24" ht="21" customHeight="1" x14ac:dyDescent="0.2">
      <c r="A11" s="772"/>
      <c r="B11" s="1106"/>
      <c r="C11" s="1106"/>
      <c r="D11" s="1106"/>
      <c r="E11" s="1106"/>
      <c r="F11" s="1106"/>
      <c r="G11" s="1106"/>
      <c r="H11" s="1106"/>
      <c r="I11" s="1106"/>
      <c r="J11" s="1107"/>
      <c r="K11" s="1107"/>
      <c r="L11" s="1107"/>
      <c r="M11" s="1107"/>
      <c r="N11" s="1107"/>
      <c r="O11" s="1107"/>
      <c r="P11" s="1107"/>
      <c r="Q11" s="1107"/>
      <c r="R11" s="1107"/>
      <c r="S11" s="1107"/>
      <c r="T11" s="1107"/>
      <c r="U11" s="1107"/>
      <c r="V11" s="1106"/>
    </row>
    <row r="12" spans="1:24" ht="21" customHeight="1" x14ac:dyDescent="0.2">
      <c r="A12" s="1108" t="s">
        <v>936</v>
      </c>
      <c r="B12" s="120">
        <f t="shared" ref="B12:K12" si="1">B7-B10</f>
        <v>985127.25263292505</v>
      </c>
      <c r="C12" s="120">
        <f t="shared" si="1"/>
        <v>8689782.666392915</v>
      </c>
      <c r="D12" s="120">
        <f t="shared" si="1"/>
        <v>12812210.275429087</v>
      </c>
      <c r="E12" s="120">
        <f t="shared" si="1"/>
        <v>19439728.893729076</v>
      </c>
      <c r="F12" s="120">
        <f t="shared" si="1"/>
        <v>25364260.646982949</v>
      </c>
      <c r="G12" s="120">
        <f t="shared" si="1"/>
        <v>31053510.632711161</v>
      </c>
      <c r="H12" s="120">
        <f t="shared" si="1"/>
        <v>31585672.964378521</v>
      </c>
      <c r="I12" s="120">
        <f t="shared" si="1"/>
        <v>32029188.666820392</v>
      </c>
      <c r="J12" s="120">
        <f t="shared" si="1"/>
        <v>31963397.72160105</v>
      </c>
      <c r="K12" s="120">
        <f t="shared" si="1"/>
        <v>32112841.188955575</v>
      </c>
      <c r="L12" s="120">
        <f t="shared" ref="L12:V12" si="2">L7-L10</f>
        <v>31885198.808557101</v>
      </c>
      <c r="M12" s="120">
        <f t="shared" si="2"/>
        <v>31650898.68525482</v>
      </c>
      <c r="N12" s="120">
        <f t="shared" si="2"/>
        <v>31409742.802046701</v>
      </c>
      <c r="O12" s="120">
        <f t="shared" si="2"/>
        <v>31161527.218573503</v>
      </c>
      <c r="P12" s="120">
        <f t="shared" si="2"/>
        <v>30906041.893589571</v>
      </c>
      <c r="Q12" s="120">
        <f t="shared" si="2"/>
        <v>30643070.502109535</v>
      </c>
      <c r="R12" s="120">
        <f t="shared" si="2"/>
        <v>30372390.247071043</v>
      </c>
      <c r="S12" s="120">
        <f t="shared" si="2"/>
        <v>30093771.665349185</v>
      </c>
      <c r="T12" s="120">
        <f t="shared" si="2"/>
        <v>29806978.427953154</v>
      </c>
      <c r="U12" s="120">
        <f t="shared" si="2"/>
        <v>29511767.134230494</v>
      </c>
      <c r="V12" s="120">
        <f t="shared" si="2"/>
        <v>29207887.099899359</v>
      </c>
    </row>
    <row r="13" spans="1:24" ht="21" customHeight="1" thickBot="1" x14ac:dyDescent="0.25">
      <c r="A13" s="1109" t="s">
        <v>210</v>
      </c>
      <c r="B13" s="106">
        <f t="shared" ref="B13:I13" si="3">B12/B7</f>
        <v>0.59664819547544146</v>
      </c>
      <c r="C13" s="106">
        <f t="shared" si="3"/>
        <v>0.53765471945031174</v>
      </c>
      <c r="D13" s="106">
        <f t="shared" si="3"/>
        <v>0.50750963060196119</v>
      </c>
      <c r="E13" s="106">
        <f t="shared" si="3"/>
        <v>0.50152627383413595</v>
      </c>
      <c r="F13" s="106">
        <f t="shared" si="3"/>
        <v>0.52103306025356444</v>
      </c>
      <c r="G13" s="106">
        <f t="shared" si="3"/>
        <v>0.5451582711258931</v>
      </c>
      <c r="H13" s="106">
        <f t="shared" si="3"/>
        <v>0.54964299411545992</v>
      </c>
      <c r="I13" s="106">
        <f t="shared" si="3"/>
        <v>0.55395127742144346</v>
      </c>
      <c r="J13" s="106">
        <f>J12/J7</f>
        <v>0.55217388928244071</v>
      </c>
      <c r="K13" s="106">
        <f>K12/K7</f>
        <v>0.55159095582618967</v>
      </c>
      <c r="L13" s="106">
        <f t="shared" ref="L13:V13" si="4">L12/L7</f>
        <v>0.54768082288430187</v>
      </c>
      <c r="M13" s="106">
        <f t="shared" si="4"/>
        <v>0.54365633223889154</v>
      </c>
      <c r="N13" s="106">
        <f t="shared" si="4"/>
        <v>0.53951408262170031</v>
      </c>
      <c r="O13" s="106">
        <f t="shared" si="4"/>
        <v>0.53525057102105056</v>
      </c>
      <c r="P13" s="106">
        <f t="shared" si="4"/>
        <v>0.53086218963248877</v>
      </c>
      <c r="Q13" s="106">
        <f t="shared" si="4"/>
        <v>0.52634522271797912</v>
      </c>
      <c r="R13" s="106">
        <f t="shared" si="4"/>
        <v>0.52169584337090003</v>
      </c>
      <c r="S13" s="106">
        <f t="shared" si="4"/>
        <v>0.516910110184023</v>
      </c>
      <c r="T13" s="106">
        <f t="shared" si="4"/>
        <v>0.51198396381756039</v>
      </c>
      <c r="U13" s="106">
        <f t="shared" si="4"/>
        <v>0.5069132234642848</v>
      </c>
      <c r="V13" s="106">
        <f t="shared" si="4"/>
        <v>0.50169358320863366</v>
      </c>
    </row>
    <row r="14" spans="1:24" ht="21" customHeight="1" thickTop="1" x14ac:dyDescent="0.2">
      <c r="A14" s="1110" t="s">
        <v>937</v>
      </c>
      <c r="B14" s="96">
        <f>'Exploitation année pleine'!B14</f>
        <v>344638.94298912003</v>
      </c>
      <c r="C14" s="96">
        <f>'Exploitation année pleine'!C14</f>
        <v>892349.75546259864</v>
      </c>
      <c r="D14" s="96">
        <f>'Exploitation année pleine'!D14</f>
        <v>1075687.0688576417</v>
      </c>
      <c r="E14" s="96">
        <f>'Exploitation année pleine'!E14</f>
        <v>1477001.0907006846</v>
      </c>
      <c r="F14" s="96">
        <f>'Exploitation année pleine'!F14</f>
        <v>1893937.3985899065</v>
      </c>
      <c r="G14" s="96">
        <f>'Exploitation année pleine'!G14</f>
        <v>1931816.1465617046</v>
      </c>
      <c r="H14" s="96">
        <f>'Exploitation année pleine'!H14</f>
        <v>1970452.4694929391</v>
      </c>
      <c r="I14" s="96">
        <f>'Exploitation année pleine'!I14</f>
        <v>2009861.5188827969</v>
      </c>
      <c r="J14" s="96">
        <f>'Exploitation année pleine'!J14</f>
        <v>2050058.7492604533</v>
      </c>
      <c r="K14" s="96">
        <f>'Exploitation année pleine'!K14</f>
        <v>2091059.9242456625</v>
      </c>
      <c r="L14" s="96">
        <f>'Exploitation année pleine'!L14</f>
        <v>2132881.1227305755</v>
      </c>
      <c r="M14" s="96">
        <f>'Exploitation année pleine'!M14</f>
        <v>2175538.7451851866</v>
      </c>
      <c r="N14" s="96">
        <f>'Exploitation année pleine'!N14</f>
        <v>2219049.520088891</v>
      </c>
      <c r="O14" s="96">
        <f>'Exploitation année pleine'!O14</f>
        <v>2263430.5104906685</v>
      </c>
      <c r="P14" s="96">
        <f>'Exploitation année pleine'!P14</f>
        <v>2308699.1207004823</v>
      </c>
      <c r="Q14" s="96">
        <f>'Exploitation année pleine'!Q14</f>
        <v>2354873.1031144913</v>
      </c>
      <c r="R14" s="96">
        <f>'Exploitation année pleine'!R14</f>
        <v>2401970.5651767813</v>
      </c>
      <c r="S14" s="96">
        <f>'Exploitation année pleine'!S14</f>
        <v>2450009.9764803173</v>
      </c>
      <c r="T14" s="96">
        <f>'Exploitation année pleine'!T14</f>
        <v>2499010.1760099232</v>
      </c>
      <c r="U14" s="96">
        <f>'Exploitation année pleine'!U14</f>
        <v>2548990.3795301216</v>
      </c>
      <c r="V14" s="96">
        <f>'Exploitation année pleine'!V14</f>
        <v>2599970.1871207245</v>
      </c>
      <c r="W14" t="s">
        <v>743</v>
      </c>
    </row>
    <row r="15" spans="1:24" ht="21" customHeight="1" x14ac:dyDescent="0.2">
      <c r="A15" s="854" t="s">
        <v>522</v>
      </c>
      <c r="B15" s="96">
        <f>'Exploitation année pleine'!B15</f>
        <v>0</v>
      </c>
      <c r="C15" s="96">
        <f>'Exploitation année pleine'!C15</f>
        <v>0</v>
      </c>
      <c r="D15" s="96">
        <f>'Exploitation année pleine'!D15</f>
        <v>0</v>
      </c>
      <c r="E15" s="96">
        <f>'Exploitation année pleine'!E15</f>
        <v>0</v>
      </c>
      <c r="F15" s="96">
        <f>'Exploitation année pleine'!F15</f>
        <v>0</v>
      </c>
      <c r="G15" s="96">
        <f>'Exploitation année pleine'!G15</f>
        <v>0</v>
      </c>
      <c r="H15" s="96">
        <f>'Exploitation année pleine'!H15</f>
        <v>-87523.799355623574</v>
      </c>
      <c r="I15" s="96">
        <f>'Exploitation année pleine'!I15</f>
        <v>-178548.55068547203</v>
      </c>
      <c r="J15" s="96">
        <f>'Exploitation année pleine'!J15</f>
        <v>-273179.28254877223</v>
      </c>
      <c r="K15" s="96">
        <f>'Exploitation année pleine'!K15</f>
        <v>-325083.34623303899</v>
      </c>
      <c r="L15" s="96">
        <f>'Exploitation année pleine'!L15</f>
        <v>-378954.30075165688</v>
      </c>
      <c r="M15" s="96">
        <f>'Exploitation année pleine'!M15</f>
        <v>-434850.06011252617</v>
      </c>
      <c r="N15" s="96">
        <f>'Exploitation année pleine'!N15</f>
        <v>-492830.06812752975</v>
      </c>
      <c r="O15" s="96">
        <f>'Exploitation année pleine'!O15</f>
        <v>-502686.66949008033</v>
      </c>
      <c r="P15" s="96">
        <f>'Exploitation année pleine'!P15</f>
        <v>-564014.44316787017</v>
      </c>
      <c r="Q15" s="96">
        <f>'Exploitation année pleine'!Q15</f>
        <v>-575294.73203122744</v>
      </c>
      <c r="R15" s="96">
        <f>'Exploitation année pleine'!R15</f>
        <v>-640146.13818747504</v>
      </c>
      <c r="S15" s="96">
        <f>'Exploitation année pleine'!S15</f>
        <v>-652949.06095122453</v>
      </c>
      <c r="T15" s="96">
        <f>'Exploitation année pleine'!T15</f>
        <v>-666008.04217024893</v>
      </c>
      <c r="U15" s="96">
        <f>'Exploitation année pleine'!U15</f>
        <v>-735938.8865981251</v>
      </c>
      <c r="V15" s="96">
        <f>'Exploitation année pleine'!V15</f>
        <v>-750657.66433008772</v>
      </c>
    </row>
    <row r="16" spans="1:24" ht="21" customHeight="1" x14ac:dyDescent="0.2">
      <c r="A16" s="854" t="s">
        <v>950</v>
      </c>
      <c r="B16" s="96">
        <f>'Exploitation année pleine'!B16</f>
        <v>367008.04003414296</v>
      </c>
      <c r="C16" s="96">
        <f>'Exploitation année pleine'!C16</f>
        <v>1263698.3069284293</v>
      </c>
      <c r="D16" s="96">
        <f>'Exploitation année pleine'!D16</f>
        <v>1672290.7441181038</v>
      </c>
      <c r="E16" s="96">
        <f>'Exploitation année pleine'!E16</f>
        <v>2213180.4199253325</v>
      </c>
      <c r="F16" s="96">
        <f>'Exploitation année pleine'!F16</f>
        <v>2480975.5022917087</v>
      </c>
      <c r="G16" s="96">
        <f>'Exploitation année pleine'!G16</f>
        <v>2615287.7685091654</v>
      </c>
      <c r="H16" s="96">
        <f>'Exploitation année pleine'!H16</f>
        <v>2484596.9593659351</v>
      </c>
      <c r="I16" s="96">
        <f>'Exploitation année pleine'!I16</f>
        <v>2491353.9338815189</v>
      </c>
      <c r="J16" s="96">
        <f>'Exploitation année pleine'!J16</f>
        <v>2498246.0478874147</v>
      </c>
      <c r="K16" s="96">
        <f>'Exploitation année pleine'!K16</f>
        <v>2505276.0041734288</v>
      </c>
      <c r="L16" s="96">
        <f>'Exploitation année pleine'!L16</f>
        <v>2512446.5595851624</v>
      </c>
      <c r="M16" s="96">
        <f>'Exploitation année pleine'!M16</f>
        <v>2519760.526105131</v>
      </c>
      <c r="N16" s="96">
        <f>'Exploitation année pleine'!N16</f>
        <v>2527220.7719554985</v>
      </c>
      <c r="O16" s="96">
        <f>'Exploitation année pleine'!O16</f>
        <v>2534830.222722874</v>
      </c>
      <c r="P16" s="96">
        <f>'Exploitation année pleine'!P16</f>
        <v>2542591.8625055971</v>
      </c>
      <c r="Q16" s="96">
        <f>'Exploitation année pleine'!Q16</f>
        <v>2550508.735083974</v>
      </c>
      <c r="R16" s="96">
        <f>'Exploitation année pleine'!R16</f>
        <v>2558583.9451139187</v>
      </c>
      <c r="S16" s="96">
        <f>'Exploitation année pleine'!S16</f>
        <v>2566820.6593444622</v>
      </c>
      <c r="T16" s="96">
        <f>'Exploitation année pleine'!T16</f>
        <v>2575222.1078596171</v>
      </c>
      <c r="U16" s="96">
        <f>'Exploitation année pleine'!U16</f>
        <v>2583791.5853450745</v>
      </c>
      <c r="V16" s="96">
        <f>'Exploitation année pleine'!V16</f>
        <v>2592532.4523802409</v>
      </c>
    </row>
    <row r="17" spans="1:25" ht="21" customHeight="1" x14ac:dyDescent="0.2">
      <c r="A17" s="854" t="s">
        <v>938</v>
      </c>
      <c r="B17" s="96">
        <f>'Para de décalage'!B23*'Exploitation année pleine'!B17</f>
        <v>93769.04347826085</v>
      </c>
      <c r="C17" s="96">
        <f>'Para de décalage'!C26*'Exploitation année pleine'!B17+'Para de décalage'!C23*'Exploitation année pleine'!C17</f>
        <v>539171.99999999988</v>
      </c>
      <c r="D17" s="96">
        <f>'Para de décalage'!D26*'Exploitation année pleine'!C17+'Para de décalage'!D23*'Exploitation année pleine'!D17</f>
        <v>687444.30000000016</v>
      </c>
      <c r="E17" s="96">
        <f>'Para de décalage'!E26*'Exploitation année pleine'!D17+'Para de décalage'!E23*'Exploitation année pleine'!E17</f>
        <v>841431.82319999998</v>
      </c>
      <c r="F17" s="96">
        <f>'Para de décalage'!F26*'Exploitation année pleine'!E17+'Para de décalage'!F23*'Exploitation année pleine'!F17</f>
        <v>942690.168144</v>
      </c>
      <c r="G17" s="96">
        <f>'Para de décalage'!G26*'Exploitation année pleine'!F17+'Para de décalage'!G23*'Exploitation année pleine'!G17</f>
        <v>961543.97150688001</v>
      </c>
      <c r="H17" s="96">
        <f>'Para de décalage'!H26*'Exploitation année pleine'!G17+'Para de décalage'!H23*'Exploitation année pleine'!H17</f>
        <v>980774.85093701771</v>
      </c>
      <c r="I17" s="96">
        <f>'Para de décalage'!I26*'Exploitation année pleine'!H17+'Para de décalage'!I23*'Exploitation année pleine'!I17</f>
        <v>1000390.35946599</v>
      </c>
      <c r="J17" s="96">
        <f>'Données Investissement'!K78</f>
        <v>1020398.1549148731</v>
      </c>
      <c r="K17" s="96">
        <f>'Données Investissement'!L78</f>
        <v>1040806.1180131705</v>
      </c>
      <c r="L17" s="96">
        <f>'Données Investissement'!M78</f>
        <v>1061622.240373434</v>
      </c>
      <c r="M17" s="96">
        <f>'Données Investissement'!N78</f>
        <v>1082854.6851809025</v>
      </c>
      <c r="N17" s="96">
        <f>'Données Investissement'!O78</f>
        <v>1104511.7788845208</v>
      </c>
      <c r="O17" s="96">
        <f>'Données Investissement'!P78</f>
        <v>1126602.0144622109</v>
      </c>
      <c r="P17" s="96">
        <f>'Données Investissement'!Q78</f>
        <v>1149134.0547514553</v>
      </c>
      <c r="Q17" s="96">
        <f>'Données Investissement'!R78</f>
        <v>1172116.7358464841</v>
      </c>
      <c r="R17" s="96">
        <f>'Données Investissement'!S78</f>
        <v>1195559.0705634141</v>
      </c>
      <c r="S17" s="96">
        <f>'Données Investissement'!T78</f>
        <v>1219470.2519746823</v>
      </c>
      <c r="T17" s="96">
        <f>'Données Investissement'!U78</f>
        <v>1243859.657014176</v>
      </c>
      <c r="U17" s="96">
        <f>'Données Investissement'!V78</f>
        <v>1268736.8501544595</v>
      </c>
      <c r="V17" s="96">
        <f>'Données Investissement'!W78</f>
        <v>1294111.5871575486</v>
      </c>
    </row>
    <row r="18" spans="1:25" ht="21" customHeight="1" x14ac:dyDescent="0.2">
      <c r="A18" s="854" t="s">
        <v>939</v>
      </c>
      <c r="B18" s="96">
        <f>'Exploitation année pleine'!B18</f>
        <v>104687.65954552223</v>
      </c>
      <c r="C18" s="96">
        <f>'Exploitation année pleine'!C18</f>
        <v>742407.45477474609</v>
      </c>
      <c r="D18" s="96">
        <f>'Exploitation année pleine'!D18</f>
        <v>1183801.5965781258</v>
      </c>
      <c r="E18" s="96">
        <f>'Exploitation année pleine'!E18</f>
        <v>1883181.9287454777</v>
      </c>
      <c r="F18" s="96">
        <f>'Exploitation année pleine'!F18</f>
        <v>2423958.4406087217</v>
      </c>
      <c r="G18" s="96">
        <f>'Exploitation année pleine'!G18</f>
        <v>2928675.3587125842</v>
      </c>
      <c r="H18" s="96">
        <f>'Exploitation année pleine'!H18</f>
        <v>3104395.8802353395</v>
      </c>
      <c r="I18" s="96">
        <f>'Exploitation année pleine'!I18</f>
        <v>3290659.6330494601</v>
      </c>
      <c r="J18" s="96">
        <f>'Exploitation année pleine'!J18</f>
        <v>3488099.2110324274</v>
      </c>
      <c r="K18" s="96">
        <f>'Exploitation année pleine'!K18</f>
        <v>3697385.1636943733</v>
      </c>
      <c r="L18" s="96">
        <f>'Exploitation année pleine'!L18</f>
        <v>3697385.1636943733</v>
      </c>
      <c r="M18" s="96">
        <f>'Exploitation année pleine'!M18</f>
        <v>3697385.1636943733</v>
      </c>
      <c r="N18" s="96">
        <f>'Exploitation année pleine'!N18</f>
        <v>3697385.1636943733</v>
      </c>
      <c r="O18" s="96">
        <f>'Exploitation année pleine'!O18</f>
        <v>3697385.1636943733</v>
      </c>
      <c r="P18" s="96">
        <f>'Exploitation année pleine'!P18</f>
        <v>3697385.1636943733</v>
      </c>
      <c r="Q18" s="96">
        <f>'Exploitation année pleine'!Q18</f>
        <v>3697385.1636943733</v>
      </c>
      <c r="R18" s="96">
        <f>'Exploitation année pleine'!R18</f>
        <v>3697385.1636943733</v>
      </c>
      <c r="S18" s="96">
        <f>'Exploitation année pleine'!S18</f>
        <v>3697385.1636943733</v>
      </c>
      <c r="T18" s="96">
        <f>'Exploitation année pleine'!T18</f>
        <v>3697385.1636943733</v>
      </c>
      <c r="U18" s="96">
        <f>'Exploitation année pleine'!U18</f>
        <v>3697385.1636943733</v>
      </c>
      <c r="V18" s="96">
        <f>'Exploitation année pleine'!V18</f>
        <v>3697385.1636943733</v>
      </c>
    </row>
    <row r="19" spans="1:25" ht="21" customHeight="1" x14ac:dyDescent="0.2">
      <c r="A19" s="854" t="s">
        <v>944</v>
      </c>
      <c r="B19" s="96">
        <f>'Exploitation année pleine'!B19</f>
        <v>2966</v>
      </c>
      <c r="C19" s="96">
        <f>'Exploitation année pleine'!C19</f>
        <v>10780.24031195514</v>
      </c>
      <c r="D19" s="96">
        <f>'Exploitation année pleine'!D19</f>
        <v>13739.889064878729</v>
      </c>
      <c r="E19" s="96">
        <f>'Exploitation année pleine'!E19</f>
        <v>18450.907553130088</v>
      </c>
      <c r="F19" s="96">
        <f>'Exploitation année pleine'!F19</f>
        <v>21874.564504408077</v>
      </c>
      <c r="G19" s="96">
        <f>'Exploitation année pleine'!G19</f>
        <v>22735.519575354348</v>
      </c>
      <c r="H19" s="96">
        <f>'Exploitation année pleine'!H19</f>
        <v>22275.247144294372</v>
      </c>
      <c r="I19" s="96">
        <f>'Exploitation année pleine'!I19</f>
        <v>22506.077263821579</v>
      </c>
      <c r="J19" s="96">
        <f>'Exploitation année pleine'!J19</f>
        <v>22741.523985739343</v>
      </c>
      <c r="K19" s="96">
        <f>'Exploitation année pleine'!K19</f>
        <v>22981.679642095456</v>
      </c>
      <c r="L19" s="96">
        <f>'Exploitation année pleine'!L19</f>
        <v>23226.63841157869</v>
      </c>
      <c r="M19" s="96">
        <f>'Exploitation année pleine'!M19</f>
        <v>23476.496356451586</v>
      </c>
      <c r="N19" s="96">
        <f>'Exploitation année pleine'!N19</f>
        <v>23731.351460221951</v>
      </c>
      <c r="O19" s="96">
        <f>'Exploitation année pleine'!O19</f>
        <v>23991.30366606771</v>
      </c>
      <c r="P19" s="96">
        <f>'Exploitation année pleine'!P19</f>
        <v>24256.454916030398</v>
      </c>
      <c r="Q19" s="96">
        <f>'Exploitation année pleine'!Q19</f>
        <v>24526.909190992326</v>
      </c>
      <c r="R19" s="96">
        <f>'Exploitation année pleine'!R19</f>
        <v>24802.772551453501</v>
      </c>
      <c r="S19" s="96">
        <f>'Exploitation année pleine'!S19</f>
        <v>25084.153179123896</v>
      </c>
      <c r="T19" s="96">
        <f>'Exploitation année pleine'!T19</f>
        <v>25371.161419347703</v>
      </c>
      <c r="U19" s="96">
        <f>'Exploitation année pleine'!U19</f>
        <v>25663.90982437598</v>
      </c>
      <c r="V19" s="96">
        <f>'Exploitation année pleine'!V19</f>
        <v>25962.513197504828</v>
      </c>
    </row>
    <row r="20" spans="1:25" ht="21" customHeight="1" x14ac:dyDescent="0.2">
      <c r="A20" s="854" t="s">
        <v>951</v>
      </c>
      <c r="B20" s="118">
        <f>'Exploitation année pleine'!B20</f>
        <v>65217.391304347824</v>
      </c>
      <c r="C20" s="118">
        <f>'Exploitation année pleine'!C20</f>
        <v>375000</v>
      </c>
      <c r="D20" s="118">
        <f>'Exploitation année pleine'!D20</f>
        <v>382000</v>
      </c>
      <c r="E20" s="118">
        <f>'Exploitation année pleine'!E20</f>
        <v>389140</v>
      </c>
      <c r="F20" s="118">
        <f>'Exploitation année pleine'!F20</f>
        <v>396422.8</v>
      </c>
      <c r="G20" s="118">
        <f>'Exploitation année pleine'!G20</f>
        <v>403851.25599999999</v>
      </c>
      <c r="H20" s="118">
        <f>'Exploitation année pleine'!H20</f>
        <v>411428.28112</v>
      </c>
      <c r="I20" s="118">
        <f>'Exploitation année pleine'!I20</f>
        <v>419156.84674240003</v>
      </c>
      <c r="J20" s="118">
        <f>'Exploitation année pleine'!J20</f>
        <v>427039.98367724806</v>
      </c>
      <c r="K20" s="118">
        <f>'Exploitation année pleine'!K20</f>
        <v>435080.783350793</v>
      </c>
      <c r="L20" s="118">
        <f>'Exploitation année pleine'!L20</f>
        <v>443282.3990178089</v>
      </c>
      <c r="M20" s="118">
        <f>'Exploitation année pleine'!M20</f>
        <v>451648.04699816508</v>
      </c>
      <c r="N20" s="118">
        <f>'Exploitation année pleine'!N20</f>
        <v>460181.00793812837</v>
      </c>
      <c r="O20" s="118">
        <f>'Exploitation année pleine'!O20</f>
        <v>468884.62809689093</v>
      </c>
      <c r="P20" s="118">
        <f>'Exploitation année pleine'!P20</f>
        <v>477762.32065882877</v>
      </c>
      <c r="Q20" s="118">
        <f>'Exploitation année pleine'!Q20</f>
        <v>486817.56707200536</v>
      </c>
      <c r="R20" s="118">
        <f>'Exploitation année pleine'!R20</f>
        <v>496053.91841344547</v>
      </c>
      <c r="S20" s="118">
        <f>'Exploitation année pleine'!S20</f>
        <v>505474.99678171438</v>
      </c>
      <c r="T20" s="118">
        <f>'Exploitation année pleine'!T20</f>
        <v>515084.49671734869</v>
      </c>
      <c r="U20" s="118">
        <f>'Exploitation année pleine'!U20</f>
        <v>524886.18665169575</v>
      </c>
      <c r="V20" s="118">
        <f>'Exploitation année pleine'!V20</f>
        <v>534883.91038472962</v>
      </c>
    </row>
    <row r="21" spans="1:25" ht="21" customHeight="1" x14ac:dyDescent="0.2">
      <c r="A21" s="1111" t="s">
        <v>1219</v>
      </c>
      <c r="B21" s="118">
        <f>'Données gestion'!C109</f>
        <v>0</v>
      </c>
      <c r="C21" s="118">
        <f>'Données gestion'!D109</f>
        <v>0</v>
      </c>
      <c r="D21" s="118">
        <f>'Données gestion'!E109</f>
        <v>0</v>
      </c>
      <c r="E21" s="118">
        <f>'Données gestion'!F109</f>
        <v>0</v>
      </c>
      <c r="F21" s="118">
        <f>'Données gestion'!G109</f>
        <v>0</v>
      </c>
      <c r="G21" s="118">
        <f>'Données gestion'!H109</f>
        <v>0</v>
      </c>
      <c r="H21" s="118">
        <f>'Données gestion'!I109</f>
        <v>0</v>
      </c>
      <c r="I21" s="118">
        <f>'Données gestion'!J109</f>
        <v>0</v>
      </c>
      <c r="J21" s="118">
        <f>'Données gestion'!K109</f>
        <v>0</v>
      </c>
      <c r="K21" s="118">
        <f>'Données gestion'!L109</f>
        <v>0</v>
      </c>
      <c r="L21" s="118">
        <f>'Données gestion'!M109</f>
        <v>0</v>
      </c>
      <c r="M21" s="118">
        <f>'Données gestion'!N109</f>
        <v>0</v>
      </c>
      <c r="N21" s="118">
        <f>'Données gestion'!O109</f>
        <v>0</v>
      </c>
      <c r="O21" s="118">
        <f>'Données gestion'!P109</f>
        <v>0</v>
      </c>
      <c r="P21" s="118">
        <f>'Données gestion'!Q109</f>
        <v>0</v>
      </c>
      <c r="Q21" s="118">
        <f>'Données gestion'!R109</f>
        <v>0</v>
      </c>
      <c r="R21" s="118">
        <f>'Données gestion'!S109</f>
        <v>0</v>
      </c>
      <c r="S21" s="118">
        <f>'Données gestion'!T109</f>
        <v>0</v>
      </c>
      <c r="T21" s="118">
        <f>'Données gestion'!U109</f>
        <v>0</v>
      </c>
      <c r="U21" s="118">
        <f>'Données gestion'!V109</f>
        <v>0</v>
      </c>
      <c r="V21" s="118">
        <f>'Données gestion'!W109</f>
        <v>0</v>
      </c>
    </row>
    <row r="22" spans="1:25" ht="21" customHeight="1" x14ac:dyDescent="0.2">
      <c r="A22" s="1112" t="s">
        <v>943</v>
      </c>
      <c r="B22" s="108">
        <f t="shared" ref="B22:I22" si="5">SUM(B14:B21)</f>
        <v>978287.07735139388</v>
      </c>
      <c r="C22" s="108">
        <f t="shared" si="5"/>
        <v>3823407.7574777291</v>
      </c>
      <c r="D22" s="108">
        <f t="shared" si="5"/>
        <v>5014963.5986187505</v>
      </c>
      <c r="E22" s="108">
        <f t="shared" si="5"/>
        <v>6822386.1701246239</v>
      </c>
      <c r="F22" s="108">
        <f t="shared" si="5"/>
        <v>8159858.8741387445</v>
      </c>
      <c r="G22" s="108">
        <f t="shared" si="5"/>
        <v>8863910.0208656862</v>
      </c>
      <c r="H22" s="108">
        <f t="shared" si="5"/>
        <v>8886399.8889399022</v>
      </c>
      <c r="I22" s="108">
        <f t="shared" si="5"/>
        <v>9055379.8186005149</v>
      </c>
      <c r="J22" s="108">
        <f>SUM(J14:J21)</f>
        <v>9233404.3882093839</v>
      </c>
      <c r="K22" s="108">
        <f>SUM(K14:K21)</f>
        <v>9467506.3268864863</v>
      </c>
      <c r="L22" s="108">
        <f>SUM(L14:L21)</f>
        <v>9491889.8230612744</v>
      </c>
      <c r="M22" s="108">
        <f t="shared" ref="M22:V22" si="6">SUM(M14:M21)</f>
        <v>9515813.6034076847</v>
      </c>
      <c r="N22" s="108">
        <f t="shared" si="6"/>
        <v>9539249.5258941054</v>
      </c>
      <c r="O22" s="108">
        <f t="shared" si="6"/>
        <v>9612437.173643006</v>
      </c>
      <c r="P22" s="108">
        <f t="shared" si="6"/>
        <v>9635814.5340588987</v>
      </c>
      <c r="Q22" s="108">
        <f t="shared" si="6"/>
        <v>9710933.4819710925</v>
      </c>
      <c r="R22" s="108">
        <f t="shared" si="6"/>
        <v>9734209.297325911</v>
      </c>
      <c r="S22" s="108">
        <f t="shared" si="6"/>
        <v>9811296.1405034494</v>
      </c>
      <c r="T22" s="108">
        <f t="shared" si="6"/>
        <v>9889924.7205445357</v>
      </c>
      <c r="U22" s="108">
        <f t="shared" si="6"/>
        <v>9913515.1886019744</v>
      </c>
      <c r="V22" s="108">
        <f t="shared" si="6"/>
        <v>9994188.1496050321</v>
      </c>
    </row>
    <row r="23" spans="1:25" ht="21" customHeight="1" x14ac:dyDescent="0.2">
      <c r="A23" s="1108" t="s">
        <v>940</v>
      </c>
      <c r="B23" s="120">
        <f t="shared" ref="B23:I23" si="7">B12-B22</f>
        <v>6840.1752815311775</v>
      </c>
      <c r="C23" s="120">
        <f t="shared" si="7"/>
        <v>4866374.9089151863</v>
      </c>
      <c r="D23" s="120">
        <f t="shared" si="7"/>
        <v>7797246.6768103363</v>
      </c>
      <c r="E23" s="120">
        <f t="shared" si="7"/>
        <v>12617342.723604452</v>
      </c>
      <c r="F23" s="120">
        <f t="shared" si="7"/>
        <v>17204401.772844203</v>
      </c>
      <c r="G23" s="120">
        <f t="shared" si="7"/>
        <v>22189600.611845475</v>
      </c>
      <c r="H23" s="120">
        <f t="shared" si="7"/>
        <v>22699273.075438619</v>
      </c>
      <c r="I23" s="120">
        <f t="shared" si="7"/>
        <v>22973808.848219879</v>
      </c>
      <c r="J23" s="120">
        <f>J12-J22</f>
        <v>22729993.333391666</v>
      </c>
      <c r="K23" s="120">
        <f>K12-K22</f>
        <v>22645334.862069089</v>
      </c>
      <c r="L23" s="120">
        <f>L12-L22</f>
        <v>22393308.985495828</v>
      </c>
      <c r="M23" s="120">
        <f t="shared" ref="M23:V23" si="8">M12-M22</f>
        <v>22135085.081847135</v>
      </c>
      <c r="N23" s="120">
        <f t="shared" si="8"/>
        <v>21870493.276152596</v>
      </c>
      <c r="O23" s="120">
        <f t="shared" si="8"/>
        <v>21549090.044930495</v>
      </c>
      <c r="P23" s="120">
        <f t="shared" si="8"/>
        <v>21270227.359530672</v>
      </c>
      <c r="Q23" s="120">
        <f t="shared" si="8"/>
        <v>20932137.020138443</v>
      </c>
      <c r="R23" s="120">
        <f t="shared" si="8"/>
        <v>20638180.949745134</v>
      </c>
      <c r="S23" s="120">
        <f t="shared" si="8"/>
        <v>20282475.524845734</v>
      </c>
      <c r="T23" s="120">
        <f t="shared" si="8"/>
        <v>19917053.707408618</v>
      </c>
      <c r="U23" s="120">
        <f t="shared" si="8"/>
        <v>19598251.94562852</v>
      </c>
      <c r="V23" s="120">
        <f t="shared" si="8"/>
        <v>19213698.950294327</v>
      </c>
      <c r="W23" s="342">
        <f>SUM(C23:G23)</f>
        <v>64674966.69401966</v>
      </c>
    </row>
    <row r="24" spans="1:25" ht="21" customHeight="1" thickBot="1" x14ac:dyDescent="0.25">
      <c r="A24" s="1109" t="s">
        <v>210</v>
      </c>
      <c r="B24" s="123">
        <f t="shared" ref="B24:I24" si="9">B23/B7</f>
        <v>4.1427929514218928E-3</v>
      </c>
      <c r="C24" s="123">
        <f t="shared" si="9"/>
        <v>0.30109262070634701</v>
      </c>
      <c r="D24" s="123">
        <f t="shared" si="9"/>
        <v>0.30885988409426535</v>
      </c>
      <c r="E24" s="123">
        <f t="shared" si="9"/>
        <v>0.32551528452121936</v>
      </c>
      <c r="F24" s="123">
        <f t="shared" si="9"/>
        <v>0.35341310477359134</v>
      </c>
      <c r="G24" s="123">
        <f t="shared" si="9"/>
        <v>0.38954836538787857</v>
      </c>
      <c r="H24" s="123">
        <f t="shared" si="9"/>
        <v>0.39500492617330607</v>
      </c>
      <c r="I24" s="106">
        <f t="shared" si="9"/>
        <v>0.39733665723137529</v>
      </c>
      <c r="J24" s="106">
        <f>J23/J7</f>
        <v>0.39266503929214158</v>
      </c>
      <c r="K24" s="106">
        <f>K23/K7</f>
        <v>0.38897093620818524</v>
      </c>
      <c r="L24" s="106">
        <f>L23/L7</f>
        <v>0.38464197654578736</v>
      </c>
      <c r="M24" s="106">
        <f t="shared" ref="M24:V24" si="10">M23/M7</f>
        <v>0.38020655555663679</v>
      </c>
      <c r="N24" s="106">
        <f t="shared" si="10"/>
        <v>0.37566175535823443</v>
      </c>
      <c r="O24" s="106">
        <f t="shared" si="10"/>
        <v>0.37014112532514987</v>
      </c>
      <c r="P24" s="106">
        <f t="shared" si="10"/>
        <v>0.36535119925542392</v>
      </c>
      <c r="Q24" s="106">
        <f t="shared" si="10"/>
        <v>0.35954394064620754</v>
      </c>
      <c r="R24" s="106">
        <f t="shared" si="10"/>
        <v>0.35449476082169168</v>
      </c>
      <c r="S24" s="106">
        <f t="shared" si="10"/>
        <v>0.34838493409666493</v>
      </c>
      <c r="T24" s="106">
        <f t="shared" si="10"/>
        <v>0.3421082123212898</v>
      </c>
      <c r="U24" s="106">
        <f t="shared" si="10"/>
        <v>0.33663226681199498</v>
      </c>
      <c r="V24" s="106">
        <f t="shared" si="10"/>
        <v>0.33002693553613255</v>
      </c>
    </row>
    <row r="25" spans="1:25" ht="21" customHeight="1" thickTop="1" x14ac:dyDescent="0.2">
      <c r="A25" s="1110" t="s">
        <v>941</v>
      </c>
      <c r="B25" s="115">
        <f>'Exploitation année pleine'!B25</f>
        <v>1025656.5345272322</v>
      </c>
      <c r="C25" s="115">
        <f>'Exploitation année pleine'!C25</f>
        <v>1242572.8471022202</v>
      </c>
      <c r="D25" s="115">
        <f>'Exploitation année pleine'!D25</f>
        <v>1358190.4424021258</v>
      </c>
      <c r="E25" s="115">
        <f>'Exploitation année pleine'!E25</f>
        <v>1438603.8727453859</v>
      </c>
      <c r="F25" s="115">
        <f>'Exploitation année pleine'!F25</f>
        <v>1521690.5641254156</v>
      </c>
      <c r="G25" s="115">
        <f>'Exploitation année pleine'!G25</f>
        <v>1552124.3754079239</v>
      </c>
      <c r="H25" s="115">
        <f>'Exploitation année pleine'!H25</f>
        <v>1583166.8629160826</v>
      </c>
      <c r="I25" s="115">
        <f>'Exploitation année pleine'!I25</f>
        <v>1614830.2001744038</v>
      </c>
      <c r="J25" s="115">
        <f>'Exploitation année pleine'!J25</f>
        <v>1647126.8041778922</v>
      </c>
      <c r="K25" s="115">
        <f>'Exploitation année pleine'!K25</f>
        <v>1680069.3402614498</v>
      </c>
      <c r="L25" s="115">
        <f>'Exploitation année pleine'!L25</f>
        <v>1713670.7270666792</v>
      </c>
      <c r="M25" s="115">
        <f>'Exploitation année pleine'!M25</f>
        <v>1747944.1416080124</v>
      </c>
      <c r="N25" s="115">
        <f>'Exploitation année pleine'!N25</f>
        <v>1782903.0244401726</v>
      </c>
      <c r="O25" s="115">
        <f>'Exploitation année pleine'!O25</f>
        <v>1818561.0849289761</v>
      </c>
      <c r="P25" s="115">
        <f>'Exploitation année pleine'!P25</f>
        <v>1854932.3066275558</v>
      </c>
      <c r="Q25" s="115">
        <f>'Exploitation année pleine'!Q25</f>
        <v>1892030.9527601067</v>
      </c>
      <c r="R25" s="115">
        <f>'Exploitation année pleine'!R25</f>
        <v>1929871.5718153089</v>
      </c>
      <c r="S25" s="115">
        <f>'Exploitation année pleine'!S25</f>
        <v>1968469.0032516152</v>
      </c>
      <c r="T25" s="115">
        <f>'Exploitation année pleine'!T25</f>
        <v>2007838.3833166473</v>
      </c>
      <c r="U25" s="115">
        <f>'Exploitation année pleine'!U25</f>
        <v>2047995.1509829799</v>
      </c>
      <c r="V25" s="115">
        <f>'Exploitation année pleine'!V25</f>
        <v>2088955.0540026401</v>
      </c>
      <c r="W25" t="s">
        <v>743</v>
      </c>
    </row>
    <row r="26" spans="1:25" ht="21" customHeight="1" x14ac:dyDescent="0.2">
      <c r="A26" s="854" t="s">
        <v>952</v>
      </c>
      <c r="B26" s="96">
        <f>'Exploitation année pleine'!B26</f>
        <v>719820.07144123781</v>
      </c>
      <c r="C26" s="96">
        <f>'Exploitation année pleine'!C26</f>
        <v>707041.69007239619</v>
      </c>
      <c r="D26" s="96">
        <f>'Exploitation année pleine'!D26</f>
        <v>823197.92001361563</v>
      </c>
      <c r="E26" s="96">
        <f>'Exploitation année pleine'!E26</f>
        <v>887791.44160298945</v>
      </c>
      <c r="F26" s="96">
        <f>'Exploitation année pleine'!F26</f>
        <v>611178.23404114996</v>
      </c>
      <c r="G26" s="96">
        <f>'Exploitation année pleine'!G26</f>
        <v>532094.67802972696</v>
      </c>
      <c r="H26" s="96">
        <f>'Exploitation année pleine'!H26</f>
        <v>540719.24922435021</v>
      </c>
      <c r="I26" s="96">
        <f>'Exploitation année pleine'!I26</f>
        <v>549260.66082131374</v>
      </c>
      <c r="J26" s="96">
        <f>'Exploitation année pleine'!J26</f>
        <v>557502.79513088416</v>
      </c>
      <c r="K26" s="96">
        <f>'Exploitation année pleine'!K26</f>
        <v>566331.8557776938</v>
      </c>
      <c r="L26" s="96">
        <f>'Exploitation année pleine'!L26</f>
        <v>574795.4983912668</v>
      </c>
      <c r="M26" s="96">
        <f>'Exploitation année pleine'!M26</f>
        <v>583428.41385711113</v>
      </c>
      <c r="N26" s="96">
        <f>'Exploitation année pleine'!N26</f>
        <v>592233.98763227253</v>
      </c>
      <c r="O26" s="96">
        <f>'Exploitation année pleine'!O26</f>
        <v>601215.67288293713</v>
      </c>
      <c r="P26" s="96">
        <f>'Exploitation année pleine'!P26</f>
        <v>610376.99183861492</v>
      </c>
      <c r="Q26" s="96">
        <f>'Exploitation année pleine'!Q26</f>
        <v>619721.53717340634</v>
      </c>
      <c r="R26" s="96">
        <f>'Exploitation année pleine'!R26</f>
        <v>629252.97341489349</v>
      </c>
      <c r="S26" s="96">
        <f>'Exploitation année pleine'!S26</f>
        <v>638975.03838121053</v>
      </c>
      <c r="T26" s="96">
        <f>'Exploitation année pleine'!T26</f>
        <v>648891.54464685393</v>
      </c>
      <c r="U26" s="96">
        <f>'Exploitation année pleine'!U26</f>
        <v>659006.38103781</v>
      </c>
      <c r="V26" s="96">
        <f>'Exploitation année pleine'!V26</f>
        <v>669323.51415658544</v>
      </c>
    </row>
    <row r="27" spans="1:25" ht="21" customHeight="1" x14ac:dyDescent="0.2">
      <c r="A27" s="1193" t="s">
        <v>1494</v>
      </c>
      <c r="B27" s="96">
        <f>'Données gestion'!D58</f>
        <v>250000</v>
      </c>
      <c r="C27" s="96">
        <f>'Données gestion'!E58</f>
        <v>550000</v>
      </c>
      <c r="D27" s="96">
        <f>'Données gestion'!F58</f>
        <v>500000</v>
      </c>
      <c r="E27" s="96">
        <f>'Données gestion'!G58</f>
        <v>400000</v>
      </c>
      <c r="F27" s="96">
        <f>'Données gestion'!H58</f>
        <v>100000</v>
      </c>
      <c r="G27" s="96"/>
      <c r="H27" s="96"/>
      <c r="I27" s="96"/>
      <c r="J27" s="96"/>
      <c r="K27" s="96"/>
      <c r="L27" s="96"/>
      <c r="M27" s="96"/>
      <c r="N27" s="96"/>
      <c r="O27" s="96"/>
      <c r="P27" s="96"/>
      <c r="Q27" s="96"/>
      <c r="R27" s="96"/>
      <c r="S27" s="96"/>
      <c r="T27" s="96"/>
      <c r="U27" s="96"/>
      <c r="V27" s="96"/>
    </row>
    <row r="28" spans="1:25" ht="21" customHeight="1" x14ac:dyDescent="0.2">
      <c r="A28" s="854" t="s">
        <v>942</v>
      </c>
      <c r="B28" s="96">
        <f>'Exploitation année pleine'!B27</f>
        <v>0</v>
      </c>
      <c r="C28" s="96">
        <f>'Exploitation année pleine'!C27</f>
        <v>3632333.3333333335</v>
      </c>
      <c r="D28" s="96">
        <f>'Exploitation année pleine'!D27</f>
        <v>3632333.3333333335</v>
      </c>
      <c r="E28" s="96">
        <f>'Exploitation année pleine'!E27</f>
        <v>3762333.3333333335</v>
      </c>
      <c r="F28" s="96">
        <f>'Exploitation année pleine'!F27</f>
        <v>3787333.3333333335</v>
      </c>
      <c r="G28" s="96">
        <f>'Exploitation année pleine'!G27</f>
        <v>3462333.333333333</v>
      </c>
      <c r="H28" s="96">
        <f>'Exploitation année pleine'!H27</f>
        <v>3289333.3333333335</v>
      </c>
      <c r="I28" s="96">
        <f>'Exploitation année pleine'!I27</f>
        <v>3306000</v>
      </c>
      <c r="J28" s="96">
        <f>'Exploitation année pleine'!J27</f>
        <v>3322666.666666667</v>
      </c>
      <c r="K28" s="96">
        <f>'Exploitation année pleine'!K27</f>
        <v>3339333.3333333335</v>
      </c>
      <c r="L28" s="96">
        <f>'Exploitation année pleine'!L27</f>
        <v>3356000</v>
      </c>
      <c r="M28" s="96">
        <f>'Exploitation année pleine'!M27</f>
        <v>2448666.6666666665</v>
      </c>
      <c r="N28" s="96">
        <f>'Exploitation année pleine'!N27</f>
        <v>2531999.9999999995</v>
      </c>
      <c r="O28" s="96">
        <f>'Exploitation année pleine'!O27</f>
        <v>2548666.6666666665</v>
      </c>
      <c r="P28" s="96">
        <f>'Exploitation année pleine'!P27</f>
        <v>2565333.333333333</v>
      </c>
      <c r="Q28" s="96">
        <f>'Exploitation année pleine'!Q27</f>
        <v>2581999.9999999995</v>
      </c>
      <c r="R28" s="96">
        <f>'Exploitation année pleine'!R27</f>
        <v>2418333.3333333335</v>
      </c>
      <c r="S28" s="96">
        <f>'Exploitation année pleine'!S27</f>
        <v>2410000</v>
      </c>
      <c r="T28" s="96">
        <f>'Exploitation année pleine'!T27</f>
        <v>2468333.3333333335</v>
      </c>
      <c r="U28" s="96">
        <f>'Exploitation année pleine'!U27</f>
        <v>2468333.3333333335</v>
      </c>
      <c r="V28" s="96">
        <f>'Exploitation année pleine'!V27</f>
        <v>2468333.3333333335</v>
      </c>
    </row>
    <row r="29" spans="1:25" ht="21" customHeight="1" x14ac:dyDescent="0.2">
      <c r="A29" s="854" t="s">
        <v>307</v>
      </c>
      <c r="B29" s="96">
        <f>'Exploitation année pleine'!B28</f>
        <v>200000</v>
      </c>
      <c r="C29" s="96">
        <f>'Exploitation année pleine'!C28</f>
        <v>200000</v>
      </c>
      <c r="D29" s="96">
        <f>'Exploitation année pleine'!D28</f>
        <v>200000</v>
      </c>
      <c r="E29" s="96">
        <f>'Exploitation année pleine'!E28</f>
        <v>200000</v>
      </c>
      <c r="F29" s="96">
        <f>'Exploitation année pleine'!F28</f>
        <v>200000</v>
      </c>
      <c r="G29" s="96">
        <f>'Exploitation année pleine'!G28</f>
        <v>200000</v>
      </c>
      <c r="H29" s="96">
        <f>'Exploitation année pleine'!H28</f>
        <v>200000</v>
      </c>
      <c r="I29" s="96">
        <f>'Exploitation année pleine'!I28</f>
        <v>200000</v>
      </c>
      <c r="J29" s="96">
        <f>'Exploitation année pleine'!J28</f>
        <v>200000</v>
      </c>
      <c r="K29" s="96">
        <f>'Exploitation année pleine'!K28</f>
        <v>200000</v>
      </c>
      <c r="L29" s="96">
        <f>'Exploitation année pleine'!L28</f>
        <v>200000</v>
      </c>
      <c r="M29" s="96">
        <f>'Exploitation année pleine'!M28</f>
        <v>200000</v>
      </c>
      <c r="N29" s="96">
        <f>'Exploitation année pleine'!N28</f>
        <v>200000</v>
      </c>
      <c r="O29" s="96">
        <f>'Exploitation année pleine'!O28</f>
        <v>200000</v>
      </c>
      <c r="P29" s="96">
        <f>'Exploitation année pleine'!P28</f>
        <v>200000</v>
      </c>
      <c r="Q29" s="96">
        <f>'Exploitation année pleine'!Q28</f>
        <v>200000</v>
      </c>
      <c r="R29" s="96">
        <f>'Exploitation année pleine'!R28</f>
        <v>200000</v>
      </c>
      <c r="S29" s="96">
        <f>'Exploitation année pleine'!S28</f>
        <v>200000</v>
      </c>
      <c r="T29" s="96">
        <f>'Exploitation année pleine'!T28</f>
        <v>200000</v>
      </c>
      <c r="U29" s="96">
        <f>'Exploitation année pleine'!U28</f>
        <v>200000</v>
      </c>
      <c r="V29" s="96">
        <f>'Exploitation année pleine'!V28</f>
        <v>200000</v>
      </c>
    </row>
    <row r="30" spans="1:25" ht="21" customHeight="1" x14ac:dyDescent="0.2">
      <c r="A30" s="1112" t="s">
        <v>241</v>
      </c>
      <c r="B30" s="96">
        <f t="shared" ref="B30:V30" si="11">B25+B26+B28+B29</f>
        <v>1945476.60596847</v>
      </c>
      <c r="C30" s="96">
        <f t="shared" si="11"/>
        <v>5781947.87050795</v>
      </c>
      <c r="D30" s="96">
        <f t="shared" si="11"/>
        <v>6013721.6957490742</v>
      </c>
      <c r="E30" s="96">
        <f t="shared" si="11"/>
        <v>6288728.6476817094</v>
      </c>
      <c r="F30" s="96">
        <f t="shared" si="11"/>
        <v>6120202.1314998996</v>
      </c>
      <c r="G30" s="96">
        <f t="shared" si="11"/>
        <v>5746552.3867709842</v>
      </c>
      <c r="H30" s="96">
        <f t="shared" si="11"/>
        <v>5613219.445473766</v>
      </c>
      <c r="I30" s="96">
        <f t="shared" si="11"/>
        <v>5670090.8609957173</v>
      </c>
      <c r="J30" s="96">
        <f t="shared" si="11"/>
        <v>5727296.2659754436</v>
      </c>
      <c r="K30" s="96">
        <f t="shared" si="11"/>
        <v>5785734.529372477</v>
      </c>
      <c r="L30" s="96">
        <f t="shared" si="11"/>
        <v>5844466.2254579458</v>
      </c>
      <c r="M30" s="96">
        <f t="shared" si="11"/>
        <v>4980039.2221317906</v>
      </c>
      <c r="N30" s="96">
        <f t="shared" si="11"/>
        <v>5107137.012072444</v>
      </c>
      <c r="O30" s="96">
        <f t="shared" si="11"/>
        <v>5168443.4244785793</v>
      </c>
      <c r="P30" s="96">
        <f t="shared" si="11"/>
        <v>5230642.6317995042</v>
      </c>
      <c r="Q30" s="96">
        <f t="shared" si="11"/>
        <v>5293752.4899335131</v>
      </c>
      <c r="R30" s="96">
        <f t="shared" si="11"/>
        <v>5177457.8785635363</v>
      </c>
      <c r="S30" s="96">
        <f t="shared" si="11"/>
        <v>5217444.0416328255</v>
      </c>
      <c r="T30" s="96">
        <f t="shared" si="11"/>
        <v>5325063.2612968348</v>
      </c>
      <c r="U30" s="96">
        <f t="shared" si="11"/>
        <v>5375334.8653541235</v>
      </c>
      <c r="V30" s="96">
        <f t="shared" si="11"/>
        <v>5426611.9014925584</v>
      </c>
    </row>
    <row r="31" spans="1:25" ht="21" customHeight="1" x14ac:dyDescent="0.2">
      <c r="A31" s="1108" t="s">
        <v>221</v>
      </c>
      <c r="B31" s="6">
        <f t="shared" ref="B31:V31" si="12">B23-B30</f>
        <v>-1938636.4306869388</v>
      </c>
      <c r="C31" s="6">
        <f t="shared" si="12"/>
        <v>-915572.96159276366</v>
      </c>
      <c r="D31" s="6">
        <f t="shared" si="12"/>
        <v>1783524.9810612621</v>
      </c>
      <c r="E31" s="6">
        <f t="shared" si="12"/>
        <v>6328614.0759227425</v>
      </c>
      <c r="F31" s="1115">
        <f t="shared" si="12"/>
        <v>11084199.641344303</v>
      </c>
      <c r="G31" s="1117">
        <f t="shared" si="12"/>
        <v>16443048.225074491</v>
      </c>
      <c r="H31" s="1116">
        <f t="shared" si="12"/>
        <v>17086053.629964851</v>
      </c>
      <c r="I31" s="6">
        <f t="shared" si="12"/>
        <v>17303717.987224162</v>
      </c>
      <c r="J31" s="6">
        <f t="shared" si="12"/>
        <v>17002697.067416221</v>
      </c>
      <c r="K31" s="6">
        <f t="shared" si="12"/>
        <v>16859600.332696613</v>
      </c>
      <c r="L31" s="6">
        <f t="shared" si="12"/>
        <v>16548842.760037882</v>
      </c>
      <c r="M31" s="6">
        <f t="shared" si="12"/>
        <v>17155045.859715343</v>
      </c>
      <c r="N31" s="6">
        <f t="shared" si="12"/>
        <v>16763356.264080152</v>
      </c>
      <c r="O31" s="6">
        <f t="shared" si="12"/>
        <v>16380646.620451916</v>
      </c>
      <c r="P31" s="6">
        <f t="shared" si="12"/>
        <v>16039584.727731168</v>
      </c>
      <c r="Q31" s="6">
        <f t="shared" si="12"/>
        <v>15638384.530204929</v>
      </c>
      <c r="R31" s="6">
        <f t="shared" si="12"/>
        <v>15460723.071181597</v>
      </c>
      <c r="S31" s="6">
        <f t="shared" si="12"/>
        <v>15065031.483212909</v>
      </c>
      <c r="T31" s="6">
        <f t="shared" si="12"/>
        <v>14591990.446111783</v>
      </c>
      <c r="U31" s="6">
        <f t="shared" si="12"/>
        <v>14222917.080274396</v>
      </c>
      <c r="V31" s="6">
        <f t="shared" si="12"/>
        <v>13787087.048801769</v>
      </c>
      <c r="W31" s="342">
        <f>SUM(C31:G31)</f>
        <v>34723813.961810037</v>
      </c>
      <c r="X31" s="333">
        <f>AVERAGE(C31:G31)</f>
        <v>6944762.7923620073</v>
      </c>
      <c r="Y31" s="333">
        <f>AVERAGE(B31:V31)</f>
        <v>12985278.878106134</v>
      </c>
    </row>
    <row r="32" spans="1:25" ht="21" customHeight="1" thickBot="1" x14ac:dyDescent="0.25">
      <c r="A32" s="1113" t="s">
        <v>210</v>
      </c>
      <c r="B32" s="1114">
        <f t="shared" ref="B32:V32" si="13">B31/B7</f>
        <v>-1.1741467155241847</v>
      </c>
      <c r="C32" s="1114">
        <f t="shared" si="13"/>
        <v>-5.6648381518819263E-2</v>
      </c>
      <c r="D32" s="1114">
        <f t="shared" si="13"/>
        <v>7.0647927629134771E-2</v>
      </c>
      <c r="E32" s="1114">
        <f t="shared" si="13"/>
        <v>0.16327214506863127</v>
      </c>
      <c r="F32" s="1114">
        <f t="shared" si="13"/>
        <v>0.22769181171768321</v>
      </c>
      <c r="G32" s="1114">
        <f t="shared" si="13"/>
        <v>0.28866506748447068</v>
      </c>
      <c r="H32" s="1114">
        <f t="shared" si="13"/>
        <v>0.29732561612292957</v>
      </c>
      <c r="I32" s="1114">
        <f t="shared" si="13"/>
        <v>0.29927129228511923</v>
      </c>
      <c r="J32" s="1114">
        <f t="shared" si="13"/>
        <v>0.29372488650233819</v>
      </c>
      <c r="K32" s="1114">
        <f t="shared" si="13"/>
        <v>0.28959141321815024</v>
      </c>
      <c r="L32" s="1114">
        <f t="shared" si="13"/>
        <v>0.28425363991044278</v>
      </c>
      <c r="M32" s="1114">
        <f t="shared" si="13"/>
        <v>0.29466617691420344</v>
      </c>
      <c r="N32" s="1114">
        <f t="shared" si="13"/>
        <v>0.28793826277006679</v>
      </c>
      <c r="O32" s="1114">
        <f t="shared" si="13"/>
        <v>0.28136459409681958</v>
      </c>
      <c r="P32" s="1114">
        <f t="shared" si="13"/>
        <v>0.27550629416332045</v>
      </c>
      <c r="Q32" s="1114">
        <f t="shared" si="13"/>
        <v>0.26861501976224805</v>
      </c>
      <c r="R32" s="1114">
        <f t="shared" si="13"/>
        <v>0.26556339149243741</v>
      </c>
      <c r="S32" s="1114">
        <f t="shared" si="13"/>
        <v>0.25876673653637899</v>
      </c>
      <c r="T32" s="1114">
        <f t="shared" si="13"/>
        <v>0.2506414773522318</v>
      </c>
      <c r="U32" s="1114">
        <f t="shared" si="13"/>
        <v>0.24430203421687172</v>
      </c>
      <c r="V32" s="1114">
        <f t="shared" si="13"/>
        <v>0.23681593536242265</v>
      </c>
      <c r="W32" s="403">
        <v>35343393.936848603</v>
      </c>
    </row>
    <row r="33" spans="1:25" ht="21" customHeight="1" x14ac:dyDescent="0.2">
      <c r="A33" s="1104"/>
      <c r="B33" s="461"/>
      <c r="C33" s="461"/>
      <c r="D33" s="461"/>
      <c r="E33" s="461"/>
      <c r="F33" s="461"/>
      <c r="G33" s="461"/>
      <c r="H33" s="461"/>
      <c r="I33" s="461"/>
      <c r="J33" s="461"/>
      <c r="K33" s="461"/>
      <c r="L33" s="461"/>
      <c r="M33" s="461"/>
      <c r="N33" s="461"/>
      <c r="O33" s="461"/>
      <c r="P33" s="461"/>
      <c r="Q33" s="461"/>
      <c r="R33" s="461"/>
      <c r="S33" s="461"/>
      <c r="T33" s="461"/>
      <c r="U33" s="461"/>
      <c r="V33" s="461"/>
      <c r="W33" s="403"/>
    </row>
    <row r="34" spans="1:25" ht="21" customHeight="1" x14ac:dyDescent="0.2">
      <c r="A34" s="1140" t="s">
        <v>508</v>
      </c>
      <c r="B34" s="1139">
        <f>'Exploitation année pleine'!B33</f>
        <v>0</v>
      </c>
      <c r="C34" s="1139">
        <f>'Exploitation année pleine'!C33</f>
        <v>253700</v>
      </c>
      <c r="D34" s="1139">
        <f>'Exploitation année pleine'!D33</f>
        <v>253700</v>
      </c>
      <c r="E34" s="1139">
        <f>'Exploitation année pleine'!E33</f>
        <v>253700</v>
      </c>
      <c r="F34" s="1139">
        <f>'Exploitation année pleine'!F33</f>
        <v>253700</v>
      </c>
      <c r="G34" s="1139">
        <f>'Exploitation année pleine'!G33</f>
        <v>253700</v>
      </c>
      <c r="H34" s="1139">
        <f>'Exploitation année pleine'!H33</f>
        <v>253700</v>
      </c>
      <c r="I34" s="1139">
        <f>'Exploitation année pleine'!I33</f>
        <v>253700</v>
      </c>
      <c r="J34" s="1139">
        <f>'Exploitation année pleine'!J33</f>
        <v>253700</v>
      </c>
      <c r="K34" s="1139">
        <f>'Exploitation année pleine'!K33</f>
        <v>253700</v>
      </c>
      <c r="L34" s="1139">
        <f>'Exploitation année pleine'!L33</f>
        <v>253700</v>
      </c>
      <c r="M34" s="1139">
        <f>'Exploitation année pleine'!M33</f>
        <v>0</v>
      </c>
      <c r="N34" s="1139">
        <f>'Exploitation année pleine'!N33</f>
        <v>0</v>
      </c>
      <c r="O34" s="1139">
        <f>'Exploitation année pleine'!O33</f>
        <v>0</v>
      </c>
      <c r="P34" s="1139">
        <f>'Exploitation année pleine'!P33</f>
        <v>0</v>
      </c>
      <c r="Q34" s="1139">
        <f>'Exploitation année pleine'!Q33</f>
        <v>0</v>
      </c>
      <c r="R34" s="1139">
        <f>'Exploitation année pleine'!R33</f>
        <v>0</v>
      </c>
      <c r="S34" s="1139">
        <f>'Exploitation année pleine'!S33</f>
        <v>0</v>
      </c>
      <c r="T34" s="1139">
        <f>'Exploitation année pleine'!T33</f>
        <v>0</v>
      </c>
      <c r="U34" s="1139">
        <f>'Exploitation année pleine'!U33</f>
        <v>0</v>
      </c>
      <c r="V34" s="1139">
        <f>'Exploitation année pleine'!V33</f>
        <v>0</v>
      </c>
      <c r="W34" s="403"/>
    </row>
    <row r="35" spans="1:25" ht="13.5" thickBot="1" x14ac:dyDescent="0.25">
      <c r="B35" s="119"/>
      <c r="C35" s="119"/>
      <c r="D35" s="119"/>
      <c r="E35" s="119"/>
      <c r="F35" s="119"/>
      <c r="G35" s="119"/>
      <c r="H35" s="119"/>
      <c r="I35" s="119"/>
      <c r="J35" s="119"/>
      <c r="K35" s="119"/>
      <c r="L35" s="119"/>
      <c r="M35" s="119"/>
      <c r="N35" s="119"/>
      <c r="O35" s="119"/>
      <c r="P35" s="119"/>
      <c r="Q35" s="119"/>
      <c r="R35" s="119"/>
      <c r="S35" s="119"/>
      <c r="T35" s="119"/>
      <c r="U35" s="119"/>
      <c r="V35" s="119"/>
      <c r="W35" s="178">
        <v>13485178</v>
      </c>
      <c r="X35" s="178">
        <v>14415221.07876065</v>
      </c>
    </row>
    <row r="36" spans="1:25" ht="21" customHeight="1" thickTop="1" x14ac:dyDescent="0.2">
      <c r="A36" s="1" t="s">
        <v>338</v>
      </c>
      <c r="B36" s="186">
        <f t="shared" ref="B36:V36" si="14">B22/B8/1000</f>
        <v>7.8746754508324956</v>
      </c>
      <c r="C36" s="186">
        <f t="shared" si="14"/>
        <v>3.2699860702788</v>
      </c>
      <c r="D36" s="186">
        <f t="shared" si="14"/>
        <v>2.7671415305206182</v>
      </c>
      <c r="E36" s="186">
        <f t="shared" si="14"/>
        <v>2.4311980696124023</v>
      </c>
      <c r="F36" s="186">
        <f t="shared" si="14"/>
        <v>2.3262515663493568</v>
      </c>
      <c r="G36" s="186">
        <f t="shared" si="14"/>
        <v>2.1973615931636816</v>
      </c>
      <c r="H36" s="186">
        <f t="shared" si="14"/>
        <v>2.2029368271434118</v>
      </c>
      <c r="I36" s="186">
        <f t="shared" si="14"/>
        <v>2.2448269192785602</v>
      </c>
      <c r="J36" s="186">
        <f t="shared" si="14"/>
        <v>2.2889591759211902</v>
      </c>
      <c r="K36" s="186">
        <f t="shared" si="14"/>
        <v>2.3469930015944325</v>
      </c>
      <c r="L36" s="186">
        <f t="shared" si="14"/>
        <v>2.3530376656169021</v>
      </c>
      <c r="M36" s="186">
        <f t="shared" si="14"/>
        <v>2.3589683661737371</v>
      </c>
      <c r="N36" s="186">
        <f t="shared" si="14"/>
        <v>2.3647781268607022</v>
      </c>
      <c r="O36" s="186">
        <f t="shared" si="14"/>
        <v>2.3829213306927421</v>
      </c>
      <c r="P36" s="186">
        <f t="shared" si="14"/>
        <v>2.3887165738536615</v>
      </c>
      <c r="Q36" s="186">
        <f t="shared" si="14"/>
        <v>2.4073385466255601</v>
      </c>
      <c r="R36" s="186">
        <f t="shared" si="14"/>
        <v>2.4131086167853257</v>
      </c>
      <c r="S36" s="186">
        <f t="shared" si="14"/>
        <v>2.4322184304158587</v>
      </c>
      <c r="T36" s="186">
        <f t="shared" si="14"/>
        <v>2.4517104403190015</v>
      </c>
      <c r="U36" s="186">
        <f t="shared" si="14"/>
        <v>2.4575585128233643</v>
      </c>
      <c r="V36" s="189">
        <f t="shared" si="14"/>
        <v>2.4775573243746569</v>
      </c>
    </row>
    <row r="37" spans="1:25" ht="21" customHeight="1" x14ac:dyDescent="0.2">
      <c r="A37" s="3" t="s">
        <v>339</v>
      </c>
      <c r="B37" s="188">
        <f t="shared" ref="B37:V37" si="15">(B22+B30)/B8/1000</f>
        <v>23.534697160069484</v>
      </c>
      <c r="C37" s="188">
        <f t="shared" si="15"/>
        <v>8.2150220682472419</v>
      </c>
      <c r="D37" s="188">
        <f t="shared" si="15"/>
        <v>6.085374799827588</v>
      </c>
      <c r="E37" s="188">
        <f t="shared" si="15"/>
        <v>4.6722240929576486</v>
      </c>
      <c r="F37" s="188">
        <f t="shared" si="15"/>
        <v>4.0710280403516741</v>
      </c>
      <c r="G37" s="188">
        <f t="shared" si="15"/>
        <v>3.6219308270648645</v>
      </c>
      <c r="H37" s="188">
        <f t="shared" si="15"/>
        <v>3.5944528504839757</v>
      </c>
      <c r="I37" s="188">
        <f t="shared" si="15"/>
        <v>3.6504413556132329</v>
      </c>
      <c r="J37" s="188">
        <f t="shared" si="15"/>
        <v>3.7087548211724615</v>
      </c>
      <c r="K37" s="188">
        <f t="shared" si="15"/>
        <v>3.7812754811273632</v>
      </c>
      <c r="L37" s="188">
        <f t="shared" si="15"/>
        <v>3.8018797213386453</v>
      </c>
      <c r="M37" s="188">
        <f t="shared" si="15"/>
        <v>3.5935191336568666</v>
      </c>
      <c r="N37" s="188">
        <f t="shared" si="15"/>
        <v>3.630836412079701</v>
      </c>
      <c r="O37" s="188">
        <f t="shared" si="15"/>
        <v>3.6641774637823512</v>
      </c>
      <c r="P37" s="188">
        <f t="shared" si="15"/>
        <v>3.6853918785019277</v>
      </c>
      <c r="Q37" s="188">
        <f t="shared" si="15"/>
        <v>3.7196587729942898</v>
      </c>
      <c r="R37" s="188">
        <f t="shared" si="15"/>
        <v>3.6965994313126971</v>
      </c>
      <c r="S37" s="188">
        <f t="shared" si="15"/>
        <v>3.725621807094651</v>
      </c>
      <c r="T37" s="188">
        <f t="shared" si="15"/>
        <v>3.7717926009000746</v>
      </c>
      <c r="U37" s="188">
        <f t="shared" si="15"/>
        <v>3.7901029944029792</v>
      </c>
      <c r="V37" s="190">
        <f t="shared" si="15"/>
        <v>3.8228133733727847</v>
      </c>
    </row>
    <row r="38" spans="1:25" ht="21" customHeight="1" thickBot="1" x14ac:dyDescent="0.25">
      <c r="A38" s="7" t="s">
        <v>638</v>
      </c>
      <c r="B38" s="187">
        <f t="shared" ref="B38:V38" si="16">(B10+B22+B30)/B8/1000</f>
        <v>28.895432335829792</v>
      </c>
      <c r="C38" s="187">
        <f t="shared" si="16"/>
        <v>14.60599777857411</v>
      </c>
      <c r="D38" s="187">
        <f t="shared" si="16"/>
        <v>12.945643078548789</v>
      </c>
      <c r="E38" s="187">
        <f t="shared" si="16"/>
        <v>11.557523502600903</v>
      </c>
      <c r="F38" s="187">
        <f t="shared" si="16"/>
        <v>10.718193591877109</v>
      </c>
      <c r="G38" s="187">
        <f t="shared" si="16"/>
        <v>10.044733676639311</v>
      </c>
      <c r="H38" s="187">
        <f t="shared" si="16"/>
        <v>10.010130741624065</v>
      </c>
      <c r="I38" s="187">
        <f t="shared" si="16"/>
        <v>10.043855830832552</v>
      </c>
      <c r="J38" s="187">
        <f t="shared" si="16"/>
        <v>10.135079664003422</v>
      </c>
      <c r="K38" s="187">
        <f t="shared" si="16"/>
        <v>10.252882673155177</v>
      </c>
      <c r="L38" s="187">
        <f t="shared" si="16"/>
        <v>10.329919415782038</v>
      </c>
      <c r="M38" s="187">
        <f t="shared" si="16"/>
        <v>10.179641783704049</v>
      </c>
      <c r="N38" s="187">
        <f t="shared" si="16"/>
        <v>10.276741559295697</v>
      </c>
      <c r="O38" s="187">
        <f t="shared" si="16"/>
        <v>10.371615206508093</v>
      </c>
      <c r="P38" s="187">
        <f t="shared" si="16"/>
        <v>10.456164384262843</v>
      </c>
      <c r="Q38" s="187">
        <f t="shared" si="16"/>
        <v>10.555621836238167</v>
      </c>
      <c r="R38" s="187">
        <f t="shared" si="16"/>
        <v>10.599664077836325</v>
      </c>
      <c r="S38" s="187">
        <f t="shared" si="16"/>
        <v>10.697755946559449</v>
      </c>
      <c r="T38" s="187">
        <f t="shared" si="16"/>
        <v>10.815022728878931</v>
      </c>
      <c r="U38" s="187">
        <f t="shared" si="16"/>
        <v>10.906515945443816</v>
      </c>
      <c r="V38" s="191">
        <f t="shared" si="16"/>
        <v>11.01455812660889</v>
      </c>
    </row>
    <row r="39" spans="1:25" ht="13.5" thickTop="1" x14ac:dyDescent="0.2">
      <c r="B39" s="119"/>
      <c r="C39" s="119"/>
      <c r="D39" s="119"/>
      <c r="E39" s="119"/>
      <c r="F39" s="119"/>
      <c r="G39" s="119"/>
      <c r="H39" s="119"/>
      <c r="I39" s="119"/>
      <c r="J39" s="119"/>
      <c r="K39" s="119"/>
    </row>
    <row r="40" spans="1:25" ht="13.5" thickBot="1" x14ac:dyDescent="0.25">
      <c r="B40" s="119"/>
      <c r="C40" s="119"/>
      <c r="D40" s="119"/>
      <c r="E40" s="119"/>
      <c r="F40" s="119"/>
      <c r="G40" s="119"/>
      <c r="H40" s="119"/>
      <c r="I40" s="119"/>
      <c r="J40" s="119"/>
      <c r="K40" s="119"/>
    </row>
    <row r="41" spans="1:25" ht="21" customHeight="1" thickTop="1" x14ac:dyDescent="0.2">
      <c r="A41" s="1" t="s">
        <v>218</v>
      </c>
      <c r="B41" s="115">
        <f>'Para de décalage'!B23*'Exploitation année pleine'!B41</f>
        <v>288951.38511211035</v>
      </c>
      <c r="C41" s="115">
        <f>'Para de décalage'!C26*'Exploitation année pleine'!B41+'Para de décalage'!C23*'Exploitation année pleine'!C41</f>
        <v>1763928.999037636</v>
      </c>
      <c r="D41" s="115">
        <f>'Para de décalage'!D26*'Exploitation année pleine'!C41+'Para de décalage'!D23*'Exploitation année pleine'!D41</f>
        <v>2627842.6304144384</v>
      </c>
      <c r="E41" s="115">
        <f>'Para de décalage'!E26*'Exploitation année pleine'!D41+'Para de décalage'!E23*'Exploitation année pleine'!E41</f>
        <v>3828448.6489721565</v>
      </c>
      <c r="F41" s="115">
        <f>'Para de décalage'!F26*'Exploitation année pleine'!E41+'Para de décalage'!F23*'Exploitation année pleine'!F41</f>
        <v>4514722.2605032269</v>
      </c>
      <c r="G41" s="115">
        <f>'Para de décalage'!G26*'Exploitation année pleine'!F41+'Para de décalage'!G23*'Exploitation année pleine'!G41</f>
        <v>4918475.7949057501</v>
      </c>
      <c r="H41" s="115">
        <f>'Para de décalage'!H26*'Exploitation année pleine'!G41+'Para de décalage'!H23*'Exploitation année pleine'!H41</f>
        <v>4906110.4508312363</v>
      </c>
      <c r="I41" s="115">
        <f>'Para de décalage'!I26*'Exploitation année pleine'!H41+'Para de décalage'!I23*'Exploitation année pleine'!I41</f>
        <v>4905782.5405072551</v>
      </c>
      <c r="J41" s="115">
        <f>((J10-'Données PAMCHR'!N169-'Données PAMCHR'!N176))/52*'Données Flux et BFR'!$I$67+('Données PAMCHR'!N169+'Données PAMCHR'!N176)*'Données Flux et BFR'!$I$69/52+(J22+J30)*50%/52*'Données Flux et BFR'!$I$70</f>
        <v>4944666.3218353512</v>
      </c>
      <c r="K41" s="115">
        <f>((K10-'Données PAMCHR'!O169-'Données PAMCHR'!O176))/52*'Données Flux et BFR'!$I$67+('Données PAMCHR'!O169+'Données PAMCHR'!O176)*'Données Flux et BFR'!$I$69/52+(K22+K30)*50%/52*'Données Flux et BFR'!$I$70</f>
        <v>4995357.730545938</v>
      </c>
      <c r="L41" s="115">
        <f>((L10-'Données PAMCHR'!P169-'Données PAMCHR'!P176))/52*'Données Flux et BFR'!$I$67+('Données PAMCHR'!P169+'Données PAMCHR'!P176)*'Données Flux et BFR'!$I$69/52+(L22+L30)*50%/52*'Données Flux et BFR'!$I$70</f>
        <v>5040351.6650939602</v>
      </c>
      <c r="M41" s="115">
        <f>((M10-'Données PAMCHR'!Q169-'Données PAMCHR'!Q176))/52*'Données Flux et BFR'!$I$67+('Données PAMCHR'!Q169+'Données PAMCHR'!Q176)*'Données Flux et BFR'!$I$69/52+(M22+M30)*50%/52*'Données Flux et BFR'!$I$70</f>
        <v>5024331.2771957181</v>
      </c>
      <c r="N41" s="115">
        <f>((N10-'Données PAMCHR'!R169-'Données PAMCHR'!R176))/52*'Données Flux et BFR'!$I$67+('Données PAMCHR'!R169+'Données PAMCHR'!R176)*'Données Flux et BFR'!$I$69/52+(N22+N30)*50%/52*'Données Flux et BFR'!$I$70</f>
        <v>5076201.872241254</v>
      </c>
      <c r="O41" s="115">
        <f>((O10-'Données PAMCHR'!S169-'Données PAMCHR'!S176))/52*'Données Flux et BFR'!$I$67+('Données PAMCHR'!S169+'Données PAMCHR'!S176)*'Données Flux et BFR'!$I$69/52+(O22+O30)*50%/52*'Données Flux et BFR'!$I$70</f>
        <v>5128214.7465066649</v>
      </c>
      <c r="P41" s="115">
        <f>((P10-'Données PAMCHR'!T169-'Données PAMCHR'!T176))/52*'Données Flux et BFR'!$I$67+('Données PAMCHR'!T169+'Données PAMCHR'!T176)*'Données Flux et BFR'!$I$69/52+(P22+P30)*50%/52*'Données Flux et BFR'!$I$70</f>
        <v>5178193.32173617</v>
      </c>
      <c r="Q41" s="115">
        <f>((Q10-'Données PAMCHR'!U169-'Données PAMCHR'!U176))/52*'Données Flux et BFR'!$I$67+('Données PAMCHR'!U169+'Données PAMCHR'!U176)*'Données Flux et BFR'!$I$69/52+(Q22+Q30)*50%/52*'Données Flux et BFR'!$I$70</f>
        <v>5233011.4629762098</v>
      </c>
      <c r="R41" s="115">
        <f>((R10-'Données PAMCHR'!V169-'Données PAMCHR'!V176))/52*'Données Flux et BFR'!$I$67+('Données PAMCHR'!V169+'Données PAMCHR'!V176)*'Données Flux et BFR'!$I$69/52+(R22+R30)*50%/52*'Données Flux et BFR'!$I$70</f>
        <v>5273599.0881549269</v>
      </c>
      <c r="S41" s="115">
        <f>((S10-'Données PAMCHR'!W169-'Données PAMCHR'!W176))/52*'Données Flux et BFR'!$I$67+('Données PAMCHR'!W169+'Données PAMCHR'!W176)*'Données Flux et BFR'!$I$69/52+(S22+S30)*50%/52*'Données Flux et BFR'!$I$70</f>
        <v>5329701.4488734007</v>
      </c>
      <c r="T41" s="115">
        <f>((T10-'Données PAMCHR'!X169-'Données PAMCHR'!X176))/52*'Données Flux et BFR'!$I$67+('Données PAMCHR'!X169+'Données PAMCHR'!X176)*'Données Flux et BFR'!$I$69/52+(T22+T30)*50%/52*'Données Flux et BFR'!$I$70</f>
        <v>5391874.6495567113</v>
      </c>
      <c r="U41" s="115">
        <f>((U10-'Données PAMCHR'!Y169-'Données PAMCHR'!Y176))/52*'Données Flux et BFR'!$I$67+('Données PAMCHR'!Y169+'Données PAMCHR'!Y176)*'Données Flux et BFR'!$I$69/52+(U22+U30)*50%/52*'Données Flux et BFR'!$I$70</f>
        <v>5447940.397554894</v>
      </c>
      <c r="V41" s="115">
        <f>((V10-'Données PAMCHR'!Z169-'Données PAMCHR'!Z176))/52*'Données Flux et BFR'!$I$67+('Données PAMCHR'!Z169+'Données PAMCHR'!Z176)*'Données Flux et BFR'!$I$69/52+(V22+V30)*50%/52*'Données Flux et BFR'!$I$70</f>
        <v>5509416.2686890364</v>
      </c>
      <c r="X41" s="333">
        <f>AVERAGE(C41:V41)</f>
        <v>4751908.5788065959</v>
      </c>
      <c r="Y41" s="333">
        <f>AVERAGE(B41:V41)</f>
        <v>4539386.8076782869</v>
      </c>
    </row>
    <row r="42" spans="1:25" ht="21" customHeight="1" x14ac:dyDescent="0.2">
      <c r="A42" s="3" t="s">
        <v>224</v>
      </c>
      <c r="B42" s="96">
        <f>'Données Investissement'!F5*1000000-0</f>
        <v>56660000</v>
      </c>
      <c r="C42" s="96">
        <f t="shared" ref="C42:V42" si="17">B42-C28</f>
        <v>53027666.666666664</v>
      </c>
      <c r="D42" s="96">
        <f t="shared" si="17"/>
        <v>49395333.333333328</v>
      </c>
      <c r="E42" s="96">
        <f t="shared" si="17"/>
        <v>45632999.999999993</v>
      </c>
      <c r="F42" s="96">
        <f t="shared" si="17"/>
        <v>41845666.666666657</v>
      </c>
      <c r="G42" s="96">
        <f t="shared" si="17"/>
        <v>38383333.333333321</v>
      </c>
      <c r="H42" s="96">
        <f t="shared" si="17"/>
        <v>35093999.999999985</v>
      </c>
      <c r="I42" s="96">
        <f t="shared" si="17"/>
        <v>31787999.999999985</v>
      </c>
      <c r="J42" s="96">
        <f t="shared" si="17"/>
        <v>28465333.333333317</v>
      </c>
      <c r="K42" s="96">
        <f t="shared" si="17"/>
        <v>25125999.999999985</v>
      </c>
      <c r="L42" s="96">
        <f t="shared" si="17"/>
        <v>21769999.999999985</v>
      </c>
      <c r="M42" s="96">
        <f t="shared" si="17"/>
        <v>19321333.333333317</v>
      </c>
      <c r="N42" s="96">
        <f t="shared" si="17"/>
        <v>16789333.333333317</v>
      </c>
      <c r="O42" s="96">
        <f t="shared" si="17"/>
        <v>14240666.666666651</v>
      </c>
      <c r="P42" s="96">
        <f t="shared" si="17"/>
        <v>11675333.333333317</v>
      </c>
      <c r="Q42" s="96">
        <f t="shared" si="17"/>
        <v>9093333.3333333172</v>
      </c>
      <c r="R42" s="96">
        <f t="shared" si="17"/>
        <v>6674999.9999999832</v>
      </c>
      <c r="S42" s="96">
        <f t="shared" si="17"/>
        <v>4264999.9999999832</v>
      </c>
      <c r="T42" s="96">
        <f t="shared" si="17"/>
        <v>1796666.6666666497</v>
      </c>
      <c r="U42" s="96">
        <f t="shared" si="17"/>
        <v>-671666.66666668374</v>
      </c>
      <c r="V42" s="96">
        <f t="shared" si="17"/>
        <v>-3140000.0000000172</v>
      </c>
      <c r="X42" s="333">
        <f>AVERAGE(C42:V42)</f>
        <v>22528666.666666653</v>
      </c>
    </row>
    <row r="43" spans="1:25" ht="21" customHeight="1" x14ac:dyDescent="0.2">
      <c r="A43" s="3" t="s">
        <v>219</v>
      </c>
      <c r="B43" s="96">
        <f t="shared" ref="B43:I43" si="18">B41+B42</f>
        <v>56948951.385112107</v>
      </c>
      <c r="C43" s="96">
        <f t="shared" si="18"/>
        <v>54791595.665704302</v>
      </c>
      <c r="D43" s="96">
        <f t="shared" si="18"/>
        <v>52023175.96374777</v>
      </c>
      <c r="E43" s="96">
        <f t="shared" si="18"/>
        <v>49461448.648972146</v>
      </c>
      <c r="F43" s="96">
        <f t="shared" si="18"/>
        <v>46360388.927169882</v>
      </c>
      <c r="G43" s="96">
        <f t="shared" si="18"/>
        <v>43301809.128239073</v>
      </c>
      <c r="H43" s="96">
        <f t="shared" si="18"/>
        <v>40000110.45083122</v>
      </c>
      <c r="I43" s="96">
        <f t="shared" si="18"/>
        <v>36693782.540507242</v>
      </c>
      <c r="J43" s="96">
        <f>J41+J42</f>
        <v>33409999.655168667</v>
      </c>
      <c r="K43" s="96">
        <f>K41+K42</f>
        <v>30121357.730545923</v>
      </c>
      <c r="L43" s="96">
        <f>L41+L42</f>
        <v>26810351.665093943</v>
      </c>
      <c r="M43" s="96">
        <f t="shared" ref="M43:V43" si="19">M41+M42</f>
        <v>24345664.610529035</v>
      </c>
      <c r="N43" s="96">
        <f t="shared" si="19"/>
        <v>21865535.205574572</v>
      </c>
      <c r="O43" s="96">
        <f t="shared" si="19"/>
        <v>19368881.413173318</v>
      </c>
      <c r="P43" s="96">
        <f t="shared" si="19"/>
        <v>16853526.655069485</v>
      </c>
      <c r="Q43" s="96">
        <f t="shared" si="19"/>
        <v>14326344.796309527</v>
      </c>
      <c r="R43" s="96">
        <f t="shared" si="19"/>
        <v>11948599.08815491</v>
      </c>
      <c r="S43" s="96">
        <f t="shared" si="19"/>
        <v>9594701.4488733839</v>
      </c>
      <c r="T43" s="96">
        <f t="shared" si="19"/>
        <v>7188541.3162233606</v>
      </c>
      <c r="U43" s="96">
        <f t="shared" si="19"/>
        <v>4776273.7308882102</v>
      </c>
      <c r="V43" s="96">
        <f t="shared" si="19"/>
        <v>2369416.2686890191</v>
      </c>
      <c r="X43" s="333">
        <f>X42+X41</f>
        <v>27280575.245473251</v>
      </c>
    </row>
    <row r="44" spans="1:25" ht="21" customHeight="1" x14ac:dyDescent="0.2">
      <c r="A44" s="8" t="s">
        <v>220</v>
      </c>
      <c r="B44" s="124">
        <f t="shared" ref="B44:I44" si="20">B31/B43</f>
        <v>-3.4041652805458809E-2</v>
      </c>
      <c r="C44" s="124">
        <f t="shared" si="20"/>
        <v>-1.6710098519102778E-2</v>
      </c>
      <c r="D44" s="124">
        <f t="shared" si="20"/>
        <v>3.4283277558911578E-2</v>
      </c>
      <c r="E44" s="124">
        <f t="shared" si="20"/>
        <v>0.12795043915589513</v>
      </c>
      <c r="F44" s="124">
        <f t="shared" si="20"/>
        <v>0.2390877190171353</v>
      </c>
      <c r="G44" s="124">
        <f t="shared" si="20"/>
        <v>0.37973120652714792</v>
      </c>
      <c r="H44" s="124">
        <f t="shared" si="20"/>
        <v>0.42715016127186206</v>
      </c>
      <c r="I44" s="124">
        <f t="shared" si="20"/>
        <v>0.47157084359242951</v>
      </c>
      <c r="J44" s="124">
        <f>J31/J43</f>
        <v>0.50891042331351333</v>
      </c>
      <c r="K44" s="124">
        <f>K31/K43</f>
        <v>0.55972245618926308</v>
      </c>
      <c r="L44" s="124">
        <f>L31/L43</f>
        <v>0.61725571401526391</v>
      </c>
      <c r="M44" s="124">
        <f t="shared" ref="M44:V44" si="21">M31/M43</f>
        <v>0.70464479545553715</v>
      </c>
      <c r="N44" s="124">
        <f t="shared" si="21"/>
        <v>0.7666565719281534</v>
      </c>
      <c r="O44" s="124">
        <f t="shared" si="21"/>
        <v>0.8457198054458106</v>
      </c>
      <c r="P44" s="124">
        <f t="shared" si="21"/>
        <v>0.95170494911855819</v>
      </c>
      <c r="Q44" s="124">
        <f t="shared" si="21"/>
        <v>1.09158230885476</v>
      </c>
      <c r="R44" s="124">
        <f t="shared" si="21"/>
        <v>1.2939360469888379</v>
      </c>
      <c r="S44" s="124">
        <f t="shared" si="21"/>
        <v>1.5701407243871934</v>
      </c>
      <c r="T44" s="124">
        <f t="shared" si="21"/>
        <v>2.0298958862739025</v>
      </c>
      <c r="U44" s="124">
        <f t="shared" si="21"/>
        <v>2.977827042929857</v>
      </c>
      <c r="V44" s="124">
        <f t="shared" si="21"/>
        <v>5.8187694711955631</v>
      </c>
      <c r="W44" s="43"/>
      <c r="X44" s="385">
        <f>X31/X43</f>
        <v>0.25456804813946776</v>
      </c>
    </row>
    <row r="45" spans="1:25" ht="21" customHeight="1" thickBot="1" x14ac:dyDescent="0.25">
      <c r="A45" s="122"/>
      <c r="B45" s="106"/>
      <c r="C45" s="106"/>
      <c r="D45" s="106"/>
      <c r="E45" s="106"/>
      <c r="F45" s="106"/>
      <c r="G45" s="106"/>
      <c r="H45" s="106"/>
      <c r="I45" s="106"/>
      <c r="J45" s="445"/>
      <c r="K45" s="445"/>
      <c r="L45" s="445"/>
      <c r="M45" s="445"/>
      <c r="N45" s="445"/>
      <c r="O45" s="445"/>
      <c r="P45" s="445"/>
      <c r="Q45" s="445"/>
      <c r="R45" s="445"/>
      <c r="S45" s="445"/>
      <c r="T45" s="445"/>
      <c r="U45" s="445"/>
      <c r="V45" s="445"/>
    </row>
    <row r="46" spans="1:25" ht="14.25" thickTop="1" thickBot="1" x14ac:dyDescent="0.25"/>
    <row r="47" spans="1:25" ht="21" customHeight="1" thickTop="1" x14ac:dyDescent="0.2">
      <c r="A47" s="1" t="s">
        <v>921</v>
      </c>
      <c r="B47" s="115">
        <f>'Données Investissement'!$F$5*1000*1000/2</f>
        <v>28330000</v>
      </c>
      <c r="C47" s="115">
        <f>'Données Investissement'!$F$5*1000*1000/2</f>
        <v>28330000</v>
      </c>
      <c r="D47" s="115">
        <f>'Données Investissement'!$F$5*1000*1000/2</f>
        <v>28330000</v>
      </c>
      <c r="E47" s="115">
        <f>'Données Investissement'!$F$5*1000*1000/2</f>
        <v>28330000</v>
      </c>
      <c r="F47" s="115">
        <f>'Données Investissement'!$F$5*1000*1000/2</f>
        <v>28330000</v>
      </c>
      <c r="G47" s="115">
        <f>'Données Investissement'!$F$5*1000*1000/2</f>
        <v>28330000</v>
      </c>
      <c r="H47" s="115">
        <f>'Données Investissement'!$F$5*1000*1000/2</f>
        <v>28330000</v>
      </c>
      <c r="I47" s="115">
        <f>'Données Investissement'!$F$5*1000*1000/2</f>
        <v>28330000</v>
      </c>
      <c r="J47" s="115">
        <f>'Données Investissement'!$F$5*1000*1000/2</f>
        <v>28330000</v>
      </c>
      <c r="K47" s="115">
        <f>'Données Investissement'!$F$5*1000*1000/2</f>
        <v>28330000</v>
      </c>
      <c r="L47" s="115">
        <f>'Données Investissement'!$F$5*1000*1000/2</f>
        <v>28330000</v>
      </c>
      <c r="M47" s="115">
        <f>'Données Investissement'!$F$5*1000*1000/2</f>
        <v>28330000</v>
      </c>
      <c r="N47" s="115">
        <f>'Données Investissement'!$F$5*1000*1000/2</f>
        <v>28330000</v>
      </c>
      <c r="O47" s="115">
        <f>'Données Investissement'!$F$5*1000*1000/2</f>
        <v>28330000</v>
      </c>
      <c r="P47" s="115">
        <f>'Données Investissement'!$F$5*1000*1000/2</f>
        <v>28330000</v>
      </c>
      <c r="Q47" s="115">
        <f>'Données Investissement'!$F$5*1000*1000/2</f>
        <v>28330000</v>
      </c>
      <c r="R47" s="115">
        <f>'Données Investissement'!$F$5*1000*1000/2</f>
        <v>28330000</v>
      </c>
      <c r="S47" s="115">
        <f>'Données Investissement'!$F$5*1000*1000/2</f>
        <v>28330000</v>
      </c>
      <c r="T47" s="115">
        <f>'Données Investissement'!$F$5*1000*1000/2</f>
        <v>28330000</v>
      </c>
      <c r="U47" s="115">
        <f>'Données Investissement'!$F$5*1000*1000/2</f>
        <v>28330000</v>
      </c>
      <c r="V47" s="184">
        <f>'Données Investissement'!$F$5*1000*1000/2</f>
        <v>28330000</v>
      </c>
      <c r="X47" s="333">
        <f>AVERAGE(C47:V47)</f>
        <v>28330000</v>
      </c>
      <c r="Y47" s="333">
        <f>AVERAGE(B47:V47)</f>
        <v>28330000</v>
      </c>
    </row>
    <row r="48" spans="1:25" ht="21" customHeight="1" x14ac:dyDescent="0.2">
      <c r="A48" s="3" t="s">
        <v>219</v>
      </c>
      <c r="B48" s="96">
        <f t="shared" ref="B48:I48" si="22">B47+B41</f>
        <v>28618951.385112111</v>
      </c>
      <c r="C48" s="96">
        <f t="shared" si="22"/>
        <v>30093928.999037635</v>
      </c>
      <c r="D48" s="96">
        <f t="shared" si="22"/>
        <v>30957842.630414438</v>
      </c>
      <c r="E48" s="96">
        <f t="shared" si="22"/>
        <v>32158448.648972157</v>
      </c>
      <c r="F48" s="96">
        <f t="shared" si="22"/>
        <v>32844722.260503225</v>
      </c>
      <c r="G48" s="96">
        <f t="shared" si="22"/>
        <v>33248475.794905752</v>
      </c>
      <c r="H48" s="96">
        <f t="shared" si="22"/>
        <v>33236110.450831234</v>
      </c>
      <c r="I48" s="96">
        <f t="shared" si="22"/>
        <v>33235782.540507257</v>
      </c>
      <c r="J48" s="96">
        <f>J47+J41</f>
        <v>33274666.32183535</v>
      </c>
      <c r="K48" s="96">
        <f>K47+K41</f>
        <v>33325357.730545938</v>
      </c>
      <c r="L48" s="96">
        <f>L47+L41</f>
        <v>33370351.665093958</v>
      </c>
      <c r="M48" s="96">
        <f t="shared" ref="M48:V48" si="23">M47+M41</f>
        <v>33354331.277195718</v>
      </c>
      <c r="N48" s="96">
        <f t="shared" si="23"/>
        <v>33406201.872241255</v>
      </c>
      <c r="O48" s="96">
        <f t="shared" si="23"/>
        <v>33458214.746506665</v>
      </c>
      <c r="P48" s="96">
        <f t="shared" si="23"/>
        <v>33508193.321736172</v>
      </c>
      <c r="Q48" s="96">
        <f t="shared" si="23"/>
        <v>33563011.46297621</v>
      </c>
      <c r="R48" s="96">
        <f t="shared" si="23"/>
        <v>33603599.088154927</v>
      </c>
      <c r="S48" s="96">
        <f t="shared" si="23"/>
        <v>33659701.448873401</v>
      </c>
      <c r="T48" s="96">
        <f t="shared" si="23"/>
        <v>33721874.649556711</v>
      </c>
      <c r="U48" s="96">
        <f t="shared" si="23"/>
        <v>33777940.397554897</v>
      </c>
      <c r="V48" s="181">
        <f t="shared" si="23"/>
        <v>33839416.268689036</v>
      </c>
      <c r="X48" s="333">
        <f>X47+X41</f>
        <v>33081908.578806594</v>
      </c>
      <c r="Y48" s="333">
        <f>Y47+Y41</f>
        <v>32869386.807678286</v>
      </c>
    </row>
    <row r="49" spans="1:25" ht="21" customHeight="1" x14ac:dyDescent="0.2">
      <c r="A49" s="8" t="s">
        <v>922</v>
      </c>
      <c r="B49" s="124">
        <f t="shared" ref="B49:I49" si="24">B31/B48</f>
        <v>-6.7739603893923195E-2</v>
      </c>
      <c r="C49" s="124">
        <f t="shared" si="24"/>
        <v>-3.0423842683421048E-2</v>
      </c>
      <c r="D49" s="124">
        <f t="shared" si="24"/>
        <v>5.7611410535081779E-2</v>
      </c>
      <c r="E49" s="124">
        <f t="shared" si="24"/>
        <v>0.19679475664399054</v>
      </c>
      <c r="F49" s="124">
        <f t="shared" si="24"/>
        <v>0.33747277731355302</v>
      </c>
      <c r="G49" s="124">
        <f t="shared" si="24"/>
        <v>0.49455043673291793</v>
      </c>
      <c r="H49" s="124">
        <f t="shared" si="24"/>
        <v>0.51408102206308348</v>
      </c>
      <c r="I49" s="124">
        <f t="shared" si="24"/>
        <v>0.52063519088604748</v>
      </c>
      <c r="J49" s="124">
        <f>J31/J48</f>
        <v>0.51098024253540864</v>
      </c>
      <c r="K49" s="124">
        <f>K31/K48</f>
        <v>0.50590905787166229</v>
      </c>
      <c r="L49" s="124">
        <f>L31/L48</f>
        <v>0.49591454492666603</v>
      </c>
      <c r="M49" s="124">
        <f t="shared" ref="M49:V49" si="25">M31/M48</f>
        <v>0.5143273812670982</v>
      </c>
      <c r="N49" s="124">
        <f t="shared" si="25"/>
        <v>0.50180371681252378</v>
      </c>
      <c r="O49" s="124">
        <f t="shared" si="25"/>
        <v>0.48958519587965166</v>
      </c>
      <c r="P49" s="124">
        <f t="shared" si="25"/>
        <v>0.47867650081052188</v>
      </c>
      <c r="Q49" s="124">
        <f t="shared" si="25"/>
        <v>0.46594104189535651</v>
      </c>
      <c r="R49" s="124">
        <f t="shared" si="25"/>
        <v>0.46009128458598386</v>
      </c>
      <c r="S49" s="124">
        <f t="shared" si="25"/>
        <v>0.44756877912585108</v>
      </c>
      <c r="T49" s="124">
        <f t="shared" si="25"/>
        <v>0.43271587353177005</v>
      </c>
      <c r="U49" s="124">
        <f t="shared" si="25"/>
        <v>0.42107117582882458</v>
      </c>
      <c r="V49" s="185">
        <f t="shared" si="25"/>
        <v>0.4074268580560208</v>
      </c>
      <c r="X49" s="385">
        <f>X31/X48</f>
        <v>0.20992630385331096</v>
      </c>
      <c r="Y49" s="385">
        <f>Y31/Y48</f>
        <v>0.3950569249765491</v>
      </c>
    </row>
    <row r="50" spans="1:25" ht="20.25" customHeight="1" thickBot="1" x14ac:dyDescent="0.25">
      <c r="A50" s="122"/>
      <c r="B50" s="106"/>
      <c r="C50" s="106"/>
      <c r="D50" s="106"/>
      <c r="E50" s="106"/>
      <c r="F50" s="106"/>
      <c r="G50" s="106"/>
      <c r="H50" s="106"/>
      <c r="I50" s="106"/>
      <c r="J50" s="445"/>
      <c r="K50" s="445"/>
      <c r="L50" s="445"/>
      <c r="M50" s="445"/>
      <c r="N50" s="445"/>
      <c r="O50" s="445"/>
      <c r="P50" s="445"/>
      <c r="Q50" s="445"/>
      <c r="R50" s="445"/>
      <c r="S50" s="445"/>
      <c r="T50" s="445"/>
      <c r="U50" s="445"/>
      <c r="V50" s="183"/>
    </row>
    <row r="51" spans="1:25" ht="13.5" thickTop="1" x14ac:dyDescent="0.2"/>
    <row r="53" spans="1:25" ht="15" x14ac:dyDescent="0.2">
      <c r="A53" s="388" t="s">
        <v>540</v>
      </c>
      <c r="B53" s="372"/>
      <c r="C53" s="389">
        <f>'Données Matières'!D8</f>
        <v>24.77</v>
      </c>
      <c r="D53" s="372"/>
      <c r="E53" s="368" t="s">
        <v>919</v>
      </c>
      <c r="F53" s="390">
        <f>'Données Investissement'!F5</f>
        <v>56.66</v>
      </c>
      <c r="G53" s="369"/>
    </row>
    <row r="54" spans="1:25" ht="15" x14ac:dyDescent="0.2">
      <c r="A54" s="365" t="s">
        <v>541</v>
      </c>
      <c r="B54" s="366"/>
      <c r="C54" s="392">
        <f>'Données Matières'!D16</f>
        <v>24.77</v>
      </c>
      <c r="D54" s="373"/>
      <c r="E54" s="373" t="s">
        <v>666</v>
      </c>
      <c r="F54" s="814">
        <f>'Calcul Rentabilité ERAMET 20ans'!D37</f>
        <v>0.14875943186307894</v>
      </c>
      <c r="G54" s="370"/>
    </row>
    <row r="55" spans="1:25" ht="15" x14ac:dyDescent="0.2">
      <c r="A55" s="365" t="s">
        <v>494</v>
      </c>
      <c r="B55" s="366"/>
      <c r="C55" s="397">
        <f>'Données Economie Circulaire'!I11</f>
        <v>0.34709536120692502</v>
      </c>
      <c r="D55" s="366"/>
      <c r="E55" s="366" t="s">
        <v>920</v>
      </c>
      <c r="F55" s="393">
        <f ca="1">'Calcul Rentabilité ERAMET 20ans'!F39</f>
        <v>11</v>
      </c>
      <c r="G55" s="394">
        <f ca="1">'Calcul Rentabilité ERAMET 20ans'!G39</f>
        <v>10.393138194054714</v>
      </c>
    </row>
    <row r="56" spans="1:25" ht="15" x14ac:dyDescent="0.2">
      <c r="A56" s="365" t="s">
        <v>538</v>
      </c>
      <c r="B56" s="366"/>
      <c r="C56" s="395">
        <f>'Données Matières'!E34*'Données Matières'!D9</f>
        <v>9.4125999999999994</v>
      </c>
      <c r="D56" s="14"/>
      <c r="E56" s="366" t="s">
        <v>923</v>
      </c>
      <c r="F56" s="391">
        <f>G49</f>
        <v>0.49455043673291793</v>
      </c>
      <c r="G56" s="370" t="s">
        <v>924</v>
      </c>
      <c r="H56" s="393"/>
    </row>
    <row r="57" spans="1:25" ht="15" x14ac:dyDescent="0.2">
      <c r="A57" s="367" t="s">
        <v>539</v>
      </c>
      <c r="B57" s="405"/>
      <c r="C57" s="396">
        <f>'Données Matières'!E35*'Données Matières'!D9</f>
        <v>4.9539999999999997</v>
      </c>
      <c r="D57" s="126"/>
      <c r="E57" s="405" t="s">
        <v>344</v>
      </c>
      <c r="F57" s="406">
        <f>X49</f>
        <v>0.20992630385331096</v>
      </c>
      <c r="G57" s="407" t="s">
        <v>924</v>
      </c>
    </row>
    <row r="60" spans="1:25" x14ac:dyDescent="0.2">
      <c r="F60" s="962">
        <v>0.154</v>
      </c>
      <c r="G60" s="963">
        <f>F54-F60</f>
        <v>-5.2405681369210588E-3</v>
      </c>
    </row>
    <row r="61" spans="1:25" ht="13.5" thickBot="1" x14ac:dyDescent="0.25"/>
    <row r="62" spans="1:25" ht="13.5" thickBot="1" x14ac:dyDescent="0.25">
      <c r="F62" s="965">
        <v>0</v>
      </c>
    </row>
    <row r="64" spans="1:25" x14ac:dyDescent="0.2">
      <c r="F64" s="43">
        <v>20.107865</v>
      </c>
    </row>
  </sheetData>
  <phoneticPr fontId="6" type="noConversion"/>
  <pageMargins left="0.23622047244094491" right="0.19685039370078741" top="0.39370078740157483" bottom="0.39370078740157483" header="0.51181102362204722" footer="0.51181102362204722"/>
  <pageSetup paperSize="9" scale="5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T23"/>
  <sheetViews>
    <sheetView tabSelected="1" workbookViewId="0">
      <selection activeCell="G19" sqref="G19"/>
    </sheetView>
  </sheetViews>
  <sheetFormatPr baseColWidth="10" defaultRowHeight="12.75" x14ac:dyDescent="0.2"/>
  <cols>
    <col min="1" max="1" width="17" customWidth="1"/>
    <col min="4" max="15" width="6.7109375" customWidth="1"/>
  </cols>
  <sheetData>
    <row r="1" spans="1:20" ht="28.5" customHeight="1" x14ac:dyDescent="0.2">
      <c r="A1" s="1218"/>
      <c r="B1" s="1218" t="s">
        <v>1525</v>
      </c>
      <c r="C1" s="1223" t="s">
        <v>1526</v>
      </c>
      <c r="D1" s="1241" t="s">
        <v>1534</v>
      </c>
      <c r="E1" s="1242"/>
      <c r="F1" s="1243"/>
      <c r="G1" s="1241" t="s">
        <v>1535</v>
      </c>
      <c r="H1" s="1242"/>
      <c r="I1" s="1243"/>
      <c r="J1" s="1241" t="s">
        <v>1536</v>
      </c>
      <c r="K1" s="1244"/>
      <c r="L1" s="1245"/>
      <c r="M1" s="1241" t="s">
        <v>1537</v>
      </c>
      <c r="N1" s="1244"/>
      <c r="O1" s="1245"/>
    </row>
    <row r="2" spans="1:20" x14ac:dyDescent="0.2">
      <c r="A2" s="1219" t="s">
        <v>1533</v>
      </c>
      <c r="B2" s="1219"/>
      <c r="C2" s="854"/>
      <c r="D2" s="854">
        <v>1.25</v>
      </c>
      <c r="E2" s="1228">
        <v>1.1499999999999999</v>
      </c>
      <c r="F2" s="856">
        <v>1</v>
      </c>
      <c r="G2" s="854">
        <v>1.25</v>
      </c>
      <c r="H2" s="1228">
        <v>1.1499999999999999</v>
      </c>
      <c r="I2" s="856">
        <v>1</v>
      </c>
      <c r="J2" s="854">
        <v>1.25</v>
      </c>
      <c r="K2" s="1228">
        <v>1.1499999999999999</v>
      </c>
      <c r="L2" s="856">
        <v>1</v>
      </c>
      <c r="M2" s="854">
        <v>1.25</v>
      </c>
      <c r="N2" s="1228">
        <v>1.1499999999999999</v>
      </c>
      <c r="O2" s="856">
        <v>1</v>
      </c>
    </row>
    <row r="3" spans="1:20" x14ac:dyDescent="0.2">
      <c r="A3" s="1219" t="s">
        <v>1213</v>
      </c>
      <c r="B3" s="1219">
        <v>56.235999999999997</v>
      </c>
      <c r="C3" s="854">
        <f>B3*1.4</f>
        <v>78.730399999999989</v>
      </c>
      <c r="D3" s="854"/>
      <c r="E3" s="1228"/>
      <c r="F3" s="856"/>
      <c r="G3" s="854"/>
      <c r="H3" s="1228"/>
      <c r="I3" s="856"/>
      <c r="J3" s="854"/>
      <c r="K3" s="1228"/>
      <c r="L3" s="856"/>
      <c r="M3" s="854"/>
      <c r="N3" s="1228"/>
      <c r="O3" s="856"/>
    </row>
    <row r="4" spans="1:20" x14ac:dyDescent="0.2">
      <c r="A4" s="1219" t="s">
        <v>1265</v>
      </c>
      <c r="B4" s="1219">
        <v>4034</v>
      </c>
      <c r="C4" s="854">
        <v>4034</v>
      </c>
      <c r="D4" s="854"/>
      <c r="E4" s="1228"/>
      <c r="F4" s="856"/>
      <c r="G4" s="854"/>
      <c r="H4" s="1228"/>
      <c r="I4" s="856"/>
      <c r="J4" s="854"/>
      <c r="K4" s="1228"/>
      <c r="L4" s="856"/>
      <c r="M4" s="854"/>
      <c r="N4" s="1228"/>
      <c r="O4" s="856"/>
    </row>
    <row r="5" spans="1:20" x14ac:dyDescent="0.2">
      <c r="A5" s="1219" t="s">
        <v>1528</v>
      </c>
      <c r="B5" s="1221">
        <f>B3*1000/B4</f>
        <v>13.940505701536937</v>
      </c>
      <c r="C5" s="1224">
        <f>C3*1000/C4</f>
        <v>19.516707982151708</v>
      </c>
      <c r="D5" s="854">
        <v>16.5</v>
      </c>
      <c r="E5" s="1228">
        <v>16.5</v>
      </c>
      <c r="F5" s="856">
        <v>16.5</v>
      </c>
      <c r="G5" s="854">
        <v>14.84</v>
      </c>
      <c r="H5" s="1228">
        <v>14.84</v>
      </c>
      <c r="I5" s="856">
        <v>14.84</v>
      </c>
      <c r="J5" s="854">
        <v>19.5</v>
      </c>
      <c r="K5" s="1228">
        <v>19.5</v>
      </c>
      <c r="L5" s="856">
        <v>19.5</v>
      </c>
      <c r="M5" s="854">
        <v>17.84</v>
      </c>
      <c r="N5" s="1228">
        <v>17.84</v>
      </c>
      <c r="O5" s="856">
        <v>17.84</v>
      </c>
      <c r="R5" s="1217" t="s">
        <v>1532</v>
      </c>
      <c r="S5" s="1217" t="s">
        <v>1529</v>
      </c>
      <c r="T5" s="1217" t="s">
        <v>1538</v>
      </c>
    </row>
    <row r="6" spans="1:20" x14ac:dyDescent="0.2">
      <c r="A6" s="1219" t="s">
        <v>1523</v>
      </c>
      <c r="B6" s="1219">
        <v>16.443000000000001</v>
      </c>
      <c r="C6" s="854">
        <f>B6*1.4</f>
        <v>23.020199999999999</v>
      </c>
      <c r="D6" s="854"/>
      <c r="E6" s="1228"/>
      <c r="F6" s="856"/>
      <c r="G6" s="854"/>
      <c r="H6" s="1228"/>
      <c r="I6" s="856"/>
      <c r="J6" s="854"/>
      <c r="K6" s="1228"/>
      <c r="L6" s="856"/>
      <c r="M6" s="854"/>
      <c r="N6" s="1228"/>
      <c r="O6" s="856"/>
      <c r="R6" s="1217">
        <v>1</v>
      </c>
      <c r="S6" s="1217">
        <v>9.11</v>
      </c>
      <c r="T6" s="1217">
        <v>8.5</v>
      </c>
    </row>
    <row r="7" spans="1:20" x14ac:dyDescent="0.2">
      <c r="A7" s="1219" t="s">
        <v>1524</v>
      </c>
      <c r="B7" s="1219">
        <v>22.19</v>
      </c>
      <c r="C7" s="854">
        <f>B7*1.4</f>
        <v>31.065999999999999</v>
      </c>
      <c r="D7" s="854"/>
      <c r="E7" s="1228"/>
      <c r="F7" s="856"/>
      <c r="G7" s="854"/>
      <c r="H7" s="1228"/>
      <c r="I7" s="856"/>
      <c r="J7" s="854"/>
      <c r="K7" s="1228"/>
      <c r="L7" s="856"/>
      <c r="M7" s="854"/>
      <c r="N7" s="1228"/>
      <c r="O7" s="856"/>
      <c r="R7" s="1216">
        <v>1.1499999999999999</v>
      </c>
      <c r="S7" s="1216">
        <v>8.39</v>
      </c>
      <c r="T7" s="1217">
        <v>7.94</v>
      </c>
    </row>
    <row r="8" spans="1:20" x14ac:dyDescent="0.2">
      <c r="A8" s="1219" t="s">
        <v>1527</v>
      </c>
      <c r="B8" s="1222">
        <f>B7/B3</f>
        <v>0.39458709723308916</v>
      </c>
      <c r="C8" s="1225">
        <f>C7/C3</f>
        <v>0.39458709723308916</v>
      </c>
      <c r="D8" s="1225">
        <f>D9/D5</f>
        <v>0.37515151515151518</v>
      </c>
      <c r="E8" s="1229">
        <f>E9/E5</f>
        <v>0.40242424242424241</v>
      </c>
      <c r="F8" s="1227">
        <f>F9/F5</f>
        <v>0.44363636363636366</v>
      </c>
      <c r="G8" s="1225">
        <f t="shared" ref="G8:I8" si="0">G9/G5</f>
        <v>0.39420485175202152</v>
      </c>
      <c r="H8" s="1229">
        <f t="shared" si="0"/>
        <v>0.41778975741239893</v>
      </c>
      <c r="I8" s="1227">
        <f t="shared" si="0"/>
        <v>0.45215633423180596</v>
      </c>
      <c r="J8" s="1225">
        <f t="shared" ref="J8" si="1">J9/J5</f>
        <v>0.40512820512820513</v>
      </c>
      <c r="K8" s="1229">
        <f t="shared" ref="K8" si="2">K9/K5</f>
        <v>0.43025641025641026</v>
      </c>
      <c r="L8" s="1227">
        <f t="shared" ref="L8" si="3">L9/L5</f>
        <v>0.46717948717948715</v>
      </c>
      <c r="M8" s="1225">
        <f t="shared" ref="M8" si="4">M9/M5</f>
        <v>0.42432735426008972</v>
      </c>
      <c r="N8" s="1229">
        <f t="shared" ref="N8" si="5">N9/N5</f>
        <v>0.44506726457399104</v>
      </c>
      <c r="O8" s="1227">
        <f t="shared" ref="O8" si="6">O9/O5</f>
        <v>0.476457399103139</v>
      </c>
      <c r="R8" s="1216">
        <v>1.25</v>
      </c>
      <c r="S8" s="1217">
        <v>7.9</v>
      </c>
      <c r="T8" s="1217">
        <v>7.57</v>
      </c>
    </row>
    <row r="9" spans="1:20" x14ac:dyDescent="0.2">
      <c r="A9" s="1219" t="s">
        <v>1530</v>
      </c>
      <c r="B9" s="1230"/>
      <c r="C9" s="1231">
        <f>C7/C4*1000</f>
        <v>7.7010411502231033</v>
      </c>
      <c r="D9" s="1231">
        <v>6.19</v>
      </c>
      <c r="E9" s="1232">
        <v>6.64</v>
      </c>
      <c r="F9" s="1233">
        <v>7.32</v>
      </c>
      <c r="G9" s="1231">
        <v>5.85</v>
      </c>
      <c r="H9" s="1232">
        <v>6.2</v>
      </c>
      <c r="I9" s="1233">
        <v>6.71</v>
      </c>
      <c r="J9" s="1231">
        <v>7.9</v>
      </c>
      <c r="K9" s="1232">
        <v>8.39</v>
      </c>
      <c r="L9" s="1233">
        <v>9.11</v>
      </c>
      <c r="M9" s="1231">
        <v>7.57</v>
      </c>
      <c r="N9" s="1232">
        <v>7.94</v>
      </c>
      <c r="O9" s="1233">
        <v>8.5</v>
      </c>
    </row>
    <row r="10" spans="1:20" ht="13.5" thickBot="1" x14ac:dyDescent="0.25">
      <c r="A10" s="1220" t="s">
        <v>1531</v>
      </c>
      <c r="B10" s="1234">
        <f>B7/B4*1000</f>
        <v>5.500743678730788</v>
      </c>
      <c r="C10" s="1235"/>
      <c r="D10" s="1236">
        <f>D9/1.25</f>
        <v>4.952</v>
      </c>
      <c r="E10" s="1237">
        <f>E9/1.15</f>
        <v>5.7739130434782613</v>
      </c>
      <c r="F10" s="1238">
        <f>F9</f>
        <v>7.32</v>
      </c>
      <c r="G10" s="1236">
        <f>G9/1.25</f>
        <v>4.68</v>
      </c>
      <c r="H10" s="1237">
        <f>H9/1.15</f>
        <v>5.3913043478260878</v>
      </c>
      <c r="I10" s="1238">
        <f>I9</f>
        <v>6.71</v>
      </c>
      <c r="J10" s="1236">
        <f>J9/J2</f>
        <v>6.32</v>
      </c>
      <c r="K10" s="1237">
        <f>K9/K2</f>
        <v>7.2956521739130444</v>
      </c>
      <c r="L10" s="1238">
        <f>L9/L2</f>
        <v>9.11</v>
      </c>
      <c r="M10" s="1236">
        <f>M9/M2</f>
        <v>6.056</v>
      </c>
      <c r="N10" s="1237">
        <f>N9/N2</f>
        <v>6.9043478260869575</v>
      </c>
      <c r="O10" s="1238">
        <f>O9/O2</f>
        <v>8.5</v>
      </c>
    </row>
    <row r="12" spans="1:20" ht="13.5" thickBot="1" x14ac:dyDescent="0.25">
      <c r="A12" s="137" t="s">
        <v>1539</v>
      </c>
      <c r="B12" s="36">
        <f>B6/B4*1000</f>
        <v>4.0761031234506699</v>
      </c>
    </row>
    <row r="13" spans="1:20" ht="13.5" thickBot="1" x14ac:dyDescent="0.25">
      <c r="A13" s="1239" t="s">
        <v>1540</v>
      </c>
      <c r="B13" s="195">
        <v>3462</v>
      </c>
      <c r="I13" s="1226"/>
    </row>
    <row r="14" spans="1:20" x14ac:dyDescent="0.2">
      <c r="A14" s="1239" t="s">
        <v>1541</v>
      </c>
      <c r="B14" s="36">
        <f>B13/B4</f>
        <v>0.8582052553296976</v>
      </c>
    </row>
    <row r="16" spans="1:20" x14ac:dyDescent="0.2">
      <c r="A16" s="137" t="s">
        <v>1542</v>
      </c>
      <c r="B16" s="36">
        <f>B12+B14</f>
        <v>4.9343083787803677</v>
      </c>
    </row>
    <row r="21" spans="2:9" x14ac:dyDescent="0.2">
      <c r="B21" s="1215"/>
      <c r="C21" s="1215"/>
      <c r="D21" s="1215"/>
      <c r="E21" s="1215"/>
      <c r="F21" s="1215"/>
      <c r="G21" s="1215"/>
      <c r="H21" s="1215"/>
      <c r="I21" s="1215"/>
    </row>
    <row r="22" spans="2:9" x14ac:dyDescent="0.2">
      <c r="C22" s="36"/>
      <c r="D22" s="36"/>
      <c r="E22" s="36"/>
      <c r="F22" s="36"/>
      <c r="G22" s="36"/>
      <c r="H22" s="36"/>
      <c r="I22" s="36"/>
    </row>
    <row r="23" spans="2:9" x14ac:dyDescent="0.2">
      <c r="B23" s="36"/>
      <c r="D23" s="36"/>
      <c r="E23" s="36"/>
      <c r="F23" s="36"/>
      <c r="G23" s="36"/>
      <c r="H23" s="36"/>
      <c r="I23" s="36"/>
    </row>
  </sheetData>
  <mergeCells count="4">
    <mergeCell ref="D1:F1"/>
    <mergeCell ref="G1:I1"/>
    <mergeCell ref="J1:L1"/>
    <mergeCell ref="M1:O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00B050"/>
    <pageSetUpPr fitToPage="1"/>
  </sheetPr>
  <dimension ref="A1:Y71"/>
  <sheetViews>
    <sheetView zoomScale="110" workbookViewId="0">
      <pane xSplit="1" ySplit="1" topLeftCell="B23" activePane="bottomRight" state="frozenSplit"/>
      <selection activeCell="J64" sqref="J64"/>
      <selection pane="topRight" activeCell="J64" sqref="J64"/>
      <selection pane="bottomLeft" activeCell="J64" sqref="J64"/>
      <selection pane="bottomRight" activeCell="G27" sqref="G27"/>
    </sheetView>
  </sheetViews>
  <sheetFormatPr baseColWidth="10" defaultRowHeight="12.75" x14ac:dyDescent="0.2"/>
  <cols>
    <col min="1" max="1" width="37.28515625" customWidth="1"/>
    <col min="2" max="6" width="17" customWidth="1"/>
    <col min="7" max="11" width="17.42578125" customWidth="1"/>
    <col min="23" max="23" width="13.42578125" bestFit="1" customWidth="1"/>
  </cols>
  <sheetData>
    <row r="1" spans="1:23" ht="29.25" customHeight="1" thickTop="1" thickBot="1" x14ac:dyDescent="0.25">
      <c r="A1" s="427" t="s">
        <v>953</v>
      </c>
      <c r="B1" s="411" t="s">
        <v>1460</v>
      </c>
      <c r="C1" s="192" t="s">
        <v>1461</v>
      </c>
      <c r="D1" s="192" t="s">
        <v>1462</v>
      </c>
      <c r="E1" s="192" t="s">
        <v>1463</v>
      </c>
      <c r="F1" s="192" t="s">
        <v>1464</v>
      </c>
      <c r="G1" s="192" t="s">
        <v>1465</v>
      </c>
      <c r="H1" s="192" t="s">
        <v>1466</v>
      </c>
      <c r="I1" s="192" t="s">
        <v>1467</v>
      </c>
      <c r="J1" s="440" t="s">
        <v>1468</v>
      </c>
      <c r="K1" s="440" t="s">
        <v>1469</v>
      </c>
      <c r="L1" s="440" t="s">
        <v>1470</v>
      </c>
      <c r="M1" s="440" t="s">
        <v>1471</v>
      </c>
      <c r="N1" s="440" t="s">
        <v>1472</v>
      </c>
      <c r="O1" s="440" t="s">
        <v>1473</v>
      </c>
      <c r="P1" s="440" t="s">
        <v>1474</v>
      </c>
      <c r="Q1" s="440" t="s">
        <v>1475</v>
      </c>
      <c r="R1" s="440" t="s">
        <v>1476</v>
      </c>
      <c r="S1" s="440" t="s">
        <v>1477</v>
      </c>
      <c r="T1" s="440" t="s">
        <v>1478</v>
      </c>
      <c r="U1" s="440" t="s">
        <v>1479</v>
      </c>
      <c r="V1" s="193" t="s">
        <v>1480</v>
      </c>
    </row>
    <row r="2" spans="1:23" ht="21" customHeight="1" thickTop="1" x14ac:dyDescent="0.2">
      <c r="A2" s="1"/>
      <c r="B2" s="2"/>
      <c r="C2" s="2"/>
      <c r="D2" s="2"/>
      <c r="E2" s="2"/>
      <c r="F2" s="1118"/>
      <c r="G2" s="1106"/>
      <c r="H2" s="441"/>
      <c r="I2" s="2"/>
      <c r="J2" s="441"/>
      <c r="K2" s="441"/>
      <c r="L2" s="441"/>
      <c r="M2" s="441"/>
      <c r="N2" s="441"/>
      <c r="O2" s="441"/>
      <c r="P2" s="441"/>
      <c r="Q2" s="441"/>
      <c r="R2" s="441"/>
      <c r="S2" s="441"/>
      <c r="T2" s="441"/>
      <c r="U2" s="441"/>
      <c r="V2" s="680"/>
    </row>
    <row r="3" spans="1:23" ht="21" customHeight="1" x14ac:dyDescent="0.2">
      <c r="A3" s="3" t="s">
        <v>932</v>
      </c>
      <c r="B3" s="96">
        <f>'Données Economie Circulaire'!D10*'Données Matières'!C15*1000+'Données Economie Circulaire'!D7*'Données Economie Circulaire'!E17*1000+'Données Economie Circulaire'!D8*'Données Economie Circulaire'!$AA$9*1000+'Données PAMCHR'!C239+'Données VAR'!C110</f>
        <v>1508177.0916400589</v>
      </c>
      <c r="C3" s="96">
        <f>Scénario!B2*1000/'Données gestion'!D9+'Données PAMCHR'!D239+'Données VAR'!D110</f>
        <v>15600602.903834956</v>
      </c>
      <c r="D3" s="96">
        <f>Scénario!C2*1000/'Données gestion'!E9+'Données PAMCHR'!E239+'Données VAR'!E110</f>
        <v>24546576.190663636</v>
      </c>
      <c r="E3" s="96">
        <f>Scénario!D2*1000/'Données gestion'!F9+'Données PAMCHR'!F239+'Données VAR'!F110</f>
        <v>37947814.553180665</v>
      </c>
      <c r="F3" s="1119">
        <f>Scénario!E2*1000/'Données gestion'!G9+'Données PAMCHR'!G239+'Données VAR'!G110</f>
        <v>47968010.187921666</v>
      </c>
      <c r="G3" s="96">
        <f>Scénario!F2*1000/'Données gestion'!H9+'Données PAMCHR'!H239+'Données VAR'!H110</f>
        <v>56236292.151528887</v>
      </c>
      <c r="H3" s="442">
        <f>Scénario!G2*1000/'Données gestion'!I9+'Données PAMCHR'!I239+'Données VAR'!I110</f>
        <v>56739713.20062308</v>
      </c>
      <c r="I3" s="96">
        <f>Scénario!H2*1000/'Données gestion'!J9+'Données PAMCHR'!J239+'Données VAR'!J110</f>
        <v>57093420.116972901</v>
      </c>
      <c r="J3" s="96">
        <f>Scénario!I2*1000/'Données gestion'!K9+'Données PAMCHR'!K239+'Données VAR'!K110</f>
        <v>57160386.565884449</v>
      </c>
      <c r="K3" s="96">
        <f>Scénario!J2*1000/'Données gestion'!L9+'Données PAMCHR'!L239+'Données VAR'!L110</f>
        <v>57492493.947117828</v>
      </c>
      <c r="L3" s="96">
        <f>Scénario!K2*1000/'Données gestion'!M9+'Données PAMCHR'!M239+'Données VAR'!M110</f>
        <v>57492493.947117828</v>
      </c>
      <c r="M3" s="96">
        <f>Scénario!L2*1000/'Données gestion'!N9+'Données PAMCHR'!N239+'Données VAR'!N110</f>
        <v>57492493.947117828</v>
      </c>
      <c r="N3" s="96">
        <f>Scénario!M2*1000/'Données gestion'!O9+'Données PAMCHR'!O239+'Données VAR'!O110</f>
        <v>57492493.947117828</v>
      </c>
      <c r="O3" s="96">
        <f>Scénario!N2*1000/'Données gestion'!P9+'Données PAMCHR'!P239+'Données VAR'!P110</f>
        <v>57492493.947117828</v>
      </c>
      <c r="P3" s="96">
        <f>Scénario!O2*1000/'Données gestion'!Q9+'Données PAMCHR'!Q239+'Données VAR'!Q110</f>
        <v>57492493.947117828</v>
      </c>
      <c r="Q3" s="96">
        <f>Scénario!P2*1000/'Données gestion'!R9+'Données PAMCHR'!R239+'Données VAR'!R110</f>
        <v>57492493.947117828</v>
      </c>
      <c r="R3" s="96">
        <f>Scénario!Q2*1000/'Données gestion'!S9+'Données PAMCHR'!S239+'Données VAR'!S110</f>
        <v>57492493.947117828</v>
      </c>
      <c r="S3" s="96">
        <f>Scénario!R2*1000/'Données gestion'!T9+'Données PAMCHR'!T239+'Données VAR'!T110</f>
        <v>57492493.947117828</v>
      </c>
      <c r="T3" s="96">
        <f>Scénario!S2*1000/'Données gestion'!U9+'Données PAMCHR'!U239+'Données VAR'!U110</f>
        <v>57492493.947117828</v>
      </c>
      <c r="U3" s="96">
        <f>Scénario!T2*1000/'Données gestion'!V9+'Données PAMCHR'!V239+'Données VAR'!V110</f>
        <v>57492493.947117828</v>
      </c>
      <c r="V3" s="181">
        <f>Scénario!U2*1000/'Données gestion'!W9+'Données PAMCHR'!W239+'Données VAR'!W110</f>
        <v>57492493.947117828</v>
      </c>
      <c r="W3" s="333"/>
    </row>
    <row r="4" spans="1:23" ht="21" customHeight="1" x14ac:dyDescent="0.2">
      <c r="A4" s="3" t="s">
        <v>933</v>
      </c>
      <c r="B4" s="4"/>
      <c r="C4" s="4"/>
      <c r="D4" s="4"/>
      <c r="E4" s="4"/>
      <c r="F4" s="1120"/>
      <c r="G4" s="4"/>
      <c r="H4" s="443"/>
      <c r="I4" s="4"/>
      <c r="J4" s="443"/>
      <c r="K4" s="443"/>
      <c r="L4" s="443"/>
      <c r="M4" s="443"/>
      <c r="N4" s="443"/>
      <c r="O4" s="443"/>
      <c r="P4" s="443"/>
      <c r="Q4" s="443"/>
      <c r="R4" s="443"/>
      <c r="S4" s="443"/>
      <c r="T4" s="443"/>
      <c r="U4" s="443"/>
      <c r="V4" s="680"/>
    </row>
    <row r="5" spans="1:23" ht="21" customHeight="1" x14ac:dyDescent="0.2">
      <c r="A5" s="3" t="s">
        <v>18</v>
      </c>
      <c r="B5" s="98">
        <f>'Données PAMCHR'!D62+'Données PAMCHR'!D72+'Données VAR'!D70+'Données VAR'!D72+'Données VAR'!D74</f>
        <v>142925.28343361852</v>
      </c>
      <c r="C5" s="98">
        <f>'Données PAMCHR'!E62+'Données PAMCHR'!E72+'Données VAR'!E70+'Données VAR'!E72+'Données VAR'!E74</f>
        <v>561782.27019864961</v>
      </c>
      <c r="D5" s="98">
        <f>'Données PAMCHR'!F62+'Données PAMCHR'!F72+'Données VAR'!F70+'Données VAR'!F72+'Données VAR'!F74</f>
        <v>698679.274207882</v>
      </c>
      <c r="E5" s="98">
        <f>'Données PAMCHR'!G62+'Données PAMCHR'!G72+'Données VAR'!G70+'Données VAR'!G72+'Données VAR'!G74</f>
        <v>813323.01417668175</v>
      </c>
      <c r="F5" s="1121">
        <f>'Données PAMCHR'!H62+'Données PAMCHR'!H72+'Données VAR'!H70+'Données VAR'!H72+'Données VAR'!H74</f>
        <v>712702.38459580834</v>
      </c>
      <c r="G5" s="98">
        <f>'Données PAMCHR'!I62+'Données PAMCHR'!I72+'Données VAR'!I70+'Données VAR'!I72+'Données VAR'!I74</f>
        <v>726084.23978516599</v>
      </c>
      <c r="H5" s="1131">
        <f>'Données PAMCHR'!J62+'Données PAMCHR'!J72+'Données VAR'!J70+'Données VAR'!J72+'Données VAR'!J74</f>
        <v>726084.23978516599</v>
      </c>
      <c r="I5" s="98">
        <f>'Données PAMCHR'!K62+'Données PAMCHR'!K72+'Données VAR'!K70+'Données VAR'!K72+'Données VAR'!K74</f>
        <v>726084.23978516599</v>
      </c>
      <c r="J5" s="98">
        <f>'Données PAMCHR'!L62+'Données PAMCHR'!L72+'Données VAR'!L70+'Données VAR'!L72+'Données VAR'!L74</f>
        <v>726084.23978516599</v>
      </c>
      <c r="K5" s="98">
        <f>'Données PAMCHR'!M62+'Données PAMCHR'!M72+'Données VAR'!M70+'Données VAR'!M72+'Données VAR'!M74</f>
        <v>726084.23978516599</v>
      </c>
      <c r="L5" s="98">
        <f>'Données PAMCHR'!N62+'Données PAMCHR'!N72+'Données VAR'!N70+'Données VAR'!N72+'Données VAR'!N74</f>
        <v>726084.23978516599</v>
      </c>
      <c r="M5" s="98">
        <f>'Données PAMCHR'!O62+'Données PAMCHR'!O72+'Données VAR'!O70+'Données VAR'!O72+'Données VAR'!O74</f>
        <v>726084.23978516599</v>
      </c>
      <c r="N5" s="98">
        <f>'Données PAMCHR'!P62+'Données PAMCHR'!P72+'Données VAR'!P70+'Données VAR'!P72+'Données VAR'!P74</f>
        <v>726084.23978516599</v>
      </c>
      <c r="O5" s="98">
        <f>'Données PAMCHR'!Q62+'Données PAMCHR'!Q72+'Données VAR'!Q70+'Données VAR'!Q72+'Données VAR'!Q74</f>
        <v>726084.23978516599</v>
      </c>
      <c r="P5" s="98">
        <f>'Données PAMCHR'!R62+'Données PAMCHR'!R72+'Données VAR'!R70+'Données VAR'!R72+'Données VAR'!R74</f>
        <v>726084.23978516599</v>
      </c>
      <c r="Q5" s="98">
        <f>'Données PAMCHR'!S62+'Données PAMCHR'!S72+'Données VAR'!S70+'Données VAR'!S72+'Données VAR'!S74</f>
        <v>726084.23978516599</v>
      </c>
      <c r="R5" s="98">
        <f>'Données PAMCHR'!T62+'Données PAMCHR'!T72+'Données VAR'!T70+'Données VAR'!T72+'Données VAR'!T74</f>
        <v>726084.23978516599</v>
      </c>
      <c r="S5" s="98">
        <f>'Données PAMCHR'!U62+'Données PAMCHR'!U72+'Données VAR'!U70+'Données VAR'!U72+'Données VAR'!U74</f>
        <v>726084.23978516599</v>
      </c>
      <c r="T5" s="98">
        <f>'Données PAMCHR'!V62+'Données PAMCHR'!V72+'Données VAR'!V70+'Données VAR'!V72+'Données VAR'!V74</f>
        <v>726084.23978516599</v>
      </c>
      <c r="U5" s="98">
        <f>'Données PAMCHR'!W62+'Données PAMCHR'!W72+'Données VAR'!W70+'Données VAR'!W72+'Données VAR'!W74</f>
        <v>726084.23978516599</v>
      </c>
      <c r="V5" s="384">
        <f>'Données PAMCHR'!X62+'Données PAMCHR'!X72+'Données VAR'!X70+'Données VAR'!X72+'Données VAR'!X74</f>
        <v>726084.23978516599</v>
      </c>
    </row>
    <row r="6" spans="1:23" ht="21" customHeight="1" x14ac:dyDescent="0.2">
      <c r="A6" s="3"/>
      <c r="B6" s="4"/>
      <c r="C6" s="4"/>
      <c r="D6" s="4"/>
      <c r="E6" s="4"/>
      <c r="F6" s="1120"/>
      <c r="G6" s="4"/>
      <c r="H6" s="443"/>
      <c r="I6" s="4"/>
      <c r="J6" s="443"/>
      <c r="K6" s="443"/>
      <c r="L6" s="443"/>
      <c r="M6" s="443"/>
      <c r="N6" s="443"/>
      <c r="O6" s="443"/>
      <c r="P6" s="443"/>
      <c r="Q6" s="443"/>
      <c r="R6" s="443"/>
      <c r="S6" s="443"/>
      <c r="T6" s="443"/>
      <c r="U6" s="443"/>
      <c r="V6" s="680"/>
    </row>
    <row r="7" spans="1:23" ht="21" customHeight="1" x14ac:dyDescent="0.25">
      <c r="A7" s="5" t="s">
        <v>934</v>
      </c>
      <c r="B7" s="6">
        <f t="shared" ref="B7:V7" si="0">SUM(B3:B5)</f>
        <v>1651102.3750736774</v>
      </c>
      <c r="C7" s="6">
        <f t="shared" si="0"/>
        <v>16162385.174033605</v>
      </c>
      <c r="D7" s="6">
        <f t="shared" si="0"/>
        <v>25245255.464871518</v>
      </c>
      <c r="E7" s="6">
        <f t="shared" si="0"/>
        <v>38761137.567357346</v>
      </c>
      <c r="F7" s="1115">
        <f t="shared" si="0"/>
        <v>48680712.572517477</v>
      </c>
      <c r="G7" s="6">
        <f t="shared" si="0"/>
        <v>56962376.391314052</v>
      </c>
      <c r="H7" s="1116">
        <f t="shared" si="0"/>
        <v>57465797.440408245</v>
      </c>
      <c r="I7" s="6">
        <f t="shared" si="0"/>
        <v>57819504.356758066</v>
      </c>
      <c r="J7" s="6">
        <f t="shared" si="0"/>
        <v>57886470.805669613</v>
      </c>
      <c r="K7" s="6">
        <f t="shared" si="0"/>
        <v>58218578.186902992</v>
      </c>
      <c r="L7" s="6">
        <f t="shared" si="0"/>
        <v>58218578.186902992</v>
      </c>
      <c r="M7" s="6">
        <f t="shared" si="0"/>
        <v>58218578.186902992</v>
      </c>
      <c r="N7" s="6">
        <f t="shared" si="0"/>
        <v>58218578.186902992</v>
      </c>
      <c r="O7" s="6">
        <f t="shared" si="0"/>
        <v>58218578.186902992</v>
      </c>
      <c r="P7" s="6">
        <f t="shared" si="0"/>
        <v>58218578.186902992</v>
      </c>
      <c r="Q7" s="6">
        <f t="shared" si="0"/>
        <v>58218578.186902992</v>
      </c>
      <c r="R7" s="6">
        <f t="shared" si="0"/>
        <v>58218578.186902992</v>
      </c>
      <c r="S7" s="6">
        <f t="shared" si="0"/>
        <v>58218578.186902992</v>
      </c>
      <c r="T7" s="6">
        <f t="shared" si="0"/>
        <v>58218578.186902992</v>
      </c>
      <c r="U7" s="6">
        <f t="shared" si="0"/>
        <v>58218578.186902992</v>
      </c>
      <c r="V7" s="182">
        <f t="shared" si="0"/>
        <v>58218578.186902992</v>
      </c>
    </row>
    <row r="8" spans="1:23" ht="21" customHeight="1" thickBot="1" x14ac:dyDescent="0.25">
      <c r="A8" s="7" t="s">
        <v>209</v>
      </c>
      <c r="B8" s="121">
        <f>'Données VAR'!D66</f>
        <v>124.23205038221242</v>
      </c>
      <c r="C8" s="121">
        <f>'Données VAR'!E66</f>
        <v>1169.2428271267052</v>
      </c>
      <c r="D8" s="121">
        <f>'Données VAR'!F66</f>
        <v>1812.3263820463928</v>
      </c>
      <c r="E8" s="121">
        <f>'Données VAR'!G66</f>
        <v>2806.1827851040921</v>
      </c>
      <c r="F8" s="1122">
        <f>'Données VAR'!H66</f>
        <v>3507.7284813801152</v>
      </c>
      <c r="G8" s="121">
        <f>'Données VAR'!I66</f>
        <v>4033.8877535871325</v>
      </c>
      <c r="H8" s="1132">
        <f>'Données VAR'!J66</f>
        <v>4033.8877535871325</v>
      </c>
      <c r="I8" s="444">
        <f>'Données VAR'!K66</f>
        <v>4033.8877535871325</v>
      </c>
      <c r="J8" s="444">
        <f>'Données VAR'!L66</f>
        <v>4033.8877535871325</v>
      </c>
      <c r="K8" s="444">
        <f>'Données VAR'!M66</f>
        <v>4033.8877535871325</v>
      </c>
      <c r="L8" s="444">
        <f>'Données VAR'!N66</f>
        <v>4033.8877535871325</v>
      </c>
      <c r="M8" s="444">
        <f>'Données VAR'!O66</f>
        <v>4033.8877535871325</v>
      </c>
      <c r="N8" s="444">
        <f>'Données VAR'!P66</f>
        <v>4033.8877535871325</v>
      </c>
      <c r="O8" s="444">
        <f>'Données VAR'!Q66</f>
        <v>4033.8877535871325</v>
      </c>
      <c r="P8" s="444">
        <f>'Données VAR'!R66</f>
        <v>4033.8877535871325</v>
      </c>
      <c r="Q8" s="444">
        <f>'Données VAR'!S66</f>
        <v>4033.8877535871325</v>
      </c>
      <c r="R8" s="444">
        <f>'Données VAR'!T66</f>
        <v>4033.8877535871325</v>
      </c>
      <c r="S8" s="444">
        <f>'Données VAR'!U66</f>
        <v>4033.8877535871325</v>
      </c>
      <c r="T8" s="444">
        <f>'Données VAR'!V66</f>
        <v>4033.8877535871325</v>
      </c>
      <c r="U8" s="444">
        <f>'Données VAR'!W66</f>
        <v>4033.8877535871325</v>
      </c>
      <c r="V8" s="438">
        <f>'Données VAR'!X66</f>
        <v>4033.8877535871325</v>
      </c>
    </row>
    <row r="9" spans="1:23" ht="21" customHeight="1" thickTop="1" x14ac:dyDescent="0.2">
      <c r="A9" s="1"/>
      <c r="B9" s="2"/>
      <c r="C9" s="2"/>
      <c r="D9" s="2"/>
      <c r="E9" s="2"/>
      <c r="F9" s="1118"/>
      <c r="G9" s="2"/>
      <c r="H9" s="441"/>
      <c r="I9" s="2"/>
      <c r="J9" s="441"/>
      <c r="K9" s="441"/>
      <c r="L9" s="441"/>
      <c r="M9" s="441"/>
      <c r="N9" s="441"/>
      <c r="O9" s="441"/>
      <c r="P9" s="441"/>
      <c r="Q9" s="441"/>
      <c r="R9" s="441"/>
      <c r="S9" s="441"/>
      <c r="T9" s="441"/>
      <c r="U9" s="441"/>
      <c r="V9" s="180"/>
    </row>
    <row r="10" spans="1:23" ht="21" customHeight="1" thickBot="1" x14ac:dyDescent="0.25">
      <c r="A10" s="3" t="s">
        <v>935</v>
      </c>
      <c r="B10" s="96">
        <f>'Données PAMCHR'!F177</f>
        <v>665975.12244075234</v>
      </c>
      <c r="C10" s="96">
        <f>'Données PAMCHR'!G177</f>
        <v>7472602.5076406887</v>
      </c>
      <c r="D10" s="96">
        <f>'Données PAMCHR'!H177</f>
        <v>12433045.189442432</v>
      </c>
      <c r="E10" s="96">
        <f>'Données PAMCHR'!I177</f>
        <v>19321408.673628271</v>
      </c>
      <c r="F10" s="1119">
        <f>'Données PAMCHR'!J177</f>
        <v>23316451.925534528</v>
      </c>
      <c r="G10" s="96">
        <f>'Données PAMCHR'!K177</f>
        <v>25908865.758602891</v>
      </c>
      <c r="H10" s="442">
        <f>'Données PAMCHR'!L177</f>
        <v>25880124.476029724</v>
      </c>
      <c r="I10" s="96">
        <f>'Données PAMCHR'!M177</f>
        <v>25790316.058457214</v>
      </c>
      <c r="J10" s="96">
        <f>'Données PAMCHR'!N177</f>
        <v>25923073.084068563</v>
      </c>
      <c r="K10" s="96">
        <f>'Données PAMCHR'!O177</f>
        <v>26105736.997947417</v>
      </c>
      <c r="L10" s="96">
        <f>'Données PAMCHR'!P177</f>
        <v>26333379.378345892</v>
      </c>
      <c r="M10" s="96">
        <f>'Données PAMCHR'!Q177</f>
        <v>26567679.501648173</v>
      </c>
      <c r="N10" s="96">
        <f>'Données PAMCHR'!R177</f>
        <v>26808835.384856291</v>
      </c>
      <c r="O10" s="96">
        <f>'Données PAMCHR'!S177</f>
        <v>27057050.968329489</v>
      </c>
      <c r="P10" s="96">
        <f>'Données PAMCHR'!T177</f>
        <v>27312536.293313421</v>
      </c>
      <c r="Q10" s="96">
        <f>'Données PAMCHR'!U177</f>
        <v>27575507.684793457</v>
      </c>
      <c r="R10" s="96">
        <f>'Données PAMCHR'!V177</f>
        <v>27846187.93983195</v>
      </c>
      <c r="S10" s="96">
        <f>'Données PAMCHR'!W177</f>
        <v>28124806.521553807</v>
      </c>
      <c r="T10" s="96">
        <f>'Données PAMCHR'!X177</f>
        <v>28411599.758949839</v>
      </c>
      <c r="U10" s="96">
        <f>'Données PAMCHR'!Y177</f>
        <v>28706811.052672498</v>
      </c>
      <c r="V10" s="181">
        <f>'Données PAMCHR'!Z177</f>
        <v>29010691.087003633</v>
      </c>
    </row>
    <row r="11" spans="1:23" ht="21" customHeight="1" x14ac:dyDescent="0.2">
      <c r="A11" s="772"/>
      <c r="B11" s="1106"/>
      <c r="C11" s="1106"/>
      <c r="D11" s="1106"/>
      <c r="E11" s="1106"/>
      <c r="F11" s="1123"/>
      <c r="G11" s="1106"/>
      <c r="H11" s="1107"/>
      <c r="I11" s="1106"/>
      <c r="J11" s="1107"/>
      <c r="K11" s="1107"/>
      <c r="L11" s="1107"/>
      <c r="M11" s="1107"/>
      <c r="N11" s="1107"/>
      <c r="O11" s="1107"/>
      <c r="P11" s="1107"/>
      <c r="Q11" s="1107"/>
      <c r="R11" s="1107"/>
      <c r="S11" s="1107"/>
      <c r="T11" s="1107"/>
      <c r="U11" s="1107"/>
      <c r="V11" s="1106"/>
    </row>
    <row r="12" spans="1:23" ht="21" customHeight="1" x14ac:dyDescent="0.2">
      <c r="A12" s="1108" t="s">
        <v>936</v>
      </c>
      <c r="B12" s="120">
        <f t="shared" ref="B12:V12" si="1">B7-B10</f>
        <v>985127.25263292505</v>
      </c>
      <c r="C12" s="120">
        <f t="shared" si="1"/>
        <v>8689782.666392915</v>
      </c>
      <c r="D12" s="120">
        <f t="shared" si="1"/>
        <v>12812210.275429087</v>
      </c>
      <c r="E12" s="120">
        <f t="shared" si="1"/>
        <v>19439728.893729076</v>
      </c>
      <c r="F12" s="1124">
        <f t="shared" si="1"/>
        <v>25364260.646982949</v>
      </c>
      <c r="G12" s="120">
        <f t="shared" si="1"/>
        <v>31053510.632711161</v>
      </c>
      <c r="H12" s="1133">
        <f t="shared" si="1"/>
        <v>31585672.964378521</v>
      </c>
      <c r="I12" s="120">
        <f t="shared" si="1"/>
        <v>32029188.298300851</v>
      </c>
      <c r="J12" s="120">
        <f t="shared" si="1"/>
        <v>31963397.72160105</v>
      </c>
      <c r="K12" s="120">
        <f t="shared" si="1"/>
        <v>32112841.188955575</v>
      </c>
      <c r="L12" s="120">
        <f t="shared" si="1"/>
        <v>31885198.808557101</v>
      </c>
      <c r="M12" s="120">
        <f t="shared" si="1"/>
        <v>31650898.68525482</v>
      </c>
      <c r="N12" s="120">
        <f t="shared" si="1"/>
        <v>31409742.802046701</v>
      </c>
      <c r="O12" s="120">
        <f t="shared" si="1"/>
        <v>31161527.218573503</v>
      </c>
      <c r="P12" s="120">
        <f t="shared" si="1"/>
        <v>30906041.893589571</v>
      </c>
      <c r="Q12" s="120">
        <f t="shared" si="1"/>
        <v>30643070.502109535</v>
      </c>
      <c r="R12" s="120">
        <f t="shared" si="1"/>
        <v>30372390.247071043</v>
      </c>
      <c r="S12" s="120">
        <f t="shared" si="1"/>
        <v>30093771.665349185</v>
      </c>
      <c r="T12" s="120">
        <f t="shared" si="1"/>
        <v>29806978.427953154</v>
      </c>
      <c r="U12" s="120">
        <f t="shared" si="1"/>
        <v>29511767.134230494</v>
      </c>
      <c r="V12" s="120">
        <f t="shared" si="1"/>
        <v>29207887.099899359</v>
      </c>
    </row>
    <row r="13" spans="1:23" ht="21" customHeight="1" thickBot="1" x14ac:dyDescent="0.25">
      <c r="A13" s="1109" t="s">
        <v>210</v>
      </c>
      <c r="B13" s="106">
        <f t="shared" ref="B13:I13" si="2">B12/B7</f>
        <v>0.59664819547544146</v>
      </c>
      <c r="C13" s="106">
        <f t="shared" si="2"/>
        <v>0.53765471945031174</v>
      </c>
      <c r="D13" s="106">
        <f t="shared" si="2"/>
        <v>0.50750963060196119</v>
      </c>
      <c r="E13" s="106">
        <f t="shared" si="2"/>
        <v>0.50152627383413595</v>
      </c>
      <c r="F13" s="1125">
        <f t="shared" si="2"/>
        <v>0.52103306025356444</v>
      </c>
      <c r="G13" s="106">
        <f t="shared" si="2"/>
        <v>0.5451582711258931</v>
      </c>
      <c r="H13" s="445">
        <f t="shared" si="2"/>
        <v>0.54964299411545992</v>
      </c>
      <c r="I13" s="106">
        <f t="shared" si="2"/>
        <v>0.55395127742144357</v>
      </c>
      <c r="J13" s="106">
        <f>J12/J7</f>
        <v>0.55217388928244071</v>
      </c>
      <c r="K13" s="106">
        <f>K12/K7</f>
        <v>0.55159095582618967</v>
      </c>
      <c r="L13" s="106">
        <f t="shared" ref="L13:V13" si="3">L12/L7</f>
        <v>0.54768082288430187</v>
      </c>
      <c r="M13" s="106">
        <f t="shared" si="3"/>
        <v>0.54365633223889154</v>
      </c>
      <c r="N13" s="106">
        <f t="shared" si="3"/>
        <v>0.53951408262170031</v>
      </c>
      <c r="O13" s="106">
        <f t="shared" si="3"/>
        <v>0.53525057102105056</v>
      </c>
      <c r="P13" s="106">
        <f t="shared" si="3"/>
        <v>0.53086218963248877</v>
      </c>
      <c r="Q13" s="106">
        <f t="shared" si="3"/>
        <v>0.52634522271797912</v>
      </c>
      <c r="R13" s="106">
        <f t="shared" si="3"/>
        <v>0.52169584337090003</v>
      </c>
      <c r="S13" s="106">
        <f t="shared" si="3"/>
        <v>0.516910110184023</v>
      </c>
      <c r="T13" s="106">
        <f t="shared" si="3"/>
        <v>0.51198396381756039</v>
      </c>
      <c r="U13" s="106">
        <f t="shared" si="3"/>
        <v>0.5069132234642848</v>
      </c>
      <c r="V13" s="106">
        <f t="shared" si="3"/>
        <v>0.50169358320863366</v>
      </c>
    </row>
    <row r="14" spans="1:23" ht="21" customHeight="1" thickTop="1" x14ac:dyDescent="0.2">
      <c r="A14" s="1110" t="s">
        <v>937</v>
      </c>
      <c r="B14" s="96">
        <f>('Données PAMCHR'!B209+'Données VAR'!B95)*'Données gestion'!C15*4/12*(1+2/3*3.5%)</f>
        <v>344638.94298912003</v>
      </c>
      <c r="C14" s="96">
        <f>('Données PAMCHR'!C209+'Données VAR'!C95)*'Données gestion'!D15*(1+2/3*3.5%)</f>
        <v>892349.75546259864</v>
      </c>
      <c r="D14" s="96">
        <f>('Données PAMCHR'!D209+'Données VAR'!D95)*'Données gestion'!E15*(1+2/3*3.5%)</f>
        <v>1075687.0688576417</v>
      </c>
      <c r="E14" s="96">
        <f>('Données PAMCHR'!E209+'Données VAR'!E95)*'Données gestion'!F15*(1+2/3*3.5%)</f>
        <v>1477001.0907006846</v>
      </c>
      <c r="F14" s="1119">
        <f>('Données PAMCHR'!F209+'Données VAR'!F95)*'Données gestion'!G15*(1+2/3*3.5%)</f>
        <v>1893937.3985899065</v>
      </c>
      <c r="G14" s="96">
        <f>('Données PAMCHR'!G209+'Données VAR'!G95)*'Données gestion'!H15*(1+2/3*3.5%)</f>
        <v>1931816.1465617046</v>
      </c>
      <c r="H14" s="442">
        <f>('Données PAMCHR'!H209+'Données VAR'!H95)*'Données gestion'!I15*(1+2/3*3.5%)</f>
        <v>1970452.4694929391</v>
      </c>
      <c r="I14" s="96">
        <f>('Données PAMCHR'!I209+'Données VAR'!I95)*'Données gestion'!J15*(1+2/3*3.5%)</f>
        <v>2009861.5188827969</v>
      </c>
      <c r="J14" s="96">
        <f>('Données PAMCHR'!J209+'Données VAR'!J95)*'Données gestion'!K15*(1+2/3*3.5%)</f>
        <v>2050058.7492604533</v>
      </c>
      <c r="K14" s="96">
        <f>('Données PAMCHR'!K209+'Données VAR'!K95)*'Données gestion'!L15*(1+2/3*3.5%)</f>
        <v>2091059.9242456625</v>
      </c>
      <c r="L14" s="96">
        <f>('Données PAMCHR'!L209+'Données VAR'!L95)*'Données gestion'!M15*(1+2/3*3.5%)</f>
        <v>2132881.1227305755</v>
      </c>
      <c r="M14" s="96">
        <f>('Données PAMCHR'!M209+'Données VAR'!M95)*'Données gestion'!N15*(1+2/3*3.5%)</f>
        <v>2175538.7451851866</v>
      </c>
      <c r="N14" s="96">
        <f>('Données PAMCHR'!N209+'Données VAR'!N95)*'Données gestion'!O15*(1+2/3*3.5%)</f>
        <v>2219049.520088891</v>
      </c>
      <c r="O14" s="96">
        <f>('Données PAMCHR'!O209+'Données VAR'!O95)*'Données gestion'!P15*(1+2/3*3.5%)</f>
        <v>2263430.5104906685</v>
      </c>
      <c r="P14" s="96">
        <f>('Données PAMCHR'!P209+'Données VAR'!P95)*'Données gestion'!Q15*(1+2/3*3.5%)</f>
        <v>2308699.1207004823</v>
      </c>
      <c r="Q14" s="96">
        <f>('Données PAMCHR'!Q209+'Données VAR'!Q95)*'Données gestion'!R15*(1+2/3*3.5%)</f>
        <v>2354873.1031144913</v>
      </c>
      <c r="R14" s="96">
        <f>('Données PAMCHR'!R209+'Données VAR'!R95)*'Données gestion'!S15*(1+2/3*3.5%)</f>
        <v>2401970.5651767813</v>
      </c>
      <c r="S14" s="96">
        <f>('Données PAMCHR'!S209+'Données VAR'!S95)*'Données gestion'!T15*(1+2/3*3.5%)</f>
        <v>2450009.9764803173</v>
      </c>
      <c r="T14" s="96">
        <f>('Données PAMCHR'!T209+'Données VAR'!T95)*'Données gestion'!U15*(1+2/3*3.5%)</f>
        <v>2499010.1760099232</v>
      </c>
      <c r="U14" s="96">
        <f>('Données PAMCHR'!U209+'Données VAR'!U95)*'Données gestion'!V15*(1+2/3*3.5%)</f>
        <v>2548990.3795301216</v>
      </c>
      <c r="V14" s="115">
        <f>('Données PAMCHR'!V209+'Données VAR'!V95)*'Données gestion'!W15*(1+2/3*3.5%)</f>
        <v>2599970.1871207245</v>
      </c>
      <c r="W14" t="s">
        <v>743</v>
      </c>
    </row>
    <row r="15" spans="1:23" ht="21" customHeight="1" x14ac:dyDescent="0.2">
      <c r="A15" s="854" t="s">
        <v>522</v>
      </c>
      <c r="B15" s="96">
        <f>-'Données gestion'!B97</f>
        <v>0</v>
      </c>
      <c r="C15" s="96">
        <f>-'Données gestion'!C97</f>
        <v>0</v>
      </c>
      <c r="D15" s="96">
        <f>-'Données gestion'!D97</f>
        <v>0</v>
      </c>
      <c r="E15" s="96">
        <f>-'Données gestion'!E97</f>
        <v>0</v>
      </c>
      <c r="F15" s="1119">
        <f>-'Données gestion'!F97</f>
        <v>0</v>
      </c>
      <c r="G15" s="96">
        <f>-'Données gestion'!G97</f>
        <v>0</v>
      </c>
      <c r="H15" s="442">
        <f>-'Données gestion'!H97</f>
        <v>-87523.799355623574</v>
      </c>
      <c r="I15" s="96">
        <f>-'Données gestion'!I97</f>
        <v>-178548.55068547203</v>
      </c>
      <c r="J15" s="96">
        <f>-'Données gestion'!J97</f>
        <v>-273179.28254877223</v>
      </c>
      <c r="K15" s="96">
        <f>-'Données gestion'!K97</f>
        <v>-325083.34623303899</v>
      </c>
      <c r="L15" s="96">
        <f>-'Données gestion'!L97</f>
        <v>-378954.30075165688</v>
      </c>
      <c r="M15" s="96">
        <f>-'Données gestion'!M97</f>
        <v>-434850.06011252617</v>
      </c>
      <c r="N15" s="96">
        <f>-'Données gestion'!N97</f>
        <v>-492830.06812752975</v>
      </c>
      <c r="O15" s="96">
        <f>-'Données gestion'!O97</f>
        <v>-502686.66949008033</v>
      </c>
      <c r="P15" s="96">
        <f>-'Données gestion'!P97</f>
        <v>-564014.44316787017</v>
      </c>
      <c r="Q15" s="96">
        <f>-'Données gestion'!Q97</f>
        <v>-575294.73203122744</v>
      </c>
      <c r="R15" s="96">
        <f>-'Données gestion'!R97</f>
        <v>-640146.13818747504</v>
      </c>
      <c r="S15" s="96">
        <f>-'Données gestion'!S97</f>
        <v>-652949.06095122453</v>
      </c>
      <c r="T15" s="96">
        <f>-'Données gestion'!T97</f>
        <v>-666008.04217024893</v>
      </c>
      <c r="U15" s="96">
        <f>-'Données gestion'!U97</f>
        <v>-735938.8865981251</v>
      </c>
      <c r="V15" s="96">
        <f>-'Données gestion'!V97</f>
        <v>-750657.66433008772</v>
      </c>
    </row>
    <row r="16" spans="1:23" ht="21" customHeight="1" x14ac:dyDescent="0.2">
      <c r="A16" s="854" t="s">
        <v>950</v>
      </c>
      <c r="B16" s="96">
        <f>'Données PAMCHR'!D73+'Données PAMCHR'!C242+'Données PAMCHR'!C256+'Données VAR'!D75+'Données VAR'!C114+'Données VAR'!C120+'Equipe projet'!H40*1000</f>
        <v>367008.04003414296</v>
      </c>
      <c r="C16" s="96">
        <f>'Données PAMCHR'!E73+'Données PAMCHR'!D242+'Données PAMCHR'!D256+'Données VAR'!E75+'Données VAR'!D114+'Données VAR'!D120</f>
        <v>1263698.3069284293</v>
      </c>
      <c r="D16" s="96">
        <f>'Données PAMCHR'!F73+'Données PAMCHR'!E242+'Données PAMCHR'!E256+'Données VAR'!F75+'Données VAR'!E114+'Données VAR'!E120</f>
        <v>1672290.7441181038</v>
      </c>
      <c r="E16" s="96">
        <f>'Données PAMCHR'!G73+'Données PAMCHR'!F242+'Données PAMCHR'!F256+'Données VAR'!G75+'Données VAR'!F114+'Données VAR'!F120</f>
        <v>2213180.4199253325</v>
      </c>
      <c r="F16" s="1119">
        <f>'Données PAMCHR'!H73+'Données PAMCHR'!G242+'Données PAMCHR'!G256+'Données VAR'!H75+'Données VAR'!G114+'Données VAR'!G120</f>
        <v>2480975.5022917087</v>
      </c>
      <c r="G16" s="96">
        <f>'Données PAMCHR'!I73+'Données PAMCHR'!H242+'Données PAMCHR'!H256+'Données VAR'!I75+'Données VAR'!H114+'Données VAR'!H120</f>
        <v>2615287.7685091654</v>
      </c>
      <c r="H16" s="442">
        <f>'Données PAMCHR'!J73+'Données PAMCHR'!I242+'Données PAMCHR'!I256+'Données VAR'!J75+'Données VAR'!I114+'Données VAR'!I120</f>
        <v>2484596.9593659351</v>
      </c>
      <c r="I16" s="96">
        <f>'Données PAMCHR'!K73+'Données PAMCHR'!J242+'Données PAMCHR'!J256+'Données VAR'!K75+'Données VAR'!J114+'Données VAR'!J120</f>
        <v>2491353.9338815189</v>
      </c>
      <c r="J16" s="96">
        <f>'Données PAMCHR'!L73+'Données PAMCHR'!K242+'Données PAMCHR'!K256+'Données VAR'!L75+'Données VAR'!K114+'Données VAR'!K120</f>
        <v>2498246.0478874147</v>
      </c>
      <c r="K16" s="96">
        <f>'Données PAMCHR'!M73+'Données PAMCHR'!L242+'Données PAMCHR'!L256+'Données VAR'!M75+'Données VAR'!L114+'Données VAR'!L120</f>
        <v>2505276.0041734288</v>
      </c>
      <c r="L16" s="96">
        <f>'Données PAMCHR'!N73+'Données PAMCHR'!M242+'Données PAMCHR'!M256+'Données VAR'!N75+'Données VAR'!M114+'Données VAR'!M120</f>
        <v>2512446.5595851624</v>
      </c>
      <c r="M16" s="96">
        <f>'Données PAMCHR'!O73+'Données PAMCHR'!N242+'Données PAMCHR'!N256+'Données VAR'!O75+'Données VAR'!N114+'Données VAR'!N120</f>
        <v>2519760.526105131</v>
      </c>
      <c r="N16" s="96">
        <f>'Données PAMCHR'!P73+'Données PAMCHR'!O242+'Données PAMCHR'!O256+'Données VAR'!P75+'Données VAR'!O114+'Données VAR'!O120</f>
        <v>2527220.7719554985</v>
      </c>
      <c r="O16" s="96">
        <f>'Données PAMCHR'!Q73+'Données PAMCHR'!P242+'Données PAMCHR'!P256+'Données VAR'!Q75+'Données VAR'!P114+'Données VAR'!P120</f>
        <v>2534830.222722874</v>
      </c>
      <c r="P16" s="96">
        <f>'Données PAMCHR'!R73+'Données PAMCHR'!Q242+'Données PAMCHR'!Q256+'Données VAR'!R75+'Données VAR'!Q114+'Données VAR'!Q120</f>
        <v>2542591.8625055971</v>
      </c>
      <c r="Q16" s="96">
        <f>'Données PAMCHR'!S73+'Données PAMCHR'!R242+'Données PAMCHR'!R256+'Données VAR'!S75+'Données VAR'!R114+'Données VAR'!R120</f>
        <v>2550508.735083974</v>
      </c>
      <c r="R16" s="96">
        <f>'Données PAMCHR'!T73+'Données PAMCHR'!S242+'Données PAMCHR'!S256+'Données VAR'!T75+'Données VAR'!S114+'Données VAR'!S120</f>
        <v>2558583.9451139187</v>
      </c>
      <c r="S16" s="96">
        <f>'Données PAMCHR'!U73+'Données PAMCHR'!T242+'Données PAMCHR'!T256+'Données VAR'!U75+'Données VAR'!T114+'Données VAR'!T120</f>
        <v>2566820.6593444622</v>
      </c>
      <c r="T16" s="96">
        <f>'Données PAMCHR'!V73+'Données PAMCHR'!U242+'Données PAMCHR'!U256+'Données VAR'!V75+'Données VAR'!U114+'Données VAR'!U120</f>
        <v>2575222.1078596171</v>
      </c>
      <c r="U16" s="96">
        <f>'Données PAMCHR'!W73+'Données PAMCHR'!V242+'Données PAMCHR'!V256+'Données VAR'!W75+'Données VAR'!V114+'Données VAR'!V120</f>
        <v>2583791.5853450745</v>
      </c>
      <c r="V16" s="96">
        <f>'Données PAMCHR'!X73+'Données PAMCHR'!W242+'Données PAMCHR'!W256+'Données VAR'!X75+'Données VAR'!W114+'Données VAR'!W120</f>
        <v>2592532.4523802409</v>
      </c>
    </row>
    <row r="17" spans="1:25" ht="21" customHeight="1" x14ac:dyDescent="0.2">
      <c r="A17" s="854" t="s">
        <v>938</v>
      </c>
      <c r="B17" s="96">
        <f>'Données Investissement'!D78*'Données PAMCHR'!C7/'Données PAMCHR'!D7</f>
        <v>93769.04347826085</v>
      </c>
      <c r="C17" s="96">
        <f>'Données Investissement'!D78</f>
        <v>539171.99999999988</v>
      </c>
      <c r="D17" s="96">
        <f>'Données Investissement'!E78</f>
        <v>687444.30000000016</v>
      </c>
      <c r="E17" s="96">
        <f>'Données Investissement'!F78</f>
        <v>841431.82319999998</v>
      </c>
      <c r="F17" s="1119">
        <f>'Données Investissement'!G78</f>
        <v>942690.168144</v>
      </c>
      <c r="G17" s="96">
        <f>'Données Investissement'!H78</f>
        <v>961543.97150688001</v>
      </c>
      <c r="H17" s="442">
        <f>'Données Investissement'!I78</f>
        <v>980774.85093701771</v>
      </c>
      <c r="I17" s="96">
        <f>'Données Investissement'!J78</f>
        <v>1000390.3479557578</v>
      </c>
      <c r="J17" s="96">
        <f>'Données Investissement'!K78</f>
        <v>1020398.1549148731</v>
      </c>
      <c r="K17" s="96">
        <f>'Données Investissement'!L78</f>
        <v>1040806.1180131705</v>
      </c>
      <c r="L17" s="96">
        <f>'Données Investissement'!M78</f>
        <v>1061622.240373434</v>
      </c>
      <c r="M17" s="96">
        <f>'Données Investissement'!N78</f>
        <v>1082854.6851809025</v>
      </c>
      <c r="N17" s="96">
        <f>'Données Investissement'!O78</f>
        <v>1104511.7788845208</v>
      </c>
      <c r="O17" s="96">
        <f>'Données Investissement'!P78</f>
        <v>1126602.0144622109</v>
      </c>
      <c r="P17" s="96">
        <f>'Données Investissement'!Q78</f>
        <v>1149134.0547514553</v>
      </c>
      <c r="Q17" s="96">
        <f>'Données Investissement'!R78</f>
        <v>1172116.7358464841</v>
      </c>
      <c r="R17" s="96">
        <f>'Données Investissement'!S78</f>
        <v>1195559.0705634141</v>
      </c>
      <c r="S17" s="96">
        <f>'Données Investissement'!T78</f>
        <v>1219470.2519746823</v>
      </c>
      <c r="T17" s="96">
        <f>'Données Investissement'!U78</f>
        <v>1243859.657014176</v>
      </c>
      <c r="U17" s="96">
        <f>'Données Investissement'!V78</f>
        <v>1268736.8501544595</v>
      </c>
      <c r="V17" s="96">
        <f>'Données Investissement'!W78</f>
        <v>1294111.5871575486</v>
      </c>
    </row>
    <row r="18" spans="1:25" ht="21" customHeight="1" x14ac:dyDescent="0.2">
      <c r="A18" s="854" t="s">
        <v>939</v>
      </c>
      <c r="B18" s="96">
        <f>'Données PAMCHR'!C237+'Données VAR'!C108+'Equipe projet'!H39*1000</f>
        <v>104687.65954552223</v>
      </c>
      <c r="C18" s="96">
        <f>'Données PAMCHR'!D237+'Données VAR'!D108</f>
        <v>742407.45477474609</v>
      </c>
      <c r="D18" s="96">
        <f>'Données PAMCHR'!E237+'Données VAR'!E108</f>
        <v>1183801.5965781258</v>
      </c>
      <c r="E18" s="96">
        <f>'Données PAMCHR'!F237+'Données VAR'!F108</f>
        <v>1883181.9287454777</v>
      </c>
      <c r="F18" s="1119">
        <f>'Données PAMCHR'!G237+'Données VAR'!G108</f>
        <v>2423958.4406087217</v>
      </c>
      <c r="G18" s="96">
        <f>'Données PAMCHR'!H237+'Données VAR'!H108</f>
        <v>2928675.3587125842</v>
      </c>
      <c r="H18" s="442">
        <f>'Données PAMCHR'!I237+'Données VAR'!I108</f>
        <v>3104395.8802353395</v>
      </c>
      <c r="I18" s="96">
        <f>'Données PAMCHR'!J237+'Données VAR'!J108</f>
        <v>3290659.6330494601</v>
      </c>
      <c r="J18" s="96">
        <f>'Données PAMCHR'!K237+'Données VAR'!K108</f>
        <v>3488099.2110324274</v>
      </c>
      <c r="K18" s="96">
        <f>'Données PAMCHR'!L237+'Données VAR'!L108</f>
        <v>3697385.1636943733</v>
      </c>
      <c r="L18" s="96">
        <f>'Données PAMCHR'!M237+'Données VAR'!M108</f>
        <v>3697385.1636943733</v>
      </c>
      <c r="M18" s="96">
        <f>'Données PAMCHR'!N237+'Données VAR'!N108</f>
        <v>3697385.1636943733</v>
      </c>
      <c r="N18" s="96">
        <f>'Données PAMCHR'!O237+'Données VAR'!O108</f>
        <v>3697385.1636943733</v>
      </c>
      <c r="O18" s="96">
        <f>'Données PAMCHR'!P237+'Données VAR'!P108</f>
        <v>3697385.1636943733</v>
      </c>
      <c r="P18" s="96">
        <f>'Données PAMCHR'!Q237+'Données VAR'!Q108</f>
        <v>3697385.1636943733</v>
      </c>
      <c r="Q18" s="96">
        <f>'Données PAMCHR'!R237+'Données VAR'!R108</f>
        <v>3697385.1636943733</v>
      </c>
      <c r="R18" s="96">
        <f>'Données PAMCHR'!S237+'Données VAR'!S108</f>
        <v>3697385.1636943733</v>
      </c>
      <c r="S18" s="96">
        <f>'Données PAMCHR'!T237+'Données VAR'!T108</f>
        <v>3697385.1636943733</v>
      </c>
      <c r="T18" s="96">
        <f>'Données PAMCHR'!U237+'Données VAR'!U108</f>
        <v>3697385.1636943733</v>
      </c>
      <c r="U18" s="96">
        <f>'Données PAMCHR'!V237+'Données VAR'!V108</f>
        <v>3697385.1636943733</v>
      </c>
      <c r="V18" s="96">
        <f>'Données PAMCHR'!W237+'Données VAR'!W108</f>
        <v>3697385.1636943733</v>
      </c>
    </row>
    <row r="19" spans="1:25" ht="21" customHeight="1" x14ac:dyDescent="0.2">
      <c r="A19" s="854" t="s">
        <v>944</v>
      </c>
      <c r="B19" s="96">
        <f>2966+'Equipe projet'!G43*1000</f>
        <v>2966</v>
      </c>
      <c r="C19" s="96">
        <f>(C14+C16)*'Données gestion'!$C$43</f>
        <v>10780.24031195514</v>
      </c>
      <c r="D19" s="96">
        <f>(D14+D16)*'Données gestion'!$C$43</f>
        <v>13739.889064878729</v>
      </c>
      <c r="E19" s="96">
        <f>(E14+E16)*'Données gestion'!$C$43</f>
        <v>18450.907553130088</v>
      </c>
      <c r="F19" s="1119">
        <f>(F14+F16)*'Données gestion'!$C$43</f>
        <v>21874.564504408077</v>
      </c>
      <c r="G19" s="96">
        <f>(G14+G16)*'Données gestion'!$C$43</f>
        <v>22735.519575354348</v>
      </c>
      <c r="H19" s="442">
        <f>(H14+H16)*'Données gestion'!$C$43</f>
        <v>22275.247144294372</v>
      </c>
      <c r="I19" s="96">
        <f>(I14+I16)*'Données gestion'!$C$43</f>
        <v>22506.077263821579</v>
      </c>
      <c r="J19" s="96">
        <f>(J14+J16)*'Données gestion'!$C$43</f>
        <v>22741.523985739343</v>
      </c>
      <c r="K19" s="96">
        <f>(K14+K16)*'Données gestion'!$C$43</f>
        <v>22981.679642095456</v>
      </c>
      <c r="L19" s="96">
        <f>(L14+L16)*'Données gestion'!$C$43</f>
        <v>23226.63841157869</v>
      </c>
      <c r="M19" s="96">
        <f>(M14+M16)*'Données gestion'!$C$43</f>
        <v>23476.496356451586</v>
      </c>
      <c r="N19" s="96">
        <f>(N14+N16)*'Données gestion'!$C$43</f>
        <v>23731.351460221951</v>
      </c>
      <c r="O19" s="96">
        <f>(O14+O16)*'Données gestion'!$C$43</f>
        <v>23991.30366606771</v>
      </c>
      <c r="P19" s="96">
        <f>(P14+P16)*'Données gestion'!$C$43</f>
        <v>24256.454916030398</v>
      </c>
      <c r="Q19" s="96">
        <f>(Q14+Q16)*'Données gestion'!$C$43</f>
        <v>24526.909190992326</v>
      </c>
      <c r="R19" s="96">
        <f>(R14+R16)*'Données gestion'!$C$43</f>
        <v>24802.772551453501</v>
      </c>
      <c r="S19" s="96">
        <f>(S14+S16)*'Données gestion'!$C$43</f>
        <v>25084.153179123896</v>
      </c>
      <c r="T19" s="96">
        <f>(T14+T16)*'Données gestion'!$C$43</f>
        <v>25371.161419347703</v>
      </c>
      <c r="U19" s="96">
        <f>(U14+U16)*'Données gestion'!$C$43</f>
        <v>25663.90982437598</v>
      </c>
      <c r="V19" s="96">
        <f>(V14+V16)*'Données gestion'!$C$43</f>
        <v>25962.513197504828</v>
      </c>
    </row>
    <row r="20" spans="1:25" ht="21" customHeight="1" x14ac:dyDescent="0.2">
      <c r="A20" s="854" t="s">
        <v>951</v>
      </c>
      <c r="B20" s="118">
        <f>'Données gestion'!D50</f>
        <v>65217.391304347824</v>
      </c>
      <c r="C20" s="118">
        <f>'Données gestion'!E50</f>
        <v>375000</v>
      </c>
      <c r="D20" s="118">
        <f>'Données gestion'!F50</f>
        <v>382000</v>
      </c>
      <c r="E20" s="118">
        <f>'Données gestion'!G50</f>
        <v>389140</v>
      </c>
      <c r="F20" s="1126">
        <f>'Données gestion'!H50</f>
        <v>396422.8</v>
      </c>
      <c r="G20" s="118">
        <f>'Données gestion'!I50</f>
        <v>403851.25599999999</v>
      </c>
      <c r="H20" s="1134">
        <f>'Données gestion'!J50</f>
        <v>411428.28112</v>
      </c>
      <c r="I20" s="118">
        <f>'Données gestion'!K50</f>
        <v>419156.84674240003</v>
      </c>
      <c r="J20" s="118">
        <f>'Données gestion'!L50</f>
        <v>427039.98367724806</v>
      </c>
      <c r="K20" s="118">
        <f>'Données gestion'!M50</f>
        <v>435080.783350793</v>
      </c>
      <c r="L20" s="118">
        <f>'Données gestion'!N50</f>
        <v>443282.3990178089</v>
      </c>
      <c r="M20" s="118">
        <f>'Données gestion'!O50</f>
        <v>451648.04699816508</v>
      </c>
      <c r="N20" s="118">
        <f>'Données gestion'!P50</f>
        <v>460181.00793812837</v>
      </c>
      <c r="O20" s="118">
        <f>'Données gestion'!Q50</f>
        <v>468884.62809689093</v>
      </c>
      <c r="P20" s="118">
        <f>'Données gestion'!R50</f>
        <v>477762.32065882877</v>
      </c>
      <c r="Q20" s="118">
        <f>'Données gestion'!S50</f>
        <v>486817.56707200536</v>
      </c>
      <c r="R20" s="118">
        <f>'Données gestion'!T50</f>
        <v>496053.91841344547</v>
      </c>
      <c r="S20" s="118">
        <f>'Données gestion'!U50</f>
        <v>505474.99678171438</v>
      </c>
      <c r="T20" s="118">
        <f>'Données gestion'!V50</f>
        <v>515084.49671734869</v>
      </c>
      <c r="U20" s="118">
        <f>'Données gestion'!W50</f>
        <v>524886.18665169575</v>
      </c>
      <c r="V20" s="118">
        <f>'Données gestion'!X50</f>
        <v>534883.91038472962</v>
      </c>
    </row>
    <row r="21" spans="1:25" ht="21" customHeight="1" x14ac:dyDescent="0.2">
      <c r="A21" s="1111" t="s">
        <v>1219</v>
      </c>
      <c r="B21" s="118">
        <f>'Données gestion'!C109</f>
        <v>0</v>
      </c>
      <c r="C21" s="118">
        <f>'Données gestion'!D109</f>
        <v>0</v>
      </c>
      <c r="D21" s="118">
        <f>'Données gestion'!E109</f>
        <v>0</v>
      </c>
      <c r="E21" s="118">
        <f>'Données gestion'!F109</f>
        <v>0</v>
      </c>
      <c r="F21" s="1126">
        <f>'Données gestion'!G109</f>
        <v>0</v>
      </c>
      <c r="G21" s="118">
        <f>'Données gestion'!H109</f>
        <v>0</v>
      </c>
      <c r="H21" s="1134">
        <f>'Données gestion'!I109</f>
        <v>0</v>
      </c>
      <c r="I21" s="118">
        <f>'Données gestion'!J109</f>
        <v>0</v>
      </c>
      <c r="J21" s="118">
        <f>'Données gestion'!K109</f>
        <v>0</v>
      </c>
      <c r="K21" s="118">
        <f>'Données gestion'!L109</f>
        <v>0</v>
      </c>
      <c r="L21" s="118">
        <f>'Données gestion'!M109</f>
        <v>0</v>
      </c>
      <c r="M21" s="118">
        <f>'Données gestion'!N109</f>
        <v>0</v>
      </c>
      <c r="N21" s="118">
        <f>'Données gestion'!O109</f>
        <v>0</v>
      </c>
      <c r="O21" s="118">
        <f>'Données gestion'!P109</f>
        <v>0</v>
      </c>
      <c r="P21" s="118">
        <f>'Données gestion'!Q109</f>
        <v>0</v>
      </c>
      <c r="Q21" s="118">
        <f>'Données gestion'!R109</f>
        <v>0</v>
      </c>
      <c r="R21" s="118">
        <f>'Données gestion'!S109</f>
        <v>0</v>
      </c>
      <c r="S21" s="118">
        <f>'Données gestion'!T109</f>
        <v>0</v>
      </c>
      <c r="T21" s="118">
        <f>'Données gestion'!U109</f>
        <v>0</v>
      </c>
      <c r="U21" s="118">
        <f>'Données gestion'!V109</f>
        <v>0</v>
      </c>
      <c r="V21" s="118">
        <f>'Données gestion'!W109</f>
        <v>0</v>
      </c>
    </row>
    <row r="22" spans="1:25" ht="21" customHeight="1" x14ac:dyDescent="0.2">
      <c r="A22" s="1112" t="s">
        <v>943</v>
      </c>
      <c r="B22" s="108">
        <f t="shared" ref="B22:I22" si="4">SUM(B14:B21)</f>
        <v>978287.07735139388</v>
      </c>
      <c r="C22" s="108">
        <f t="shared" si="4"/>
        <v>3823407.7574777291</v>
      </c>
      <c r="D22" s="108">
        <f t="shared" si="4"/>
        <v>5014963.5986187505</v>
      </c>
      <c r="E22" s="108">
        <f t="shared" si="4"/>
        <v>6822386.1701246239</v>
      </c>
      <c r="F22" s="1127">
        <f t="shared" si="4"/>
        <v>8159858.8741387445</v>
      </c>
      <c r="G22" s="108">
        <f t="shared" si="4"/>
        <v>8863910.0208656862</v>
      </c>
      <c r="H22" s="1135">
        <f t="shared" si="4"/>
        <v>8886399.8889399022</v>
      </c>
      <c r="I22" s="108">
        <f t="shared" si="4"/>
        <v>9055379.8070902843</v>
      </c>
      <c r="J22" s="108">
        <f>SUM(J14:J21)</f>
        <v>9233404.3882093839</v>
      </c>
      <c r="K22" s="108">
        <f>SUM(K14:K21)</f>
        <v>9467506.3268864863</v>
      </c>
      <c r="L22" s="108">
        <f>SUM(L14:L21)</f>
        <v>9491889.8230612744</v>
      </c>
      <c r="M22" s="108">
        <f t="shared" ref="M22:V22" si="5">SUM(M14:M21)</f>
        <v>9515813.6034076847</v>
      </c>
      <c r="N22" s="108">
        <f t="shared" si="5"/>
        <v>9539249.5258941054</v>
      </c>
      <c r="O22" s="108">
        <f t="shared" si="5"/>
        <v>9612437.173643006</v>
      </c>
      <c r="P22" s="108">
        <f t="shared" si="5"/>
        <v>9635814.5340588987</v>
      </c>
      <c r="Q22" s="108">
        <f t="shared" si="5"/>
        <v>9710933.4819710925</v>
      </c>
      <c r="R22" s="108">
        <f t="shared" si="5"/>
        <v>9734209.297325911</v>
      </c>
      <c r="S22" s="108">
        <f t="shared" si="5"/>
        <v>9811296.1405034494</v>
      </c>
      <c r="T22" s="108">
        <f t="shared" si="5"/>
        <v>9889924.7205445357</v>
      </c>
      <c r="U22" s="108">
        <f t="shared" si="5"/>
        <v>9913515.1886019744</v>
      </c>
      <c r="V22" s="108">
        <f t="shared" si="5"/>
        <v>9994188.1496050321</v>
      </c>
    </row>
    <row r="23" spans="1:25" ht="21" customHeight="1" x14ac:dyDescent="0.2">
      <c r="A23" s="1108" t="s">
        <v>940</v>
      </c>
      <c r="B23" s="120">
        <f t="shared" ref="B23:I23" si="6">B12-B22</f>
        <v>6840.1752815311775</v>
      </c>
      <c r="C23" s="120">
        <f t="shared" si="6"/>
        <v>4866374.9089151863</v>
      </c>
      <c r="D23" s="120">
        <f t="shared" si="6"/>
        <v>7797246.6768103363</v>
      </c>
      <c r="E23" s="120">
        <f t="shared" si="6"/>
        <v>12617342.723604452</v>
      </c>
      <c r="F23" s="1124">
        <f t="shared" si="6"/>
        <v>17204401.772844203</v>
      </c>
      <c r="G23" s="120">
        <f t="shared" si="6"/>
        <v>22189600.611845475</v>
      </c>
      <c r="H23" s="1133">
        <f t="shared" si="6"/>
        <v>22699273.075438619</v>
      </c>
      <c r="I23" s="120">
        <f t="shared" si="6"/>
        <v>22973808.491210565</v>
      </c>
      <c r="J23" s="120">
        <f>J12-J22</f>
        <v>22729993.333391666</v>
      </c>
      <c r="K23" s="120">
        <f>K12-K22</f>
        <v>22645334.862069089</v>
      </c>
      <c r="L23" s="120">
        <f>L12-L22</f>
        <v>22393308.985495828</v>
      </c>
      <c r="M23" s="120">
        <f t="shared" ref="M23:V23" si="7">M12-M22</f>
        <v>22135085.081847135</v>
      </c>
      <c r="N23" s="120">
        <f t="shared" si="7"/>
        <v>21870493.276152596</v>
      </c>
      <c r="O23" s="120">
        <f t="shared" si="7"/>
        <v>21549090.044930495</v>
      </c>
      <c r="P23" s="120">
        <f t="shared" si="7"/>
        <v>21270227.359530672</v>
      </c>
      <c r="Q23" s="120">
        <f t="shared" si="7"/>
        <v>20932137.020138443</v>
      </c>
      <c r="R23" s="120">
        <f t="shared" si="7"/>
        <v>20638180.949745134</v>
      </c>
      <c r="S23" s="120">
        <f t="shared" si="7"/>
        <v>20282475.524845734</v>
      </c>
      <c r="T23" s="120">
        <f t="shared" si="7"/>
        <v>19917053.707408618</v>
      </c>
      <c r="U23" s="120">
        <f t="shared" si="7"/>
        <v>19598251.94562852</v>
      </c>
      <c r="V23" s="120">
        <f t="shared" si="7"/>
        <v>19213698.950294327</v>
      </c>
      <c r="W23" s="342">
        <f>SUM(C23:G23)</f>
        <v>64674966.69401966</v>
      </c>
    </row>
    <row r="24" spans="1:25" ht="21" customHeight="1" thickBot="1" x14ac:dyDescent="0.25">
      <c r="A24" s="1109" t="s">
        <v>210</v>
      </c>
      <c r="B24" s="123">
        <f t="shared" ref="B24:I24" si="8">B23/B7</f>
        <v>4.1427929514218928E-3</v>
      </c>
      <c r="C24" s="123">
        <f t="shared" si="8"/>
        <v>0.30109262070634701</v>
      </c>
      <c r="D24" s="123">
        <f t="shared" si="8"/>
        <v>0.30885988409426535</v>
      </c>
      <c r="E24" s="123">
        <f t="shared" si="8"/>
        <v>0.32551528452121936</v>
      </c>
      <c r="F24" s="1128">
        <f t="shared" si="8"/>
        <v>0.35341310477359134</v>
      </c>
      <c r="G24" s="123">
        <f t="shared" si="8"/>
        <v>0.38954836538787857</v>
      </c>
      <c r="H24" s="1136">
        <f t="shared" si="8"/>
        <v>0.39500492617330607</v>
      </c>
      <c r="I24" s="106">
        <f t="shared" si="8"/>
        <v>0.39733665562847975</v>
      </c>
      <c r="J24" s="106">
        <f>J23/J7</f>
        <v>0.39266503929214158</v>
      </c>
      <c r="K24" s="106">
        <f>K23/K7</f>
        <v>0.38897093620818524</v>
      </c>
      <c r="L24" s="106">
        <f>L23/L7</f>
        <v>0.38464197654578736</v>
      </c>
      <c r="M24" s="106">
        <f t="shared" ref="M24:V24" si="9">M23/M7</f>
        <v>0.38020655555663679</v>
      </c>
      <c r="N24" s="106">
        <f t="shared" si="9"/>
        <v>0.37566175535823443</v>
      </c>
      <c r="O24" s="106">
        <f t="shared" si="9"/>
        <v>0.37014112532514987</v>
      </c>
      <c r="P24" s="106">
        <f t="shared" si="9"/>
        <v>0.36535119925542392</v>
      </c>
      <c r="Q24" s="106">
        <f t="shared" si="9"/>
        <v>0.35954394064620754</v>
      </c>
      <c r="R24" s="106">
        <f t="shared" si="9"/>
        <v>0.35449476082169168</v>
      </c>
      <c r="S24" s="106">
        <f t="shared" si="9"/>
        <v>0.34838493409666493</v>
      </c>
      <c r="T24" s="106">
        <f t="shared" si="9"/>
        <v>0.3421082123212898</v>
      </c>
      <c r="U24" s="106">
        <f t="shared" si="9"/>
        <v>0.33663226681199498</v>
      </c>
      <c r="V24" s="106">
        <f t="shared" si="9"/>
        <v>0.33002693553613255</v>
      </c>
    </row>
    <row r="25" spans="1:25" ht="21" customHeight="1" thickTop="1" x14ac:dyDescent="0.2">
      <c r="A25" s="1110" t="s">
        <v>941</v>
      </c>
      <c r="B25" s="115">
        <f>('Données PAMCHR'!B210*'Données gestion'!C19*(1+2/3*3.5%)+'Données PAMCHR'!B211*'Données gestion'!B20*(1+2/3*3.5%)+('Données PAMCHR'!B212+'Données PAMCHR'!B213)*'Données gestion'!C17*(1+2/3*3.5%))*6/12+('Données gestion'!$E$70*(1+'Données gestion'!C30))/2+'Equipe projet'!H42*1000</f>
        <v>1025656.5345272322</v>
      </c>
      <c r="C25" s="115">
        <f>'Données PAMCHR'!C210*'Données gestion'!D19*(1+2/3*3.5%)+'Données PAMCHR'!C211*'Données gestion'!C20*(1+2/3*3.5%)+('Données PAMCHR'!C212+'Données PAMCHR'!C213)*'Données gestion'!D17*(1+2/3*3.5%)+'Données gestion'!$E$70*(1+'Données gestion'!D30)</f>
        <v>1242572.8471022202</v>
      </c>
      <c r="D25" s="115">
        <f>'Données PAMCHR'!D210*'Données gestion'!E19*(1+2/3*3.5%)+'Données PAMCHR'!D211*'Données gestion'!D20*(1+2/3*3.5%)+('Données PAMCHR'!D212+'Données PAMCHR'!D213)*'Données gestion'!E17*(1+2/3*3.5%)+'Données gestion'!$E$70*(1+'Données gestion'!E30)</f>
        <v>1358190.4424021258</v>
      </c>
      <c r="E25" s="115">
        <f>'Données PAMCHR'!E210*'Données gestion'!F19*(1+2/3*3.5%)+'Données PAMCHR'!E211*'Données gestion'!E20*(1+2/3*3.5%)+('Données PAMCHR'!E212+'Données PAMCHR'!E213)*'Données gestion'!F17*(1+2/3*3.5%)+'Données gestion'!$E$70*(1+'Données gestion'!F30)</f>
        <v>1438603.8727453859</v>
      </c>
      <c r="F25" s="1129">
        <f>'Données PAMCHR'!F210*'Données gestion'!G19*(1+2/3*3.5%)+'Données PAMCHR'!F211*'Données gestion'!F20*(1+2/3*3.5%)+('Données PAMCHR'!F212+'Données PAMCHR'!F213)*'Données gestion'!G17*(1+2/3*3.5%)+'Données gestion'!$E$70*(1+'Données gestion'!G30)</f>
        <v>1521690.5641254156</v>
      </c>
      <c r="G25" s="115">
        <f>'Données PAMCHR'!G210*'Données gestion'!H19*(1+2/3*3.5%)+'Données PAMCHR'!G211*'Données gestion'!G20*(1+2/3*3.5%)+('Données PAMCHR'!G212+'Données PAMCHR'!G213)*'Données gestion'!H17*(1+2/3*3.5%)+'Données gestion'!$E$70*(1+'Données gestion'!H30)</f>
        <v>1552124.3754079239</v>
      </c>
      <c r="H25" s="1137">
        <f>'Données PAMCHR'!H210*'Données gestion'!I19*(1+2/3*3.5%)+'Données PAMCHR'!H211*'Données gestion'!H20*(1+2/3*3.5%)+('Données PAMCHR'!H212+'Données PAMCHR'!H213)*'Données gestion'!I17*(1+2/3*3.5%)+'Données gestion'!$E$70*(1+'Données gestion'!I30)</f>
        <v>1583166.8629160826</v>
      </c>
      <c r="I25" s="115">
        <f>'Données PAMCHR'!I210*'Données gestion'!J19*(1+2/3*3.5%)+'Données PAMCHR'!I211*'Données gestion'!I20*(1+2/3*3.5%)+('Données PAMCHR'!I212+'Données PAMCHR'!I213)*'Données gestion'!J17*(1+2/3*3.5%)+'Données gestion'!$E$70*(1+'Données gestion'!J30)</f>
        <v>1614830.2001744038</v>
      </c>
      <c r="J25" s="115">
        <f>'Données PAMCHR'!J210*'Données gestion'!K19*(1+2/3*3.5%)+'Données PAMCHR'!J211*'Données gestion'!J20*(1+2/3*3.5%)+('Données PAMCHR'!J212+'Données PAMCHR'!J213)*'Données gestion'!K17*(1+2/3*3.5%)+'Données gestion'!$E$70*(1+'Données gestion'!K30)</f>
        <v>1647126.8041778922</v>
      </c>
      <c r="K25" s="115">
        <f>'Données PAMCHR'!K210*'Données gestion'!L19*(1+2/3*3.5%)+'Données PAMCHR'!K211*'Données gestion'!K20*(1+2/3*3.5%)+('Données PAMCHR'!K212+'Données PAMCHR'!K213)*'Données gestion'!L17*(1+2/3*3.5%)+'Données gestion'!$E$70*(1+'Données gestion'!L30)</f>
        <v>1680069.3402614498</v>
      </c>
      <c r="L25" s="115">
        <f>'Données PAMCHR'!L210*'Données gestion'!M19*(1+2/3*3.5%)+'Données PAMCHR'!L211*'Données gestion'!L20*(1+2/3*3.5%)+('Données PAMCHR'!L212+'Données PAMCHR'!L213)*'Données gestion'!M17*(1+2/3*3.5%)+'Données gestion'!$E$70*(1+'Données gestion'!M30)</f>
        <v>1713670.7270666792</v>
      </c>
      <c r="M25" s="115">
        <f>'Données PAMCHR'!M210*'Données gestion'!N19*(1+2/3*3.5%)+'Données PAMCHR'!M211*'Données gestion'!M20*(1+2/3*3.5%)+('Données PAMCHR'!M212+'Données PAMCHR'!M213)*'Données gestion'!N17*(1+2/3*3.5%)+'Données gestion'!$E$70*(1+'Données gestion'!N30)</f>
        <v>1747944.1416080124</v>
      </c>
      <c r="N25" s="115">
        <f>'Données PAMCHR'!N210*'Données gestion'!O19*(1+2/3*3.5%)+'Données PAMCHR'!N211*'Données gestion'!N20*(1+2/3*3.5%)+('Données PAMCHR'!N212+'Données PAMCHR'!N213)*'Données gestion'!O17*(1+2/3*3.5%)+'Données gestion'!$E$70*(1+'Données gestion'!O30)</f>
        <v>1782903.0244401726</v>
      </c>
      <c r="O25" s="115">
        <f>'Données PAMCHR'!O210*'Données gestion'!P19*(1+2/3*3.5%)+'Données PAMCHR'!O211*'Données gestion'!O20*(1+2/3*3.5%)+('Données PAMCHR'!O212+'Données PAMCHR'!O213)*'Données gestion'!P17*(1+2/3*3.5%)+'Données gestion'!$E$70*(1+'Données gestion'!P30)</f>
        <v>1818561.0849289761</v>
      </c>
      <c r="P25" s="115">
        <f>'Données PAMCHR'!P210*'Données gestion'!Q19*(1+2/3*3.5%)+'Données PAMCHR'!P211*'Données gestion'!P20*(1+2/3*3.5%)+('Données PAMCHR'!P212+'Données PAMCHR'!P213)*'Données gestion'!Q17*(1+2/3*3.5%)+'Données gestion'!$E$70*(1+'Données gestion'!Q30)</f>
        <v>1854932.3066275558</v>
      </c>
      <c r="Q25" s="115">
        <f>'Données PAMCHR'!Q210*'Données gestion'!R19*(1+2/3*3.5%)+'Données PAMCHR'!Q211*'Données gestion'!Q20*(1+2/3*3.5%)+('Données PAMCHR'!Q212+'Données PAMCHR'!Q213)*'Données gestion'!R17*(1+2/3*3.5%)+'Données gestion'!$E$70*(1+'Données gestion'!R30)</f>
        <v>1892030.9527601067</v>
      </c>
      <c r="R25" s="115">
        <f>'Données PAMCHR'!R210*'Données gestion'!S19*(1+2/3*3.5%)+'Données PAMCHR'!R211*'Données gestion'!R20*(1+2/3*3.5%)+('Données PAMCHR'!R212+'Données PAMCHR'!R213)*'Données gestion'!S17*(1+2/3*3.5%)+'Données gestion'!$E$70*(1+'Données gestion'!S30)</f>
        <v>1929871.5718153089</v>
      </c>
      <c r="S25" s="115">
        <f>'Données PAMCHR'!S210*'Données gestion'!T19*(1+2/3*3.5%)+'Données PAMCHR'!S211*'Données gestion'!S20*(1+2/3*3.5%)+('Données PAMCHR'!S212+'Données PAMCHR'!S213)*'Données gestion'!T17*(1+2/3*3.5%)+'Données gestion'!$E$70*(1+'Données gestion'!T30)</f>
        <v>1968469.0032516152</v>
      </c>
      <c r="T25" s="115">
        <f>'Données PAMCHR'!T210*'Données gestion'!U19*(1+2/3*3.5%)+'Données PAMCHR'!T211*'Données gestion'!T20*(1+2/3*3.5%)+('Données PAMCHR'!T212+'Données PAMCHR'!T213)*'Données gestion'!U17*(1+2/3*3.5%)+'Données gestion'!$E$70*(1+'Données gestion'!U30)</f>
        <v>2007838.3833166473</v>
      </c>
      <c r="U25" s="115">
        <f>'Données PAMCHR'!U210*'Données gestion'!V19*(1+2/3*3.5%)+'Données PAMCHR'!U211*'Données gestion'!U20*(1+2/3*3.5%)+('Données PAMCHR'!U212+'Données PAMCHR'!U213)*'Données gestion'!V17*(1+2/3*3.5%)+'Données gestion'!$E$70*(1+'Données gestion'!V30)</f>
        <v>2047995.1509829799</v>
      </c>
      <c r="V25" s="115">
        <f>'Données PAMCHR'!V210*'Données gestion'!W19*(1+2/3*3.5%)+'Données PAMCHR'!V211*'Données gestion'!V20*(1+2/3*3.5%)+('Données PAMCHR'!V212+'Données PAMCHR'!V213)*'Données gestion'!W17*(1+2/3*3.5%)+'Données gestion'!$E$70*(1+'Données gestion'!W30)</f>
        <v>2088955.0540026401</v>
      </c>
      <c r="W25" t="s">
        <v>743</v>
      </c>
    </row>
    <row r="26" spans="1:25" ht="21" customHeight="1" x14ac:dyDescent="0.2">
      <c r="A26" s="854" t="s">
        <v>952</v>
      </c>
      <c r="B26" s="96">
        <f>'Données gestion'!D61+'Equipe projet'!H41*1000</f>
        <v>719820.07144123781</v>
      </c>
      <c r="C26" s="96">
        <f>'Données gestion'!E61</f>
        <v>707041.69007239619</v>
      </c>
      <c r="D26" s="96">
        <f>'Données gestion'!F61</f>
        <v>823197.92001361563</v>
      </c>
      <c r="E26" s="96">
        <f>'Données gestion'!G61</f>
        <v>887791.44160298945</v>
      </c>
      <c r="F26" s="1119">
        <f>'Données gestion'!H61</f>
        <v>611178.23404114996</v>
      </c>
      <c r="G26" s="96">
        <f>'Données gestion'!I61</f>
        <v>532094.67802972696</v>
      </c>
      <c r="H26" s="442">
        <f>'Données gestion'!J61</f>
        <v>540719.24922435021</v>
      </c>
      <c r="I26" s="96">
        <f>'Données gestion'!K61</f>
        <v>549260.66082131374</v>
      </c>
      <c r="J26" s="96">
        <f>'Données gestion'!L61</f>
        <v>557502.79513088416</v>
      </c>
      <c r="K26" s="96">
        <f>'Données gestion'!M61</f>
        <v>566331.8557776938</v>
      </c>
      <c r="L26" s="96">
        <f>'Données gestion'!N61</f>
        <v>574795.4983912668</v>
      </c>
      <c r="M26" s="96">
        <f>'Données gestion'!O61</f>
        <v>583428.41385711113</v>
      </c>
      <c r="N26" s="96">
        <f>'Données gestion'!P61</f>
        <v>592233.98763227253</v>
      </c>
      <c r="O26" s="96">
        <f>'Données gestion'!Q61</f>
        <v>601215.67288293713</v>
      </c>
      <c r="P26" s="96">
        <f>'Données gestion'!R61</f>
        <v>610376.99183861492</v>
      </c>
      <c r="Q26" s="96">
        <f>'Données gestion'!S61</f>
        <v>619721.53717340634</v>
      </c>
      <c r="R26" s="96">
        <f>'Données gestion'!T61</f>
        <v>629252.97341489349</v>
      </c>
      <c r="S26" s="96">
        <f>'Données gestion'!U61</f>
        <v>638975.03838121053</v>
      </c>
      <c r="T26" s="96">
        <f>'Données gestion'!V61</f>
        <v>648891.54464685393</v>
      </c>
      <c r="U26" s="96">
        <f>'Données gestion'!W61</f>
        <v>659006.38103781</v>
      </c>
      <c r="V26" s="96">
        <f>'Données gestion'!X61</f>
        <v>669323.51415658544</v>
      </c>
    </row>
    <row r="27" spans="1:25" ht="21" customHeight="1" x14ac:dyDescent="0.2">
      <c r="A27" s="854" t="s">
        <v>942</v>
      </c>
      <c r="B27" s="96">
        <v>0</v>
      </c>
      <c r="C27" s="96">
        <f>'Données Investissement'!D73+'Données Investissement'!E65</f>
        <v>3632333.3333333335</v>
      </c>
      <c r="D27" s="96">
        <f>'Données Investissement'!E73+'Données Investissement'!F65</f>
        <v>3632333.3333333335</v>
      </c>
      <c r="E27" s="96">
        <f>'Données Investissement'!F73+'Données Investissement'!G65</f>
        <v>3762333.3333333335</v>
      </c>
      <c r="F27" s="1119">
        <f>'Données Investissement'!G73+'Données Investissement'!H65</f>
        <v>3787333.3333333335</v>
      </c>
      <c r="G27" s="96">
        <f>'Données Investissement'!H73+'Données Investissement'!I65</f>
        <v>3462333.333333333</v>
      </c>
      <c r="H27" s="442">
        <f>'Données Investissement'!I73+'Données Investissement'!J65</f>
        <v>3289333.3333333335</v>
      </c>
      <c r="I27" s="96">
        <f>'Données Investissement'!J73+'Données Investissement'!K65</f>
        <v>3306000</v>
      </c>
      <c r="J27" s="96">
        <f>'Données Investissement'!K73+'Données Investissement'!L65</f>
        <v>3322666.666666667</v>
      </c>
      <c r="K27" s="96">
        <f>'Données Investissement'!L73+'Données Investissement'!M65</f>
        <v>3339333.3333333335</v>
      </c>
      <c r="L27" s="96">
        <f>'Données Investissement'!M73+'Données Investissement'!N65</f>
        <v>3356000</v>
      </c>
      <c r="M27" s="96">
        <f>'Données Investissement'!N73+'Données Investissement'!O65</f>
        <v>2448666.6666666665</v>
      </c>
      <c r="N27" s="96">
        <f>'Données Investissement'!O73+'Données Investissement'!P65</f>
        <v>2531999.9999999995</v>
      </c>
      <c r="O27" s="96">
        <f>'Données Investissement'!P73+'Données Investissement'!Q65</f>
        <v>2548666.6666666665</v>
      </c>
      <c r="P27" s="96">
        <f>'Données Investissement'!Q73+'Données Investissement'!R65</f>
        <v>2565333.333333333</v>
      </c>
      <c r="Q27" s="96">
        <f>'Données Investissement'!R73+'Données Investissement'!S65</f>
        <v>2581999.9999999995</v>
      </c>
      <c r="R27" s="96">
        <f>'Données Investissement'!S73+'Données Investissement'!T65</f>
        <v>2418333.3333333335</v>
      </c>
      <c r="S27" s="96">
        <f>'Données Investissement'!T73+'Données Investissement'!U65</f>
        <v>2410000</v>
      </c>
      <c r="T27" s="96">
        <f>'Données Investissement'!U73+'Données Investissement'!V65</f>
        <v>2468333.3333333335</v>
      </c>
      <c r="U27" s="96">
        <f>'Données Investissement'!V73+'Données Investissement'!W65</f>
        <v>2468333.3333333335</v>
      </c>
      <c r="V27" s="96">
        <f>'Données Investissement'!W73+'Données Investissement'!X65</f>
        <v>2468333.3333333335</v>
      </c>
    </row>
    <row r="28" spans="1:25" ht="21" customHeight="1" x14ac:dyDescent="0.2">
      <c r="A28" s="854" t="s">
        <v>307</v>
      </c>
      <c r="B28" s="96">
        <f>'Données gestion'!D86</f>
        <v>200000</v>
      </c>
      <c r="C28" s="96">
        <f>'Données gestion'!E86</f>
        <v>200000</v>
      </c>
      <c r="D28" s="96">
        <f>'Données gestion'!F86</f>
        <v>200000</v>
      </c>
      <c r="E28" s="96">
        <f>'Données gestion'!G86</f>
        <v>200000</v>
      </c>
      <c r="F28" s="96">
        <f>'Données gestion'!H86</f>
        <v>200000</v>
      </c>
      <c r="G28" s="96">
        <f>'Données gestion'!I86</f>
        <v>200000</v>
      </c>
      <c r="H28" s="96">
        <f>'Données gestion'!J86</f>
        <v>200000</v>
      </c>
      <c r="I28" s="96">
        <f>'Données gestion'!K86</f>
        <v>200000</v>
      </c>
      <c r="J28" s="96">
        <f>'Données gestion'!L86</f>
        <v>200000</v>
      </c>
      <c r="K28" s="96">
        <f>'Données gestion'!M86</f>
        <v>200000</v>
      </c>
      <c r="L28" s="96">
        <f>'Données gestion'!N86</f>
        <v>200000</v>
      </c>
      <c r="M28" s="96">
        <f>'Données gestion'!O86</f>
        <v>200000</v>
      </c>
      <c r="N28" s="96">
        <f>'Données gestion'!P86</f>
        <v>200000</v>
      </c>
      <c r="O28" s="96">
        <f>'Données gestion'!Q86</f>
        <v>200000</v>
      </c>
      <c r="P28" s="96">
        <f>'Données gestion'!R86</f>
        <v>200000</v>
      </c>
      <c r="Q28" s="96">
        <f>'Données gestion'!S86</f>
        <v>200000</v>
      </c>
      <c r="R28" s="96">
        <f>'Données gestion'!T86</f>
        <v>200000</v>
      </c>
      <c r="S28" s="96">
        <f>'Données gestion'!U86</f>
        <v>200000</v>
      </c>
      <c r="T28" s="96">
        <f>'Données gestion'!V86</f>
        <v>200000</v>
      </c>
      <c r="U28" s="96">
        <f>'Données gestion'!W86</f>
        <v>200000</v>
      </c>
      <c r="V28" s="96">
        <f>'Données gestion'!X86</f>
        <v>200000</v>
      </c>
    </row>
    <row r="29" spans="1:25" ht="21" customHeight="1" x14ac:dyDescent="0.2">
      <c r="A29" s="1112" t="s">
        <v>241</v>
      </c>
      <c r="B29" s="96">
        <f>SUM(B25:B27)+B28</f>
        <v>1945476.60596847</v>
      </c>
      <c r="C29" s="96">
        <f>SUM(C25:C27)+C28</f>
        <v>5781947.87050795</v>
      </c>
      <c r="D29" s="96">
        <f>SUM(D25:D27)+D28</f>
        <v>6013721.6957490742</v>
      </c>
      <c r="E29" s="96">
        <f>SUM(E25:E27)+E28</f>
        <v>6288728.6476817094</v>
      </c>
      <c r="F29" s="1119">
        <f t="shared" ref="F29:V29" si="10">SUM(F25:F27)+F28</f>
        <v>6120202.1314998996</v>
      </c>
      <c r="G29" s="96">
        <f t="shared" si="10"/>
        <v>5746552.3867709842</v>
      </c>
      <c r="H29" s="442">
        <f t="shared" si="10"/>
        <v>5613219.445473766</v>
      </c>
      <c r="I29" s="96">
        <f t="shared" si="10"/>
        <v>5670090.8609957173</v>
      </c>
      <c r="J29" s="96">
        <f t="shared" si="10"/>
        <v>5727296.2659754436</v>
      </c>
      <c r="K29" s="96">
        <f t="shared" si="10"/>
        <v>5785734.529372477</v>
      </c>
      <c r="L29" s="96">
        <f t="shared" si="10"/>
        <v>5844466.2254579458</v>
      </c>
      <c r="M29" s="96">
        <f t="shared" si="10"/>
        <v>4980039.2221317906</v>
      </c>
      <c r="N29" s="96">
        <f t="shared" si="10"/>
        <v>5107137.012072444</v>
      </c>
      <c r="O29" s="96">
        <f t="shared" si="10"/>
        <v>5168443.4244785793</v>
      </c>
      <c r="P29" s="96">
        <f t="shared" si="10"/>
        <v>5230642.6317995042</v>
      </c>
      <c r="Q29" s="96">
        <f t="shared" si="10"/>
        <v>5293752.4899335131</v>
      </c>
      <c r="R29" s="96">
        <f t="shared" si="10"/>
        <v>5177457.8785635363</v>
      </c>
      <c r="S29" s="96">
        <f t="shared" si="10"/>
        <v>5217444.0416328255</v>
      </c>
      <c r="T29" s="96">
        <f t="shared" si="10"/>
        <v>5325063.2612968348</v>
      </c>
      <c r="U29" s="96">
        <f t="shared" si="10"/>
        <v>5375334.8653541235</v>
      </c>
      <c r="V29" s="96">
        <f t="shared" si="10"/>
        <v>5426611.9014925584</v>
      </c>
    </row>
    <row r="30" spans="1:25" ht="21" customHeight="1" x14ac:dyDescent="0.2">
      <c r="A30" s="1108" t="s">
        <v>221</v>
      </c>
      <c r="B30" s="6">
        <f t="shared" ref="B30:V30" si="11">B23-B29</f>
        <v>-1938636.4306869388</v>
      </c>
      <c r="C30" s="6">
        <f t="shared" si="11"/>
        <v>-915572.96159276366</v>
      </c>
      <c r="D30" s="6">
        <f t="shared" si="11"/>
        <v>1783524.9810612621</v>
      </c>
      <c r="E30" s="6">
        <f t="shared" si="11"/>
        <v>6328614.0759227425</v>
      </c>
      <c r="F30" s="1115">
        <f t="shared" si="11"/>
        <v>11084199.641344303</v>
      </c>
      <c r="G30" s="6">
        <f t="shared" si="11"/>
        <v>16443048.225074491</v>
      </c>
      <c r="H30" s="1116">
        <f t="shared" si="11"/>
        <v>17086053.629964851</v>
      </c>
      <c r="I30" s="6">
        <f t="shared" si="11"/>
        <v>17303717.630214848</v>
      </c>
      <c r="J30" s="6">
        <f t="shared" si="11"/>
        <v>17002697.067416221</v>
      </c>
      <c r="K30" s="6">
        <f t="shared" si="11"/>
        <v>16859600.332696613</v>
      </c>
      <c r="L30" s="6">
        <f t="shared" si="11"/>
        <v>16548842.760037882</v>
      </c>
      <c r="M30" s="6">
        <f t="shared" si="11"/>
        <v>17155045.859715343</v>
      </c>
      <c r="N30" s="6">
        <f t="shared" si="11"/>
        <v>16763356.264080152</v>
      </c>
      <c r="O30" s="6">
        <f t="shared" si="11"/>
        <v>16380646.620451916</v>
      </c>
      <c r="P30" s="6">
        <f t="shared" si="11"/>
        <v>16039584.727731168</v>
      </c>
      <c r="Q30" s="6">
        <f t="shared" si="11"/>
        <v>15638384.530204929</v>
      </c>
      <c r="R30" s="6">
        <f t="shared" si="11"/>
        <v>15460723.071181597</v>
      </c>
      <c r="S30" s="6">
        <f t="shared" si="11"/>
        <v>15065031.483212909</v>
      </c>
      <c r="T30" s="6">
        <f t="shared" si="11"/>
        <v>14591990.446111783</v>
      </c>
      <c r="U30" s="6">
        <f t="shared" si="11"/>
        <v>14222917.080274396</v>
      </c>
      <c r="V30" s="6">
        <f t="shared" si="11"/>
        <v>13787087.048801769</v>
      </c>
      <c r="W30" s="342">
        <f>SUM(C30:G30)</f>
        <v>34723813.961810037</v>
      </c>
      <c r="X30" s="333">
        <f>AVERAGE(C30:G30)</f>
        <v>6944762.7923620073</v>
      </c>
      <c r="Y30" s="333">
        <f>AVERAGE(B30:V30)</f>
        <v>12985278.861105692</v>
      </c>
    </row>
    <row r="31" spans="1:25" ht="21" customHeight="1" thickBot="1" x14ac:dyDescent="0.25">
      <c r="A31" s="1113" t="s">
        <v>210</v>
      </c>
      <c r="B31" s="1114">
        <f t="shared" ref="B31:V31" si="12">B30/B7</f>
        <v>-1.1741467155241847</v>
      </c>
      <c r="C31" s="1114">
        <f t="shared" si="12"/>
        <v>-5.6648381518819263E-2</v>
      </c>
      <c r="D31" s="1114">
        <f t="shared" si="12"/>
        <v>7.0647927629134771E-2</v>
      </c>
      <c r="E31" s="1114">
        <f t="shared" si="12"/>
        <v>0.16327214506863127</v>
      </c>
      <c r="F31" s="1130">
        <f t="shared" si="12"/>
        <v>0.22769181171768321</v>
      </c>
      <c r="G31" s="1114">
        <f t="shared" si="12"/>
        <v>0.28866506748447068</v>
      </c>
      <c r="H31" s="1138">
        <f t="shared" si="12"/>
        <v>0.29732561612292957</v>
      </c>
      <c r="I31" s="1114">
        <f t="shared" si="12"/>
        <v>0.29927128955390903</v>
      </c>
      <c r="J31" s="1114">
        <f t="shared" si="12"/>
        <v>0.29372488650233819</v>
      </c>
      <c r="K31" s="1114">
        <f t="shared" si="12"/>
        <v>0.28959141321815024</v>
      </c>
      <c r="L31" s="1114">
        <f t="shared" si="12"/>
        <v>0.28425363991044278</v>
      </c>
      <c r="M31" s="1114">
        <f t="shared" si="12"/>
        <v>0.29466617691420344</v>
      </c>
      <c r="N31" s="1114">
        <f t="shared" si="12"/>
        <v>0.28793826277006679</v>
      </c>
      <c r="O31" s="1114">
        <f t="shared" si="12"/>
        <v>0.28136459409681958</v>
      </c>
      <c r="P31" s="1114">
        <f t="shared" si="12"/>
        <v>0.27550629416332045</v>
      </c>
      <c r="Q31" s="1114">
        <f t="shared" si="12"/>
        <v>0.26861501976224805</v>
      </c>
      <c r="R31" s="1114">
        <f t="shared" si="12"/>
        <v>0.26556339149243741</v>
      </c>
      <c r="S31" s="1114">
        <f t="shared" si="12"/>
        <v>0.25876673653637899</v>
      </c>
      <c r="T31" s="1114">
        <f t="shared" si="12"/>
        <v>0.2506414773522318</v>
      </c>
      <c r="U31" s="1114">
        <f t="shared" si="12"/>
        <v>0.24430203421687172</v>
      </c>
      <c r="V31" s="1114">
        <f t="shared" si="12"/>
        <v>0.23681593536242265</v>
      </c>
      <c r="W31" s="403">
        <v>35343393.936848603</v>
      </c>
    </row>
    <row r="32" spans="1:25" ht="21" customHeight="1" x14ac:dyDescent="0.2">
      <c r="A32" s="1104"/>
      <c r="B32" s="1105"/>
      <c r="C32" s="1105"/>
      <c r="D32" s="1105"/>
      <c r="E32" s="1105"/>
      <c r="F32" s="1105"/>
      <c r="G32" s="1214">
        <f>G23/4034</f>
        <v>5500.6446732388385</v>
      </c>
      <c r="H32" s="1105"/>
      <c r="I32" s="1105"/>
      <c r="J32" s="1105"/>
      <c r="K32" s="1105"/>
      <c r="L32" s="1105"/>
      <c r="M32" s="1105"/>
      <c r="N32" s="1105"/>
      <c r="O32" s="1105"/>
      <c r="P32" s="1105"/>
      <c r="Q32" s="1105"/>
      <c r="R32" s="1105"/>
      <c r="S32" s="1105"/>
      <c r="T32" s="1105"/>
      <c r="U32" s="1105"/>
      <c r="V32" s="1105"/>
      <c r="W32" s="403"/>
    </row>
    <row r="33" spans="1:25" ht="21" customHeight="1" x14ac:dyDescent="0.2">
      <c r="A33" s="1140" t="s">
        <v>508</v>
      </c>
      <c r="B33" s="1139"/>
      <c r="C33" s="1139">
        <f>Subventions!$C$27*1000/10</f>
        <v>253700</v>
      </c>
      <c r="D33" s="1139">
        <f>Subventions!$C$27*1000/10</f>
        <v>253700</v>
      </c>
      <c r="E33" s="1139">
        <f>Subventions!$C$27*1000/10</f>
        <v>253700</v>
      </c>
      <c r="F33" s="1139">
        <f t="shared" ref="F33:L33" si="13">E33</f>
        <v>253700</v>
      </c>
      <c r="G33" s="1139">
        <f t="shared" si="13"/>
        <v>253700</v>
      </c>
      <c r="H33" s="1139">
        <f t="shared" si="13"/>
        <v>253700</v>
      </c>
      <c r="I33" s="1139">
        <f t="shared" si="13"/>
        <v>253700</v>
      </c>
      <c r="J33" s="1139">
        <f t="shared" si="13"/>
        <v>253700</v>
      </c>
      <c r="K33" s="1139">
        <f t="shared" si="13"/>
        <v>253700</v>
      </c>
      <c r="L33" s="1139">
        <f t="shared" si="13"/>
        <v>253700</v>
      </c>
      <c r="M33" s="1139"/>
      <c r="N33" s="1139"/>
      <c r="O33" s="1139"/>
      <c r="P33" s="1139"/>
      <c r="Q33" s="1139"/>
      <c r="R33" s="1139"/>
      <c r="S33" s="1139"/>
      <c r="T33" s="1139"/>
      <c r="U33" s="1139"/>
      <c r="V33" s="1139"/>
      <c r="W33" s="403"/>
    </row>
    <row r="34" spans="1:25" ht="21" customHeight="1" x14ac:dyDescent="0.2">
      <c r="A34" s="1104"/>
      <c r="B34" s="1105"/>
      <c r="C34" s="1105"/>
      <c r="D34" s="1105"/>
      <c r="E34" s="1105"/>
      <c r="F34" s="1105"/>
      <c r="G34" s="1105"/>
      <c r="H34" s="1105"/>
      <c r="I34" s="1105"/>
      <c r="J34" s="1105"/>
      <c r="K34" s="1105"/>
      <c r="L34" s="1105"/>
      <c r="M34" s="1105"/>
      <c r="N34" s="1105"/>
      <c r="O34" s="1105"/>
      <c r="P34" s="1105"/>
      <c r="Q34" s="1105"/>
      <c r="R34" s="1105"/>
      <c r="S34" s="1105"/>
      <c r="T34" s="1105"/>
      <c r="U34" s="1105"/>
      <c r="V34" s="1105"/>
      <c r="W34" s="403"/>
    </row>
    <row r="35" spans="1:25" ht="13.5" thickBot="1" x14ac:dyDescent="0.25">
      <c r="B35" s="119"/>
      <c r="C35" s="119"/>
      <c r="D35" s="119"/>
      <c r="E35" s="119"/>
      <c r="F35" s="119"/>
      <c r="G35" s="119"/>
      <c r="H35" s="119"/>
      <c r="I35" s="119"/>
      <c r="J35" s="119"/>
      <c r="K35" s="119"/>
      <c r="L35" s="119"/>
      <c r="M35" s="119"/>
      <c r="N35" s="119"/>
      <c r="O35" s="119"/>
      <c r="P35" s="119"/>
      <c r="Q35" s="119"/>
      <c r="R35" s="119"/>
      <c r="S35" s="119"/>
      <c r="T35" s="119"/>
      <c r="U35" s="119"/>
      <c r="V35" s="119"/>
      <c r="W35" s="178">
        <v>13485178</v>
      </c>
      <c r="X35" s="178">
        <v>14415221.07876065</v>
      </c>
    </row>
    <row r="36" spans="1:25" ht="21" customHeight="1" thickTop="1" x14ac:dyDescent="0.2">
      <c r="A36" s="1" t="s">
        <v>338</v>
      </c>
      <c r="B36" s="186">
        <f t="shared" ref="B36:V36" si="14">B22/B8/1000</f>
        <v>7.8746754508324956</v>
      </c>
      <c r="C36" s="186">
        <f t="shared" si="14"/>
        <v>3.2699860702788</v>
      </c>
      <c r="D36" s="186">
        <f t="shared" si="14"/>
        <v>2.7671415305206182</v>
      </c>
      <c r="E36" s="186">
        <f t="shared" si="14"/>
        <v>2.4311980696124023</v>
      </c>
      <c r="F36" s="186">
        <f t="shared" si="14"/>
        <v>2.3262515663493568</v>
      </c>
      <c r="G36" s="186">
        <f t="shared" si="14"/>
        <v>2.1973615931636816</v>
      </c>
      <c r="H36" s="186">
        <f t="shared" si="14"/>
        <v>2.2029368271434118</v>
      </c>
      <c r="I36" s="186">
        <f t="shared" si="14"/>
        <v>2.2448269164251764</v>
      </c>
      <c r="J36" s="186">
        <f t="shared" si="14"/>
        <v>2.2889591759211902</v>
      </c>
      <c r="K36" s="186">
        <f t="shared" si="14"/>
        <v>2.3469930015944325</v>
      </c>
      <c r="L36" s="186">
        <f t="shared" si="14"/>
        <v>2.3530376656169021</v>
      </c>
      <c r="M36" s="186">
        <f t="shared" si="14"/>
        <v>2.3589683661737371</v>
      </c>
      <c r="N36" s="186">
        <f t="shared" si="14"/>
        <v>2.3647781268607022</v>
      </c>
      <c r="O36" s="186">
        <f t="shared" si="14"/>
        <v>2.3829213306927421</v>
      </c>
      <c r="P36" s="186">
        <f t="shared" si="14"/>
        <v>2.3887165738536615</v>
      </c>
      <c r="Q36" s="186">
        <f t="shared" si="14"/>
        <v>2.4073385466255601</v>
      </c>
      <c r="R36" s="186">
        <f t="shared" si="14"/>
        <v>2.4131086167853257</v>
      </c>
      <c r="S36" s="186">
        <f t="shared" si="14"/>
        <v>2.4322184304158587</v>
      </c>
      <c r="T36" s="186">
        <f t="shared" si="14"/>
        <v>2.4517104403190015</v>
      </c>
      <c r="U36" s="186">
        <f t="shared" si="14"/>
        <v>2.4575585128233643</v>
      </c>
      <c r="V36" s="189">
        <f t="shared" si="14"/>
        <v>2.4775573243746569</v>
      </c>
    </row>
    <row r="37" spans="1:25" ht="21" customHeight="1" x14ac:dyDescent="0.2">
      <c r="A37" s="3" t="s">
        <v>339</v>
      </c>
      <c r="B37" s="188">
        <f t="shared" ref="B37:V37" si="15">(B22+B29)/B8/1000</f>
        <v>23.534697160069484</v>
      </c>
      <c r="C37" s="188">
        <f t="shared" si="15"/>
        <v>8.2150220682472419</v>
      </c>
      <c r="D37" s="188">
        <f t="shared" si="15"/>
        <v>6.085374799827588</v>
      </c>
      <c r="E37" s="188">
        <f t="shared" si="15"/>
        <v>4.6722240929576486</v>
      </c>
      <c r="F37" s="188">
        <f t="shared" si="15"/>
        <v>4.0710280403516741</v>
      </c>
      <c r="G37" s="188">
        <f t="shared" si="15"/>
        <v>3.6219308270648645</v>
      </c>
      <c r="H37" s="188">
        <f t="shared" si="15"/>
        <v>3.5944528504839757</v>
      </c>
      <c r="I37" s="188">
        <f t="shared" si="15"/>
        <v>3.6504413527598496</v>
      </c>
      <c r="J37" s="188">
        <f t="shared" si="15"/>
        <v>3.7087548211724615</v>
      </c>
      <c r="K37" s="188">
        <f t="shared" si="15"/>
        <v>3.7812754811273632</v>
      </c>
      <c r="L37" s="188">
        <f t="shared" si="15"/>
        <v>3.8018797213386453</v>
      </c>
      <c r="M37" s="188">
        <f t="shared" si="15"/>
        <v>3.5935191336568666</v>
      </c>
      <c r="N37" s="188">
        <f t="shared" si="15"/>
        <v>3.630836412079701</v>
      </c>
      <c r="O37" s="188">
        <f t="shared" si="15"/>
        <v>3.6641774637823512</v>
      </c>
      <c r="P37" s="188">
        <f t="shared" si="15"/>
        <v>3.6853918785019277</v>
      </c>
      <c r="Q37" s="188">
        <f t="shared" si="15"/>
        <v>3.7196587729942898</v>
      </c>
      <c r="R37" s="188">
        <f t="shared" si="15"/>
        <v>3.6965994313126971</v>
      </c>
      <c r="S37" s="188">
        <f t="shared" si="15"/>
        <v>3.725621807094651</v>
      </c>
      <c r="T37" s="188">
        <f t="shared" si="15"/>
        <v>3.7717926009000746</v>
      </c>
      <c r="U37" s="188">
        <f t="shared" si="15"/>
        <v>3.7901029944029792</v>
      </c>
      <c r="V37" s="190">
        <f t="shared" si="15"/>
        <v>3.8228133733727847</v>
      </c>
    </row>
    <row r="38" spans="1:25" ht="21" customHeight="1" thickBot="1" x14ac:dyDescent="0.25">
      <c r="A38" s="7" t="s">
        <v>638</v>
      </c>
      <c r="B38" s="187">
        <f t="shared" ref="B38:V38" si="16">(B10+B22+B29)/B8/1000</f>
        <v>28.895432335829792</v>
      </c>
      <c r="C38" s="187">
        <f t="shared" si="16"/>
        <v>14.60599777857411</v>
      </c>
      <c r="D38" s="187">
        <f t="shared" si="16"/>
        <v>12.945643078548789</v>
      </c>
      <c r="E38" s="187">
        <f t="shared" si="16"/>
        <v>11.557523502600903</v>
      </c>
      <c r="F38" s="187">
        <f t="shared" si="16"/>
        <v>10.718193591877109</v>
      </c>
      <c r="G38" s="187">
        <f t="shared" si="16"/>
        <v>10.044733676639311</v>
      </c>
      <c r="H38" s="187">
        <f t="shared" si="16"/>
        <v>10.010130741624065</v>
      </c>
      <c r="I38" s="187">
        <f t="shared" si="16"/>
        <v>10.043855754418198</v>
      </c>
      <c r="J38" s="187">
        <f t="shared" si="16"/>
        <v>10.135079664003422</v>
      </c>
      <c r="K38" s="187">
        <f t="shared" si="16"/>
        <v>10.252882673155177</v>
      </c>
      <c r="L38" s="187">
        <f t="shared" si="16"/>
        <v>10.329919415782038</v>
      </c>
      <c r="M38" s="187">
        <f t="shared" si="16"/>
        <v>10.179641783704049</v>
      </c>
      <c r="N38" s="187">
        <f t="shared" si="16"/>
        <v>10.276741559295697</v>
      </c>
      <c r="O38" s="187">
        <f t="shared" si="16"/>
        <v>10.371615206508093</v>
      </c>
      <c r="P38" s="187">
        <f t="shared" si="16"/>
        <v>10.456164384262843</v>
      </c>
      <c r="Q38" s="187">
        <f t="shared" si="16"/>
        <v>10.555621836238167</v>
      </c>
      <c r="R38" s="187">
        <f t="shared" si="16"/>
        <v>10.599664077836325</v>
      </c>
      <c r="S38" s="187">
        <f t="shared" si="16"/>
        <v>10.697755946559449</v>
      </c>
      <c r="T38" s="187">
        <f t="shared" si="16"/>
        <v>10.815022728878931</v>
      </c>
      <c r="U38" s="187">
        <f t="shared" si="16"/>
        <v>10.906515945443816</v>
      </c>
      <c r="V38" s="191">
        <f t="shared" si="16"/>
        <v>11.01455812660889</v>
      </c>
    </row>
    <row r="39" spans="1:25" ht="13.5" thickTop="1" x14ac:dyDescent="0.2">
      <c r="B39" s="119"/>
      <c r="C39" s="119"/>
      <c r="D39" s="119"/>
      <c r="E39" s="119"/>
      <c r="F39" s="119"/>
      <c r="G39" s="119"/>
      <c r="H39" s="119"/>
      <c r="I39" s="119"/>
      <c r="J39" s="119"/>
      <c r="K39" s="119"/>
    </row>
    <row r="40" spans="1:25" ht="13.5" thickBot="1" x14ac:dyDescent="0.25">
      <c r="B40" s="119"/>
      <c r="C40" s="119"/>
      <c r="D40" s="119"/>
      <c r="E40" s="119"/>
      <c r="F40" s="119"/>
      <c r="G40" s="119"/>
      <c r="H40" s="119"/>
      <c r="I40" s="119"/>
      <c r="J40" s="119"/>
      <c r="K40" s="119"/>
    </row>
    <row r="41" spans="1:25" ht="21" customHeight="1" thickTop="1" x14ac:dyDescent="0.2">
      <c r="A41" s="1" t="s">
        <v>218</v>
      </c>
      <c r="B41" s="115">
        <f>((B10-'Données PAMCHR'!F169-'Données PAMCHR'!F176))/52*'Données Flux et BFR'!$I$67+('Données PAMCHR'!F169+'Données PAMCHR'!F176)*'Données Flux et BFR'!$I$69/52+(B22+B29)*50%/52*'Données Flux et BFR'!$I$70</f>
        <v>288951.38511211035</v>
      </c>
      <c r="C41" s="115">
        <f>((C10-'Données PAMCHR'!G169-'Données PAMCHR'!G176))/52*'Données Flux et BFR'!$I$67+('Données PAMCHR'!G169+'Données PAMCHR'!G176)*'Données Flux et BFR'!$I$69/52+(C22+C29)*50%/52*'Données Flux et BFR'!$I$70</f>
        <v>1763928.999037636</v>
      </c>
      <c r="D41" s="115">
        <f>((D10-'Données PAMCHR'!H169-'Données PAMCHR'!H176))/52*'Données Flux et BFR'!$I$67+('Données PAMCHR'!H169+'Données PAMCHR'!H176)*'Données Flux et BFR'!$I$69/52+(D22+D29)*50%/52*'Données Flux et BFR'!$I$70</f>
        <v>2627842.6304144384</v>
      </c>
      <c r="E41" s="115">
        <f>((E10-'Données PAMCHR'!I169-'Données PAMCHR'!I176))/52*'Données Flux et BFR'!$I$67+('Données PAMCHR'!I169+'Données PAMCHR'!I176)*'Données Flux et BFR'!$I$69/52+(E22+E29)*50%/52*'Données Flux et BFR'!$I$70</f>
        <v>3828448.6489721565</v>
      </c>
      <c r="F41" s="115">
        <f>((F10-'Données PAMCHR'!J169-'Données PAMCHR'!J176))/52*'Données Flux et BFR'!$I$67+('Données PAMCHR'!J169+'Données PAMCHR'!J176)*'Données Flux et BFR'!$I$69/52+(F22+F29)*50%/52*'Données Flux et BFR'!$I$70</f>
        <v>4514722.2605032269</v>
      </c>
      <c r="G41" s="115">
        <f>((G10-'Données PAMCHR'!K169-'Données PAMCHR'!K176))/52*'Données Flux et BFR'!$I$67+('Données PAMCHR'!K169+'Données PAMCHR'!K176)*'Données Flux et BFR'!$I$69/52+(G22+G29)*50%/52*'Données Flux et BFR'!$I$70</f>
        <v>4918475.7949057501</v>
      </c>
      <c r="H41" s="115">
        <f>((H10-'Données PAMCHR'!L169-'Données PAMCHR'!L176))/52*'Données Flux et BFR'!$I$67+('Données PAMCHR'!L169+'Données PAMCHR'!L176)*'Données Flux et BFR'!$I$69/52+(H22+H29)*50%/52*'Données Flux et BFR'!$I$70</f>
        <v>4906110.4508312363</v>
      </c>
      <c r="I41" s="115">
        <f>((I10-'Données PAMCHR'!M169-'Données PAMCHR'!M176))/52*'Données Flux et BFR'!$I$67+('Données PAMCHR'!M169+'Données PAMCHR'!M176)*'Données Flux et BFR'!$I$69/52+(I22+I29)*50%/52*'Données Flux et BFR'!$I$70</f>
        <v>4905782.4840625925</v>
      </c>
      <c r="J41" s="115">
        <f>((J10-'Données PAMCHR'!N169-'Données PAMCHR'!N176))/52*'Données Flux et BFR'!$I$67+('Données PAMCHR'!N169+'Données PAMCHR'!N176)*'Données Flux et BFR'!$I$69/52+(J22+J29)*50%/52*'Données Flux et BFR'!$I$70</f>
        <v>4944666.3218353512</v>
      </c>
      <c r="K41" s="115">
        <f>((K10-'Données PAMCHR'!O169-'Données PAMCHR'!O176))/52*'Données Flux et BFR'!$I$67+('Données PAMCHR'!O169+'Données PAMCHR'!O176)*'Données Flux et BFR'!$I$69/52+(K22+K29)*50%/52*'Données Flux et BFR'!$I$70</f>
        <v>4995357.730545938</v>
      </c>
      <c r="L41" s="115">
        <f>((L10-'Données PAMCHR'!P169-'Données PAMCHR'!P176))/52*'Données Flux et BFR'!$I$67+('Données PAMCHR'!P169+'Données PAMCHR'!P176)*'Données Flux et BFR'!$I$69/52+(L22+L29)*50%/52*'Données Flux et BFR'!$I$70</f>
        <v>5040351.6650939602</v>
      </c>
      <c r="M41" s="115">
        <f>((M10-'Données PAMCHR'!Q169-'Données PAMCHR'!Q176))/52*'Données Flux et BFR'!$I$67+('Données PAMCHR'!Q169+'Données PAMCHR'!Q176)*'Données Flux et BFR'!$I$69/52+(M22+M29)*50%/52*'Données Flux et BFR'!$I$70</f>
        <v>5024331.2771957181</v>
      </c>
      <c r="N41" s="115">
        <f>((N10-'Données PAMCHR'!R169-'Données PAMCHR'!R176))/52*'Données Flux et BFR'!$I$67+('Données PAMCHR'!R169+'Données PAMCHR'!R176)*'Données Flux et BFR'!$I$69/52+(N22+N29)*50%/52*'Données Flux et BFR'!$I$70</f>
        <v>5076201.872241254</v>
      </c>
      <c r="O41" s="115">
        <f>((O10-'Données PAMCHR'!S169-'Données PAMCHR'!S176))/52*'Données Flux et BFR'!$I$67+('Données PAMCHR'!S169+'Données PAMCHR'!S176)*'Données Flux et BFR'!$I$69/52+(O22+O29)*50%/52*'Données Flux et BFR'!$I$70</f>
        <v>5128214.7465066649</v>
      </c>
      <c r="P41" s="115">
        <f>((P10-'Données PAMCHR'!T169-'Données PAMCHR'!T176))/52*'Données Flux et BFR'!$I$67+('Données PAMCHR'!T169+'Données PAMCHR'!T176)*'Données Flux et BFR'!$I$69/52+(P22+P29)*50%/52*'Données Flux et BFR'!$I$70</f>
        <v>5178193.32173617</v>
      </c>
      <c r="Q41" s="115">
        <f>((Q10-'Données PAMCHR'!U169-'Données PAMCHR'!U176))/52*'Données Flux et BFR'!$I$67+('Données PAMCHR'!U169+'Données PAMCHR'!U176)*'Données Flux et BFR'!$I$69/52+(Q22+Q29)*50%/52*'Données Flux et BFR'!$I$70</f>
        <v>5233011.4629762098</v>
      </c>
      <c r="R41" s="115">
        <f>((R10-'Données PAMCHR'!V169-'Données PAMCHR'!V176))/52*'Données Flux et BFR'!$I$67+('Données PAMCHR'!V169+'Données PAMCHR'!V176)*'Données Flux et BFR'!$I$69/52+(R22+R29)*50%/52*'Données Flux et BFR'!$I$70</f>
        <v>5273599.0881549269</v>
      </c>
      <c r="S41" s="115">
        <f>((S10-'Données PAMCHR'!W169-'Données PAMCHR'!W176))/52*'Données Flux et BFR'!$I$67+('Données PAMCHR'!W169+'Données PAMCHR'!W176)*'Données Flux et BFR'!$I$69/52+(S22+S29)*50%/52*'Données Flux et BFR'!$I$70</f>
        <v>5329701.4488734007</v>
      </c>
      <c r="T41" s="115">
        <f>((T10-'Données PAMCHR'!X169-'Données PAMCHR'!X176))/52*'Données Flux et BFR'!$I$67+('Données PAMCHR'!X169+'Données PAMCHR'!X176)*'Données Flux et BFR'!$I$69/52+(T22+T29)*50%/52*'Données Flux et BFR'!$I$70</f>
        <v>5391874.6495567113</v>
      </c>
      <c r="U41" s="115">
        <f>((U10-'Données PAMCHR'!Y169-'Données PAMCHR'!Y176))/52*'Données Flux et BFR'!$I$67+('Données PAMCHR'!Y169+'Données PAMCHR'!Y176)*'Données Flux et BFR'!$I$69/52+(U22+U29)*50%/52*'Données Flux et BFR'!$I$70</f>
        <v>5447940.397554894</v>
      </c>
      <c r="V41" s="115">
        <f>((V10-'Données PAMCHR'!Z169-'Données PAMCHR'!Z176))/52*'Données Flux et BFR'!$I$67+('Données PAMCHR'!Z169+'Données PAMCHR'!Z176)*'Données Flux et BFR'!$I$69/52+(V22+V29)*50%/52*'Données Flux et BFR'!$I$70</f>
        <v>5509416.2686890364</v>
      </c>
      <c r="X41" s="333">
        <f>AVERAGE(C41:V41)</f>
        <v>4751908.5759843644</v>
      </c>
      <c r="Y41" s="333">
        <f>AVERAGE(B41:V41)</f>
        <v>4539386.8049904471</v>
      </c>
    </row>
    <row r="42" spans="1:25" ht="21" customHeight="1" x14ac:dyDescent="0.2">
      <c r="A42" s="3" t="s">
        <v>224</v>
      </c>
      <c r="B42" s="96">
        <f>'Données Investissement'!F5*1000000-0</f>
        <v>56660000</v>
      </c>
      <c r="C42" s="96">
        <f t="shared" ref="C42:V42" si="17">B42-C27</f>
        <v>53027666.666666664</v>
      </c>
      <c r="D42" s="96">
        <f t="shared" si="17"/>
        <v>49395333.333333328</v>
      </c>
      <c r="E42" s="96">
        <f t="shared" si="17"/>
        <v>45632999.999999993</v>
      </c>
      <c r="F42" s="96">
        <f t="shared" si="17"/>
        <v>41845666.666666657</v>
      </c>
      <c r="G42" s="96">
        <f t="shared" si="17"/>
        <v>38383333.333333321</v>
      </c>
      <c r="H42" s="96">
        <f t="shared" si="17"/>
        <v>35093999.999999985</v>
      </c>
      <c r="I42" s="96">
        <f t="shared" si="17"/>
        <v>31787999.999999985</v>
      </c>
      <c r="J42" s="96">
        <f t="shared" si="17"/>
        <v>28465333.333333317</v>
      </c>
      <c r="K42" s="96">
        <f t="shared" si="17"/>
        <v>25125999.999999985</v>
      </c>
      <c r="L42" s="96">
        <f t="shared" si="17"/>
        <v>21769999.999999985</v>
      </c>
      <c r="M42" s="96">
        <f t="shared" si="17"/>
        <v>19321333.333333317</v>
      </c>
      <c r="N42" s="96">
        <f t="shared" si="17"/>
        <v>16789333.333333317</v>
      </c>
      <c r="O42" s="96">
        <f t="shared" si="17"/>
        <v>14240666.666666651</v>
      </c>
      <c r="P42" s="96">
        <f t="shared" si="17"/>
        <v>11675333.333333317</v>
      </c>
      <c r="Q42" s="96">
        <f t="shared" si="17"/>
        <v>9093333.3333333172</v>
      </c>
      <c r="R42" s="96">
        <f t="shared" si="17"/>
        <v>6674999.9999999832</v>
      </c>
      <c r="S42" s="96">
        <f t="shared" si="17"/>
        <v>4264999.9999999832</v>
      </c>
      <c r="T42" s="96">
        <f t="shared" si="17"/>
        <v>1796666.6666666497</v>
      </c>
      <c r="U42" s="96">
        <f t="shared" si="17"/>
        <v>-671666.66666668374</v>
      </c>
      <c r="V42" s="96">
        <f t="shared" si="17"/>
        <v>-3140000.0000000172</v>
      </c>
      <c r="X42" s="333">
        <f>AVERAGE(C42:V42)</f>
        <v>22528666.666666653</v>
      </c>
    </row>
    <row r="43" spans="1:25" ht="21" customHeight="1" x14ac:dyDescent="0.2">
      <c r="A43" s="3" t="s">
        <v>219</v>
      </c>
      <c r="B43" s="96">
        <f t="shared" ref="B43:I43" si="18">B41+B42</f>
        <v>56948951.385112107</v>
      </c>
      <c r="C43" s="96">
        <f t="shared" si="18"/>
        <v>54791595.665704302</v>
      </c>
      <c r="D43" s="96">
        <f t="shared" si="18"/>
        <v>52023175.96374777</v>
      </c>
      <c r="E43" s="96">
        <f t="shared" si="18"/>
        <v>49461448.648972146</v>
      </c>
      <c r="F43" s="96">
        <f t="shared" si="18"/>
        <v>46360388.927169882</v>
      </c>
      <c r="G43" s="96">
        <f t="shared" si="18"/>
        <v>43301809.128239073</v>
      </c>
      <c r="H43" s="96">
        <f t="shared" si="18"/>
        <v>40000110.45083122</v>
      </c>
      <c r="I43" s="96">
        <f t="shared" si="18"/>
        <v>36693782.484062575</v>
      </c>
      <c r="J43" s="96">
        <f>J41+J42</f>
        <v>33409999.655168667</v>
      </c>
      <c r="K43" s="96">
        <f>K41+K42</f>
        <v>30121357.730545923</v>
      </c>
      <c r="L43" s="96">
        <f>L41+L42</f>
        <v>26810351.665093943</v>
      </c>
      <c r="M43" s="96">
        <f t="shared" ref="M43:V43" si="19">M41+M42</f>
        <v>24345664.610529035</v>
      </c>
      <c r="N43" s="96">
        <f t="shared" si="19"/>
        <v>21865535.205574572</v>
      </c>
      <c r="O43" s="96">
        <f t="shared" si="19"/>
        <v>19368881.413173318</v>
      </c>
      <c r="P43" s="96">
        <f t="shared" si="19"/>
        <v>16853526.655069485</v>
      </c>
      <c r="Q43" s="96">
        <f t="shared" si="19"/>
        <v>14326344.796309527</v>
      </c>
      <c r="R43" s="96">
        <f t="shared" si="19"/>
        <v>11948599.08815491</v>
      </c>
      <c r="S43" s="96">
        <f t="shared" si="19"/>
        <v>9594701.4488733839</v>
      </c>
      <c r="T43" s="96">
        <f t="shared" si="19"/>
        <v>7188541.3162233606</v>
      </c>
      <c r="U43" s="96">
        <f t="shared" si="19"/>
        <v>4776273.7308882102</v>
      </c>
      <c r="V43" s="96">
        <f t="shared" si="19"/>
        <v>2369416.2686890191</v>
      </c>
      <c r="X43" s="333">
        <f>X42+X41</f>
        <v>27280575.242651016</v>
      </c>
    </row>
    <row r="44" spans="1:25" ht="21" customHeight="1" x14ac:dyDescent="0.2">
      <c r="A44" s="8" t="s">
        <v>220</v>
      </c>
      <c r="B44" s="124">
        <f t="shared" ref="B44:I44" si="20">B30/B43</f>
        <v>-3.4041652805458809E-2</v>
      </c>
      <c r="C44" s="124">
        <f t="shared" si="20"/>
        <v>-1.6710098519102778E-2</v>
      </c>
      <c r="D44" s="124">
        <f t="shared" si="20"/>
        <v>3.4283277558911578E-2</v>
      </c>
      <c r="E44" s="124">
        <f t="shared" si="20"/>
        <v>0.12795043915589513</v>
      </c>
      <c r="F44" s="124">
        <f t="shared" si="20"/>
        <v>0.2390877190171353</v>
      </c>
      <c r="G44" s="124">
        <f t="shared" si="20"/>
        <v>0.37973120652714792</v>
      </c>
      <c r="H44" s="124">
        <f t="shared" si="20"/>
        <v>0.42715016127186206</v>
      </c>
      <c r="I44" s="124">
        <f t="shared" si="20"/>
        <v>0.47157083458840671</v>
      </c>
      <c r="J44" s="124">
        <f>J30/J43</f>
        <v>0.50891042331351333</v>
      </c>
      <c r="K44" s="124">
        <f>K30/K43</f>
        <v>0.55972245618926308</v>
      </c>
      <c r="L44" s="124">
        <f>L30/L43</f>
        <v>0.61725571401526391</v>
      </c>
      <c r="M44" s="124">
        <f t="shared" ref="M44:V44" si="21">M30/M43</f>
        <v>0.70464479545553715</v>
      </c>
      <c r="N44" s="124">
        <f t="shared" si="21"/>
        <v>0.7666565719281534</v>
      </c>
      <c r="O44" s="124">
        <f t="shared" si="21"/>
        <v>0.8457198054458106</v>
      </c>
      <c r="P44" s="124">
        <f t="shared" si="21"/>
        <v>0.95170494911855819</v>
      </c>
      <c r="Q44" s="124">
        <f t="shared" si="21"/>
        <v>1.09158230885476</v>
      </c>
      <c r="R44" s="124">
        <f t="shared" si="21"/>
        <v>1.2939360469888379</v>
      </c>
      <c r="S44" s="124">
        <f t="shared" si="21"/>
        <v>1.5701407243871934</v>
      </c>
      <c r="T44" s="124">
        <f t="shared" si="21"/>
        <v>2.0298958862739025</v>
      </c>
      <c r="U44" s="124">
        <f t="shared" si="21"/>
        <v>2.977827042929857</v>
      </c>
      <c r="V44" s="124">
        <f t="shared" si="21"/>
        <v>5.8187694711955631</v>
      </c>
      <c r="W44" s="43"/>
      <c r="X44" s="385">
        <f>X30/X43</f>
        <v>0.25456804816580342</v>
      </c>
    </row>
    <row r="45" spans="1:25" ht="21" customHeight="1" thickBot="1" x14ac:dyDescent="0.25">
      <c r="A45" s="122"/>
      <c r="B45" s="106"/>
      <c r="C45" s="106"/>
      <c r="D45" s="106"/>
      <c r="E45" s="106"/>
      <c r="F45" s="106"/>
      <c r="G45" s="106"/>
      <c r="H45" s="106"/>
      <c r="I45" s="106"/>
      <c r="J45" s="445"/>
      <c r="K45" s="445"/>
      <c r="L45" s="445"/>
      <c r="M45" s="445"/>
      <c r="N45" s="445"/>
      <c r="O45" s="445"/>
      <c r="P45" s="445"/>
      <c r="Q45" s="445"/>
      <c r="R45" s="445"/>
      <c r="S45" s="445"/>
      <c r="T45" s="445"/>
      <c r="U45" s="445"/>
      <c r="V45" s="445"/>
    </row>
    <row r="46" spans="1:25" ht="14.25" thickTop="1" thickBot="1" x14ac:dyDescent="0.25"/>
    <row r="47" spans="1:25" ht="21" customHeight="1" thickTop="1" x14ac:dyDescent="0.2">
      <c r="A47" s="1" t="s">
        <v>921</v>
      </c>
      <c r="B47" s="115">
        <f>'Données Investissement'!$F$5*1000*1000/2</f>
        <v>28330000</v>
      </c>
      <c r="C47" s="115">
        <f>'Données Investissement'!$F$5*1000*1000/2</f>
        <v>28330000</v>
      </c>
      <c r="D47" s="115">
        <f>'Données Investissement'!$F$5*1000*1000/2</f>
        <v>28330000</v>
      </c>
      <c r="E47" s="115">
        <f>'Données Investissement'!$F$5*1000*1000/2</f>
        <v>28330000</v>
      </c>
      <c r="F47" s="115">
        <f>'Données Investissement'!$F$5*1000*1000/2</f>
        <v>28330000</v>
      </c>
      <c r="G47" s="115">
        <f>'Données Investissement'!$F$5*1000*1000/2</f>
        <v>28330000</v>
      </c>
      <c r="H47" s="115">
        <f>'Données Investissement'!$F$5*1000*1000/2</f>
        <v>28330000</v>
      </c>
      <c r="I47" s="115">
        <f>'Données Investissement'!$F$5*1000*1000/2</f>
        <v>28330000</v>
      </c>
      <c r="J47" s="115">
        <f>'Données Investissement'!$F$5*1000*1000/2</f>
        <v>28330000</v>
      </c>
      <c r="K47" s="115">
        <f>'Données Investissement'!$F$5*1000*1000/2</f>
        <v>28330000</v>
      </c>
      <c r="L47" s="115">
        <f>'Données Investissement'!$F$5*1000*1000/2</f>
        <v>28330000</v>
      </c>
      <c r="M47" s="115">
        <f>'Données Investissement'!$F$5*1000*1000/2</f>
        <v>28330000</v>
      </c>
      <c r="N47" s="115">
        <f>'Données Investissement'!$F$5*1000*1000/2</f>
        <v>28330000</v>
      </c>
      <c r="O47" s="115">
        <f>'Données Investissement'!$F$5*1000*1000/2</f>
        <v>28330000</v>
      </c>
      <c r="P47" s="115">
        <f>'Données Investissement'!$F$5*1000*1000/2</f>
        <v>28330000</v>
      </c>
      <c r="Q47" s="115">
        <f>'Données Investissement'!$F$5*1000*1000/2</f>
        <v>28330000</v>
      </c>
      <c r="R47" s="115">
        <f>'Données Investissement'!$F$5*1000*1000/2</f>
        <v>28330000</v>
      </c>
      <c r="S47" s="115">
        <f>'Données Investissement'!$F$5*1000*1000/2</f>
        <v>28330000</v>
      </c>
      <c r="T47" s="115">
        <f>'Données Investissement'!$F$5*1000*1000/2</f>
        <v>28330000</v>
      </c>
      <c r="U47" s="115">
        <f>'Données Investissement'!$F$5*1000*1000/2</f>
        <v>28330000</v>
      </c>
      <c r="V47" s="184">
        <f>'Données Investissement'!$F$5*1000*1000/2</f>
        <v>28330000</v>
      </c>
      <c r="X47" s="333">
        <f>AVERAGE(C47:V47)</f>
        <v>28330000</v>
      </c>
      <c r="Y47" s="333">
        <f>AVERAGE(B47:V47)</f>
        <v>28330000</v>
      </c>
    </row>
    <row r="48" spans="1:25" ht="21" customHeight="1" x14ac:dyDescent="0.2">
      <c r="A48" s="3" t="s">
        <v>219</v>
      </c>
      <c r="B48" s="96">
        <f t="shared" ref="B48:I48" si="22">B47+B41</f>
        <v>28618951.385112111</v>
      </c>
      <c r="C48" s="96">
        <f t="shared" si="22"/>
        <v>30093928.999037635</v>
      </c>
      <c r="D48" s="96">
        <f t="shared" si="22"/>
        <v>30957842.630414438</v>
      </c>
      <c r="E48" s="96">
        <f t="shared" si="22"/>
        <v>32158448.648972157</v>
      </c>
      <c r="F48" s="96">
        <f t="shared" si="22"/>
        <v>32844722.260503225</v>
      </c>
      <c r="G48" s="96">
        <f t="shared" si="22"/>
        <v>33248475.794905752</v>
      </c>
      <c r="H48" s="96">
        <f t="shared" si="22"/>
        <v>33236110.450831234</v>
      </c>
      <c r="I48" s="96">
        <f t="shared" si="22"/>
        <v>33235782.484062593</v>
      </c>
      <c r="J48" s="96">
        <f>J47+J41</f>
        <v>33274666.32183535</v>
      </c>
      <c r="K48" s="96">
        <f>K47+K41</f>
        <v>33325357.730545938</v>
      </c>
      <c r="L48" s="96">
        <f>L47+L41</f>
        <v>33370351.665093958</v>
      </c>
      <c r="M48" s="96">
        <f t="shared" ref="M48:V48" si="23">M47+M41</f>
        <v>33354331.277195718</v>
      </c>
      <c r="N48" s="96">
        <f t="shared" si="23"/>
        <v>33406201.872241255</v>
      </c>
      <c r="O48" s="96">
        <f t="shared" si="23"/>
        <v>33458214.746506665</v>
      </c>
      <c r="P48" s="96">
        <f t="shared" si="23"/>
        <v>33508193.321736172</v>
      </c>
      <c r="Q48" s="96">
        <f t="shared" si="23"/>
        <v>33563011.46297621</v>
      </c>
      <c r="R48" s="96">
        <f t="shared" si="23"/>
        <v>33603599.088154927</v>
      </c>
      <c r="S48" s="96">
        <f t="shared" si="23"/>
        <v>33659701.448873401</v>
      </c>
      <c r="T48" s="96">
        <f t="shared" si="23"/>
        <v>33721874.649556711</v>
      </c>
      <c r="U48" s="96">
        <f t="shared" si="23"/>
        <v>33777940.397554897</v>
      </c>
      <c r="V48" s="181">
        <f t="shared" si="23"/>
        <v>33839416.268689036</v>
      </c>
      <c r="X48" s="333">
        <f>X47+X41</f>
        <v>33081908.575984366</v>
      </c>
      <c r="Y48" s="333">
        <f>Y47+Y41</f>
        <v>32869386.804990448</v>
      </c>
    </row>
    <row r="49" spans="1:25" ht="21" customHeight="1" x14ac:dyDescent="0.2">
      <c r="A49" s="8" t="s">
        <v>922</v>
      </c>
      <c r="B49" s="124">
        <f t="shared" ref="B49:I49" si="24">B30/B48</f>
        <v>-6.7739603893923195E-2</v>
      </c>
      <c r="C49" s="124">
        <f t="shared" si="24"/>
        <v>-3.0423842683421048E-2</v>
      </c>
      <c r="D49" s="124">
        <f t="shared" si="24"/>
        <v>5.7611410535081779E-2</v>
      </c>
      <c r="E49" s="124">
        <f t="shared" si="24"/>
        <v>0.19679475664399054</v>
      </c>
      <c r="F49" s="124">
        <f t="shared" si="24"/>
        <v>0.33747277731355302</v>
      </c>
      <c r="G49" s="124">
        <f t="shared" si="24"/>
        <v>0.49455043673291793</v>
      </c>
      <c r="H49" s="124">
        <f t="shared" si="24"/>
        <v>0.51408102206308348</v>
      </c>
      <c r="I49" s="124">
        <f t="shared" si="24"/>
        <v>0.52063518102853223</v>
      </c>
      <c r="J49" s="124">
        <f>J30/J48</f>
        <v>0.51098024253540864</v>
      </c>
      <c r="K49" s="124">
        <f>K30/K48</f>
        <v>0.50590905787166229</v>
      </c>
      <c r="L49" s="124">
        <f>L30/L48</f>
        <v>0.49591454492666603</v>
      </c>
      <c r="M49" s="124">
        <f t="shared" ref="M49:V49" si="25">M30/M48</f>
        <v>0.5143273812670982</v>
      </c>
      <c r="N49" s="124">
        <f t="shared" si="25"/>
        <v>0.50180371681252378</v>
      </c>
      <c r="O49" s="124">
        <f t="shared" si="25"/>
        <v>0.48958519587965166</v>
      </c>
      <c r="P49" s="124">
        <f t="shared" si="25"/>
        <v>0.47867650081052188</v>
      </c>
      <c r="Q49" s="124">
        <f t="shared" si="25"/>
        <v>0.46594104189535651</v>
      </c>
      <c r="R49" s="124">
        <f t="shared" si="25"/>
        <v>0.46009128458598386</v>
      </c>
      <c r="S49" s="124">
        <f t="shared" si="25"/>
        <v>0.44756877912585108</v>
      </c>
      <c r="T49" s="124">
        <f t="shared" si="25"/>
        <v>0.43271587353177005</v>
      </c>
      <c r="U49" s="124">
        <f t="shared" si="25"/>
        <v>0.42107117582882458</v>
      </c>
      <c r="V49" s="185">
        <f t="shared" si="25"/>
        <v>0.4074268580560208</v>
      </c>
      <c r="X49" s="385">
        <f>X30/X48</f>
        <v>0.20992630387121983</v>
      </c>
      <c r="Y49" s="385">
        <f>Y30/Y48</f>
        <v>0.3950569244916422</v>
      </c>
    </row>
    <row r="50" spans="1:25" ht="20.25" customHeight="1" thickBot="1" x14ac:dyDescent="0.25">
      <c r="A50" s="122"/>
      <c r="B50" s="106"/>
      <c r="C50" s="106"/>
      <c r="D50" s="106"/>
      <c r="E50" s="106"/>
      <c r="F50" s="106"/>
      <c r="G50" s="106"/>
      <c r="H50" s="106"/>
      <c r="I50" s="106"/>
      <c r="J50" s="445"/>
      <c r="K50" s="445"/>
      <c r="L50" s="445"/>
      <c r="M50" s="445"/>
      <c r="N50" s="445"/>
      <c r="O50" s="445"/>
      <c r="P50" s="445"/>
      <c r="Q50" s="445"/>
      <c r="R50" s="445"/>
      <c r="S50" s="445"/>
      <c r="T50" s="445"/>
      <c r="U50" s="445"/>
      <c r="V50" s="183"/>
    </row>
    <row r="51" spans="1:25" ht="13.5" thickTop="1" x14ac:dyDescent="0.2"/>
    <row r="53" spans="1:25" ht="15" x14ac:dyDescent="0.2">
      <c r="A53" s="388" t="s">
        <v>540</v>
      </c>
      <c r="B53" s="372"/>
      <c r="C53" s="389">
        <f>'Données Matières'!D8</f>
        <v>24.77</v>
      </c>
      <c r="D53" s="372"/>
      <c r="E53" s="368" t="s">
        <v>919</v>
      </c>
      <c r="F53" s="390">
        <f>'Données Investissement'!F5</f>
        <v>56.66</v>
      </c>
      <c r="G53" s="369"/>
    </row>
    <row r="54" spans="1:25" ht="15" x14ac:dyDescent="0.2">
      <c r="A54" s="365" t="s">
        <v>541</v>
      </c>
      <c r="B54" s="366"/>
      <c r="C54" s="392">
        <f>'Données Matières'!D16</f>
        <v>24.77</v>
      </c>
      <c r="D54" s="373"/>
      <c r="E54" s="373" t="s">
        <v>666</v>
      </c>
      <c r="F54" s="814">
        <f>'Calcul Rentabilité ERAMET 20ans'!D37</f>
        <v>0.14875943186307894</v>
      </c>
      <c r="G54" s="370"/>
    </row>
    <row r="55" spans="1:25" ht="15" x14ac:dyDescent="0.2">
      <c r="A55" s="365" t="s">
        <v>494</v>
      </c>
      <c r="B55" s="366"/>
      <c r="C55" s="397">
        <f>'Données Economie Circulaire'!I11</f>
        <v>0.34709536120692502</v>
      </c>
      <c r="D55" s="366"/>
      <c r="E55" s="366" t="s">
        <v>920</v>
      </c>
      <c r="F55" s="393">
        <f ca="1">'Calcul Rentabilité ERAMET 20ans'!F39</f>
        <v>11</v>
      </c>
      <c r="G55" s="394">
        <f ca="1">'Calcul Rentabilité ERAMET 20ans'!G39</f>
        <v>10.393138194054714</v>
      </c>
    </row>
    <row r="56" spans="1:25" ht="15" x14ac:dyDescent="0.2">
      <c r="A56" s="365" t="s">
        <v>538</v>
      </c>
      <c r="B56" s="366"/>
      <c r="C56" s="395">
        <f>'Données Matières'!E34*'Données Matières'!D9</f>
        <v>9.4125999999999994</v>
      </c>
      <c r="D56" s="14"/>
      <c r="E56" s="366" t="s">
        <v>923</v>
      </c>
      <c r="F56" s="391">
        <f>G49</f>
        <v>0.49455043673291793</v>
      </c>
      <c r="G56" s="370" t="s">
        <v>924</v>
      </c>
      <c r="H56" s="393"/>
    </row>
    <row r="57" spans="1:25" ht="15" x14ac:dyDescent="0.2">
      <c r="A57" s="367" t="s">
        <v>539</v>
      </c>
      <c r="B57" s="405"/>
      <c r="C57" s="396">
        <f>'Données Matières'!E35*'Données Matières'!D9</f>
        <v>4.9539999999999997</v>
      </c>
      <c r="D57" s="126"/>
      <c r="E57" s="405" t="s">
        <v>344</v>
      </c>
      <c r="F57" s="406">
        <f>X49</f>
        <v>0.20992630387121983</v>
      </c>
      <c r="G57" s="407" t="s">
        <v>924</v>
      </c>
    </row>
    <row r="60" spans="1:25" x14ac:dyDescent="0.2">
      <c r="F60" s="962">
        <v>0.154</v>
      </c>
      <c r="G60" s="963">
        <f>F54-F60</f>
        <v>-5.2405681369210588E-3</v>
      </c>
    </row>
    <row r="61" spans="1:25" ht="13.5" thickBot="1" x14ac:dyDescent="0.25"/>
    <row r="62" spans="1:25" ht="13.5" thickBot="1" x14ac:dyDescent="0.25">
      <c r="F62" s="965">
        <v>0</v>
      </c>
    </row>
    <row r="64" spans="1:25" x14ac:dyDescent="0.2">
      <c r="F64" s="43">
        <v>20.107865</v>
      </c>
    </row>
    <row r="65" spans="1:22" x14ac:dyDescent="0.2">
      <c r="A65" s="757" t="s">
        <v>1454</v>
      </c>
      <c r="B65" s="757">
        <f t="shared" ref="B65:V65" si="26">B14+B15</f>
        <v>344638.94298912003</v>
      </c>
      <c r="C65" s="757">
        <f t="shared" si="26"/>
        <v>892349.75546259864</v>
      </c>
      <c r="D65" s="757">
        <f t="shared" si="26"/>
        <v>1075687.0688576417</v>
      </c>
      <c r="E65" s="757">
        <f t="shared" si="26"/>
        <v>1477001.0907006846</v>
      </c>
      <c r="F65" s="757">
        <f t="shared" si="26"/>
        <v>1893937.3985899065</v>
      </c>
      <c r="G65" s="757">
        <f t="shared" si="26"/>
        <v>1931816.1465617046</v>
      </c>
      <c r="H65" s="757">
        <f t="shared" si="26"/>
        <v>1882928.6701373155</v>
      </c>
      <c r="I65" s="757">
        <f t="shared" si="26"/>
        <v>1831312.9681973248</v>
      </c>
      <c r="J65" s="757">
        <f t="shared" si="26"/>
        <v>1776879.4667116811</v>
      </c>
      <c r="K65" s="757">
        <f t="shared" si="26"/>
        <v>1765976.5780126236</v>
      </c>
      <c r="L65" s="757">
        <f t="shared" si="26"/>
        <v>1753926.8219789187</v>
      </c>
      <c r="M65" s="757">
        <f t="shared" si="26"/>
        <v>1740688.6850726604</v>
      </c>
      <c r="N65" s="757">
        <f t="shared" si="26"/>
        <v>1726219.4519613613</v>
      </c>
      <c r="O65" s="757">
        <f t="shared" si="26"/>
        <v>1760743.8410005881</v>
      </c>
      <c r="P65" s="757">
        <f t="shared" si="26"/>
        <v>1744684.6775326121</v>
      </c>
      <c r="Q65" s="757">
        <f t="shared" si="26"/>
        <v>1779578.3710832638</v>
      </c>
      <c r="R65" s="757">
        <f t="shared" si="26"/>
        <v>1761824.4269893062</v>
      </c>
      <c r="S65" s="757">
        <f t="shared" si="26"/>
        <v>1797060.9155290928</v>
      </c>
      <c r="T65" s="757">
        <f t="shared" si="26"/>
        <v>1833002.1338396743</v>
      </c>
      <c r="U65" s="757">
        <f t="shared" si="26"/>
        <v>1813051.4929319965</v>
      </c>
      <c r="V65" s="757">
        <f t="shared" si="26"/>
        <v>1849312.5227906369</v>
      </c>
    </row>
    <row r="66" spans="1:22" x14ac:dyDescent="0.2">
      <c r="A66" s="757" t="s">
        <v>1457</v>
      </c>
      <c r="B66" s="757">
        <f>('Données gestion'!$E$70*(1+'Données gestion'!C30))/2</f>
        <v>100000</v>
      </c>
      <c r="C66" s="757">
        <f>('Données gestion'!$E$70*(1+'Données gestion'!D30))</f>
        <v>204000</v>
      </c>
      <c r="D66" s="757">
        <f>('Données gestion'!$E$70*(1+'Données gestion'!E30))</f>
        <v>208080</v>
      </c>
      <c r="E66" s="757">
        <f>('Données gestion'!$E$70*(1+'Données gestion'!F30))</f>
        <v>212241.59999999998</v>
      </c>
      <c r="F66" s="757">
        <f>('Données gestion'!$E$70*(1+'Données gestion'!G30))</f>
        <v>216486.432</v>
      </c>
      <c r="G66" s="757">
        <f>('Données gestion'!$E$70*(1+'Données gestion'!H30))</f>
        <v>220816.16064000002</v>
      </c>
      <c r="H66" s="757">
        <f>('Données gestion'!$E$70*(1+'Données gestion'!I30))</f>
        <v>225232.48385280001</v>
      </c>
      <c r="I66" s="757">
        <f>('Données gestion'!$E$70*(1+'Données gestion'!J30))</f>
        <v>229737.13352985596</v>
      </c>
      <c r="J66" s="757">
        <f>('Données gestion'!$E$70*(1+'Données gestion'!K30))</f>
        <v>234331.87620045312</v>
      </c>
      <c r="K66" s="757">
        <f>('Données gestion'!$E$70*(1+'Données gestion'!L30))</f>
        <v>239018.51372446216</v>
      </c>
      <c r="L66" s="757">
        <f>('Données gestion'!$E$70*(1+'Données gestion'!M30))</f>
        <v>243798.88399895141</v>
      </c>
      <c r="M66" s="757">
        <f>('Données gestion'!$E$70*(1+'Données gestion'!N30))</f>
        <v>248674.86167893041</v>
      </c>
      <c r="N66" s="757">
        <f>('Données gestion'!$E$70*(1+'Données gestion'!O30))</f>
        <v>253648.35891250905</v>
      </c>
      <c r="O66" s="757">
        <f>('Données gestion'!$E$70*(1+'Données gestion'!P30))</f>
        <v>258721.32609075922</v>
      </c>
      <c r="P66" s="757">
        <f>('Données gestion'!$E$70*(1+'Données gestion'!Q30))</f>
        <v>263895.75261257443</v>
      </c>
      <c r="Q66" s="757">
        <f>('Données gestion'!$E$70*(1+'Données gestion'!R30))</f>
        <v>269173.66766482586</v>
      </c>
      <c r="R66" s="757">
        <f>('Données gestion'!$E$70*(1+'Données gestion'!S30))</f>
        <v>274557.14101812243</v>
      </c>
      <c r="S66" s="757">
        <f>('Données gestion'!$E$70*(1+'Données gestion'!T30))</f>
        <v>280048.2838384849</v>
      </c>
      <c r="T66" s="757">
        <f>('Données gestion'!$E$70*(1+'Données gestion'!U30))</f>
        <v>285649.24951525452</v>
      </c>
      <c r="U66" s="757">
        <f>('Données gestion'!$E$70*(1+'Données gestion'!V30))</f>
        <v>291362.23450555961</v>
      </c>
      <c r="V66" s="757">
        <f>('Données gestion'!$E$70*(1+'Données gestion'!W30))</f>
        <v>297189.47919567087</v>
      </c>
    </row>
    <row r="67" spans="1:22" x14ac:dyDescent="0.2">
      <c r="A67" s="757" t="s">
        <v>1453</v>
      </c>
      <c r="B67" s="757">
        <f t="shared" ref="B67:V67" si="27">B25-B66</f>
        <v>925656.53452723217</v>
      </c>
      <c r="C67" s="757">
        <f t="shared" si="27"/>
        <v>1038572.8471022202</v>
      </c>
      <c r="D67" s="757">
        <f t="shared" si="27"/>
        <v>1150110.4424021258</v>
      </c>
      <c r="E67" s="757">
        <f t="shared" si="27"/>
        <v>1226362.2727453858</v>
      </c>
      <c r="F67" s="757">
        <f t="shared" si="27"/>
        <v>1305204.1321254156</v>
      </c>
      <c r="G67" s="757">
        <f t="shared" si="27"/>
        <v>1331308.214767924</v>
      </c>
      <c r="H67" s="757">
        <f t="shared" si="27"/>
        <v>1357934.3790632826</v>
      </c>
      <c r="I67" s="757">
        <f t="shared" si="27"/>
        <v>1385093.066644548</v>
      </c>
      <c r="J67" s="757">
        <f t="shared" si="27"/>
        <v>1412794.927977439</v>
      </c>
      <c r="K67" s="757">
        <f t="shared" si="27"/>
        <v>1441050.8265369877</v>
      </c>
      <c r="L67" s="757">
        <f t="shared" si="27"/>
        <v>1469871.8430677278</v>
      </c>
      <c r="M67" s="757">
        <f t="shared" si="27"/>
        <v>1499269.2799290819</v>
      </c>
      <c r="N67" s="757">
        <f t="shared" si="27"/>
        <v>1529254.6655276637</v>
      </c>
      <c r="O67" s="757">
        <f t="shared" si="27"/>
        <v>1559839.758838217</v>
      </c>
      <c r="P67" s="757">
        <f t="shared" si="27"/>
        <v>1591036.5540149813</v>
      </c>
      <c r="Q67" s="757">
        <f t="shared" si="27"/>
        <v>1622857.2850952807</v>
      </c>
      <c r="R67" s="757">
        <f t="shared" si="27"/>
        <v>1655314.4307971864</v>
      </c>
      <c r="S67" s="757">
        <f t="shared" si="27"/>
        <v>1688420.7194131303</v>
      </c>
      <c r="T67" s="757">
        <f t="shared" si="27"/>
        <v>1722189.1338013927</v>
      </c>
      <c r="U67" s="757">
        <f t="shared" si="27"/>
        <v>1756632.9164774204</v>
      </c>
      <c r="V67" s="757">
        <f t="shared" si="27"/>
        <v>1791765.5748069691</v>
      </c>
    </row>
    <row r="68" spans="1:22" x14ac:dyDescent="0.2">
      <c r="A68" s="757" t="s">
        <v>1458</v>
      </c>
      <c r="B68" s="757">
        <f t="shared" ref="B68:V68" si="28">B26</f>
        <v>719820.07144123781</v>
      </c>
      <c r="C68" s="757">
        <f t="shared" si="28"/>
        <v>707041.69007239619</v>
      </c>
      <c r="D68" s="757">
        <f t="shared" si="28"/>
        <v>823197.92001361563</v>
      </c>
      <c r="E68" s="757">
        <f t="shared" si="28"/>
        <v>887791.44160298945</v>
      </c>
      <c r="F68" s="757">
        <f t="shared" si="28"/>
        <v>611178.23404114996</v>
      </c>
      <c r="G68" s="757">
        <f t="shared" si="28"/>
        <v>532094.67802972696</v>
      </c>
      <c r="H68" s="757">
        <f t="shared" si="28"/>
        <v>540719.24922435021</v>
      </c>
      <c r="I68" s="757">
        <f t="shared" si="28"/>
        <v>549260.66082131374</v>
      </c>
      <c r="J68" s="757">
        <f t="shared" si="28"/>
        <v>557502.79513088416</v>
      </c>
      <c r="K68" s="757">
        <f t="shared" si="28"/>
        <v>566331.8557776938</v>
      </c>
      <c r="L68" s="757">
        <f t="shared" si="28"/>
        <v>574795.4983912668</v>
      </c>
      <c r="M68" s="757">
        <f t="shared" si="28"/>
        <v>583428.41385711113</v>
      </c>
      <c r="N68" s="757">
        <f t="shared" si="28"/>
        <v>592233.98763227253</v>
      </c>
      <c r="O68" s="757">
        <f t="shared" si="28"/>
        <v>601215.67288293713</v>
      </c>
      <c r="P68" s="757">
        <f t="shared" si="28"/>
        <v>610376.99183861492</v>
      </c>
      <c r="Q68" s="757">
        <f t="shared" si="28"/>
        <v>619721.53717340634</v>
      </c>
      <c r="R68" s="757">
        <f t="shared" si="28"/>
        <v>629252.97341489349</v>
      </c>
      <c r="S68" s="757">
        <f t="shared" si="28"/>
        <v>638975.03838121053</v>
      </c>
      <c r="T68" s="757">
        <f t="shared" si="28"/>
        <v>648891.54464685393</v>
      </c>
      <c r="U68" s="757">
        <f t="shared" si="28"/>
        <v>659006.38103781</v>
      </c>
      <c r="V68" s="757">
        <f t="shared" si="28"/>
        <v>669323.51415658544</v>
      </c>
    </row>
    <row r="70" spans="1:22" x14ac:dyDescent="0.2">
      <c r="A70" s="15" t="s">
        <v>1455</v>
      </c>
      <c r="B70" s="1103">
        <f>B66+B68</f>
        <v>819820.07144123781</v>
      </c>
      <c r="C70" s="1103">
        <f t="shared" ref="C70:V70" si="29">C66+C68</f>
        <v>911041.69007239619</v>
      </c>
      <c r="D70" s="1103">
        <f t="shared" si="29"/>
        <v>1031277.9200136156</v>
      </c>
      <c r="E70" s="1103">
        <f t="shared" si="29"/>
        <v>1100033.0416029894</v>
      </c>
      <c r="F70" s="1103">
        <f t="shared" si="29"/>
        <v>827664.66604114999</v>
      </c>
      <c r="G70" s="1103">
        <f t="shared" si="29"/>
        <v>752910.83866972697</v>
      </c>
      <c r="H70" s="1103">
        <f t="shared" si="29"/>
        <v>765951.73307715019</v>
      </c>
      <c r="I70" s="1103">
        <f t="shared" si="29"/>
        <v>778997.79435116972</v>
      </c>
      <c r="J70" s="1103">
        <f t="shared" si="29"/>
        <v>791834.6713313373</v>
      </c>
      <c r="K70" s="1103">
        <f t="shared" si="29"/>
        <v>805350.36950215593</v>
      </c>
      <c r="L70" s="1103">
        <f t="shared" si="29"/>
        <v>818594.3823902182</v>
      </c>
      <c r="M70" s="1103">
        <f t="shared" si="29"/>
        <v>832103.27553604147</v>
      </c>
      <c r="N70" s="1103">
        <f t="shared" si="29"/>
        <v>845882.34654478158</v>
      </c>
      <c r="O70" s="1103">
        <f t="shared" si="29"/>
        <v>859936.99897369638</v>
      </c>
      <c r="P70" s="1103">
        <f t="shared" si="29"/>
        <v>874272.74445118941</v>
      </c>
      <c r="Q70" s="1103">
        <f t="shared" si="29"/>
        <v>888895.20483823214</v>
      </c>
      <c r="R70" s="1103">
        <f t="shared" si="29"/>
        <v>903810.11443301593</v>
      </c>
      <c r="S70" s="1103">
        <f t="shared" si="29"/>
        <v>919023.32221969543</v>
      </c>
      <c r="T70" s="1103">
        <f t="shared" si="29"/>
        <v>934540.79416210845</v>
      </c>
      <c r="U70" s="1103">
        <f t="shared" si="29"/>
        <v>950368.61554336967</v>
      </c>
      <c r="V70" s="1103">
        <f t="shared" si="29"/>
        <v>966512.99335225625</v>
      </c>
    </row>
    <row r="71" spans="1:22" x14ac:dyDescent="0.2">
      <c r="A71" s="15" t="s">
        <v>1456</v>
      </c>
      <c r="B71" s="1103">
        <f>B65+B67</f>
        <v>1270295.4775163522</v>
      </c>
      <c r="C71" s="1103">
        <f t="shared" ref="C71:V71" si="30">C65+C67</f>
        <v>1930922.6025648187</v>
      </c>
      <c r="D71" s="1103">
        <f t="shared" si="30"/>
        <v>2225797.5112597672</v>
      </c>
      <c r="E71" s="1103">
        <f t="shared" si="30"/>
        <v>2703363.3634460703</v>
      </c>
      <c r="F71" s="1103">
        <f t="shared" si="30"/>
        <v>3199141.5307153221</v>
      </c>
      <c r="G71" s="1103">
        <f t="shared" si="30"/>
        <v>3263124.3613296286</v>
      </c>
      <c r="H71" s="1103">
        <f t="shared" si="30"/>
        <v>3240863.0492005982</v>
      </c>
      <c r="I71" s="1103">
        <f t="shared" si="30"/>
        <v>3216406.0348418728</v>
      </c>
      <c r="J71" s="1103">
        <f t="shared" si="30"/>
        <v>3189674.3946891204</v>
      </c>
      <c r="K71" s="1103">
        <f t="shared" si="30"/>
        <v>3207027.4045496113</v>
      </c>
      <c r="L71" s="1103">
        <f t="shared" si="30"/>
        <v>3223798.6650466463</v>
      </c>
      <c r="M71" s="1103">
        <f t="shared" si="30"/>
        <v>3239957.9650017424</v>
      </c>
      <c r="N71" s="1103">
        <f t="shared" si="30"/>
        <v>3255474.117489025</v>
      </c>
      <c r="O71" s="1103">
        <f t="shared" si="30"/>
        <v>3320583.5998388054</v>
      </c>
      <c r="P71" s="1103">
        <f t="shared" si="30"/>
        <v>3335721.2315475931</v>
      </c>
      <c r="Q71" s="1103">
        <f t="shared" si="30"/>
        <v>3402435.6561785443</v>
      </c>
      <c r="R71" s="1103">
        <f t="shared" si="30"/>
        <v>3417138.8577864924</v>
      </c>
      <c r="S71" s="1103">
        <f t="shared" si="30"/>
        <v>3485481.6349422233</v>
      </c>
      <c r="T71" s="1103">
        <f t="shared" si="30"/>
        <v>3555191.267641067</v>
      </c>
      <c r="U71" s="1103">
        <f t="shared" si="30"/>
        <v>3569684.4094094168</v>
      </c>
      <c r="V71" s="1103">
        <f t="shared" si="30"/>
        <v>3641078.097597606</v>
      </c>
    </row>
  </sheetData>
  <pageMargins left="0.23622047244094491" right="0.19685039370078741" top="0.39370078740157483" bottom="0.39370078740157483" header="0.51181102362204722" footer="0.51181102362204722"/>
  <pageSetup paperSize="9" scale="5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rgb="FF00B050"/>
  </sheetPr>
  <dimension ref="A1:CE53"/>
  <sheetViews>
    <sheetView topLeftCell="A31" workbookViewId="0">
      <selection activeCell="E39" sqref="E39"/>
    </sheetView>
  </sheetViews>
  <sheetFormatPr baseColWidth="10" defaultRowHeight="12.75" x14ac:dyDescent="0.2"/>
  <cols>
    <col min="1" max="1" width="29.28515625" customWidth="1"/>
    <col min="77" max="77" width="12.42578125" bestFit="1" customWidth="1"/>
  </cols>
  <sheetData>
    <row r="1" spans="1:83" x14ac:dyDescent="0.2">
      <c r="A1" s="1249" t="s">
        <v>835</v>
      </c>
      <c r="B1" s="1249"/>
      <c r="C1" s="1249"/>
      <c r="D1" s="1249"/>
      <c r="E1" s="1249"/>
      <c r="F1" s="1249"/>
      <c r="G1" s="1249"/>
      <c r="H1" s="1249"/>
      <c r="I1" s="1249"/>
      <c r="J1" s="1249"/>
      <c r="K1" s="1249"/>
      <c r="L1" s="1249" t="s">
        <v>945</v>
      </c>
      <c r="M1" s="1249"/>
      <c r="N1" s="1249"/>
      <c r="O1" s="1249"/>
      <c r="P1" s="1249"/>
      <c r="Q1" s="1249"/>
      <c r="R1" s="1249"/>
      <c r="S1" s="1249"/>
      <c r="T1" s="1249"/>
      <c r="U1" s="1249"/>
      <c r="V1" s="1249"/>
      <c r="W1" s="1249" t="s">
        <v>946</v>
      </c>
      <c r="X1" s="1249"/>
      <c r="Y1" s="1249"/>
      <c r="Z1" s="1249"/>
      <c r="AA1" s="1249"/>
      <c r="AB1" s="1249"/>
      <c r="AC1" s="1249"/>
      <c r="AD1" s="1249"/>
      <c r="AE1" s="1249"/>
      <c r="AF1" s="1249"/>
      <c r="AG1" s="1249"/>
      <c r="AH1" s="1249" t="s">
        <v>947</v>
      </c>
      <c r="AI1" s="1249"/>
      <c r="AJ1" s="1249"/>
      <c r="AK1" s="1249"/>
      <c r="AL1" s="1249"/>
      <c r="AM1" s="1249"/>
      <c r="AN1" s="1249"/>
      <c r="AO1" s="1249"/>
      <c r="AP1" s="1249"/>
      <c r="AQ1" s="1249"/>
      <c r="AR1" s="1249"/>
      <c r="AS1" s="1249" t="s">
        <v>948</v>
      </c>
      <c r="AT1" s="1249"/>
      <c r="AU1" s="1249"/>
      <c r="AV1" s="1249"/>
      <c r="AW1" s="1249"/>
      <c r="AX1" s="1249"/>
      <c r="AY1" s="1249"/>
      <c r="AZ1" s="1249"/>
      <c r="BA1" s="1249"/>
      <c r="BB1" s="1249"/>
      <c r="BC1" s="1249"/>
      <c r="BD1" s="1249" t="s">
        <v>949</v>
      </c>
      <c r="BE1" s="1249"/>
      <c r="BF1" s="1249"/>
      <c r="BG1" s="1249"/>
      <c r="BH1" s="1249"/>
      <c r="BI1" s="1249"/>
      <c r="BJ1" s="1249"/>
      <c r="BK1" s="1249"/>
      <c r="BL1" s="1249"/>
      <c r="BM1" s="1249"/>
      <c r="BN1" s="1249"/>
      <c r="BO1" s="1249" t="s">
        <v>846</v>
      </c>
      <c r="BP1" s="1249"/>
      <c r="BQ1" s="1249"/>
      <c r="BR1" s="1249"/>
      <c r="BS1" s="1249"/>
      <c r="BT1" s="1249"/>
      <c r="BU1" s="1249"/>
      <c r="BV1" s="1249"/>
      <c r="BW1" s="1249"/>
      <c r="BX1" s="1249"/>
      <c r="BY1" s="1249"/>
    </row>
    <row r="2" spans="1:83" x14ac:dyDescent="0.2">
      <c r="A2" s="1249">
        <v>2016</v>
      </c>
      <c r="B2" s="1249"/>
      <c r="C2" s="1249"/>
      <c r="D2" s="1249"/>
      <c r="E2" s="1249"/>
      <c r="F2" s="1249"/>
      <c r="G2" s="1249"/>
      <c r="H2" s="1249"/>
      <c r="I2" s="1249"/>
      <c r="J2" s="1249"/>
      <c r="K2" s="1249"/>
      <c r="L2" s="1249">
        <v>2017</v>
      </c>
      <c r="M2" s="1249"/>
      <c r="N2" s="1249"/>
      <c r="O2" s="1249"/>
      <c r="P2" s="1249"/>
      <c r="Q2" s="1249"/>
      <c r="R2" s="1249"/>
      <c r="S2" s="1249"/>
      <c r="T2" s="1249"/>
      <c r="U2" s="1249"/>
      <c r="V2" s="1249"/>
      <c r="W2" s="1249">
        <v>2018</v>
      </c>
      <c r="X2" s="1249"/>
      <c r="Y2" s="1249"/>
      <c r="Z2" s="1249"/>
      <c r="AA2" s="1249"/>
      <c r="AB2" s="1249"/>
      <c r="AC2" s="1249"/>
      <c r="AD2" s="1249"/>
      <c r="AE2" s="1249"/>
      <c r="AF2" s="1249"/>
      <c r="AG2" s="1249"/>
      <c r="AH2" s="1249">
        <v>2019</v>
      </c>
      <c r="AI2" s="1249"/>
      <c r="AJ2" s="1249"/>
      <c r="AK2" s="1249"/>
      <c r="AL2" s="1249"/>
      <c r="AM2" s="1249"/>
      <c r="AN2" s="1249"/>
      <c r="AO2" s="1249"/>
      <c r="AP2" s="1249"/>
      <c r="AQ2" s="1249"/>
      <c r="AR2" s="1249"/>
      <c r="AS2" s="1249">
        <v>2020</v>
      </c>
      <c r="AT2" s="1249"/>
      <c r="AU2" s="1249"/>
      <c r="AV2" s="1249"/>
      <c r="AW2" s="1249"/>
      <c r="AX2" s="1249"/>
      <c r="AY2" s="1249"/>
      <c r="AZ2" s="1249"/>
      <c r="BA2" s="1249"/>
      <c r="BB2" s="1249"/>
      <c r="BC2" s="1249"/>
      <c r="BD2" s="1249">
        <v>2021</v>
      </c>
      <c r="BE2" s="1249"/>
      <c r="BF2" s="1249"/>
      <c r="BG2" s="1249"/>
      <c r="BH2" s="1249"/>
      <c r="BI2" s="1249"/>
      <c r="BJ2" s="1249"/>
      <c r="BK2" s="1249"/>
      <c r="BL2" s="1249"/>
      <c r="BM2" s="1249"/>
      <c r="BN2" s="1249"/>
      <c r="BO2" s="1249">
        <v>2022</v>
      </c>
      <c r="BP2" s="1249"/>
      <c r="BQ2" s="1249"/>
      <c r="BR2" s="1249"/>
      <c r="BS2" s="1249"/>
      <c r="BT2" s="1249"/>
      <c r="BU2" s="1249"/>
      <c r="BV2" s="1249"/>
      <c r="BW2" s="1249"/>
      <c r="BX2" s="1249"/>
      <c r="BY2" s="1249"/>
    </row>
    <row r="3" spans="1:83" x14ac:dyDescent="0.2">
      <c r="A3" s="16" t="s">
        <v>1253</v>
      </c>
      <c r="B3" s="16" t="s">
        <v>1254</v>
      </c>
      <c r="C3" s="16" t="s">
        <v>1255</v>
      </c>
      <c r="D3" s="16" t="s">
        <v>1256</v>
      </c>
      <c r="E3" s="16" t="s">
        <v>1257</v>
      </c>
      <c r="F3" s="16" t="s">
        <v>1258</v>
      </c>
      <c r="G3" s="16" t="s">
        <v>1259</v>
      </c>
      <c r="H3" s="16" t="s">
        <v>1260</v>
      </c>
      <c r="I3" s="16" t="s">
        <v>1261</v>
      </c>
      <c r="J3" s="16" t="s">
        <v>1262</v>
      </c>
      <c r="K3" s="16" t="s">
        <v>1263</v>
      </c>
      <c r="L3" s="16" t="s">
        <v>1253</v>
      </c>
      <c r="M3" s="16" t="s">
        <v>1254</v>
      </c>
      <c r="N3" s="16" t="s">
        <v>1255</v>
      </c>
      <c r="O3" s="16" t="s">
        <v>1256</v>
      </c>
      <c r="P3" s="16" t="s">
        <v>1257</v>
      </c>
      <c r="Q3" s="16" t="s">
        <v>1258</v>
      </c>
      <c r="R3" s="16" t="s">
        <v>1259</v>
      </c>
      <c r="S3" s="16" t="s">
        <v>1260</v>
      </c>
      <c r="T3" s="16" t="s">
        <v>1261</v>
      </c>
      <c r="U3" s="16" t="s">
        <v>1262</v>
      </c>
      <c r="V3" s="16" t="s">
        <v>1263</v>
      </c>
      <c r="W3" s="16" t="s">
        <v>1253</v>
      </c>
      <c r="X3" s="16" t="s">
        <v>1254</v>
      </c>
      <c r="Y3" s="16" t="s">
        <v>1255</v>
      </c>
      <c r="Z3" s="16" t="s">
        <v>1256</v>
      </c>
      <c r="AA3" s="16" t="s">
        <v>1257</v>
      </c>
      <c r="AB3" s="16" t="s">
        <v>1258</v>
      </c>
      <c r="AC3" s="16" t="s">
        <v>1259</v>
      </c>
      <c r="AD3" s="16" t="s">
        <v>1260</v>
      </c>
      <c r="AE3" s="16" t="s">
        <v>1261</v>
      </c>
      <c r="AF3" s="16" t="s">
        <v>1262</v>
      </c>
      <c r="AG3" s="16" t="s">
        <v>1263</v>
      </c>
      <c r="AH3" s="16" t="s">
        <v>1253</v>
      </c>
      <c r="AI3" s="16" t="s">
        <v>1254</v>
      </c>
      <c r="AJ3" s="16" t="s">
        <v>1255</v>
      </c>
      <c r="AK3" s="16" t="s">
        <v>1256</v>
      </c>
      <c r="AL3" s="16" t="s">
        <v>1257</v>
      </c>
      <c r="AM3" s="16" t="s">
        <v>1258</v>
      </c>
      <c r="AN3" s="16" t="s">
        <v>1259</v>
      </c>
      <c r="AO3" s="16" t="s">
        <v>1260</v>
      </c>
      <c r="AP3" s="16" t="s">
        <v>1261</v>
      </c>
      <c r="AQ3" s="16" t="s">
        <v>1262</v>
      </c>
      <c r="AR3" s="16" t="s">
        <v>1263</v>
      </c>
      <c r="AS3" s="16" t="s">
        <v>1253</v>
      </c>
      <c r="AT3" s="16" t="s">
        <v>1254</v>
      </c>
      <c r="AU3" s="16" t="s">
        <v>1255</v>
      </c>
      <c r="AV3" s="16" t="s">
        <v>1256</v>
      </c>
      <c r="AW3" s="16" t="s">
        <v>1257</v>
      </c>
      <c r="AX3" s="16" t="s">
        <v>1258</v>
      </c>
      <c r="AY3" s="16" t="s">
        <v>1259</v>
      </c>
      <c r="AZ3" s="16" t="s">
        <v>1260</v>
      </c>
      <c r="BA3" s="16" t="s">
        <v>1261</v>
      </c>
      <c r="BB3" s="16" t="s">
        <v>1262</v>
      </c>
      <c r="BC3" s="16" t="s">
        <v>1263</v>
      </c>
      <c r="BD3" s="16" t="s">
        <v>1253</v>
      </c>
      <c r="BE3" s="16" t="s">
        <v>1254</v>
      </c>
      <c r="BF3" s="16" t="s">
        <v>1255</v>
      </c>
      <c r="BG3" s="16" t="s">
        <v>1256</v>
      </c>
      <c r="BH3" s="16" t="s">
        <v>1257</v>
      </c>
      <c r="BI3" s="16" t="s">
        <v>1258</v>
      </c>
      <c r="BJ3" s="16" t="s">
        <v>1259</v>
      </c>
      <c r="BK3" s="16" t="s">
        <v>1260</v>
      </c>
      <c r="BL3" s="16" t="s">
        <v>1261</v>
      </c>
      <c r="BM3" s="16" t="s">
        <v>1262</v>
      </c>
      <c r="BN3" s="16" t="s">
        <v>1263</v>
      </c>
      <c r="BO3" s="16" t="s">
        <v>1253</v>
      </c>
      <c r="BP3" s="16" t="s">
        <v>1254</v>
      </c>
      <c r="BQ3" s="16" t="s">
        <v>1255</v>
      </c>
      <c r="BR3" s="16" t="s">
        <v>1256</v>
      </c>
      <c r="BS3" s="16" t="s">
        <v>1257</v>
      </c>
      <c r="BT3" s="16" t="s">
        <v>1258</v>
      </c>
      <c r="BU3" s="16" t="s">
        <v>1259</v>
      </c>
      <c r="BV3" s="16" t="s">
        <v>1260</v>
      </c>
      <c r="BW3" s="16" t="s">
        <v>1261</v>
      </c>
      <c r="BX3" s="16" t="s">
        <v>1262</v>
      </c>
      <c r="BY3" s="16" t="s">
        <v>1263</v>
      </c>
      <c r="BZ3" s="43"/>
      <c r="CA3" s="43"/>
      <c r="CB3" s="43"/>
      <c r="CC3" s="43"/>
      <c r="CD3" s="43"/>
      <c r="CE3" s="43"/>
    </row>
    <row r="4" spans="1:83" x14ac:dyDescent="0.2">
      <c r="A4" s="15">
        <v>1</v>
      </c>
      <c r="B4" s="15">
        <v>1.2</v>
      </c>
      <c r="C4" s="15">
        <f>$B$4*B4</f>
        <v>1.44</v>
      </c>
      <c r="D4" s="15">
        <f t="shared" ref="D4:K4" si="0">$B$4*C4</f>
        <v>1.728</v>
      </c>
      <c r="E4" s="15">
        <f t="shared" si="0"/>
        <v>2.0735999999999999</v>
      </c>
      <c r="F4" s="15">
        <f t="shared" si="0"/>
        <v>2.4883199999999999</v>
      </c>
      <c r="G4" s="15">
        <f t="shared" si="0"/>
        <v>2.9859839999999997</v>
      </c>
      <c r="H4" s="15">
        <f t="shared" si="0"/>
        <v>3.5831807999999996</v>
      </c>
      <c r="I4" s="15">
        <f t="shared" si="0"/>
        <v>4.2998169599999994</v>
      </c>
      <c r="J4" s="15">
        <f t="shared" si="0"/>
        <v>5.1597803519999994</v>
      </c>
      <c r="K4" s="15">
        <f t="shared" si="0"/>
        <v>6.1917364223999991</v>
      </c>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row>
    <row r="5" spans="1:83" x14ac:dyDescent="0.2">
      <c r="A5" s="15"/>
      <c r="B5" s="15"/>
      <c r="C5" s="15"/>
      <c r="D5" s="15"/>
      <c r="E5" s="15"/>
      <c r="F5" s="15"/>
      <c r="G5" s="15"/>
      <c r="H5" s="15"/>
      <c r="I5" s="15"/>
      <c r="J5" s="15"/>
      <c r="K5" s="15">
        <f>SUM(A4:K4)</f>
        <v>32.150418534399996</v>
      </c>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row>
    <row r="6" spans="1:83" x14ac:dyDescent="0.2">
      <c r="A6" s="30">
        <f>$B$11*A4/32</f>
        <v>3.8822515744441382</v>
      </c>
      <c r="B6" s="30">
        <f t="shared" ref="B6:J6" si="1">$B$11*B4/32</f>
        <v>4.6587018893329653</v>
      </c>
      <c r="C6" s="30">
        <f t="shared" si="1"/>
        <v>5.5904422671995588</v>
      </c>
      <c r="D6" s="30">
        <f t="shared" si="1"/>
        <v>6.7085307206394704</v>
      </c>
      <c r="E6" s="30">
        <f t="shared" si="1"/>
        <v>8.0502368647673652</v>
      </c>
      <c r="F6" s="30">
        <f t="shared" si="1"/>
        <v>9.6602842377208376</v>
      </c>
      <c r="G6" s="30">
        <f t="shared" si="1"/>
        <v>11.592341085265005</v>
      </c>
      <c r="H6" s="30">
        <f t="shared" si="1"/>
        <v>13.910809302318006</v>
      </c>
      <c r="I6" s="30">
        <f t="shared" si="1"/>
        <v>16.692971162781607</v>
      </c>
      <c r="J6" s="30">
        <f t="shared" si="1"/>
        <v>20.031565395337928</v>
      </c>
      <c r="K6" s="30">
        <f>$B$11*K4/32-0.58396</f>
        <v>23.453918474405512</v>
      </c>
      <c r="L6" s="16">
        <v>49</v>
      </c>
      <c r="M6" s="16">
        <v>50</v>
      </c>
      <c r="N6" s="16">
        <v>50</v>
      </c>
      <c r="O6" s="16">
        <v>100</v>
      </c>
      <c r="P6" s="16">
        <v>100</v>
      </c>
      <c r="Q6" s="16">
        <v>100</v>
      </c>
      <c r="R6" s="16">
        <v>120</v>
      </c>
      <c r="S6" s="16">
        <v>150</v>
      </c>
      <c r="T6" s="16">
        <v>150</v>
      </c>
      <c r="U6" s="16">
        <v>150</v>
      </c>
      <c r="V6" s="16">
        <f>150+0.2428</f>
        <v>150.24279999999999</v>
      </c>
      <c r="W6" s="16">
        <v>150</v>
      </c>
      <c r="X6" s="16">
        <v>153</v>
      </c>
      <c r="Y6" s="16">
        <v>155</v>
      </c>
      <c r="Z6" s="16">
        <v>158</v>
      </c>
      <c r="AA6" s="16">
        <v>161</v>
      </c>
      <c r="AB6" s="16">
        <v>165</v>
      </c>
      <c r="AC6" s="16">
        <v>168</v>
      </c>
      <c r="AD6" s="16">
        <v>171</v>
      </c>
      <c r="AE6" s="16">
        <v>174</v>
      </c>
      <c r="AF6" s="16">
        <v>177</v>
      </c>
      <c r="AG6" s="16">
        <f>180+0.3264</f>
        <v>180.32640000000001</v>
      </c>
      <c r="AH6" s="16">
        <v>185</v>
      </c>
      <c r="AI6" s="16">
        <v>200</v>
      </c>
      <c r="AJ6" s="16">
        <v>215</v>
      </c>
      <c r="AK6" s="16">
        <v>230</v>
      </c>
      <c r="AL6" s="16">
        <v>245</v>
      </c>
      <c r="AM6" s="16">
        <v>260</v>
      </c>
      <c r="AN6" s="16">
        <v>270</v>
      </c>
      <c r="AO6" s="16">
        <v>285</v>
      </c>
      <c r="AP6" s="16">
        <v>298</v>
      </c>
      <c r="AQ6" s="16">
        <v>305</v>
      </c>
      <c r="AR6" s="16">
        <f>313+0.1828</f>
        <v>313.18279999999999</v>
      </c>
      <c r="AS6" s="16">
        <v>316</v>
      </c>
      <c r="AT6" s="16">
        <v>316</v>
      </c>
      <c r="AU6" s="16">
        <v>316</v>
      </c>
      <c r="AV6" s="16">
        <v>320</v>
      </c>
      <c r="AW6" s="16">
        <v>320</v>
      </c>
      <c r="AX6" s="16">
        <v>320</v>
      </c>
      <c r="AY6" s="16">
        <v>320</v>
      </c>
      <c r="AZ6" s="16">
        <v>320</v>
      </c>
      <c r="BA6" s="16">
        <v>320</v>
      </c>
      <c r="BB6" s="16">
        <v>320</v>
      </c>
      <c r="BC6" s="16">
        <f>320-0.2715</f>
        <v>319.7285</v>
      </c>
      <c r="BD6" s="16">
        <v>366</v>
      </c>
      <c r="BE6" s="16">
        <v>366</v>
      </c>
      <c r="BF6" s="16">
        <v>366</v>
      </c>
      <c r="BG6" s="16">
        <v>367</v>
      </c>
      <c r="BH6" s="16">
        <v>367</v>
      </c>
      <c r="BI6" s="16">
        <v>367</v>
      </c>
      <c r="BJ6" s="16">
        <v>367</v>
      </c>
      <c r="BK6" s="16">
        <v>367</v>
      </c>
      <c r="BL6" s="16">
        <v>367</v>
      </c>
      <c r="BM6" s="16">
        <v>367</v>
      </c>
      <c r="BN6" s="16">
        <f>367-0.1122</f>
        <v>366.88780000000003</v>
      </c>
      <c r="BO6" s="16">
        <v>366</v>
      </c>
      <c r="BP6" s="16">
        <v>366</v>
      </c>
      <c r="BQ6" s="16">
        <v>366</v>
      </c>
      <c r="BR6" s="16">
        <v>367</v>
      </c>
      <c r="BS6" s="16">
        <v>367</v>
      </c>
      <c r="BT6" s="16">
        <v>367</v>
      </c>
      <c r="BU6" s="16">
        <v>367</v>
      </c>
      <c r="BV6" s="16">
        <v>367</v>
      </c>
      <c r="BW6" s="16">
        <v>367</v>
      </c>
      <c r="BX6" s="16">
        <v>367</v>
      </c>
      <c r="BY6" s="16">
        <f>367-0.1122</f>
        <v>366.88780000000003</v>
      </c>
      <c r="BZ6" s="43"/>
      <c r="CA6" s="43"/>
      <c r="CB6" s="43"/>
      <c r="CC6" s="43"/>
      <c r="CD6" s="43"/>
      <c r="CE6" s="43"/>
    </row>
    <row r="7" spans="1:83" x14ac:dyDescent="0.2">
      <c r="K7">
        <f>SUM(A6:K6)</f>
        <v>124.23205297421238</v>
      </c>
      <c r="V7" s="977">
        <f>SUM(L6:V6)</f>
        <v>1169.2428</v>
      </c>
      <c r="AG7" s="976">
        <f>SUM(W6:AG6)</f>
        <v>1812.3263999999999</v>
      </c>
      <c r="AR7" s="977">
        <f>SUM(AH6:AR6)</f>
        <v>2806.1828</v>
      </c>
      <c r="BC7" s="977">
        <f>SUM(AS6:BC6)</f>
        <v>3507.7285000000002</v>
      </c>
      <c r="BN7" s="977">
        <f>SUM(BD6:BN6)</f>
        <v>4033.8878</v>
      </c>
      <c r="BY7">
        <f>SUM(BO6:BY6)</f>
        <v>4033.8878</v>
      </c>
    </row>
    <row r="8" spans="1:83" x14ac:dyDescent="0.2">
      <c r="A8" t="s">
        <v>1264</v>
      </c>
      <c r="K8" s="978">
        <f>K7-B11</f>
        <v>2.5919999586676568E-6</v>
      </c>
      <c r="V8">
        <f>1169/11</f>
        <v>106.27272727272727</v>
      </c>
      <c r="AG8">
        <f>1812/11</f>
        <v>164.72727272727272</v>
      </c>
      <c r="AR8">
        <v>2806.1827851040921</v>
      </c>
      <c r="BC8">
        <v>3507.7284813801152</v>
      </c>
      <c r="BN8">
        <v>4033.8877535871325</v>
      </c>
      <c r="BY8">
        <v>4033.8877535871325</v>
      </c>
    </row>
    <row r="9" spans="1:83" x14ac:dyDescent="0.2">
      <c r="V9" s="977">
        <f>C11</f>
        <v>1169.2428271267052</v>
      </c>
      <c r="AG9">
        <v>1812.3263820463928</v>
      </c>
      <c r="AR9" s="977">
        <f>AR7-AR8</f>
        <v>1.4895907952450216E-5</v>
      </c>
      <c r="BC9" s="977">
        <f>BC7-BC8</f>
        <v>1.861988494056277E-5</v>
      </c>
      <c r="BN9" s="977">
        <f>BN7-BN8</f>
        <v>4.6412867504841415E-5</v>
      </c>
      <c r="BY9" s="979">
        <f>BY7-BY8</f>
        <v>4.6412867504841415E-5</v>
      </c>
    </row>
    <row r="10" spans="1:83" x14ac:dyDescent="0.2">
      <c r="B10" s="975">
        <v>2017</v>
      </c>
      <c r="C10" s="1102">
        <v>2018</v>
      </c>
      <c r="D10" s="1102">
        <v>2019</v>
      </c>
      <c r="E10" s="1102">
        <v>2020</v>
      </c>
      <c r="F10" s="1102">
        <v>2021</v>
      </c>
      <c r="G10" s="1102">
        <v>2022</v>
      </c>
      <c r="H10" s="1102">
        <v>2023</v>
      </c>
      <c r="V10" s="977">
        <f>V7-V9</f>
        <v>-2.7126705163027509E-5</v>
      </c>
      <c r="AG10" s="977">
        <f>AG7-AG9</f>
        <v>1.7953607084564283E-5</v>
      </c>
    </row>
    <row r="11" spans="1:83" x14ac:dyDescent="0.2">
      <c r="A11" s="15" t="s">
        <v>1265</v>
      </c>
      <c r="B11" s="30">
        <v>124.23205038221242</v>
      </c>
      <c r="C11" s="30">
        <v>1169.2428271267052</v>
      </c>
      <c r="D11" s="30">
        <v>1812.3263820463928</v>
      </c>
      <c r="E11" s="30">
        <v>2806.1827851040921</v>
      </c>
      <c r="F11" s="30">
        <v>3507.7284813801152</v>
      </c>
      <c r="G11" s="30">
        <v>4033.8877535871325</v>
      </c>
      <c r="H11" s="30">
        <v>4033.8877535871325</v>
      </c>
    </row>
    <row r="14" spans="1:83" x14ac:dyDescent="0.2">
      <c r="A14" t="s">
        <v>1266</v>
      </c>
      <c r="G14" s="1249">
        <v>2016</v>
      </c>
      <c r="H14" s="1249"/>
      <c r="I14" s="1249"/>
      <c r="J14" s="1249"/>
      <c r="K14" s="1249"/>
      <c r="L14" s="1249"/>
      <c r="M14" s="1249"/>
      <c r="N14" s="1249"/>
      <c r="O14" s="1249"/>
      <c r="P14" s="1249"/>
      <c r="Q14" s="1249"/>
      <c r="R14" s="1249">
        <v>2017</v>
      </c>
      <c r="S14" s="1249"/>
      <c r="T14" s="1249"/>
      <c r="U14" s="1249"/>
      <c r="V14" s="1249"/>
      <c r="W14" s="1249"/>
      <c r="X14" s="1249"/>
      <c r="Y14" s="1249"/>
      <c r="Z14" s="1249"/>
      <c r="AA14" s="1249"/>
      <c r="AB14" s="1249"/>
      <c r="AC14" s="1249">
        <v>2018</v>
      </c>
      <c r="AD14" s="1249"/>
      <c r="AE14" s="1249"/>
      <c r="AF14" s="1249"/>
      <c r="AG14" s="1249"/>
      <c r="AH14" s="1249"/>
      <c r="AI14" s="1249"/>
      <c r="AJ14" s="1249"/>
      <c r="AK14" s="1249"/>
      <c r="AL14" s="1249"/>
      <c r="AM14" s="1249"/>
      <c r="AN14" s="1249">
        <v>2019</v>
      </c>
      <c r="AO14" s="1249"/>
      <c r="AP14" s="1249"/>
      <c r="AQ14" s="1249"/>
      <c r="AR14" s="1249"/>
      <c r="AS14" s="1249"/>
      <c r="AT14" s="1249"/>
      <c r="AU14" s="1249"/>
      <c r="AV14" s="1249"/>
      <c r="AW14" s="1249"/>
      <c r="AX14" s="1249"/>
      <c r="AY14" s="1249">
        <v>2020</v>
      </c>
      <c r="AZ14" s="1249"/>
      <c r="BA14" s="1249"/>
      <c r="BB14" s="1249"/>
      <c r="BC14" s="1249"/>
      <c r="BD14" s="1249"/>
      <c r="BE14" s="1249"/>
      <c r="BF14" s="1249"/>
      <c r="BG14" s="1249"/>
      <c r="BH14" s="1249"/>
      <c r="BI14" s="1249"/>
      <c r="BJ14" s="1249">
        <v>2021</v>
      </c>
      <c r="BK14" s="1249"/>
      <c r="BL14" s="1249"/>
      <c r="BM14" s="1249"/>
      <c r="BN14" s="1249"/>
      <c r="BO14" s="1249"/>
      <c r="BP14" s="1249"/>
      <c r="BQ14" s="1249"/>
      <c r="BR14" s="1249"/>
      <c r="BS14" s="1249"/>
      <c r="BT14" s="1249"/>
      <c r="BU14" s="1249">
        <v>2022</v>
      </c>
      <c r="BV14" s="1249"/>
      <c r="BW14" s="1249"/>
      <c r="BX14" s="1249"/>
      <c r="BY14" s="1249"/>
      <c r="BZ14" s="1249"/>
      <c r="CA14" s="1249"/>
      <c r="CB14" s="1249"/>
      <c r="CC14" s="1249"/>
      <c r="CD14" s="1249"/>
      <c r="CE14" s="1249"/>
    </row>
    <row r="15" spans="1:83" x14ac:dyDescent="0.2">
      <c r="G15" s="1250">
        <f>SUM(A6:F6)</f>
        <v>38.550447554104338</v>
      </c>
      <c r="H15" s="1249"/>
      <c r="I15" s="1249"/>
      <c r="J15" s="1249"/>
      <c r="K15" s="1249"/>
      <c r="L15" s="1249"/>
      <c r="M15" s="1249"/>
      <c r="N15" s="1249"/>
      <c r="O15" s="1249"/>
      <c r="P15" s="1249"/>
      <c r="Q15" s="1249"/>
      <c r="R15" s="1250">
        <f>SUM(G6:Q6)</f>
        <v>534.6816054201081</v>
      </c>
      <c r="S15" s="1249"/>
      <c r="T15" s="1249"/>
      <c r="U15" s="1249"/>
      <c r="V15" s="1249"/>
      <c r="W15" s="1249"/>
      <c r="X15" s="1249"/>
      <c r="Y15" s="1249"/>
      <c r="Z15" s="1249"/>
      <c r="AA15" s="1249"/>
      <c r="AB15" s="1249"/>
      <c r="AC15" s="1249">
        <f>SUM(R6:AB6)</f>
        <v>1662.2428</v>
      </c>
      <c r="AD15" s="1249"/>
      <c r="AE15" s="1249"/>
      <c r="AF15" s="1249"/>
      <c r="AG15" s="1249"/>
      <c r="AH15" s="1249"/>
      <c r="AI15" s="1249"/>
      <c r="AJ15" s="1249"/>
      <c r="AK15" s="1249"/>
      <c r="AL15" s="1249"/>
      <c r="AM15" s="1249"/>
      <c r="AN15" s="1249">
        <f>SUM(AC6:AM6)</f>
        <v>2205.3263999999999</v>
      </c>
      <c r="AO15" s="1249"/>
      <c r="AP15" s="1249"/>
      <c r="AQ15" s="1249"/>
      <c r="AR15" s="1249"/>
      <c r="AS15" s="1249"/>
      <c r="AT15" s="1249"/>
      <c r="AU15" s="1249"/>
      <c r="AV15" s="1249"/>
      <c r="AW15" s="1249"/>
      <c r="AX15" s="1249"/>
      <c r="AY15" s="1249">
        <f>SUM(AN6:AX6)</f>
        <v>3379.1828</v>
      </c>
      <c r="AZ15" s="1249"/>
      <c r="BA15" s="1249"/>
      <c r="BB15" s="1249"/>
      <c r="BC15" s="1249"/>
      <c r="BD15" s="1249"/>
      <c r="BE15" s="1249"/>
      <c r="BF15" s="1249"/>
      <c r="BG15" s="1249"/>
      <c r="BH15" s="1249"/>
      <c r="BI15" s="1249"/>
      <c r="BJ15" s="1246">
        <f>SUM(AY6:BI6)</f>
        <v>3798.7285000000002</v>
      </c>
      <c r="BK15" s="1247"/>
      <c r="BL15" s="1247"/>
      <c r="BM15" s="1247"/>
      <c r="BN15" s="1247"/>
      <c r="BO15" s="1247"/>
      <c r="BP15" s="1247"/>
      <c r="BQ15" s="1247"/>
      <c r="BR15" s="1247"/>
      <c r="BS15" s="1247"/>
      <c r="BT15" s="1248"/>
      <c r="BU15" s="1246">
        <f>SUM(BJ6:BT6)</f>
        <v>4033.8878</v>
      </c>
      <c r="BV15" s="1247"/>
      <c r="BW15" s="1247"/>
      <c r="BX15" s="1247"/>
      <c r="BY15" s="1247"/>
      <c r="BZ15" s="1247"/>
      <c r="CA15" s="1247"/>
      <c r="CB15" s="1247"/>
      <c r="CC15" s="1247"/>
      <c r="CD15" s="1247"/>
      <c r="CE15" s="1248"/>
    </row>
    <row r="19" spans="1:10" x14ac:dyDescent="0.2">
      <c r="B19" s="1102">
        <v>2017</v>
      </c>
      <c r="C19" s="1102">
        <v>2018</v>
      </c>
      <c r="D19" s="1102">
        <v>2019</v>
      </c>
      <c r="E19" s="1102">
        <v>2020</v>
      </c>
      <c r="F19" s="1102">
        <v>2021</v>
      </c>
      <c r="G19" s="1102">
        <v>2022</v>
      </c>
      <c r="H19" s="1102">
        <v>2023</v>
      </c>
      <c r="I19" s="975">
        <v>2024</v>
      </c>
      <c r="J19" s="975">
        <v>2025</v>
      </c>
    </row>
    <row r="20" spans="1:10" x14ac:dyDescent="0.2">
      <c r="A20" s="15" t="s">
        <v>1265</v>
      </c>
      <c r="B20" s="1101">
        <v>124.23205038221242</v>
      </c>
      <c r="C20" s="30">
        <f>R15</f>
        <v>534.6816054201081</v>
      </c>
      <c r="D20" s="30">
        <f>AC15</f>
        <v>1662.2428</v>
      </c>
      <c r="E20" s="30">
        <f>AN15</f>
        <v>2205.3263999999999</v>
      </c>
      <c r="F20" s="30">
        <f>AY15</f>
        <v>3379.1828</v>
      </c>
      <c r="G20" s="30">
        <f>BJ15</f>
        <v>3798.7285000000002</v>
      </c>
      <c r="H20" s="30">
        <f>BU15</f>
        <v>4033.8878</v>
      </c>
      <c r="I20" s="30">
        <f>H20</f>
        <v>4033.8878</v>
      </c>
      <c r="J20" s="30">
        <f>I20</f>
        <v>4033.8878</v>
      </c>
    </row>
    <row r="21" spans="1:10" x14ac:dyDescent="0.2">
      <c r="A21" s="14"/>
      <c r="B21" s="30">
        <v>124.23205038221242</v>
      </c>
      <c r="C21" s="30">
        <v>1169.2428271267052</v>
      </c>
      <c r="D21" s="30">
        <v>1812.3263820463928</v>
      </c>
      <c r="E21" s="30">
        <v>2806.1827851040921</v>
      </c>
      <c r="F21" s="30">
        <v>3507.7284813801152</v>
      </c>
      <c r="G21" s="30">
        <v>4033.8877535871325</v>
      </c>
      <c r="H21" s="30">
        <v>4033.8877535871325</v>
      </c>
      <c r="I21" s="30">
        <f>I20-I24</f>
        <v>4033.8878</v>
      </c>
      <c r="J21" s="30">
        <f>J20-J24</f>
        <v>4033.8878464128675</v>
      </c>
    </row>
    <row r="22" spans="1:10" x14ac:dyDescent="0.2">
      <c r="B22" s="30">
        <v>124.23205038221242</v>
      </c>
      <c r="C22" s="30">
        <v>1169.2428271267052</v>
      </c>
      <c r="D22" s="30">
        <v>1812.3263820463928</v>
      </c>
      <c r="E22" s="30">
        <v>2806.1827851040921</v>
      </c>
      <c r="F22" s="30">
        <v>3507.7284813801152</v>
      </c>
      <c r="G22" s="30">
        <v>4033.8877535871325</v>
      </c>
      <c r="H22" s="30">
        <v>4033.8877535871325</v>
      </c>
      <c r="I22" s="30">
        <f>H22</f>
        <v>4033.8877535871325</v>
      </c>
      <c r="J22" s="30">
        <f>I22</f>
        <v>4033.8877535871325</v>
      </c>
    </row>
    <row r="23" spans="1:10" x14ac:dyDescent="0.2">
      <c r="B23" s="974">
        <f>B20/B22</f>
        <v>1</v>
      </c>
      <c r="C23" s="974">
        <f>C21/C22</f>
        <v>1</v>
      </c>
      <c r="D23" s="974">
        <f>D21/D22</f>
        <v>1</v>
      </c>
      <c r="E23" s="974">
        <f t="shared" ref="E23:J23" si="2">E21/E22</f>
        <v>1</v>
      </c>
      <c r="F23" s="974">
        <f t="shared" si="2"/>
        <v>1</v>
      </c>
      <c r="G23" s="974">
        <f t="shared" si="2"/>
        <v>1</v>
      </c>
      <c r="H23" s="974">
        <f t="shared" si="2"/>
        <v>1</v>
      </c>
      <c r="I23" s="974">
        <f t="shared" si="2"/>
        <v>1.000000011505741</v>
      </c>
      <c r="J23" s="974">
        <f t="shared" si="2"/>
        <v>1.0000000230114818</v>
      </c>
    </row>
    <row r="24" spans="1:10" x14ac:dyDescent="0.2">
      <c r="C24" s="973">
        <f>B22-B21</f>
        <v>0</v>
      </c>
      <c r="D24" s="973">
        <f>C22-C21</f>
        <v>0</v>
      </c>
      <c r="E24" s="973">
        <f t="shared" ref="E24:J24" si="3">D22-D21</f>
        <v>0</v>
      </c>
      <c r="F24" s="973">
        <f t="shared" si="3"/>
        <v>0</v>
      </c>
      <c r="G24" s="973">
        <f t="shared" si="3"/>
        <v>0</v>
      </c>
      <c r="H24" s="973">
        <f t="shared" si="3"/>
        <v>0</v>
      </c>
      <c r="I24" s="973">
        <f t="shared" si="3"/>
        <v>0</v>
      </c>
      <c r="J24" s="973">
        <f t="shared" si="3"/>
        <v>-4.6412867504841415E-5</v>
      </c>
    </row>
    <row r="25" spans="1:10" x14ac:dyDescent="0.2">
      <c r="C25" s="30">
        <v>124.23205038221242</v>
      </c>
      <c r="D25" s="30">
        <v>1169.2428271267052</v>
      </c>
      <c r="E25" s="30">
        <v>1812.3263820463928</v>
      </c>
      <c r="F25" s="30">
        <v>2806.1827851040921</v>
      </c>
      <c r="G25" s="30">
        <v>3507.7284813801152</v>
      </c>
      <c r="H25" s="30">
        <v>4033.8877535871325</v>
      </c>
      <c r="I25" s="30">
        <v>4033.8877535871325</v>
      </c>
      <c r="J25" s="30">
        <f>I25</f>
        <v>4033.8877535871325</v>
      </c>
    </row>
    <row r="26" spans="1:10" x14ac:dyDescent="0.2">
      <c r="C26" s="974">
        <f t="shared" ref="C26:J26" si="4">C24/C25</f>
        <v>0</v>
      </c>
      <c r="D26" s="974">
        <f t="shared" si="4"/>
        <v>0</v>
      </c>
      <c r="E26" s="974">
        <f t="shared" si="4"/>
        <v>0</v>
      </c>
      <c r="F26" s="974">
        <f t="shared" si="4"/>
        <v>0</v>
      </c>
      <c r="G26" s="974">
        <f t="shared" si="4"/>
        <v>0</v>
      </c>
      <c r="H26" s="974">
        <f t="shared" si="4"/>
        <v>0</v>
      </c>
      <c r="I26" s="974">
        <f t="shared" si="4"/>
        <v>0</v>
      </c>
      <c r="J26" s="974">
        <f t="shared" si="4"/>
        <v>-1.1505740947692161E-8</v>
      </c>
    </row>
    <row r="27" spans="1:10" x14ac:dyDescent="0.2">
      <c r="C27" s="364"/>
      <c r="D27" s="364"/>
      <c r="E27" s="364"/>
      <c r="F27" s="364"/>
      <c r="G27" s="364"/>
      <c r="H27" s="364"/>
    </row>
    <row r="29" spans="1:10" x14ac:dyDescent="0.2">
      <c r="B29" s="30">
        <v>38.550447554104338</v>
      </c>
      <c r="C29" s="30">
        <v>449.00000259199999</v>
      </c>
      <c r="D29" s="30">
        <v>941.99997546529482</v>
      </c>
      <c r="E29" s="30">
        <v>1334.9999934189018</v>
      </c>
      <c r="F29" s="30">
        <v>1908.0000083148097</v>
      </c>
      <c r="G29" s="30">
        <v>2199.0000269346947</v>
      </c>
      <c r="H29" s="30">
        <v>2199.0000733475622</v>
      </c>
    </row>
    <row r="31" spans="1:10" x14ac:dyDescent="0.2">
      <c r="A31" s="755" t="s">
        <v>1267</v>
      </c>
    </row>
    <row r="34" spans="1:2" x14ac:dyDescent="0.2">
      <c r="A34" s="3" t="s">
        <v>932</v>
      </c>
      <c r="B34" s="137" t="s">
        <v>1269</v>
      </c>
    </row>
    <row r="35" spans="1:2" x14ac:dyDescent="0.2">
      <c r="A35" s="3" t="s">
        <v>18</v>
      </c>
      <c r="B35" s="137" t="s">
        <v>1269</v>
      </c>
    </row>
    <row r="36" spans="1:2" x14ac:dyDescent="0.2">
      <c r="A36" s="14" t="s">
        <v>209</v>
      </c>
      <c r="B36" s="137" t="s">
        <v>1268</v>
      </c>
    </row>
    <row r="37" spans="1:2" x14ac:dyDescent="0.2">
      <c r="A37" s="3" t="s">
        <v>935</v>
      </c>
      <c r="B37" s="137" t="s">
        <v>1269</v>
      </c>
    </row>
    <row r="38" spans="1:2" x14ac:dyDescent="0.2">
      <c r="A38" s="14" t="s">
        <v>937</v>
      </c>
      <c r="B38" s="137" t="s">
        <v>1270</v>
      </c>
    </row>
    <row r="39" spans="1:2" x14ac:dyDescent="0.2">
      <c r="A39" s="3" t="s">
        <v>522</v>
      </c>
      <c r="B39" s="137" t="s">
        <v>1270</v>
      </c>
    </row>
    <row r="40" spans="1:2" x14ac:dyDescent="0.2">
      <c r="A40" s="3" t="s">
        <v>950</v>
      </c>
      <c r="B40" s="137" t="s">
        <v>1269</v>
      </c>
    </row>
    <row r="41" spans="1:2" x14ac:dyDescent="0.2">
      <c r="A41" s="3" t="s">
        <v>938</v>
      </c>
      <c r="B41" s="137" t="s">
        <v>1269</v>
      </c>
    </row>
    <row r="42" spans="1:2" x14ac:dyDescent="0.2">
      <c r="A42" s="3" t="s">
        <v>939</v>
      </c>
      <c r="B42" s="137" t="s">
        <v>1271</v>
      </c>
    </row>
    <row r="43" spans="1:2" x14ac:dyDescent="0.2">
      <c r="A43" s="3" t="s">
        <v>944</v>
      </c>
      <c r="B43" s="137" t="s">
        <v>1272</v>
      </c>
    </row>
    <row r="44" spans="1:2" x14ac:dyDescent="0.2">
      <c r="A44" s="3" t="s">
        <v>951</v>
      </c>
      <c r="B44" s="137" t="s">
        <v>1269</v>
      </c>
    </row>
    <row r="45" spans="1:2" x14ac:dyDescent="0.2">
      <c r="A45" s="872" t="s">
        <v>1219</v>
      </c>
      <c r="B45" s="137" t="s">
        <v>1274</v>
      </c>
    </row>
    <row r="46" spans="1:2" x14ac:dyDescent="0.2">
      <c r="A46" s="3" t="s">
        <v>941</v>
      </c>
      <c r="B46" s="137" t="s">
        <v>1273</v>
      </c>
    </row>
    <row r="47" spans="1:2" x14ac:dyDescent="0.2">
      <c r="A47" s="3" t="s">
        <v>952</v>
      </c>
      <c r="B47" s="137" t="s">
        <v>1273</v>
      </c>
    </row>
    <row r="48" spans="1:2" x14ac:dyDescent="0.2">
      <c r="A48" s="3" t="s">
        <v>942</v>
      </c>
      <c r="B48" s="137" t="s">
        <v>1275</v>
      </c>
    </row>
    <row r="49" spans="1:2" x14ac:dyDescent="0.2">
      <c r="A49" s="3" t="s">
        <v>508</v>
      </c>
      <c r="B49" s="137" t="s">
        <v>1276</v>
      </c>
    </row>
    <row r="50" spans="1:2" x14ac:dyDescent="0.2">
      <c r="A50" s="14" t="s">
        <v>307</v>
      </c>
      <c r="B50" s="137" t="s">
        <v>1277</v>
      </c>
    </row>
    <row r="51" spans="1:2" x14ac:dyDescent="0.2">
      <c r="A51" s="3" t="s">
        <v>218</v>
      </c>
      <c r="B51" s="137" t="s">
        <v>1269</v>
      </c>
    </row>
    <row r="52" spans="1:2" x14ac:dyDescent="0.2">
      <c r="A52" s="3" t="s">
        <v>224</v>
      </c>
    </row>
    <row r="53" spans="1:2" x14ac:dyDescent="0.2">
      <c r="A53" s="3" t="s">
        <v>219</v>
      </c>
    </row>
  </sheetData>
  <mergeCells count="28">
    <mergeCell ref="A2:K2"/>
    <mergeCell ref="L2:V2"/>
    <mergeCell ref="A1:K1"/>
    <mergeCell ref="L1:V1"/>
    <mergeCell ref="W1:AG1"/>
    <mergeCell ref="AH1:AR1"/>
    <mergeCell ref="AS1:BC1"/>
    <mergeCell ref="BO1:BY1"/>
    <mergeCell ref="W2:AG2"/>
    <mergeCell ref="AH2:AR2"/>
    <mergeCell ref="AS2:BC2"/>
    <mergeCell ref="BU14:CE14"/>
    <mergeCell ref="BD2:BN2"/>
    <mergeCell ref="BO2:BY2"/>
    <mergeCell ref="BD1:BN1"/>
    <mergeCell ref="BJ15:BT15"/>
    <mergeCell ref="BU15:CE15"/>
    <mergeCell ref="G14:Q14"/>
    <mergeCell ref="R14:AB14"/>
    <mergeCell ref="G15:Q15"/>
    <mergeCell ref="R15:AB15"/>
    <mergeCell ref="AC15:AM15"/>
    <mergeCell ref="AN15:AX15"/>
    <mergeCell ref="AY15:BI15"/>
    <mergeCell ref="AC14:AM14"/>
    <mergeCell ref="AN14:AX14"/>
    <mergeCell ref="AY14:BI14"/>
    <mergeCell ref="BJ14:BT1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FF0000"/>
  </sheetPr>
  <dimension ref="A1:R373"/>
  <sheetViews>
    <sheetView showGridLines="0" workbookViewId="0">
      <pane ySplit="10" topLeftCell="A23" activePane="bottomLeft" state="frozen"/>
      <selection activeCell="J137" sqref="J137"/>
      <selection pane="bottomLeft" activeCell="D4" sqref="D4"/>
    </sheetView>
  </sheetViews>
  <sheetFormatPr baseColWidth="10" defaultRowHeight="12.75" x14ac:dyDescent="0.2"/>
  <cols>
    <col min="1" max="1" width="3.7109375" style="624" customWidth="1"/>
    <col min="2" max="2" width="11.42578125" style="660"/>
    <col min="3" max="3" width="11.42578125" style="624"/>
    <col min="4" max="4" width="16.5703125" style="624" customWidth="1"/>
    <col min="5" max="5" width="11.7109375" style="624" bestFit="1" customWidth="1"/>
    <col min="6" max="6" width="12.140625" style="624" bestFit="1" customWidth="1"/>
    <col min="7" max="7" width="11.42578125" style="624"/>
    <col min="8" max="8" width="14.140625" style="624" customWidth="1"/>
    <col min="9" max="9" width="3.7109375" style="624" customWidth="1"/>
    <col min="10" max="10" width="11.7109375" style="624" bestFit="1" customWidth="1"/>
    <col min="11" max="11" width="11.42578125" style="624"/>
    <col min="12" max="12" width="11.7109375" style="624" bestFit="1" customWidth="1"/>
    <col min="13" max="13" width="3.7109375" style="624" customWidth="1"/>
    <col min="14" max="14" width="21.28515625" style="624" hidden="1" customWidth="1"/>
    <col min="15" max="15" width="11.42578125" style="624" hidden="1" customWidth="1"/>
    <col min="16" max="16" width="6.140625" style="624" hidden="1" customWidth="1"/>
    <col min="17" max="17" width="11.42578125" style="624" hidden="1" customWidth="1"/>
    <col min="18" max="18" width="17.42578125" style="624" hidden="1" customWidth="1"/>
    <col min="19" max="16384" width="11.42578125" style="624"/>
  </cols>
  <sheetData>
    <row r="1" spans="1:18" x14ac:dyDescent="0.2">
      <c r="A1" s="621"/>
      <c r="B1" s="1264" t="s">
        <v>125</v>
      </c>
      <c r="C1" s="1264"/>
      <c r="D1" s="1264"/>
      <c r="E1" s="1264"/>
      <c r="F1" s="1264"/>
      <c r="G1" s="1264"/>
      <c r="H1" s="622" t="s">
        <v>126</v>
      </c>
      <c r="I1" s="623"/>
      <c r="J1" s="1265" t="s">
        <v>127</v>
      </c>
      <c r="K1" s="1265"/>
      <c r="L1" s="1265"/>
      <c r="M1" s="621"/>
    </row>
    <row r="2" spans="1:18" x14ac:dyDescent="0.2">
      <c r="B2" s="1263" t="s">
        <v>128</v>
      </c>
      <c r="C2" s="1263"/>
      <c r="D2" s="1263"/>
      <c r="E2" s="636">
        <v>2015</v>
      </c>
      <c r="F2" s="1263" t="s">
        <v>129</v>
      </c>
      <c r="G2" s="1263"/>
      <c r="H2" s="1263"/>
      <c r="J2" s="1263" t="s">
        <v>130</v>
      </c>
      <c r="K2" s="1263"/>
      <c r="L2" s="1263"/>
      <c r="P2" s="1263" t="s">
        <v>156</v>
      </c>
      <c r="Q2" s="1263"/>
      <c r="R2" s="1263"/>
    </row>
    <row r="3" spans="1:18" x14ac:dyDescent="0.2">
      <c r="B3" s="1259" t="s">
        <v>131</v>
      </c>
      <c r="C3" s="1259"/>
      <c r="D3" s="625">
        <f>Flux!C42</f>
        <v>0</v>
      </c>
      <c r="F3" s="1260" t="str">
        <f>"Montant "&amp;R5&amp;" :"</f>
        <v>Montant mensualité :</v>
      </c>
      <c r="G3" s="1261"/>
      <c r="H3" s="626">
        <f>IF(L7=0,ROUND(D3/L5,R6),ROUND(D3*L7/(1-(1+L7)^-L5),R6))</f>
        <v>0</v>
      </c>
      <c r="J3" s="1256" t="s">
        <v>132</v>
      </c>
      <c r="K3" s="1256"/>
      <c r="L3" s="627">
        <f>ROUND(D5*P5,0)</f>
        <v>120</v>
      </c>
      <c r="N3" s="654"/>
      <c r="O3" s="655"/>
      <c r="P3" s="656" t="s">
        <v>157</v>
      </c>
      <c r="Q3" s="656" t="s">
        <v>158</v>
      </c>
      <c r="R3" s="656" t="s">
        <v>1073</v>
      </c>
    </row>
    <row r="4" spans="1:18" x14ac:dyDescent="0.2">
      <c r="B4" s="1259" t="s">
        <v>133</v>
      </c>
      <c r="C4" s="1259"/>
      <c r="D4" s="628">
        <v>0.04</v>
      </c>
      <c r="F4" s="1257" t="s">
        <v>134</v>
      </c>
      <c r="G4" s="1258"/>
      <c r="H4" s="629">
        <f>ROUND(D3*D7/P5,R6)</f>
        <v>0</v>
      </c>
      <c r="J4" s="1262" t="s">
        <v>135</v>
      </c>
      <c r="K4" s="1262"/>
      <c r="L4" s="627">
        <f>IF(D6&gt;=D5,L3-1,ROUND(D6*P5,0))</f>
        <v>0</v>
      </c>
      <c r="N4" s="627" t="s">
        <v>159</v>
      </c>
      <c r="O4" s="627"/>
      <c r="P4" s="657" t="s">
        <v>160</v>
      </c>
      <c r="Q4" s="627" t="s">
        <v>161</v>
      </c>
      <c r="R4" s="658" t="str">
        <f>IF(LEFT(P4,1)="A","Calcul actuariel","Calcul proportionnel")</f>
        <v>Calcul proportionnel</v>
      </c>
    </row>
    <row r="5" spans="1:18" x14ac:dyDescent="0.2">
      <c r="B5" s="1259" t="s">
        <v>136</v>
      </c>
      <c r="C5" s="1259"/>
      <c r="D5" s="630">
        <v>10</v>
      </c>
      <c r="F5" s="1260" t="s">
        <v>137</v>
      </c>
      <c r="G5" s="1261"/>
      <c r="H5" s="626">
        <f>H6+H7</f>
        <v>0</v>
      </c>
      <c r="J5" s="1262" t="s">
        <v>138</v>
      </c>
      <c r="K5" s="1262"/>
      <c r="L5" s="627">
        <f>L3-L4</f>
        <v>120</v>
      </c>
      <c r="N5" s="627" t="s">
        <v>162</v>
      </c>
      <c r="O5" s="627"/>
      <c r="P5" s="657">
        <v>12</v>
      </c>
      <c r="Q5" s="627" t="s">
        <v>163</v>
      </c>
      <c r="R5" s="658" t="str">
        <f>IF(P5=12,"mensualité",IF(P5=1,"annuité",IF(P5=4,"trimestrialité",IF(P5=2,"semestrialité","ERREUR"))))</f>
        <v>mensualité</v>
      </c>
    </row>
    <row r="6" spans="1:18" x14ac:dyDescent="0.2">
      <c r="B6" s="1253" t="s">
        <v>139</v>
      </c>
      <c r="C6" s="1253"/>
      <c r="D6" s="631"/>
      <c r="F6" s="1254" t="s">
        <v>140</v>
      </c>
      <c r="G6" s="1255"/>
      <c r="H6" s="629">
        <f>E373</f>
        <v>0</v>
      </c>
      <c r="J6" s="1256" t="s">
        <v>141</v>
      </c>
      <c r="K6" s="1256"/>
      <c r="L6" s="627">
        <f>L3*12/P5</f>
        <v>120</v>
      </c>
      <c r="N6" s="627" t="s">
        <v>164</v>
      </c>
      <c r="O6" s="627"/>
      <c r="P6" s="657">
        <v>2</v>
      </c>
      <c r="Q6" s="627" t="s">
        <v>165</v>
      </c>
      <c r="R6" s="658">
        <f>IF(ISNUMBER(P6),P6,2)</f>
        <v>2</v>
      </c>
    </row>
    <row r="7" spans="1:18" x14ac:dyDescent="0.2">
      <c r="B7" s="1253" t="s">
        <v>142</v>
      </c>
      <c r="C7" s="1253"/>
      <c r="D7" s="632"/>
      <c r="F7" s="1254" t="s">
        <v>143</v>
      </c>
      <c r="G7" s="1255"/>
      <c r="H7" s="629">
        <f>G373</f>
        <v>0</v>
      </c>
      <c r="J7" s="1256" t="s">
        <v>144</v>
      </c>
      <c r="K7" s="1256"/>
      <c r="L7" s="633">
        <f>IF(D4=0,0,IF(LEFT(P4,1)="A",((D4+1)^(1/P5))-1,D4/P5))</f>
        <v>3.3333333333333335E-3</v>
      </c>
      <c r="N7" s="659"/>
    </row>
    <row r="8" spans="1:18" x14ac:dyDescent="0.2">
      <c r="B8" s="1253" t="s">
        <v>145</v>
      </c>
      <c r="C8" s="1253"/>
      <c r="D8" s="634">
        <f ca="1">NOW()</f>
        <v>42185.546445370368</v>
      </c>
      <c r="F8" s="1257" t="s">
        <v>146</v>
      </c>
      <c r="G8" s="1258"/>
      <c r="H8" s="629">
        <f>F373</f>
        <v>0</v>
      </c>
      <c r="J8" s="1256" t="s">
        <v>147</v>
      </c>
      <c r="K8" s="1256"/>
      <c r="L8" s="635" t="str">
        <f>IF(ABS(H8-D11)&gt;0.01,"KO","Ok")</f>
        <v>Ok</v>
      </c>
    </row>
    <row r="9" spans="1:18" x14ac:dyDescent="0.2">
      <c r="B9" s="1251" t="s">
        <v>148</v>
      </c>
      <c r="C9" s="1251"/>
      <c r="D9" s="1251"/>
      <c r="E9" s="1251"/>
      <c r="F9" s="1251"/>
      <c r="G9" s="1251"/>
      <c r="H9" s="1251"/>
    </row>
    <row r="10" spans="1:18" x14ac:dyDescent="0.2">
      <c r="B10" s="636" t="s">
        <v>149</v>
      </c>
      <c r="C10" s="637" t="s">
        <v>150</v>
      </c>
      <c r="D10" s="637" t="s">
        <v>151</v>
      </c>
      <c r="E10" s="638" t="s">
        <v>152</v>
      </c>
      <c r="F10" s="638" t="s">
        <v>153</v>
      </c>
      <c r="G10" s="638" t="s">
        <v>154</v>
      </c>
      <c r="H10" s="638" t="s">
        <v>155</v>
      </c>
      <c r="J10" s="638"/>
      <c r="K10" s="638"/>
      <c r="L10" s="638"/>
    </row>
    <row r="11" spans="1:18" s="639" customFormat="1" x14ac:dyDescent="0.2">
      <c r="B11" s="640">
        <v>0</v>
      </c>
      <c r="C11" s="641">
        <f ca="1">D8</f>
        <v>42185.546445370368</v>
      </c>
      <c r="D11" s="642">
        <f>ROUND(D3,R6)</f>
        <v>0</v>
      </c>
      <c r="E11" s="642"/>
      <c r="F11" s="642"/>
      <c r="G11" s="642"/>
      <c r="H11" s="642"/>
    </row>
    <row r="12" spans="1:18" s="639" customFormat="1" x14ac:dyDescent="0.2">
      <c r="B12" s="640">
        <f t="shared" ref="B12:B75" si="0">IF(B11&lt;$L$3,B11+1,"-")</f>
        <v>1</v>
      </c>
      <c r="C12" s="641">
        <f t="shared" ref="C12:C75" ca="1" si="1">IF(ISNUMBER(B12),MIN(DATE(YEAR($C$11),MONTH($C$11)+B12*12/$P$5,DAY($C$11)),DATE(YEAR($C$11),MONTH($C$11)+1+B12*12/$P$5,1)-1),"")</f>
        <v>42215</v>
      </c>
      <c r="D12" s="642">
        <f>IF(ISNUMBER(B12),D11-F11,"")</f>
        <v>0</v>
      </c>
      <c r="E12" s="642">
        <f t="shared" ref="E12:E75" si="2">IF(ISNUMBER(B12),ROUND(D12*$L$7,$R$6),"")</f>
        <v>0</v>
      </c>
      <c r="F12" s="642">
        <f t="shared" ref="F12:F75" si="3">IF(ISNUMBER(B12),IF(B12=$L$3,D12,IF(B12&gt;$L$4,$H$3-E12,0)),"")</f>
        <v>0</v>
      </c>
      <c r="G12" s="642">
        <f t="shared" ref="G12:G75" si="4">IF(ISNUMBER(B12),$H$4,"")</f>
        <v>0</v>
      </c>
      <c r="H12" s="642">
        <f>IF(ISNUMBER(B12),E12+F12+G12,"")</f>
        <v>0</v>
      </c>
      <c r="J12" s="663"/>
      <c r="K12" s="643"/>
      <c r="L12" s="643"/>
      <c r="M12" s="644"/>
    </row>
    <row r="13" spans="1:18" s="639" customFormat="1" x14ac:dyDescent="0.2">
      <c r="B13" s="640">
        <f t="shared" si="0"/>
        <v>2</v>
      </c>
      <c r="C13" s="641">
        <f t="shared" ca="1" si="1"/>
        <v>42246</v>
      </c>
      <c r="D13" s="642">
        <f t="shared" ref="D13:D76" si="5">IF(ISNUMBER(B13),D12-F12,"")</f>
        <v>0</v>
      </c>
      <c r="E13" s="642">
        <f t="shared" si="2"/>
        <v>0</v>
      </c>
      <c r="F13" s="642">
        <f t="shared" si="3"/>
        <v>0</v>
      </c>
      <c r="G13" s="642">
        <f t="shared" si="4"/>
        <v>0</v>
      </c>
      <c r="H13" s="642">
        <f t="shared" ref="H13:H76" si="6">IF(ISNUMBER(B13),E13+F13+G13,"")</f>
        <v>0</v>
      </c>
      <c r="J13" s="643"/>
      <c r="K13" s="643"/>
      <c r="L13" s="663"/>
      <c r="M13" s="644"/>
    </row>
    <row r="14" spans="1:18" s="639" customFormat="1" x14ac:dyDescent="0.2">
      <c r="B14" s="640">
        <f t="shared" si="0"/>
        <v>3</v>
      </c>
      <c r="C14" s="641">
        <f t="shared" ca="1" si="1"/>
        <v>42277</v>
      </c>
      <c r="D14" s="642">
        <f t="shared" si="5"/>
        <v>0</v>
      </c>
      <c r="E14" s="642">
        <f t="shared" si="2"/>
        <v>0</v>
      </c>
      <c r="F14" s="642">
        <f t="shared" si="3"/>
        <v>0</v>
      </c>
      <c r="G14" s="642">
        <f t="shared" si="4"/>
        <v>0</v>
      </c>
      <c r="H14" s="642">
        <f t="shared" si="6"/>
        <v>0</v>
      </c>
      <c r="J14" s="643"/>
      <c r="K14" s="643"/>
      <c r="L14" s="643"/>
      <c r="M14" s="644"/>
    </row>
    <row r="15" spans="1:18" s="639" customFormat="1" x14ac:dyDescent="0.2">
      <c r="B15" s="640">
        <f t="shared" si="0"/>
        <v>4</v>
      </c>
      <c r="C15" s="641">
        <f t="shared" ca="1" si="1"/>
        <v>42307</v>
      </c>
      <c r="D15" s="642">
        <f t="shared" si="5"/>
        <v>0</v>
      </c>
      <c r="E15" s="642">
        <f t="shared" si="2"/>
        <v>0</v>
      </c>
      <c r="F15" s="642">
        <f t="shared" si="3"/>
        <v>0</v>
      </c>
      <c r="G15" s="642">
        <f t="shared" si="4"/>
        <v>0</v>
      </c>
      <c r="H15" s="642">
        <f t="shared" si="6"/>
        <v>0</v>
      </c>
      <c r="J15" s="643"/>
      <c r="K15" s="643"/>
      <c r="L15" s="643"/>
      <c r="M15" s="644"/>
    </row>
    <row r="16" spans="1:18" s="639" customFormat="1" x14ac:dyDescent="0.2">
      <c r="B16" s="640">
        <f t="shared" si="0"/>
        <v>5</v>
      </c>
      <c r="C16" s="641">
        <f t="shared" ca="1" si="1"/>
        <v>42338</v>
      </c>
      <c r="D16" s="642">
        <f t="shared" si="5"/>
        <v>0</v>
      </c>
      <c r="E16" s="642">
        <f t="shared" si="2"/>
        <v>0</v>
      </c>
      <c r="F16" s="642">
        <f t="shared" si="3"/>
        <v>0</v>
      </c>
      <c r="G16" s="642">
        <f t="shared" si="4"/>
        <v>0</v>
      </c>
      <c r="H16" s="642">
        <f t="shared" si="6"/>
        <v>0</v>
      </c>
      <c r="J16" s="644"/>
      <c r="K16" s="644"/>
      <c r="L16" s="644"/>
      <c r="M16" s="644"/>
    </row>
    <row r="17" spans="2:13" s="639" customFormat="1" x14ac:dyDescent="0.2">
      <c r="B17" s="640">
        <f t="shared" si="0"/>
        <v>6</v>
      </c>
      <c r="C17" s="641">
        <f t="shared" ca="1" si="1"/>
        <v>42368</v>
      </c>
      <c r="D17" s="642">
        <f t="shared" si="5"/>
        <v>0</v>
      </c>
      <c r="E17" s="642">
        <f t="shared" si="2"/>
        <v>0</v>
      </c>
      <c r="F17" s="642">
        <f t="shared" si="3"/>
        <v>0</v>
      </c>
      <c r="G17" s="642">
        <f t="shared" si="4"/>
        <v>0</v>
      </c>
      <c r="H17" s="642">
        <f t="shared" si="6"/>
        <v>0</v>
      </c>
      <c r="J17" s="645"/>
      <c r="K17" s="644"/>
      <c r="L17" s="644"/>
      <c r="M17" s="644"/>
    </row>
    <row r="18" spans="2:13" s="639" customFormat="1" x14ac:dyDescent="0.2">
      <c r="B18" s="640">
        <f t="shared" si="0"/>
        <v>7</v>
      </c>
      <c r="C18" s="641">
        <f t="shared" ca="1" si="1"/>
        <v>42399</v>
      </c>
      <c r="D18" s="642">
        <f t="shared" si="5"/>
        <v>0</v>
      </c>
      <c r="E18" s="642">
        <f t="shared" si="2"/>
        <v>0</v>
      </c>
      <c r="F18" s="642">
        <f t="shared" si="3"/>
        <v>0</v>
      </c>
      <c r="G18" s="642">
        <f t="shared" si="4"/>
        <v>0</v>
      </c>
      <c r="H18" s="642">
        <f t="shared" si="6"/>
        <v>0</v>
      </c>
      <c r="J18" s="644"/>
      <c r="K18" s="644"/>
      <c r="L18" s="644"/>
      <c r="M18" s="644"/>
    </row>
    <row r="19" spans="2:13" s="639" customFormat="1" x14ac:dyDescent="0.2">
      <c r="B19" s="640">
        <f t="shared" si="0"/>
        <v>8</v>
      </c>
      <c r="C19" s="641">
        <f t="shared" ca="1" si="1"/>
        <v>42429</v>
      </c>
      <c r="D19" s="642">
        <f t="shared" si="5"/>
        <v>0</v>
      </c>
      <c r="E19" s="642">
        <f t="shared" si="2"/>
        <v>0</v>
      </c>
      <c r="F19" s="642">
        <f t="shared" si="3"/>
        <v>0</v>
      </c>
      <c r="G19" s="642">
        <f t="shared" si="4"/>
        <v>0</v>
      </c>
      <c r="H19" s="642">
        <f t="shared" si="6"/>
        <v>0</v>
      </c>
      <c r="J19" s="644"/>
      <c r="K19" s="644"/>
      <c r="L19" s="644"/>
      <c r="M19" s="644"/>
    </row>
    <row r="20" spans="2:13" s="639" customFormat="1" x14ac:dyDescent="0.2">
      <c r="B20" s="640">
        <f t="shared" si="0"/>
        <v>9</v>
      </c>
      <c r="C20" s="641">
        <f t="shared" ca="1" si="1"/>
        <v>42459</v>
      </c>
      <c r="D20" s="642">
        <f t="shared" si="5"/>
        <v>0</v>
      </c>
      <c r="E20" s="642">
        <f t="shared" si="2"/>
        <v>0</v>
      </c>
      <c r="F20" s="642">
        <f t="shared" si="3"/>
        <v>0</v>
      </c>
      <c r="G20" s="642">
        <f t="shared" si="4"/>
        <v>0</v>
      </c>
      <c r="H20" s="642">
        <f t="shared" si="6"/>
        <v>0</v>
      </c>
      <c r="J20" s="642"/>
      <c r="K20" s="642"/>
      <c r="L20" s="642"/>
    </row>
    <row r="21" spans="2:13" s="639" customFormat="1" x14ac:dyDescent="0.2">
      <c r="B21" s="640">
        <f t="shared" si="0"/>
        <v>10</v>
      </c>
      <c r="C21" s="641">
        <f t="shared" ca="1" si="1"/>
        <v>42490</v>
      </c>
      <c r="D21" s="642">
        <f t="shared" si="5"/>
        <v>0</v>
      </c>
      <c r="E21" s="642">
        <f t="shared" si="2"/>
        <v>0</v>
      </c>
      <c r="F21" s="642">
        <f t="shared" si="3"/>
        <v>0</v>
      </c>
      <c r="G21" s="642">
        <f t="shared" si="4"/>
        <v>0</v>
      </c>
      <c r="H21" s="642">
        <f t="shared" si="6"/>
        <v>0</v>
      </c>
      <c r="J21" s="642"/>
      <c r="K21" s="642"/>
      <c r="L21" s="642"/>
    </row>
    <row r="22" spans="2:13" s="639" customFormat="1" x14ac:dyDescent="0.2">
      <c r="B22" s="640">
        <f t="shared" si="0"/>
        <v>11</v>
      </c>
      <c r="C22" s="641">
        <f t="shared" ca="1" si="1"/>
        <v>42520</v>
      </c>
      <c r="D22" s="642">
        <f t="shared" si="5"/>
        <v>0</v>
      </c>
      <c r="E22" s="642">
        <f t="shared" si="2"/>
        <v>0</v>
      </c>
      <c r="F22" s="642">
        <f t="shared" si="3"/>
        <v>0</v>
      </c>
      <c r="G22" s="642">
        <f t="shared" si="4"/>
        <v>0</v>
      </c>
      <c r="H22" s="642">
        <f t="shared" si="6"/>
        <v>0</v>
      </c>
      <c r="J22" s="642"/>
      <c r="K22" s="642"/>
      <c r="L22" s="642"/>
    </row>
    <row r="23" spans="2:13" s="639" customFormat="1" x14ac:dyDescent="0.2">
      <c r="B23" s="640">
        <f t="shared" si="0"/>
        <v>12</v>
      </c>
      <c r="C23" s="641">
        <f t="shared" ca="1" si="1"/>
        <v>42551</v>
      </c>
      <c r="D23" s="642">
        <f t="shared" si="5"/>
        <v>0</v>
      </c>
      <c r="E23" s="642">
        <f t="shared" si="2"/>
        <v>0</v>
      </c>
      <c r="F23" s="642">
        <f t="shared" si="3"/>
        <v>0</v>
      </c>
      <c r="G23" s="642">
        <f t="shared" si="4"/>
        <v>0</v>
      </c>
      <c r="H23" s="642">
        <f t="shared" si="6"/>
        <v>0</v>
      </c>
      <c r="J23" s="642">
        <f>D11-D23</f>
        <v>0</v>
      </c>
      <c r="K23" s="642"/>
      <c r="L23" s="642"/>
    </row>
    <row r="24" spans="2:13" s="646" customFormat="1" x14ac:dyDescent="0.2">
      <c r="B24" s="647">
        <f t="shared" si="0"/>
        <v>13</v>
      </c>
      <c r="C24" s="648">
        <f t="shared" ca="1" si="1"/>
        <v>42581</v>
      </c>
      <c r="D24" s="649">
        <f t="shared" si="5"/>
        <v>0</v>
      </c>
      <c r="E24" s="649">
        <f t="shared" si="2"/>
        <v>0</v>
      </c>
      <c r="F24" s="649">
        <f t="shared" si="3"/>
        <v>0</v>
      </c>
      <c r="G24" s="649">
        <f t="shared" si="4"/>
        <v>0</v>
      </c>
      <c r="H24" s="649">
        <f t="shared" si="6"/>
        <v>0</v>
      </c>
      <c r="J24" s="649"/>
      <c r="K24" s="649"/>
      <c r="L24" s="649"/>
    </row>
    <row r="25" spans="2:13" s="646" customFormat="1" x14ac:dyDescent="0.2">
      <c r="B25" s="647">
        <f t="shared" si="0"/>
        <v>14</v>
      </c>
      <c r="C25" s="648">
        <f t="shared" ca="1" si="1"/>
        <v>42612</v>
      </c>
      <c r="D25" s="649">
        <f t="shared" si="5"/>
        <v>0</v>
      </c>
      <c r="E25" s="649">
        <f t="shared" si="2"/>
        <v>0</v>
      </c>
      <c r="F25" s="649">
        <f t="shared" si="3"/>
        <v>0</v>
      </c>
      <c r="G25" s="649">
        <f t="shared" si="4"/>
        <v>0</v>
      </c>
      <c r="H25" s="649">
        <f t="shared" si="6"/>
        <v>0</v>
      </c>
      <c r="J25" s="649"/>
      <c r="K25" s="649"/>
      <c r="L25" s="649"/>
    </row>
    <row r="26" spans="2:13" s="646" customFormat="1" x14ac:dyDescent="0.2">
      <c r="B26" s="647">
        <f t="shared" si="0"/>
        <v>15</v>
      </c>
      <c r="C26" s="648">
        <f t="shared" ca="1" si="1"/>
        <v>42643</v>
      </c>
      <c r="D26" s="649">
        <f t="shared" si="5"/>
        <v>0</v>
      </c>
      <c r="E26" s="649">
        <f t="shared" si="2"/>
        <v>0</v>
      </c>
      <c r="F26" s="649">
        <f t="shared" si="3"/>
        <v>0</v>
      </c>
      <c r="G26" s="649">
        <f t="shared" si="4"/>
        <v>0</v>
      </c>
      <c r="H26" s="649">
        <f t="shared" si="6"/>
        <v>0</v>
      </c>
      <c r="J26" s="649"/>
      <c r="K26" s="649"/>
      <c r="L26" s="649"/>
    </row>
    <row r="27" spans="2:13" s="646" customFormat="1" x14ac:dyDescent="0.2">
      <c r="B27" s="647">
        <f t="shared" si="0"/>
        <v>16</v>
      </c>
      <c r="C27" s="648">
        <f t="shared" ca="1" si="1"/>
        <v>42673</v>
      </c>
      <c r="D27" s="649">
        <f t="shared" si="5"/>
        <v>0</v>
      </c>
      <c r="E27" s="649">
        <f t="shared" si="2"/>
        <v>0</v>
      </c>
      <c r="F27" s="649">
        <f t="shared" si="3"/>
        <v>0</v>
      </c>
      <c r="G27" s="649">
        <f t="shared" si="4"/>
        <v>0</v>
      </c>
      <c r="H27" s="649">
        <f t="shared" si="6"/>
        <v>0</v>
      </c>
      <c r="J27" s="649"/>
      <c r="K27" s="649"/>
      <c r="L27" s="649"/>
    </row>
    <row r="28" spans="2:13" s="646" customFormat="1" x14ac:dyDescent="0.2">
      <c r="B28" s="647">
        <f t="shared" si="0"/>
        <v>17</v>
      </c>
      <c r="C28" s="648">
        <f t="shared" ca="1" si="1"/>
        <v>42704</v>
      </c>
      <c r="D28" s="649">
        <f t="shared" si="5"/>
        <v>0</v>
      </c>
      <c r="E28" s="649">
        <f t="shared" si="2"/>
        <v>0</v>
      </c>
      <c r="F28" s="649">
        <f t="shared" si="3"/>
        <v>0</v>
      </c>
      <c r="G28" s="649">
        <f t="shared" si="4"/>
        <v>0</v>
      </c>
      <c r="H28" s="649">
        <f t="shared" si="6"/>
        <v>0</v>
      </c>
      <c r="J28" s="649"/>
      <c r="K28" s="649"/>
      <c r="L28" s="649"/>
    </row>
    <row r="29" spans="2:13" s="646" customFormat="1" x14ac:dyDescent="0.2">
      <c r="B29" s="647">
        <f t="shared" si="0"/>
        <v>18</v>
      </c>
      <c r="C29" s="648">
        <f t="shared" ca="1" si="1"/>
        <v>42734</v>
      </c>
      <c r="D29" s="649">
        <f t="shared" si="5"/>
        <v>0</v>
      </c>
      <c r="E29" s="649">
        <f t="shared" si="2"/>
        <v>0</v>
      </c>
      <c r="F29" s="649">
        <f t="shared" si="3"/>
        <v>0</v>
      </c>
      <c r="G29" s="649">
        <f t="shared" si="4"/>
        <v>0</v>
      </c>
      <c r="H29" s="649">
        <f t="shared" si="6"/>
        <v>0</v>
      </c>
      <c r="J29" s="649"/>
      <c r="K29" s="649"/>
      <c r="L29" s="649"/>
    </row>
    <row r="30" spans="2:13" s="646" customFormat="1" x14ac:dyDescent="0.2">
      <c r="B30" s="647">
        <f t="shared" si="0"/>
        <v>19</v>
      </c>
      <c r="C30" s="648">
        <f t="shared" ca="1" si="1"/>
        <v>42765</v>
      </c>
      <c r="D30" s="649">
        <f t="shared" si="5"/>
        <v>0</v>
      </c>
      <c r="E30" s="649">
        <f t="shared" si="2"/>
        <v>0</v>
      </c>
      <c r="F30" s="649">
        <f t="shared" si="3"/>
        <v>0</v>
      </c>
      <c r="G30" s="649">
        <f t="shared" si="4"/>
        <v>0</v>
      </c>
      <c r="H30" s="649">
        <f t="shared" si="6"/>
        <v>0</v>
      </c>
      <c r="J30" s="649"/>
      <c r="K30" s="649"/>
      <c r="L30" s="649"/>
    </row>
    <row r="31" spans="2:13" s="646" customFormat="1" x14ac:dyDescent="0.2">
      <c r="B31" s="647">
        <f t="shared" si="0"/>
        <v>20</v>
      </c>
      <c r="C31" s="648">
        <f t="shared" ca="1" si="1"/>
        <v>42794</v>
      </c>
      <c r="D31" s="649">
        <f t="shared" si="5"/>
        <v>0</v>
      </c>
      <c r="E31" s="649">
        <f t="shared" si="2"/>
        <v>0</v>
      </c>
      <c r="F31" s="649">
        <f t="shared" si="3"/>
        <v>0</v>
      </c>
      <c r="G31" s="649">
        <f t="shared" si="4"/>
        <v>0</v>
      </c>
      <c r="H31" s="649">
        <f t="shared" si="6"/>
        <v>0</v>
      </c>
      <c r="J31" s="649"/>
      <c r="K31" s="649"/>
      <c r="L31" s="649"/>
    </row>
    <row r="32" spans="2:13" s="646" customFormat="1" x14ac:dyDescent="0.2">
      <c r="B32" s="647">
        <f t="shared" si="0"/>
        <v>21</v>
      </c>
      <c r="C32" s="648">
        <f t="shared" ca="1" si="1"/>
        <v>42824</v>
      </c>
      <c r="D32" s="649">
        <f t="shared" si="5"/>
        <v>0</v>
      </c>
      <c r="E32" s="649">
        <f t="shared" si="2"/>
        <v>0</v>
      </c>
      <c r="F32" s="649">
        <f t="shared" si="3"/>
        <v>0</v>
      </c>
      <c r="G32" s="649">
        <f t="shared" si="4"/>
        <v>0</v>
      </c>
      <c r="H32" s="649">
        <f t="shared" si="6"/>
        <v>0</v>
      </c>
      <c r="J32" s="649"/>
      <c r="K32" s="649"/>
      <c r="L32" s="649"/>
    </row>
    <row r="33" spans="1:12" s="646" customFormat="1" x14ac:dyDescent="0.2">
      <c r="B33" s="647">
        <f t="shared" si="0"/>
        <v>22</v>
      </c>
      <c r="C33" s="648">
        <f t="shared" ca="1" si="1"/>
        <v>42855</v>
      </c>
      <c r="D33" s="649">
        <f t="shared" si="5"/>
        <v>0</v>
      </c>
      <c r="E33" s="649">
        <f t="shared" si="2"/>
        <v>0</v>
      </c>
      <c r="F33" s="649">
        <f t="shared" si="3"/>
        <v>0</v>
      </c>
      <c r="G33" s="649">
        <f t="shared" si="4"/>
        <v>0</v>
      </c>
      <c r="H33" s="649">
        <f t="shared" si="6"/>
        <v>0</v>
      </c>
      <c r="J33" s="649"/>
      <c r="K33" s="649"/>
      <c r="L33" s="649"/>
    </row>
    <row r="34" spans="1:12" s="646" customFormat="1" x14ac:dyDescent="0.2">
      <c r="B34" s="647">
        <f t="shared" si="0"/>
        <v>23</v>
      </c>
      <c r="C34" s="648">
        <f t="shared" ca="1" si="1"/>
        <v>42885</v>
      </c>
      <c r="D34" s="649">
        <f t="shared" si="5"/>
        <v>0</v>
      </c>
      <c r="E34" s="649">
        <f t="shared" si="2"/>
        <v>0</v>
      </c>
      <c r="F34" s="649">
        <f t="shared" si="3"/>
        <v>0</v>
      </c>
      <c r="G34" s="649">
        <f t="shared" si="4"/>
        <v>0</v>
      </c>
      <c r="H34" s="649">
        <f t="shared" si="6"/>
        <v>0</v>
      </c>
      <c r="J34" s="649"/>
      <c r="K34" s="649"/>
      <c r="L34" s="649"/>
    </row>
    <row r="35" spans="1:12" s="646" customFormat="1" x14ac:dyDescent="0.2">
      <c r="B35" s="647">
        <f t="shared" si="0"/>
        <v>24</v>
      </c>
      <c r="C35" s="648">
        <f t="shared" ca="1" si="1"/>
        <v>42916</v>
      </c>
      <c r="D35" s="649">
        <f t="shared" si="5"/>
        <v>0</v>
      </c>
      <c r="E35" s="649">
        <f t="shared" si="2"/>
        <v>0</v>
      </c>
      <c r="F35" s="649">
        <f t="shared" si="3"/>
        <v>0</v>
      </c>
      <c r="G35" s="649">
        <f t="shared" si="4"/>
        <v>0</v>
      </c>
      <c r="H35" s="649">
        <f t="shared" si="6"/>
        <v>0</v>
      </c>
      <c r="J35" s="642">
        <f>D23-D35</f>
        <v>0</v>
      </c>
      <c r="K35" s="649"/>
      <c r="L35" s="649"/>
    </row>
    <row r="36" spans="1:12" x14ac:dyDescent="0.2">
      <c r="A36" s="639"/>
      <c r="B36" s="640">
        <f t="shared" si="0"/>
        <v>25</v>
      </c>
      <c r="C36" s="641">
        <f t="shared" ca="1" si="1"/>
        <v>42946</v>
      </c>
      <c r="D36" s="642">
        <f t="shared" si="5"/>
        <v>0</v>
      </c>
      <c r="E36" s="642">
        <f t="shared" si="2"/>
        <v>0</v>
      </c>
      <c r="F36" s="642">
        <f t="shared" si="3"/>
        <v>0</v>
      </c>
      <c r="G36" s="642">
        <f t="shared" si="4"/>
        <v>0</v>
      </c>
      <c r="H36" s="642">
        <f t="shared" si="6"/>
        <v>0</v>
      </c>
      <c r="J36" s="650"/>
      <c r="K36" s="650"/>
      <c r="L36" s="650"/>
    </row>
    <row r="37" spans="1:12" x14ac:dyDescent="0.2">
      <c r="A37" s="639"/>
      <c r="B37" s="640">
        <f t="shared" si="0"/>
        <v>26</v>
      </c>
      <c r="C37" s="641">
        <f t="shared" ca="1" si="1"/>
        <v>42977</v>
      </c>
      <c r="D37" s="642">
        <f t="shared" si="5"/>
        <v>0</v>
      </c>
      <c r="E37" s="642">
        <f t="shared" si="2"/>
        <v>0</v>
      </c>
      <c r="F37" s="642">
        <f t="shared" si="3"/>
        <v>0</v>
      </c>
      <c r="G37" s="642">
        <f t="shared" si="4"/>
        <v>0</v>
      </c>
      <c r="H37" s="642">
        <f t="shared" si="6"/>
        <v>0</v>
      </c>
      <c r="J37" s="650"/>
      <c r="K37" s="650"/>
      <c r="L37" s="650"/>
    </row>
    <row r="38" spans="1:12" x14ac:dyDescent="0.2">
      <c r="A38" s="639"/>
      <c r="B38" s="640">
        <f t="shared" si="0"/>
        <v>27</v>
      </c>
      <c r="C38" s="641">
        <f t="shared" ca="1" si="1"/>
        <v>43008</v>
      </c>
      <c r="D38" s="642">
        <f t="shared" si="5"/>
        <v>0</v>
      </c>
      <c r="E38" s="642">
        <f t="shared" si="2"/>
        <v>0</v>
      </c>
      <c r="F38" s="642">
        <f t="shared" si="3"/>
        <v>0</v>
      </c>
      <c r="G38" s="642">
        <f t="shared" si="4"/>
        <v>0</v>
      </c>
      <c r="H38" s="642">
        <f t="shared" si="6"/>
        <v>0</v>
      </c>
      <c r="J38" s="650"/>
      <c r="K38" s="650"/>
      <c r="L38" s="650"/>
    </row>
    <row r="39" spans="1:12" x14ac:dyDescent="0.2">
      <c r="A39" s="639"/>
      <c r="B39" s="640">
        <f t="shared" si="0"/>
        <v>28</v>
      </c>
      <c r="C39" s="641">
        <f t="shared" ca="1" si="1"/>
        <v>43038</v>
      </c>
      <c r="D39" s="642">
        <f t="shared" si="5"/>
        <v>0</v>
      </c>
      <c r="E39" s="642">
        <f t="shared" si="2"/>
        <v>0</v>
      </c>
      <c r="F39" s="642">
        <f t="shared" si="3"/>
        <v>0</v>
      </c>
      <c r="G39" s="642">
        <f t="shared" si="4"/>
        <v>0</v>
      </c>
      <c r="H39" s="642">
        <f t="shared" si="6"/>
        <v>0</v>
      </c>
      <c r="J39" s="650"/>
      <c r="K39" s="650"/>
      <c r="L39" s="650"/>
    </row>
    <row r="40" spans="1:12" x14ac:dyDescent="0.2">
      <c r="A40" s="639"/>
      <c r="B40" s="640">
        <f t="shared" si="0"/>
        <v>29</v>
      </c>
      <c r="C40" s="641">
        <f t="shared" ca="1" si="1"/>
        <v>43069</v>
      </c>
      <c r="D40" s="642">
        <f t="shared" si="5"/>
        <v>0</v>
      </c>
      <c r="E40" s="642">
        <f t="shared" si="2"/>
        <v>0</v>
      </c>
      <c r="F40" s="642">
        <f t="shared" si="3"/>
        <v>0</v>
      </c>
      <c r="G40" s="642">
        <f t="shared" si="4"/>
        <v>0</v>
      </c>
      <c r="H40" s="642">
        <f t="shared" si="6"/>
        <v>0</v>
      </c>
      <c r="J40" s="650"/>
      <c r="K40" s="650"/>
      <c r="L40" s="650"/>
    </row>
    <row r="41" spans="1:12" x14ac:dyDescent="0.2">
      <c r="A41" s="639"/>
      <c r="B41" s="640">
        <f t="shared" si="0"/>
        <v>30</v>
      </c>
      <c r="C41" s="641">
        <f t="shared" ca="1" si="1"/>
        <v>43099</v>
      </c>
      <c r="D41" s="642">
        <f t="shared" si="5"/>
        <v>0</v>
      </c>
      <c r="E41" s="642">
        <f t="shared" si="2"/>
        <v>0</v>
      </c>
      <c r="F41" s="642">
        <f t="shared" si="3"/>
        <v>0</v>
      </c>
      <c r="G41" s="642">
        <f t="shared" si="4"/>
        <v>0</v>
      </c>
      <c r="H41" s="642">
        <f t="shared" si="6"/>
        <v>0</v>
      </c>
      <c r="J41" s="650"/>
      <c r="K41" s="650"/>
      <c r="L41" s="650"/>
    </row>
    <row r="42" spans="1:12" x14ac:dyDescent="0.2">
      <c r="A42" s="639"/>
      <c r="B42" s="640">
        <f t="shared" si="0"/>
        <v>31</v>
      </c>
      <c r="C42" s="641">
        <f t="shared" ca="1" si="1"/>
        <v>43130</v>
      </c>
      <c r="D42" s="642">
        <f t="shared" si="5"/>
        <v>0</v>
      </c>
      <c r="E42" s="642">
        <f t="shared" si="2"/>
        <v>0</v>
      </c>
      <c r="F42" s="642">
        <f t="shared" si="3"/>
        <v>0</v>
      </c>
      <c r="G42" s="642">
        <f t="shared" si="4"/>
        <v>0</v>
      </c>
      <c r="H42" s="642">
        <f t="shared" si="6"/>
        <v>0</v>
      </c>
      <c r="J42" s="650"/>
      <c r="K42" s="650"/>
      <c r="L42" s="650"/>
    </row>
    <row r="43" spans="1:12" x14ac:dyDescent="0.2">
      <c r="A43" s="639"/>
      <c r="B43" s="640">
        <f t="shared" si="0"/>
        <v>32</v>
      </c>
      <c r="C43" s="641">
        <f t="shared" ca="1" si="1"/>
        <v>43159</v>
      </c>
      <c r="D43" s="642">
        <f t="shared" si="5"/>
        <v>0</v>
      </c>
      <c r="E43" s="642">
        <f t="shared" si="2"/>
        <v>0</v>
      </c>
      <c r="F43" s="642">
        <f t="shared" si="3"/>
        <v>0</v>
      </c>
      <c r="G43" s="642">
        <f t="shared" si="4"/>
        <v>0</v>
      </c>
      <c r="H43" s="642">
        <f t="shared" si="6"/>
        <v>0</v>
      </c>
      <c r="J43" s="650"/>
      <c r="K43" s="650"/>
      <c r="L43" s="650"/>
    </row>
    <row r="44" spans="1:12" x14ac:dyDescent="0.2">
      <c r="A44" s="639"/>
      <c r="B44" s="640">
        <f t="shared" si="0"/>
        <v>33</v>
      </c>
      <c r="C44" s="641">
        <f t="shared" ca="1" si="1"/>
        <v>43189</v>
      </c>
      <c r="D44" s="642">
        <f t="shared" si="5"/>
        <v>0</v>
      </c>
      <c r="E44" s="642">
        <f t="shared" si="2"/>
        <v>0</v>
      </c>
      <c r="F44" s="642">
        <f t="shared" si="3"/>
        <v>0</v>
      </c>
      <c r="G44" s="642">
        <f t="shared" si="4"/>
        <v>0</v>
      </c>
      <c r="H44" s="642">
        <f t="shared" si="6"/>
        <v>0</v>
      </c>
      <c r="J44" s="650"/>
      <c r="K44" s="650"/>
      <c r="L44" s="650"/>
    </row>
    <row r="45" spans="1:12" x14ac:dyDescent="0.2">
      <c r="A45" s="639"/>
      <c r="B45" s="640">
        <f t="shared" si="0"/>
        <v>34</v>
      </c>
      <c r="C45" s="641">
        <f t="shared" ca="1" si="1"/>
        <v>43220</v>
      </c>
      <c r="D45" s="642">
        <f t="shared" si="5"/>
        <v>0</v>
      </c>
      <c r="E45" s="642">
        <f t="shared" si="2"/>
        <v>0</v>
      </c>
      <c r="F45" s="642">
        <f t="shared" si="3"/>
        <v>0</v>
      </c>
      <c r="G45" s="642">
        <f t="shared" si="4"/>
        <v>0</v>
      </c>
      <c r="H45" s="642">
        <f t="shared" si="6"/>
        <v>0</v>
      </c>
      <c r="J45" s="650"/>
      <c r="K45" s="650"/>
      <c r="L45" s="650"/>
    </row>
    <row r="46" spans="1:12" x14ac:dyDescent="0.2">
      <c r="A46" s="639"/>
      <c r="B46" s="640">
        <f t="shared" si="0"/>
        <v>35</v>
      </c>
      <c r="C46" s="641">
        <f t="shared" ca="1" si="1"/>
        <v>43250</v>
      </c>
      <c r="D46" s="642">
        <f t="shared" si="5"/>
        <v>0</v>
      </c>
      <c r="E46" s="642">
        <f t="shared" si="2"/>
        <v>0</v>
      </c>
      <c r="F46" s="642">
        <f t="shared" si="3"/>
        <v>0</v>
      </c>
      <c r="G46" s="642">
        <f t="shared" si="4"/>
        <v>0</v>
      </c>
      <c r="H46" s="642">
        <f t="shared" si="6"/>
        <v>0</v>
      </c>
      <c r="J46" s="650"/>
      <c r="K46" s="650"/>
      <c r="L46" s="650"/>
    </row>
    <row r="47" spans="1:12" x14ac:dyDescent="0.2">
      <c r="A47" s="639"/>
      <c r="B47" s="640">
        <f t="shared" si="0"/>
        <v>36</v>
      </c>
      <c r="C47" s="641">
        <f t="shared" ca="1" si="1"/>
        <v>43281</v>
      </c>
      <c r="D47" s="642">
        <f t="shared" si="5"/>
        <v>0</v>
      </c>
      <c r="E47" s="642">
        <f t="shared" si="2"/>
        <v>0</v>
      </c>
      <c r="F47" s="642">
        <f t="shared" si="3"/>
        <v>0</v>
      </c>
      <c r="G47" s="642">
        <f t="shared" si="4"/>
        <v>0</v>
      </c>
      <c r="H47" s="642">
        <f t="shared" si="6"/>
        <v>0</v>
      </c>
      <c r="J47" s="642">
        <f>D35-D47</f>
        <v>0</v>
      </c>
      <c r="K47" s="650"/>
      <c r="L47" s="650"/>
    </row>
    <row r="48" spans="1:12" x14ac:dyDescent="0.2">
      <c r="B48" s="647">
        <f t="shared" si="0"/>
        <v>37</v>
      </c>
      <c r="C48" s="648">
        <f t="shared" ca="1" si="1"/>
        <v>43311</v>
      </c>
      <c r="D48" s="649">
        <f t="shared" si="5"/>
        <v>0</v>
      </c>
      <c r="E48" s="649">
        <f t="shared" si="2"/>
        <v>0</v>
      </c>
      <c r="F48" s="649">
        <f t="shared" si="3"/>
        <v>0</v>
      </c>
      <c r="G48" s="649">
        <f t="shared" si="4"/>
        <v>0</v>
      </c>
      <c r="H48" s="649">
        <f t="shared" si="6"/>
        <v>0</v>
      </c>
      <c r="J48" s="650"/>
      <c r="K48" s="650"/>
      <c r="L48" s="650"/>
    </row>
    <row r="49" spans="2:12" x14ac:dyDescent="0.2">
      <c r="B49" s="647">
        <f t="shared" si="0"/>
        <v>38</v>
      </c>
      <c r="C49" s="648">
        <f t="shared" ca="1" si="1"/>
        <v>43342</v>
      </c>
      <c r="D49" s="649">
        <f t="shared" si="5"/>
        <v>0</v>
      </c>
      <c r="E49" s="649">
        <f t="shared" si="2"/>
        <v>0</v>
      </c>
      <c r="F49" s="649">
        <f t="shared" si="3"/>
        <v>0</v>
      </c>
      <c r="G49" s="649">
        <f t="shared" si="4"/>
        <v>0</v>
      </c>
      <c r="H49" s="649">
        <f t="shared" si="6"/>
        <v>0</v>
      </c>
      <c r="J49" s="650"/>
      <c r="K49" s="650"/>
      <c r="L49" s="650"/>
    </row>
    <row r="50" spans="2:12" x14ac:dyDescent="0.2">
      <c r="B50" s="647">
        <f t="shared" si="0"/>
        <v>39</v>
      </c>
      <c r="C50" s="648">
        <f t="shared" ca="1" si="1"/>
        <v>43373</v>
      </c>
      <c r="D50" s="649">
        <f t="shared" si="5"/>
        <v>0</v>
      </c>
      <c r="E50" s="649">
        <f t="shared" si="2"/>
        <v>0</v>
      </c>
      <c r="F50" s="649">
        <f t="shared" si="3"/>
        <v>0</v>
      </c>
      <c r="G50" s="649">
        <f t="shared" si="4"/>
        <v>0</v>
      </c>
      <c r="H50" s="649">
        <f t="shared" si="6"/>
        <v>0</v>
      </c>
      <c r="J50" s="650"/>
      <c r="K50" s="650"/>
      <c r="L50" s="650"/>
    </row>
    <row r="51" spans="2:12" x14ac:dyDescent="0.2">
      <c r="B51" s="647">
        <f t="shared" si="0"/>
        <v>40</v>
      </c>
      <c r="C51" s="648">
        <f t="shared" ca="1" si="1"/>
        <v>43403</v>
      </c>
      <c r="D51" s="649">
        <f t="shared" si="5"/>
        <v>0</v>
      </c>
      <c r="E51" s="649">
        <f t="shared" si="2"/>
        <v>0</v>
      </c>
      <c r="F51" s="649">
        <f t="shared" si="3"/>
        <v>0</v>
      </c>
      <c r="G51" s="649">
        <f t="shared" si="4"/>
        <v>0</v>
      </c>
      <c r="H51" s="649">
        <f t="shared" si="6"/>
        <v>0</v>
      </c>
      <c r="J51" s="650"/>
      <c r="K51" s="650"/>
      <c r="L51" s="650"/>
    </row>
    <row r="52" spans="2:12" x14ac:dyDescent="0.2">
      <c r="B52" s="647">
        <f t="shared" si="0"/>
        <v>41</v>
      </c>
      <c r="C52" s="648">
        <f t="shared" ca="1" si="1"/>
        <v>43434</v>
      </c>
      <c r="D52" s="649">
        <f t="shared" si="5"/>
        <v>0</v>
      </c>
      <c r="E52" s="649">
        <f t="shared" si="2"/>
        <v>0</v>
      </c>
      <c r="F52" s="649">
        <f t="shared" si="3"/>
        <v>0</v>
      </c>
      <c r="G52" s="649">
        <f t="shared" si="4"/>
        <v>0</v>
      </c>
      <c r="H52" s="649">
        <f t="shared" si="6"/>
        <v>0</v>
      </c>
      <c r="J52" s="650"/>
      <c r="K52" s="650"/>
      <c r="L52" s="650"/>
    </row>
    <row r="53" spans="2:12" x14ac:dyDescent="0.2">
      <c r="B53" s="647">
        <f t="shared" si="0"/>
        <v>42</v>
      </c>
      <c r="C53" s="648">
        <f t="shared" ca="1" si="1"/>
        <v>43464</v>
      </c>
      <c r="D53" s="649">
        <f t="shared" si="5"/>
        <v>0</v>
      </c>
      <c r="E53" s="649">
        <f t="shared" si="2"/>
        <v>0</v>
      </c>
      <c r="F53" s="649">
        <f t="shared" si="3"/>
        <v>0</v>
      </c>
      <c r="G53" s="649">
        <f t="shared" si="4"/>
        <v>0</v>
      </c>
      <c r="H53" s="649">
        <f t="shared" si="6"/>
        <v>0</v>
      </c>
      <c r="J53" s="650"/>
      <c r="K53" s="650"/>
      <c r="L53" s="650"/>
    </row>
    <row r="54" spans="2:12" x14ac:dyDescent="0.2">
      <c r="B54" s="647">
        <f t="shared" si="0"/>
        <v>43</v>
      </c>
      <c r="C54" s="648">
        <f t="shared" ca="1" si="1"/>
        <v>43495</v>
      </c>
      <c r="D54" s="649">
        <f t="shared" si="5"/>
        <v>0</v>
      </c>
      <c r="E54" s="649">
        <f t="shared" si="2"/>
        <v>0</v>
      </c>
      <c r="F54" s="649">
        <f t="shared" si="3"/>
        <v>0</v>
      </c>
      <c r="G54" s="649">
        <f t="shared" si="4"/>
        <v>0</v>
      </c>
      <c r="H54" s="649">
        <f t="shared" si="6"/>
        <v>0</v>
      </c>
      <c r="J54" s="650"/>
      <c r="K54" s="650"/>
      <c r="L54" s="650"/>
    </row>
    <row r="55" spans="2:12" x14ac:dyDescent="0.2">
      <c r="B55" s="647">
        <f t="shared" si="0"/>
        <v>44</v>
      </c>
      <c r="C55" s="648">
        <f t="shared" ca="1" si="1"/>
        <v>43524</v>
      </c>
      <c r="D55" s="649">
        <f t="shared" si="5"/>
        <v>0</v>
      </c>
      <c r="E55" s="649">
        <f t="shared" si="2"/>
        <v>0</v>
      </c>
      <c r="F55" s="649">
        <f t="shared" si="3"/>
        <v>0</v>
      </c>
      <c r="G55" s="649">
        <f t="shared" si="4"/>
        <v>0</v>
      </c>
      <c r="H55" s="649">
        <f t="shared" si="6"/>
        <v>0</v>
      </c>
      <c r="J55" s="650"/>
      <c r="K55" s="650"/>
      <c r="L55" s="650"/>
    </row>
    <row r="56" spans="2:12" x14ac:dyDescent="0.2">
      <c r="B56" s="647">
        <f t="shared" si="0"/>
        <v>45</v>
      </c>
      <c r="C56" s="648">
        <f t="shared" ca="1" si="1"/>
        <v>43554</v>
      </c>
      <c r="D56" s="649">
        <f t="shared" si="5"/>
        <v>0</v>
      </c>
      <c r="E56" s="649">
        <f t="shared" si="2"/>
        <v>0</v>
      </c>
      <c r="F56" s="649">
        <f t="shared" si="3"/>
        <v>0</v>
      </c>
      <c r="G56" s="649">
        <f t="shared" si="4"/>
        <v>0</v>
      </c>
      <c r="H56" s="649">
        <f t="shared" si="6"/>
        <v>0</v>
      </c>
      <c r="J56" s="650"/>
      <c r="K56" s="650"/>
      <c r="L56" s="650"/>
    </row>
    <row r="57" spans="2:12" x14ac:dyDescent="0.2">
      <c r="B57" s="647">
        <f t="shared" si="0"/>
        <v>46</v>
      </c>
      <c r="C57" s="648">
        <f t="shared" ca="1" si="1"/>
        <v>43585</v>
      </c>
      <c r="D57" s="649">
        <f t="shared" si="5"/>
        <v>0</v>
      </c>
      <c r="E57" s="649">
        <f t="shared" si="2"/>
        <v>0</v>
      </c>
      <c r="F57" s="649">
        <f t="shared" si="3"/>
        <v>0</v>
      </c>
      <c r="G57" s="649">
        <f t="shared" si="4"/>
        <v>0</v>
      </c>
      <c r="H57" s="649">
        <f t="shared" si="6"/>
        <v>0</v>
      </c>
      <c r="J57" s="650"/>
      <c r="K57" s="650"/>
      <c r="L57" s="650"/>
    </row>
    <row r="58" spans="2:12" x14ac:dyDescent="0.2">
      <c r="B58" s="647">
        <f t="shared" si="0"/>
        <v>47</v>
      </c>
      <c r="C58" s="648">
        <f t="shared" ca="1" si="1"/>
        <v>43615</v>
      </c>
      <c r="D58" s="649">
        <f t="shared" si="5"/>
        <v>0</v>
      </c>
      <c r="E58" s="649">
        <f t="shared" si="2"/>
        <v>0</v>
      </c>
      <c r="F58" s="649">
        <f t="shared" si="3"/>
        <v>0</v>
      </c>
      <c r="G58" s="649">
        <f t="shared" si="4"/>
        <v>0</v>
      </c>
      <c r="H58" s="649">
        <f t="shared" si="6"/>
        <v>0</v>
      </c>
      <c r="J58" s="650"/>
      <c r="K58" s="650"/>
      <c r="L58" s="650"/>
    </row>
    <row r="59" spans="2:12" x14ac:dyDescent="0.2">
      <c r="B59" s="647">
        <f t="shared" si="0"/>
        <v>48</v>
      </c>
      <c r="C59" s="648">
        <f t="shared" ca="1" si="1"/>
        <v>43646</v>
      </c>
      <c r="D59" s="649">
        <f t="shared" si="5"/>
        <v>0</v>
      </c>
      <c r="E59" s="649">
        <f t="shared" si="2"/>
        <v>0</v>
      </c>
      <c r="F59" s="649">
        <f t="shared" si="3"/>
        <v>0</v>
      </c>
      <c r="G59" s="649">
        <f t="shared" si="4"/>
        <v>0</v>
      </c>
      <c r="H59" s="649">
        <f t="shared" si="6"/>
        <v>0</v>
      </c>
      <c r="J59" s="642">
        <f>D47-D59</f>
        <v>0</v>
      </c>
      <c r="K59" s="650"/>
      <c r="L59" s="650"/>
    </row>
    <row r="60" spans="2:12" x14ac:dyDescent="0.2">
      <c r="B60" s="640">
        <f t="shared" si="0"/>
        <v>49</v>
      </c>
      <c r="C60" s="641">
        <f t="shared" ca="1" si="1"/>
        <v>43676</v>
      </c>
      <c r="D60" s="642">
        <f t="shared" si="5"/>
        <v>0</v>
      </c>
      <c r="E60" s="642">
        <f t="shared" si="2"/>
        <v>0</v>
      </c>
      <c r="F60" s="642">
        <f t="shared" si="3"/>
        <v>0</v>
      </c>
      <c r="G60" s="642">
        <f t="shared" si="4"/>
        <v>0</v>
      </c>
      <c r="H60" s="642">
        <f t="shared" si="6"/>
        <v>0</v>
      </c>
      <c r="J60" s="650"/>
      <c r="K60" s="650"/>
      <c r="L60" s="650"/>
    </row>
    <row r="61" spans="2:12" x14ac:dyDescent="0.2">
      <c r="B61" s="640">
        <f t="shared" si="0"/>
        <v>50</v>
      </c>
      <c r="C61" s="641">
        <f t="shared" ca="1" si="1"/>
        <v>43707</v>
      </c>
      <c r="D61" s="642">
        <f t="shared" si="5"/>
        <v>0</v>
      </c>
      <c r="E61" s="642">
        <f t="shared" si="2"/>
        <v>0</v>
      </c>
      <c r="F61" s="642">
        <f t="shared" si="3"/>
        <v>0</v>
      </c>
      <c r="G61" s="642">
        <f t="shared" si="4"/>
        <v>0</v>
      </c>
      <c r="H61" s="642">
        <f t="shared" si="6"/>
        <v>0</v>
      </c>
      <c r="J61" s="650"/>
      <c r="K61" s="650"/>
      <c r="L61" s="650"/>
    </row>
    <row r="62" spans="2:12" x14ac:dyDescent="0.2">
      <c r="B62" s="640">
        <f t="shared" si="0"/>
        <v>51</v>
      </c>
      <c r="C62" s="641">
        <f t="shared" ca="1" si="1"/>
        <v>43738</v>
      </c>
      <c r="D62" s="642">
        <f t="shared" si="5"/>
        <v>0</v>
      </c>
      <c r="E62" s="642">
        <f t="shared" si="2"/>
        <v>0</v>
      </c>
      <c r="F62" s="642">
        <f t="shared" si="3"/>
        <v>0</v>
      </c>
      <c r="G62" s="642">
        <f t="shared" si="4"/>
        <v>0</v>
      </c>
      <c r="H62" s="642">
        <f t="shared" si="6"/>
        <v>0</v>
      </c>
      <c r="J62" s="650"/>
      <c r="K62" s="650"/>
      <c r="L62" s="650"/>
    </row>
    <row r="63" spans="2:12" x14ac:dyDescent="0.2">
      <c r="B63" s="640">
        <f t="shared" si="0"/>
        <v>52</v>
      </c>
      <c r="C63" s="641">
        <f t="shared" ca="1" si="1"/>
        <v>43768</v>
      </c>
      <c r="D63" s="642">
        <f t="shared" si="5"/>
        <v>0</v>
      </c>
      <c r="E63" s="642">
        <f t="shared" si="2"/>
        <v>0</v>
      </c>
      <c r="F63" s="642">
        <f t="shared" si="3"/>
        <v>0</v>
      </c>
      <c r="G63" s="642">
        <f t="shared" si="4"/>
        <v>0</v>
      </c>
      <c r="H63" s="642">
        <f t="shared" si="6"/>
        <v>0</v>
      </c>
      <c r="J63" s="650"/>
      <c r="K63" s="650"/>
      <c r="L63" s="650"/>
    </row>
    <row r="64" spans="2:12" x14ac:dyDescent="0.2">
      <c r="B64" s="640">
        <f t="shared" si="0"/>
        <v>53</v>
      </c>
      <c r="C64" s="641">
        <f t="shared" ca="1" si="1"/>
        <v>43799</v>
      </c>
      <c r="D64" s="642">
        <f t="shared" si="5"/>
        <v>0</v>
      </c>
      <c r="E64" s="642">
        <f t="shared" si="2"/>
        <v>0</v>
      </c>
      <c r="F64" s="642">
        <f t="shared" si="3"/>
        <v>0</v>
      </c>
      <c r="G64" s="642">
        <f t="shared" si="4"/>
        <v>0</v>
      </c>
      <c r="H64" s="642">
        <f t="shared" si="6"/>
        <v>0</v>
      </c>
      <c r="J64" s="650"/>
      <c r="K64" s="650"/>
      <c r="L64" s="650"/>
    </row>
    <row r="65" spans="2:12" x14ac:dyDescent="0.2">
      <c r="B65" s="640">
        <f t="shared" si="0"/>
        <v>54</v>
      </c>
      <c r="C65" s="641">
        <f t="shared" ca="1" si="1"/>
        <v>43829</v>
      </c>
      <c r="D65" s="642">
        <f t="shared" si="5"/>
        <v>0</v>
      </c>
      <c r="E65" s="642">
        <f t="shared" si="2"/>
        <v>0</v>
      </c>
      <c r="F65" s="642">
        <f t="shared" si="3"/>
        <v>0</v>
      </c>
      <c r="G65" s="642">
        <f t="shared" si="4"/>
        <v>0</v>
      </c>
      <c r="H65" s="642">
        <f t="shared" si="6"/>
        <v>0</v>
      </c>
      <c r="J65" s="650"/>
      <c r="K65" s="650"/>
      <c r="L65" s="650"/>
    </row>
    <row r="66" spans="2:12" x14ac:dyDescent="0.2">
      <c r="B66" s="640">
        <f t="shared" si="0"/>
        <v>55</v>
      </c>
      <c r="C66" s="641">
        <f t="shared" ca="1" si="1"/>
        <v>43860</v>
      </c>
      <c r="D66" s="642">
        <f t="shared" si="5"/>
        <v>0</v>
      </c>
      <c r="E66" s="642">
        <f t="shared" si="2"/>
        <v>0</v>
      </c>
      <c r="F66" s="642">
        <f t="shared" si="3"/>
        <v>0</v>
      </c>
      <c r="G66" s="642">
        <f t="shared" si="4"/>
        <v>0</v>
      </c>
      <c r="H66" s="642">
        <f t="shared" si="6"/>
        <v>0</v>
      </c>
      <c r="J66" s="650"/>
      <c r="K66" s="650"/>
      <c r="L66" s="650"/>
    </row>
    <row r="67" spans="2:12" x14ac:dyDescent="0.2">
      <c r="B67" s="640">
        <f t="shared" si="0"/>
        <v>56</v>
      </c>
      <c r="C67" s="641">
        <f t="shared" ca="1" si="1"/>
        <v>43890</v>
      </c>
      <c r="D67" s="642">
        <f t="shared" si="5"/>
        <v>0</v>
      </c>
      <c r="E67" s="642">
        <f t="shared" si="2"/>
        <v>0</v>
      </c>
      <c r="F67" s="642">
        <f t="shared" si="3"/>
        <v>0</v>
      </c>
      <c r="G67" s="642">
        <f t="shared" si="4"/>
        <v>0</v>
      </c>
      <c r="H67" s="642">
        <f t="shared" si="6"/>
        <v>0</v>
      </c>
      <c r="J67" s="650"/>
      <c r="K67" s="650"/>
      <c r="L67" s="650"/>
    </row>
    <row r="68" spans="2:12" x14ac:dyDescent="0.2">
      <c r="B68" s="640">
        <f t="shared" si="0"/>
        <v>57</v>
      </c>
      <c r="C68" s="641">
        <f t="shared" ca="1" si="1"/>
        <v>43920</v>
      </c>
      <c r="D68" s="642">
        <f t="shared" si="5"/>
        <v>0</v>
      </c>
      <c r="E68" s="642">
        <f t="shared" si="2"/>
        <v>0</v>
      </c>
      <c r="F68" s="642">
        <f t="shared" si="3"/>
        <v>0</v>
      </c>
      <c r="G68" s="642">
        <f t="shared" si="4"/>
        <v>0</v>
      </c>
      <c r="H68" s="642">
        <f t="shared" si="6"/>
        <v>0</v>
      </c>
      <c r="J68" s="650"/>
      <c r="K68" s="650"/>
      <c r="L68" s="650"/>
    </row>
    <row r="69" spans="2:12" x14ac:dyDescent="0.2">
      <c r="B69" s="640">
        <f t="shared" si="0"/>
        <v>58</v>
      </c>
      <c r="C69" s="641">
        <f t="shared" ca="1" si="1"/>
        <v>43951</v>
      </c>
      <c r="D69" s="642">
        <f t="shared" si="5"/>
        <v>0</v>
      </c>
      <c r="E69" s="642">
        <f t="shared" si="2"/>
        <v>0</v>
      </c>
      <c r="F69" s="642">
        <f t="shared" si="3"/>
        <v>0</v>
      </c>
      <c r="G69" s="642">
        <f t="shared" si="4"/>
        <v>0</v>
      </c>
      <c r="H69" s="642">
        <f t="shared" si="6"/>
        <v>0</v>
      </c>
      <c r="J69" s="650"/>
      <c r="K69" s="650"/>
      <c r="L69" s="650"/>
    </row>
    <row r="70" spans="2:12" x14ac:dyDescent="0.2">
      <c r="B70" s="640">
        <f t="shared" si="0"/>
        <v>59</v>
      </c>
      <c r="C70" s="641">
        <f t="shared" ca="1" si="1"/>
        <v>43981</v>
      </c>
      <c r="D70" s="642">
        <f t="shared" si="5"/>
        <v>0</v>
      </c>
      <c r="E70" s="642">
        <f t="shared" si="2"/>
        <v>0</v>
      </c>
      <c r="F70" s="642">
        <f t="shared" si="3"/>
        <v>0</v>
      </c>
      <c r="G70" s="642">
        <f t="shared" si="4"/>
        <v>0</v>
      </c>
      <c r="H70" s="642">
        <f t="shared" si="6"/>
        <v>0</v>
      </c>
      <c r="J70" s="650"/>
      <c r="K70" s="650"/>
      <c r="L70" s="650"/>
    </row>
    <row r="71" spans="2:12" x14ac:dyDescent="0.2">
      <c r="B71" s="640">
        <f t="shared" si="0"/>
        <v>60</v>
      </c>
      <c r="C71" s="641">
        <f t="shared" ca="1" si="1"/>
        <v>44012</v>
      </c>
      <c r="D71" s="642">
        <f t="shared" si="5"/>
        <v>0</v>
      </c>
      <c r="E71" s="642">
        <f t="shared" si="2"/>
        <v>0</v>
      </c>
      <c r="F71" s="642">
        <f t="shared" si="3"/>
        <v>0</v>
      </c>
      <c r="G71" s="642">
        <f t="shared" si="4"/>
        <v>0</v>
      </c>
      <c r="H71" s="642">
        <f t="shared" si="6"/>
        <v>0</v>
      </c>
      <c r="J71" s="642">
        <f>D59-D71</f>
        <v>0</v>
      </c>
      <c r="K71" s="650"/>
      <c r="L71" s="650"/>
    </row>
    <row r="72" spans="2:12" x14ac:dyDescent="0.2">
      <c r="B72" s="647">
        <f t="shared" si="0"/>
        <v>61</v>
      </c>
      <c r="C72" s="648">
        <f t="shared" ca="1" si="1"/>
        <v>44042</v>
      </c>
      <c r="D72" s="649">
        <f t="shared" si="5"/>
        <v>0</v>
      </c>
      <c r="E72" s="649">
        <f t="shared" si="2"/>
        <v>0</v>
      </c>
      <c r="F72" s="649">
        <f t="shared" si="3"/>
        <v>0</v>
      </c>
      <c r="G72" s="649">
        <f t="shared" si="4"/>
        <v>0</v>
      </c>
      <c r="H72" s="649">
        <f t="shared" si="6"/>
        <v>0</v>
      </c>
      <c r="J72" s="650"/>
      <c r="K72" s="650"/>
      <c r="L72" s="650"/>
    </row>
    <row r="73" spans="2:12" x14ac:dyDescent="0.2">
      <c r="B73" s="647">
        <f t="shared" si="0"/>
        <v>62</v>
      </c>
      <c r="C73" s="648">
        <f t="shared" ca="1" si="1"/>
        <v>44073</v>
      </c>
      <c r="D73" s="649">
        <f t="shared" si="5"/>
        <v>0</v>
      </c>
      <c r="E73" s="649">
        <f t="shared" si="2"/>
        <v>0</v>
      </c>
      <c r="F73" s="649">
        <f t="shared" si="3"/>
        <v>0</v>
      </c>
      <c r="G73" s="649">
        <f t="shared" si="4"/>
        <v>0</v>
      </c>
      <c r="H73" s="649">
        <f t="shared" si="6"/>
        <v>0</v>
      </c>
      <c r="J73" s="650"/>
      <c r="K73" s="650"/>
      <c r="L73" s="650"/>
    </row>
    <row r="74" spans="2:12" x14ac:dyDescent="0.2">
      <c r="B74" s="647">
        <f t="shared" si="0"/>
        <v>63</v>
      </c>
      <c r="C74" s="648">
        <f t="shared" ca="1" si="1"/>
        <v>44104</v>
      </c>
      <c r="D74" s="649">
        <f t="shared" si="5"/>
        <v>0</v>
      </c>
      <c r="E74" s="649">
        <f t="shared" si="2"/>
        <v>0</v>
      </c>
      <c r="F74" s="649">
        <f t="shared" si="3"/>
        <v>0</v>
      </c>
      <c r="G74" s="649">
        <f t="shared" si="4"/>
        <v>0</v>
      </c>
      <c r="H74" s="649">
        <f t="shared" si="6"/>
        <v>0</v>
      </c>
      <c r="J74" s="650"/>
      <c r="K74" s="650"/>
      <c r="L74" s="650"/>
    </row>
    <row r="75" spans="2:12" x14ac:dyDescent="0.2">
      <c r="B75" s="647">
        <f t="shared" si="0"/>
        <v>64</v>
      </c>
      <c r="C75" s="648">
        <f t="shared" ca="1" si="1"/>
        <v>44134</v>
      </c>
      <c r="D75" s="649">
        <f t="shared" si="5"/>
        <v>0</v>
      </c>
      <c r="E75" s="649">
        <f t="shared" si="2"/>
        <v>0</v>
      </c>
      <c r="F75" s="649">
        <f t="shared" si="3"/>
        <v>0</v>
      </c>
      <c r="G75" s="649">
        <f t="shared" si="4"/>
        <v>0</v>
      </c>
      <c r="H75" s="649">
        <f t="shared" si="6"/>
        <v>0</v>
      </c>
      <c r="J75" s="650"/>
      <c r="K75" s="650"/>
      <c r="L75" s="650"/>
    </row>
    <row r="76" spans="2:12" x14ac:dyDescent="0.2">
      <c r="B76" s="647">
        <f t="shared" ref="B76:B139" si="7">IF(B75&lt;$L$3,B75+1,"-")</f>
        <v>65</v>
      </c>
      <c r="C76" s="648">
        <f t="shared" ref="C76:C139" ca="1" si="8">IF(ISNUMBER(B76),MIN(DATE(YEAR($C$11),MONTH($C$11)+B76*12/$P$5,DAY($C$11)),DATE(YEAR($C$11),MONTH($C$11)+1+B76*12/$P$5,1)-1),"")</f>
        <v>44165</v>
      </c>
      <c r="D76" s="649">
        <f t="shared" si="5"/>
        <v>0</v>
      </c>
      <c r="E76" s="649">
        <f t="shared" ref="E76:E139" si="9">IF(ISNUMBER(B76),ROUND(D76*$L$7,$R$6),"")</f>
        <v>0</v>
      </c>
      <c r="F76" s="649">
        <f t="shared" ref="F76:F139" si="10">IF(ISNUMBER(B76),IF(B76=$L$3,D76,IF(B76&gt;$L$4,$H$3-E76,0)),"")</f>
        <v>0</v>
      </c>
      <c r="G76" s="649">
        <f t="shared" ref="G76:G139" si="11">IF(ISNUMBER(B76),$H$4,"")</f>
        <v>0</v>
      </c>
      <c r="H76" s="649">
        <f t="shared" si="6"/>
        <v>0</v>
      </c>
      <c r="J76" s="650"/>
      <c r="K76" s="650"/>
      <c r="L76" s="650"/>
    </row>
    <row r="77" spans="2:12" x14ac:dyDescent="0.2">
      <c r="B77" s="647">
        <f t="shared" si="7"/>
        <v>66</v>
      </c>
      <c r="C77" s="648">
        <f t="shared" ca="1" si="8"/>
        <v>44195</v>
      </c>
      <c r="D77" s="649">
        <f t="shared" ref="D77:D140" si="12">IF(ISNUMBER(B77),D76-F76,"")</f>
        <v>0</v>
      </c>
      <c r="E77" s="649">
        <f t="shared" si="9"/>
        <v>0</v>
      </c>
      <c r="F77" s="649">
        <f t="shared" si="10"/>
        <v>0</v>
      </c>
      <c r="G77" s="649">
        <f t="shared" si="11"/>
        <v>0</v>
      </c>
      <c r="H77" s="649">
        <f t="shared" ref="H77:H140" si="13">IF(ISNUMBER(B77),E77+F77+G77,"")</f>
        <v>0</v>
      </c>
      <c r="J77" s="650"/>
      <c r="K77" s="650"/>
      <c r="L77" s="650"/>
    </row>
    <row r="78" spans="2:12" x14ac:dyDescent="0.2">
      <c r="B78" s="647">
        <f t="shared" si="7"/>
        <v>67</v>
      </c>
      <c r="C78" s="648">
        <f t="shared" ca="1" si="8"/>
        <v>44226</v>
      </c>
      <c r="D78" s="649">
        <f t="shared" si="12"/>
        <v>0</v>
      </c>
      <c r="E78" s="649">
        <f t="shared" si="9"/>
        <v>0</v>
      </c>
      <c r="F78" s="649">
        <f t="shared" si="10"/>
        <v>0</v>
      </c>
      <c r="G78" s="649">
        <f t="shared" si="11"/>
        <v>0</v>
      </c>
      <c r="H78" s="649">
        <f t="shared" si="13"/>
        <v>0</v>
      </c>
      <c r="J78" s="650"/>
      <c r="K78" s="650"/>
      <c r="L78" s="650"/>
    </row>
    <row r="79" spans="2:12" x14ac:dyDescent="0.2">
      <c r="B79" s="647">
        <f t="shared" si="7"/>
        <v>68</v>
      </c>
      <c r="C79" s="648">
        <f t="shared" ca="1" si="8"/>
        <v>44255</v>
      </c>
      <c r="D79" s="649">
        <f t="shared" si="12"/>
        <v>0</v>
      </c>
      <c r="E79" s="649">
        <f t="shared" si="9"/>
        <v>0</v>
      </c>
      <c r="F79" s="649">
        <f t="shared" si="10"/>
        <v>0</v>
      </c>
      <c r="G79" s="649">
        <f t="shared" si="11"/>
        <v>0</v>
      </c>
      <c r="H79" s="649">
        <f t="shared" si="13"/>
        <v>0</v>
      </c>
      <c r="J79" s="650"/>
      <c r="K79" s="650"/>
      <c r="L79" s="650"/>
    </row>
    <row r="80" spans="2:12" x14ac:dyDescent="0.2">
      <c r="B80" s="647">
        <f t="shared" si="7"/>
        <v>69</v>
      </c>
      <c r="C80" s="648">
        <f t="shared" ca="1" si="8"/>
        <v>44285</v>
      </c>
      <c r="D80" s="649">
        <f t="shared" si="12"/>
        <v>0</v>
      </c>
      <c r="E80" s="649">
        <f t="shared" si="9"/>
        <v>0</v>
      </c>
      <c r="F80" s="649">
        <f t="shared" si="10"/>
        <v>0</v>
      </c>
      <c r="G80" s="649">
        <f t="shared" si="11"/>
        <v>0</v>
      </c>
      <c r="H80" s="649">
        <f t="shared" si="13"/>
        <v>0</v>
      </c>
      <c r="J80" s="650"/>
      <c r="K80" s="650"/>
      <c r="L80" s="650"/>
    </row>
    <row r="81" spans="2:12" x14ac:dyDescent="0.2">
      <c r="B81" s="647">
        <f t="shared" si="7"/>
        <v>70</v>
      </c>
      <c r="C81" s="648">
        <f t="shared" ca="1" si="8"/>
        <v>44316</v>
      </c>
      <c r="D81" s="649">
        <f t="shared" si="12"/>
        <v>0</v>
      </c>
      <c r="E81" s="649">
        <f t="shared" si="9"/>
        <v>0</v>
      </c>
      <c r="F81" s="649">
        <f t="shared" si="10"/>
        <v>0</v>
      </c>
      <c r="G81" s="649">
        <f t="shared" si="11"/>
        <v>0</v>
      </c>
      <c r="H81" s="649">
        <f t="shared" si="13"/>
        <v>0</v>
      </c>
      <c r="J81" s="650"/>
      <c r="K81" s="650"/>
      <c r="L81" s="650"/>
    </row>
    <row r="82" spans="2:12" x14ac:dyDescent="0.2">
      <c r="B82" s="647">
        <f t="shared" si="7"/>
        <v>71</v>
      </c>
      <c r="C82" s="648">
        <f t="shared" ca="1" si="8"/>
        <v>44346</v>
      </c>
      <c r="D82" s="649">
        <f t="shared" si="12"/>
        <v>0</v>
      </c>
      <c r="E82" s="649">
        <f t="shared" si="9"/>
        <v>0</v>
      </c>
      <c r="F82" s="649">
        <f t="shared" si="10"/>
        <v>0</v>
      </c>
      <c r="G82" s="649">
        <f t="shared" si="11"/>
        <v>0</v>
      </c>
      <c r="H82" s="649">
        <f t="shared" si="13"/>
        <v>0</v>
      </c>
      <c r="J82" s="650"/>
      <c r="K82" s="650"/>
      <c r="L82" s="650"/>
    </row>
    <row r="83" spans="2:12" x14ac:dyDescent="0.2">
      <c r="B83" s="647">
        <f t="shared" si="7"/>
        <v>72</v>
      </c>
      <c r="C83" s="648">
        <f t="shared" ca="1" si="8"/>
        <v>44377</v>
      </c>
      <c r="D83" s="649">
        <f t="shared" si="12"/>
        <v>0</v>
      </c>
      <c r="E83" s="649">
        <f t="shared" si="9"/>
        <v>0</v>
      </c>
      <c r="F83" s="649">
        <f t="shared" si="10"/>
        <v>0</v>
      </c>
      <c r="G83" s="649">
        <f t="shared" si="11"/>
        <v>0</v>
      </c>
      <c r="H83" s="649">
        <f t="shared" si="13"/>
        <v>0</v>
      </c>
      <c r="J83" s="642">
        <f>D71-D83</f>
        <v>0</v>
      </c>
      <c r="K83" s="650"/>
      <c r="L83" s="650"/>
    </row>
    <row r="84" spans="2:12" x14ac:dyDescent="0.2">
      <c r="B84" s="651">
        <f t="shared" si="7"/>
        <v>73</v>
      </c>
      <c r="C84" s="652">
        <f t="shared" ca="1" si="8"/>
        <v>44407</v>
      </c>
      <c r="D84" s="653">
        <f t="shared" si="12"/>
        <v>0</v>
      </c>
      <c r="E84" s="653">
        <f t="shared" si="9"/>
        <v>0</v>
      </c>
      <c r="F84" s="653">
        <f t="shared" si="10"/>
        <v>0</v>
      </c>
      <c r="G84" s="653">
        <f t="shared" si="11"/>
        <v>0</v>
      </c>
      <c r="H84" s="653">
        <f t="shared" si="13"/>
        <v>0</v>
      </c>
      <c r="J84" s="650"/>
      <c r="K84" s="650"/>
      <c r="L84" s="650"/>
    </row>
    <row r="85" spans="2:12" x14ac:dyDescent="0.2">
      <c r="B85" s="651">
        <f t="shared" si="7"/>
        <v>74</v>
      </c>
      <c r="C85" s="652">
        <f t="shared" ca="1" si="8"/>
        <v>44438</v>
      </c>
      <c r="D85" s="653">
        <f t="shared" si="12"/>
        <v>0</v>
      </c>
      <c r="E85" s="653">
        <f t="shared" si="9"/>
        <v>0</v>
      </c>
      <c r="F85" s="653">
        <f t="shared" si="10"/>
        <v>0</v>
      </c>
      <c r="G85" s="653">
        <f t="shared" si="11"/>
        <v>0</v>
      </c>
      <c r="H85" s="653">
        <f t="shared" si="13"/>
        <v>0</v>
      </c>
      <c r="J85" s="650"/>
      <c r="K85" s="650"/>
      <c r="L85" s="650"/>
    </row>
    <row r="86" spans="2:12" x14ac:dyDescent="0.2">
      <c r="B86" s="651">
        <f t="shared" si="7"/>
        <v>75</v>
      </c>
      <c r="C86" s="652">
        <f t="shared" ca="1" si="8"/>
        <v>44469</v>
      </c>
      <c r="D86" s="653">
        <f t="shared" si="12"/>
        <v>0</v>
      </c>
      <c r="E86" s="653">
        <f t="shared" si="9"/>
        <v>0</v>
      </c>
      <c r="F86" s="653">
        <f t="shared" si="10"/>
        <v>0</v>
      </c>
      <c r="G86" s="653">
        <f t="shared" si="11"/>
        <v>0</v>
      </c>
      <c r="H86" s="653">
        <f t="shared" si="13"/>
        <v>0</v>
      </c>
      <c r="J86" s="650"/>
      <c r="K86" s="650"/>
      <c r="L86" s="650"/>
    </row>
    <row r="87" spans="2:12" x14ac:dyDescent="0.2">
      <c r="B87" s="651">
        <f t="shared" si="7"/>
        <v>76</v>
      </c>
      <c r="C87" s="652">
        <f t="shared" ca="1" si="8"/>
        <v>44499</v>
      </c>
      <c r="D87" s="653">
        <f t="shared" si="12"/>
        <v>0</v>
      </c>
      <c r="E87" s="653">
        <f t="shared" si="9"/>
        <v>0</v>
      </c>
      <c r="F87" s="653">
        <f t="shared" si="10"/>
        <v>0</v>
      </c>
      <c r="G87" s="653">
        <f t="shared" si="11"/>
        <v>0</v>
      </c>
      <c r="H87" s="653">
        <f t="shared" si="13"/>
        <v>0</v>
      </c>
      <c r="J87" s="650"/>
      <c r="K87" s="650"/>
      <c r="L87" s="650"/>
    </row>
    <row r="88" spans="2:12" x14ac:dyDescent="0.2">
      <c r="B88" s="651">
        <f t="shared" si="7"/>
        <v>77</v>
      </c>
      <c r="C88" s="652">
        <f t="shared" ca="1" si="8"/>
        <v>44530</v>
      </c>
      <c r="D88" s="653">
        <f t="shared" si="12"/>
        <v>0</v>
      </c>
      <c r="E88" s="653">
        <f t="shared" si="9"/>
        <v>0</v>
      </c>
      <c r="F88" s="653">
        <f t="shared" si="10"/>
        <v>0</v>
      </c>
      <c r="G88" s="653">
        <f t="shared" si="11"/>
        <v>0</v>
      </c>
      <c r="H88" s="653">
        <f t="shared" si="13"/>
        <v>0</v>
      </c>
      <c r="J88" s="650"/>
      <c r="K88" s="650"/>
      <c r="L88" s="650"/>
    </row>
    <row r="89" spans="2:12" x14ac:dyDescent="0.2">
      <c r="B89" s="651">
        <f t="shared" si="7"/>
        <v>78</v>
      </c>
      <c r="C89" s="652">
        <f t="shared" ca="1" si="8"/>
        <v>44560</v>
      </c>
      <c r="D89" s="653">
        <f t="shared" si="12"/>
        <v>0</v>
      </c>
      <c r="E89" s="653">
        <f t="shared" si="9"/>
        <v>0</v>
      </c>
      <c r="F89" s="653">
        <f t="shared" si="10"/>
        <v>0</v>
      </c>
      <c r="G89" s="653">
        <f t="shared" si="11"/>
        <v>0</v>
      </c>
      <c r="H89" s="653">
        <f t="shared" si="13"/>
        <v>0</v>
      </c>
      <c r="J89" s="650"/>
      <c r="K89" s="650"/>
      <c r="L89" s="650"/>
    </row>
    <row r="90" spans="2:12" x14ac:dyDescent="0.2">
      <c r="B90" s="651">
        <f t="shared" si="7"/>
        <v>79</v>
      </c>
      <c r="C90" s="652">
        <f t="shared" ca="1" si="8"/>
        <v>44591</v>
      </c>
      <c r="D90" s="653">
        <f t="shared" si="12"/>
        <v>0</v>
      </c>
      <c r="E90" s="653">
        <f t="shared" si="9"/>
        <v>0</v>
      </c>
      <c r="F90" s="653">
        <f t="shared" si="10"/>
        <v>0</v>
      </c>
      <c r="G90" s="653">
        <f t="shared" si="11"/>
        <v>0</v>
      </c>
      <c r="H90" s="653">
        <f t="shared" si="13"/>
        <v>0</v>
      </c>
      <c r="J90" s="650"/>
      <c r="K90" s="650"/>
      <c r="L90" s="650"/>
    </row>
    <row r="91" spans="2:12" x14ac:dyDescent="0.2">
      <c r="B91" s="651">
        <f t="shared" si="7"/>
        <v>80</v>
      </c>
      <c r="C91" s="652">
        <f t="shared" ca="1" si="8"/>
        <v>44620</v>
      </c>
      <c r="D91" s="653">
        <f t="shared" si="12"/>
        <v>0</v>
      </c>
      <c r="E91" s="653">
        <f t="shared" si="9"/>
        <v>0</v>
      </c>
      <c r="F91" s="653">
        <f t="shared" si="10"/>
        <v>0</v>
      </c>
      <c r="G91" s="653">
        <f t="shared" si="11"/>
        <v>0</v>
      </c>
      <c r="H91" s="653">
        <f t="shared" si="13"/>
        <v>0</v>
      </c>
      <c r="J91" s="650"/>
      <c r="K91" s="650"/>
      <c r="L91" s="650"/>
    </row>
    <row r="92" spans="2:12" x14ac:dyDescent="0.2">
      <c r="B92" s="651">
        <f t="shared" si="7"/>
        <v>81</v>
      </c>
      <c r="C92" s="652">
        <f t="shared" ca="1" si="8"/>
        <v>44650</v>
      </c>
      <c r="D92" s="653">
        <f t="shared" si="12"/>
        <v>0</v>
      </c>
      <c r="E92" s="653">
        <f t="shared" si="9"/>
        <v>0</v>
      </c>
      <c r="F92" s="653">
        <f t="shared" si="10"/>
        <v>0</v>
      </c>
      <c r="G92" s="653">
        <f t="shared" si="11"/>
        <v>0</v>
      </c>
      <c r="H92" s="653">
        <f t="shared" si="13"/>
        <v>0</v>
      </c>
      <c r="J92" s="650"/>
      <c r="K92" s="650"/>
      <c r="L92" s="650"/>
    </row>
    <row r="93" spans="2:12" x14ac:dyDescent="0.2">
      <c r="B93" s="651">
        <f t="shared" si="7"/>
        <v>82</v>
      </c>
      <c r="C93" s="652">
        <f t="shared" ca="1" si="8"/>
        <v>44681</v>
      </c>
      <c r="D93" s="653">
        <f t="shared" si="12"/>
        <v>0</v>
      </c>
      <c r="E93" s="653">
        <f t="shared" si="9"/>
        <v>0</v>
      </c>
      <c r="F93" s="653">
        <f t="shared" si="10"/>
        <v>0</v>
      </c>
      <c r="G93" s="653">
        <f t="shared" si="11"/>
        <v>0</v>
      </c>
      <c r="H93" s="653">
        <f t="shared" si="13"/>
        <v>0</v>
      </c>
      <c r="J93" s="650"/>
      <c r="K93" s="650"/>
      <c r="L93" s="650"/>
    </row>
    <row r="94" spans="2:12" x14ac:dyDescent="0.2">
      <c r="B94" s="651">
        <f t="shared" si="7"/>
        <v>83</v>
      </c>
      <c r="C94" s="652">
        <f t="shared" ca="1" si="8"/>
        <v>44711</v>
      </c>
      <c r="D94" s="653">
        <f t="shared" si="12"/>
        <v>0</v>
      </c>
      <c r="E94" s="653">
        <f t="shared" si="9"/>
        <v>0</v>
      </c>
      <c r="F94" s="653">
        <f t="shared" si="10"/>
        <v>0</v>
      </c>
      <c r="G94" s="653">
        <f t="shared" si="11"/>
        <v>0</v>
      </c>
      <c r="H94" s="653">
        <f t="shared" si="13"/>
        <v>0</v>
      </c>
      <c r="J94" s="650"/>
      <c r="K94" s="650"/>
      <c r="L94" s="650"/>
    </row>
    <row r="95" spans="2:12" x14ac:dyDescent="0.2">
      <c r="B95" s="651">
        <f t="shared" si="7"/>
        <v>84</v>
      </c>
      <c r="C95" s="652">
        <f t="shared" ca="1" si="8"/>
        <v>44742</v>
      </c>
      <c r="D95" s="653">
        <f t="shared" si="12"/>
        <v>0</v>
      </c>
      <c r="E95" s="653">
        <f t="shared" si="9"/>
        <v>0</v>
      </c>
      <c r="F95" s="653">
        <f t="shared" si="10"/>
        <v>0</v>
      </c>
      <c r="G95" s="653">
        <f t="shared" si="11"/>
        <v>0</v>
      </c>
      <c r="H95" s="653">
        <f t="shared" si="13"/>
        <v>0</v>
      </c>
      <c r="J95" s="642">
        <f>D83-D95</f>
        <v>0</v>
      </c>
      <c r="K95" s="650"/>
      <c r="L95" s="650"/>
    </row>
    <row r="96" spans="2:12" x14ac:dyDescent="0.2">
      <c r="B96" s="647">
        <f t="shared" si="7"/>
        <v>85</v>
      </c>
      <c r="C96" s="648">
        <f t="shared" ca="1" si="8"/>
        <v>44772</v>
      </c>
      <c r="D96" s="649">
        <f t="shared" si="12"/>
        <v>0</v>
      </c>
      <c r="E96" s="649">
        <f t="shared" si="9"/>
        <v>0</v>
      </c>
      <c r="F96" s="649">
        <f t="shared" si="10"/>
        <v>0</v>
      </c>
      <c r="G96" s="649">
        <f t="shared" si="11"/>
        <v>0</v>
      </c>
      <c r="H96" s="649">
        <f t="shared" si="13"/>
        <v>0</v>
      </c>
      <c r="J96" s="650"/>
      <c r="K96" s="650"/>
      <c r="L96" s="650"/>
    </row>
    <row r="97" spans="2:12" x14ac:dyDescent="0.2">
      <c r="B97" s="647">
        <f t="shared" si="7"/>
        <v>86</v>
      </c>
      <c r="C97" s="648">
        <f t="shared" ca="1" si="8"/>
        <v>44803</v>
      </c>
      <c r="D97" s="649">
        <f t="shared" si="12"/>
        <v>0</v>
      </c>
      <c r="E97" s="649">
        <f t="shared" si="9"/>
        <v>0</v>
      </c>
      <c r="F97" s="649">
        <f t="shared" si="10"/>
        <v>0</v>
      </c>
      <c r="G97" s="649">
        <f t="shared" si="11"/>
        <v>0</v>
      </c>
      <c r="H97" s="649">
        <f t="shared" si="13"/>
        <v>0</v>
      </c>
      <c r="J97" s="650"/>
      <c r="K97" s="650"/>
      <c r="L97" s="650"/>
    </row>
    <row r="98" spans="2:12" x14ac:dyDescent="0.2">
      <c r="B98" s="647">
        <f t="shared" si="7"/>
        <v>87</v>
      </c>
      <c r="C98" s="648">
        <f t="shared" ca="1" si="8"/>
        <v>44834</v>
      </c>
      <c r="D98" s="649">
        <f t="shared" si="12"/>
        <v>0</v>
      </c>
      <c r="E98" s="649">
        <f t="shared" si="9"/>
        <v>0</v>
      </c>
      <c r="F98" s="649">
        <f t="shared" si="10"/>
        <v>0</v>
      </c>
      <c r="G98" s="649">
        <f t="shared" si="11"/>
        <v>0</v>
      </c>
      <c r="H98" s="649">
        <f t="shared" si="13"/>
        <v>0</v>
      </c>
      <c r="J98" s="650"/>
      <c r="K98" s="650"/>
      <c r="L98" s="650"/>
    </row>
    <row r="99" spans="2:12" x14ac:dyDescent="0.2">
      <c r="B99" s="647">
        <f t="shared" si="7"/>
        <v>88</v>
      </c>
      <c r="C99" s="648">
        <f t="shared" ca="1" si="8"/>
        <v>44864</v>
      </c>
      <c r="D99" s="649">
        <f t="shared" si="12"/>
        <v>0</v>
      </c>
      <c r="E99" s="649">
        <f t="shared" si="9"/>
        <v>0</v>
      </c>
      <c r="F99" s="649">
        <f t="shared" si="10"/>
        <v>0</v>
      </c>
      <c r="G99" s="649">
        <f t="shared" si="11"/>
        <v>0</v>
      </c>
      <c r="H99" s="649">
        <f t="shared" si="13"/>
        <v>0</v>
      </c>
      <c r="J99" s="650"/>
      <c r="K99" s="650"/>
      <c r="L99" s="650"/>
    </row>
    <row r="100" spans="2:12" x14ac:dyDescent="0.2">
      <c r="B100" s="647">
        <f t="shared" si="7"/>
        <v>89</v>
      </c>
      <c r="C100" s="648">
        <f t="shared" ca="1" si="8"/>
        <v>44895</v>
      </c>
      <c r="D100" s="649">
        <f t="shared" si="12"/>
        <v>0</v>
      </c>
      <c r="E100" s="649">
        <f t="shared" si="9"/>
        <v>0</v>
      </c>
      <c r="F100" s="649">
        <f t="shared" si="10"/>
        <v>0</v>
      </c>
      <c r="G100" s="649">
        <f t="shared" si="11"/>
        <v>0</v>
      </c>
      <c r="H100" s="649">
        <f t="shared" si="13"/>
        <v>0</v>
      </c>
      <c r="J100" s="650"/>
      <c r="K100" s="650"/>
      <c r="L100" s="650"/>
    </row>
    <row r="101" spans="2:12" x14ac:dyDescent="0.2">
      <c r="B101" s="647">
        <f t="shared" si="7"/>
        <v>90</v>
      </c>
      <c r="C101" s="648">
        <f t="shared" ca="1" si="8"/>
        <v>44925</v>
      </c>
      <c r="D101" s="649">
        <f t="shared" si="12"/>
        <v>0</v>
      </c>
      <c r="E101" s="649">
        <f t="shared" si="9"/>
        <v>0</v>
      </c>
      <c r="F101" s="649">
        <f t="shared" si="10"/>
        <v>0</v>
      </c>
      <c r="G101" s="649">
        <f t="shared" si="11"/>
        <v>0</v>
      </c>
      <c r="H101" s="649">
        <f t="shared" si="13"/>
        <v>0</v>
      </c>
      <c r="J101" s="650"/>
      <c r="K101" s="650"/>
      <c r="L101" s="650"/>
    </row>
    <row r="102" spans="2:12" x14ac:dyDescent="0.2">
      <c r="B102" s="647">
        <f t="shared" si="7"/>
        <v>91</v>
      </c>
      <c r="C102" s="648">
        <f t="shared" ca="1" si="8"/>
        <v>44956</v>
      </c>
      <c r="D102" s="649">
        <f t="shared" si="12"/>
        <v>0</v>
      </c>
      <c r="E102" s="649">
        <f t="shared" si="9"/>
        <v>0</v>
      </c>
      <c r="F102" s="649">
        <f t="shared" si="10"/>
        <v>0</v>
      </c>
      <c r="G102" s="649">
        <f t="shared" si="11"/>
        <v>0</v>
      </c>
      <c r="H102" s="649">
        <f t="shared" si="13"/>
        <v>0</v>
      </c>
      <c r="J102" s="650"/>
      <c r="K102" s="650"/>
      <c r="L102" s="650"/>
    </row>
    <row r="103" spans="2:12" x14ac:dyDescent="0.2">
      <c r="B103" s="647">
        <f t="shared" si="7"/>
        <v>92</v>
      </c>
      <c r="C103" s="648">
        <f t="shared" ca="1" si="8"/>
        <v>44985</v>
      </c>
      <c r="D103" s="649">
        <f t="shared" si="12"/>
        <v>0</v>
      </c>
      <c r="E103" s="649">
        <f t="shared" si="9"/>
        <v>0</v>
      </c>
      <c r="F103" s="649">
        <f t="shared" si="10"/>
        <v>0</v>
      </c>
      <c r="G103" s="649">
        <f t="shared" si="11"/>
        <v>0</v>
      </c>
      <c r="H103" s="649">
        <f t="shared" si="13"/>
        <v>0</v>
      </c>
      <c r="J103" s="650"/>
      <c r="K103" s="650"/>
      <c r="L103" s="650"/>
    </row>
    <row r="104" spans="2:12" x14ac:dyDescent="0.2">
      <c r="B104" s="647">
        <f t="shared" si="7"/>
        <v>93</v>
      </c>
      <c r="C104" s="648">
        <f t="shared" ca="1" si="8"/>
        <v>45015</v>
      </c>
      <c r="D104" s="649">
        <f t="shared" si="12"/>
        <v>0</v>
      </c>
      <c r="E104" s="649">
        <f t="shared" si="9"/>
        <v>0</v>
      </c>
      <c r="F104" s="649">
        <f t="shared" si="10"/>
        <v>0</v>
      </c>
      <c r="G104" s="649">
        <f t="shared" si="11"/>
        <v>0</v>
      </c>
      <c r="H104" s="649">
        <f t="shared" si="13"/>
        <v>0</v>
      </c>
      <c r="J104" s="650"/>
      <c r="K104" s="650"/>
      <c r="L104" s="650"/>
    </row>
    <row r="105" spans="2:12" x14ac:dyDescent="0.2">
      <c r="B105" s="647">
        <f t="shared" si="7"/>
        <v>94</v>
      </c>
      <c r="C105" s="648">
        <f t="shared" ca="1" si="8"/>
        <v>45046</v>
      </c>
      <c r="D105" s="649">
        <f t="shared" si="12"/>
        <v>0</v>
      </c>
      <c r="E105" s="649">
        <f t="shared" si="9"/>
        <v>0</v>
      </c>
      <c r="F105" s="649">
        <f t="shared" si="10"/>
        <v>0</v>
      </c>
      <c r="G105" s="649">
        <f t="shared" si="11"/>
        <v>0</v>
      </c>
      <c r="H105" s="649">
        <f t="shared" si="13"/>
        <v>0</v>
      </c>
      <c r="J105" s="650"/>
      <c r="K105" s="650"/>
      <c r="L105" s="650"/>
    </row>
    <row r="106" spans="2:12" x14ac:dyDescent="0.2">
      <c r="B106" s="647">
        <f t="shared" si="7"/>
        <v>95</v>
      </c>
      <c r="C106" s="648">
        <f t="shared" ca="1" si="8"/>
        <v>45076</v>
      </c>
      <c r="D106" s="649">
        <f t="shared" si="12"/>
        <v>0</v>
      </c>
      <c r="E106" s="649">
        <f t="shared" si="9"/>
        <v>0</v>
      </c>
      <c r="F106" s="649">
        <f t="shared" si="10"/>
        <v>0</v>
      </c>
      <c r="G106" s="649">
        <f t="shared" si="11"/>
        <v>0</v>
      </c>
      <c r="H106" s="649">
        <f t="shared" si="13"/>
        <v>0</v>
      </c>
      <c r="J106" s="650"/>
      <c r="K106" s="650"/>
      <c r="L106" s="650"/>
    </row>
    <row r="107" spans="2:12" x14ac:dyDescent="0.2">
      <c r="B107" s="647">
        <f t="shared" si="7"/>
        <v>96</v>
      </c>
      <c r="C107" s="648">
        <f t="shared" ca="1" si="8"/>
        <v>45107</v>
      </c>
      <c r="D107" s="649">
        <f t="shared" si="12"/>
        <v>0</v>
      </c>
      <c r="E107" s="649">
        <f t="shared" si="9"/>
        <v>0</v>
      </c>
      <c r="F107" s="649">
        <f t="shared" si="10"/>
        <v>0</v>
      </c>
      <c r="G107" s="649">
        <f t="shared" si="11"/>
        <v>0</v>
      </c>
      <c r="H107" s="649">
        <f t="shared" si="13"/>
        <v>0</v>
      </c>
      <c r="J107" s="642">
        <f>D95-D107</f>
        <v>0</v>
      </c>
      <c r="K107" s="650"/>
      <c r="L107" s="650"/>
    </row>
    <row r="108" spans="2:12" x14ac:dyDescent="0.2">
      <c r="B108" s="651">
        <f t="shared" si="7"/>
        <v>97</v>
      </c>
      <c r="C108" s="652">
        <f t="shared" ca="1" si="8"/>
        <v>45137</v>
      </c>
      <c r="D108" s="653">
        <f t="shared" si="12"/>
        <v>0</v>
      </c>
      <c r="E108" s="653">
        <f t="shared" si="9"/>
        <v>0</v>
      </c>
      <c r="F108" s="653">
        <f t="shared" si="10"/>
        <v>0</v>
      </c>
      <c r="G108" s="653">
        <f t="shared" si="11"/>
        <v>0</v>
      </c>
      <c r="H108" s="653">
        <f t="shared" si="13"/>
        <v>0</v>
      </c>
      <c r="J108" s="650"/>
      <c r="K108" s="650"/>
      <c r="L108" s="650"/>
    </row>
    <row r="109" spans="2:12" x14ac:dyDescent="0.2">
      <c r="B109" s="651">
        <f t="shared" si="7"/>
        <v>98</v>
      </c>
      <c r="C109" s="652">
        <f t="shared" ca="1" si="8"/>
        <v>45168</v>
      </c>
      <c r="D109" s="653">
        <f t="shared" si="12"/>
        <v>0</v>
      </c>
      <c r="E109" s="653">
        <f t="shared" si="9"/>
        <v>0</v>
      </c>
      <c r="F109" s="653">
        <f t="shared" si="10"/>
        <v>0</v>
      </c>
      <c r="G109" s="653">
        <f t="shared" si="11"/>
        <v>0</v>
      </c>
      <c r="H109" s="653">
        <f t="shared" si="13"/>
        <v>0</v>
      </c>
      <c r="J109" s="650"/>
      <c r="K109" s="650"/>
      <c r="L109" s="650"/>
    </row>
    <row r="110" spans="2:12" x14ac:dyDescent="0.2">
      <c r="B110" s="651">
        <f t="shared" si="7"/>
        <v>99</v>
      </c>
      <c r="C110" s="652">
        <f t="shared" ca="1" si="8"/>
        <v>45199</v>
      </c>
      <c r="D110" s="653">
        <f t="shared" si="12"/>
        <v>0</v>
      </c>
      <c r="E110" s="653">
        <f t="shared" si="9"/>
        <v>0</v>
      </c>
      <c r="F110" s="653">
        <f t="shared" si="10"/>
        <v>0</v>
      </c>
      <c r="G110" s="653">
        <f t="shared" si="11"/>
        <v>0</v>
      </c>
      <c r="H110" s="653">
        <f t="shared" si="13"/>
        <v>0</v>
      </c>
      <c r="J110" s="650"/>
      <c r="K110" s="650"/>
      <c r="L110" s="650"/>
    </row>
    <row r="111" spans="2:12" x14ac:dyDescent="0.2">
      <c r="B111" s="651">
        <f t="shared" si="7"/>
        <v>100</v>
      </c>
      <c r="C111" s="652">
        <f t="shared" ca="1" si="8"/>
        <v>45229</v>
      </c>
      <c r="D111" s="653">
        <f t="shared" si="12"/>
        <v>0</v>
      </c>
      <c r="E111" s="653">
        <f t="shared" si="9"/>
        <v>0</v>
      </c>
      <c r="F111" s="653">
        <f t="shared" si="10"/>
        <v>0</v>
      </c>
      <c r="G111" s="653">
        <f t="shared" si="11"/>
        <v>0</v>
      </c>
      <c r="H111" s="653">
        <f t="shared" si="13"/>
        <v>0</v>
      </c>
      <c r="J111" s="650"/>
      <c r="K111" s="650"/>
      <c r="L111" s="650"/>
    </row>
    <row r="112" spans="2:12" x14ac:dyDescent="0.2">
      <c r="B112" s="651">
        <f t="shared" si="7"/>
        <v>101</v>
      </c>
      <c r="C112" s="652">
        <f t="shared" ca="1" si="8"/>
        <v>45260</v>
      </c>
      <c r="D112" s="653">
        <f t="shared" si="12"/>
        <v>0</v>
      </c>
      <c r="E112" s="653">
        <f t="shared" si="9"/>
        <v>0</v>
      </c>
      <c r="F112" s="653">
        <f t="shared" si="10"/>
        <v>0</v>
      </c>
      <c r="G112" s="653">
        <f t="shared" si="11"/>
        <v>0</v>
      </c>
      <c r="H112" s="653">
        <f t="shared" si="13"/>
        <v>0</v>
      </c>
      <c r="J112" s="650"/>
      <c r="K112" s="650"/>
      <c r="L112" s="650"/>
    </row>
    <row r="113" spans="2:12" x14ac:dyDescent="0.2">
      <c r="B113" s="651">
        <f t="shared" si="7"/>
        <v>102</v>
      </c>
      <c r="C113" s="652">
        <f t="shared" ca="1" si="8"/>
        <v>45290</v>
      </c>
      <c r="D113" s="653">
        <f t="shared" si="12"/>
        <v>0</v>
      </c>
      <c r="E113" s="653">
        <f t="shared" si="9"/>
        <v>0</v>
      </c>
      <c r="F113" s="653">
        <f t="shared" si="10"/>
        <v>0</v>
      </c>
      <c r="G113" s="653">
        <f t="shared" si="11"/>
        <v>0</v>
      </c>
      <c r="H113" s="653">
        <f t="shared" si="13"/>
        <v>0</v>
      </c>
      <c r="J113" s="650"/>
      <c r="K113" s="650"/>
      <c r="L113" s="650"/>
    </row>
    <row r="114" spans="2:12" x14ac:dyDescent="0.2">
      <c r="B114" s="651">
        <f t="shared" si="7"/>
        <v>103</v>
      </c>
      <c r="C114" s="652">
        <f t="shared" ca="1" si="8"/>
        <v>45321</v>
      </c>
      <c r="D114" s="653">
        <f t="shared" si="12"/>
        <v>0</v>
      </c>
      <c r="E114" s="653">
        <f t="shared" si="9"/>
        <v>0</v>
      </c>
      <c r="F114" s="653">
        <f t="shared" si="10"/>
        <v>0</v>
      </c>
      <c r="G114" s="653">
        <f t="shared" si="11"/>
        <v>0</v>
      </c>
      <c r="H114" s="653">
        <f t="shared" si="13"/>
        <v>0</v>
      </c>
      <c r="J114" s="650"/>
      <c r="K114" s="650"/>
      <c r="L114" s="650"/>
    </row>
    <row r="115" spans="2:12" x14ac:dyDescent="0.2">
      <c r="B115" s="651">
        <f t="shared" si="7"/>
        <v>104</v>
      </c>
      <c r="C115" s="652">
        <f t="shared" ca="1" si="8"/>
        <v>45351</v>
      </c>
      <c r="D115" s="653">
        <f t="shared" si="12"/>
        <v>0</v>
      </c>
      <c r="E115" s="653">
        <f t="shared" si="9"/>
        <v>0</v>
      </c>
      <c r="F115" s="653">
        <f t="shared" si="10"/>
        <v>0</v>
      </c>
      <c r="G115" s="653">
        <f t="shared" si="11"/>
        <v>0</v>
      </c>
      <c r="H115" s="653">
        <f t="shared" si="13"/>
        <v>0</v>
      </c>
      <c r="J115" s="650"/>
      <c r="K115" s="650"/>
      <c r="L115" s="650"/>
    </row>
    <row r="116" spans="2:12" x14ac:dyDescent="0.2">
      <c r="B116" s="651">
        <f t="shared" si="7"/>
        <v>105</v>
      </c>
      <c r="C116" s="652">
        <f t="shared" ca="1" si="8"/>
        <v>45381</v>
      </c>
      <c r="D116" s="653">
        <f t="shared" si="12"/>
        <v>0</v>
      </c>
      <c r="E116" s="653">
        <f t="shared" si="9"/>
        <v>0</v>
      </c>
      <c r="F116" s="653">
        <f t="shared" si="10"/>
        <v>0</v>
      </c>
      <c r="G116" s="653">
        <f t="shared" si="11"/>
        <v>0</v>
      </c>
      <c r="H116" s="653">
        <f t="shared" si="13"/>
        <v>0</v>
      </c>
      <c r="J116" s="650"/>
      <c r="K116" s="650"/>
      <c r="L116" s="650"/>
    </row>
    <row r="117" spans="2:12" x14ac:dyDescent="0.2">
      <c r="B117" s="651">
        <f t="shared" si="7"/>
        <v>106</v>
      </c>
      <c r="C117" s="652">
        <f t="shared" ca="1" si="8"/>
        <v>45412</v>
      </c>
      <c r="D117" s="653">
        <f t="shared" si="12"/>
        <v>0</v>
      </c>
      <c r="E117" s="653">
        <f t="shared" si="9"/>
        <v>0</v>
      </c>
      <c r="F117" s="653">
        <f t="shared" si="10"/>
        <v>0</v>
      </c>
      <c r="G117" s="653">
        <f t="shared" si="11"/>
        <v>0</v>
      </c>
      <c r="H117" s="653">
        <f t="shared" si="13"/>
        <v>0</v>
      </c>
      <c r="J117" s="650"/>
      <c r="K117" s="650"/>
      <c r="L117" s="650"/>
    </row>
    <row r="118" spans="2:12" x14ac:dyDescent="0.2">
      <c r="B118" s="651">
        <f t="shared" si="7"/>
        <v>107</v>
      </c>
      <c r="C118" s="652">
        <f t="shared" ca="1" si="8"/>
        <v>45442</v>
      </c>
      <c r="D118" s="653">
        <f t="shared" si="12"/>
        <v>0</v>
      </c>
      <c r="E118" s="653">
        <f t="shared" si="9"/>
        <v>0</v>
      </c>
      <c r="F118" s="653">
        <f t="shared" si="10"/>
        <v>0</v>
      </c>
      <c r="G118" s="653">
        <f t="shared" si="11"/>
        <v>0</v>
      </c>
      <c r="H118" s="653">
        <f t="shared" si="13"/>
        <v>0</v>
      </c>
      <c r="J118" s="650"/>
      <c r="K118" s="650"/>
      <c r="L118" s="650"/>
    </row>
    <row r="119" spans="2:12" x14ac:dyDescent="0.2">
      <c r="B119" s="651">
        <f t="shared" si="7"/>
        <v>108</v>
      </c>
      <c r="C119" s="652">
        <f t="shared" ca="1" si="8"/>
        <v>45473</v>
      </c>
      <c r="D119" s="653">
        <f t="shared" si="12"/>
        <v>0</v>
      </c>
      <c r="E119" s="653">
        <f t="shared" si="9"/>
        <v>0</v>
      </c>
      <c r="F119" s="653">
        <f t="shared" si="10"/>
        <v>0</v>
      </c>
      <c r="G119" s="653">
        <f t="shared" si="11"/>
        <v>0</v>
      </c>
      <c r="H119" s="653">
        <f t="shared" si="13"/>
        <v>0</v>
      </c>
      <c r="J119" s="642">
        <f>D107-D119</f>
        <v>0</v>
      </c>
      <c r="K119" s="650"/>
      <c r="L119" s="650"/>
    </row>
    <row r="120" spans="2:12" x14ac:dyDescent="0.2">
      <c r="B120" s="647">
        <f t="shared" si="7"/>
        <v>109</v>
      </c>
      <c r="C120" s="648">
        <f t="shared" ca="1" si="8"/>
        <v>45503</v>
      </c>
      <c r="D120" s="649">
        <f t="shared" si="12"/>
        <v>0</v>
      </c>
      <c r="E120" s="649">
        <f t="shared" si="9"/>
        <v>0</v>
      </c>
      <c r="F120" s="649">
        <f t="shared" si="10"/>
        <v>0</v>
      </c>
      <c r="G120" s="649">
        <f t="shared" si="11"/>
        <v>0</v>
      </c>
      <c r="H120" s="649">
        <f t="shared" si="13"/>
        <v>0</v>
      </c>
      <c r="J120" s="650"/>
      <c r="K120" s="650"/>
      <c r="L120" s="650"/>
    </row>
    <row r="121" spans="2:12" x14ac:dyDescent="0.2">
      <c r="B121" s="647">
        <f t="shared" si="7"/>
        <v>110</v>
      </c>
      <c r="C121" s="648">
        <f t="shared" ca="1" si="8"/>
        <v>45534</v>
      </c>
      <c r="D121" s="649">
        <f t="shared" si="12"/>
        <v>0</v>
      </c>
      <c r="E121" s="649">
        <f t="shared" si="9"/>
        <v>0</v>
      </c>
      <c r="F121" s="649">
        <f t="shared" si="10"/>
        <v>0</v>
      </c>
      <c r="G121" s="649">
        <f t="shared" si="11"/>
        <v>0</v>
      </c>
      <c r="H121" s="649">
        <f t="shared" si="13"/>
        <v>0</v>
      </c>
      <c r="J121" s="650"/>
      <c r="K121" s="650"/>
      <c r="L121" s="650"/>
    </row>
    <row r="122" spans="2:12" x14ac:dyDescent="0.2">
      <c r="B122" s="647">
        <f t="shared" si="7"/>
        <v>111</v>
      </c>
      <c r="C122" s="648">
        <f t="shared" ca="1" si="8"/>
        <v>45565</v>
      </c>
      <c r="D122" s="649">
        <f t="shared" si="12"/>
        <v>0</v>
      </c>
      <c r="E122" s="649">
        <f t="shared" si="9"/>
        <v>0</v>
      </c>
      <c r="F122" s="649">
        <f t="shared" si="10"/>
        <v>0</v>
      </c>
      <c r="G122" s="649">
        <f t="shared" si="11"/>
        <v>0</v>
      </c>
      <c r="H122" s="649">
        <f t="shared" si="13"/>
        <v>0</v>
      </c>
      <c r="J122" s="650"/>
      <c r="K122" s="650"/>
      <c r="L122" s="650"/>
    </row>
    <row r="123" spans="2:12" x14ac:dyDescent="0.2">
      <c r="B123" s="647">
        <f t="shared" si="7"/>
        <v>112</v>
      </c>
      <c r="C123" s="648">
        <f t="shared" ca="1" si="8"/>
        <v>45595</v>
      </c>
      <c r="D123" s="649">
        <f t="shared" si="12"/>
        <v>0</v>
      </c>
      <c r="E123" s="649">
        <f t="shared" si="9"/>
        <v>0</v>
      </c>
      <c r="F123" s="649">
        <f t="shared" si="10"/>
        <v>0</v>
      </c>
      <c r="G123" s="649">
        <f t="shared" si="11"/>
        <v>0</v>
      </c>
      <c r="H123" s="649">
        <f t="shared" si="13"/>
        <v>0</v>
      </c>
      <c r="J123" s="650"/>
      <c r="K123" s="650"/>
      <c r="L123" s="650"/>
    </row>
    <row r="124" spans="2:12" x14ac:dyDescent="0.2">
      <c r="B124" s="647">
        <f t="shared" si="7"/>
        <v>113</v>
      </c>
      <c r="C124" s="648">
        <f t="shared" ca="1" si="8"/>
        <v>45626</v>
      </c>
      <c r="D124" s="649">
        <f t="shared" si="12"/>
        <v>0</v>
      </c>
      <c r="E124" s="649">
        <f t="shared" si="9"/>
        <v>0</v>
      </c>
      <c r="F124" s="649">
        <f t="shared" si="10"/>
        <v>0</v>
      </c>
      <c r="G124" s="649">
        <f t="shared" si="11"/>
        <v>0</v>
      </c>
      <c r="H124" s="649">
        <f t="shared" si="13"/>
        <v>0</v>
      </c>
      <c r="J124" s="650"/>
      <c r="K124" s="650"/>
      <c r="L124" s="650"/>
    </row>
    <row r="125" spans="2:12" x14ac:dyDescent="0.2">
      <c r="B125" s="647">
        <f t="shared" si="7"/>
        <v>114</v>
      </c>
      <c r="C125" s="648">
        <f t="shared" ca="1" si="8"/>
        <v>45656</v>
      </c>
      <c r="D125" s="649">
        <f t="shared" si="12"/>
        <v>0</v>
      </c>
      <c r="E125" s="649">
        <f t="shared" si="9"/>
        <v>0</v>
      </c>
      <c r="F125" s="649">
        <f t="shared" si="10"/>
        <v>0</v>
      </c>
      <c r="G125" s="649">
        <f t="shared" si="11"/>
        <v>0</v>
      </c>
      <c r="H125" s="649">
        <f t="shared" si="13"/>
        <v>0</v>
      </c>
      <c r="J125" s="650"/>
      <c r="K125" s="650"/>
      <c r="L125" s="650"/>
    </row>
    <row r="126" spans="2:12" x14ac:dyDescent="0.2">
      <c r="B126" s="647">
        <f t="shared" si="7"/>
        <v>115</v>
      </c>
      <c r="C126" s="648">
        <f t="shared" ca="1" si="8"/>
        <v>45687</v>
      </c>
      <c r="D126" s="649">
        <f t="shared" si="12"/>
        <v>0</v>
      </c>
      <c r="E126" s="649">
        <f t="shared" si="9"/>
        <v>0</v>
      </c>
      <c r="F126" s="649">
        <f t="shared" si="10"/>
        <v>0</v>
      </c>
      <c r="G126" s="649">
        <f t="shared" si="11"/>
        <v>0</v>
      </c>
      <c r="H126" s="649">
        <f t="shared" si="13"/>
        <v>0</v>
      </c>
      <c r="J126" s="650"/>
      <c r="K126" s="650"/>
      <c r="L126" s="650"/>
    </row>
    <row r="127" spans="2:12" x14ac:dyDescent="0.2">
      <c r="B127" s="647">
        <f t="shared" si="7"/>
        <v>116</v>
      </c>
      <c r="C127" s="648">
        <f t="shared" ca="1" si="8"/>
        <v>45716</v>
      </c>
      <c r="D127" s="649">
        <f t="shared" si="12"/>
        <v>0</v>
      </c>
      <c r="E127" s="649">
        <f t="shared" si="9"/>
        <v>0</v>
      </c>
      <c r="F127" s="649">
        <f t="shared" si="10"/>
        <v>0</v>
      </c>
      <c r="G127" s="649">
        <f t="shared" si="11"/>
        <v>0</v>
      </c>
      <c r="H127" s="649">
        <f t="shared" si="13"/>
        <v>0</v>
      </c>
      <c r="J127" s="650"/>
      <c r="K127" s="650"/>
      <c r="L127" s="650"/>
    </row>
    <row r="128" spans="2:12" x14ac:dyDescent="0.2">
      <c r="B128" s="647">
        <f t="shared" si="7"/>
        <v>117</v>
      </c>
      <c r="C128" s="648">
        <f t="shared" ca="1" si="8"/>
        <v>45746</v>
      </c>
      <c r="D128" s="649">
        <f t="shared" si="12"/>
        <v>0</v>
      </c>
      <c r="E128" s="649">
        <f t="shared" si="9"/>
        <v>0</v>
      </c>
      <c r="F128" s="649">
        <f t="shared" si="10"/>
        <v>0</v>
      </c>
      <c r="G128" s="649">
        <f t="shared" si="11"/>
        <v>0</v>
      </c>
      <c r="H128" s="649">
        <f t="shared" si="13"/>
        <v>0</v>
      </c>
      <c r="J128" s="650"/>
      <c r="K128" s="650"/>
      <c r="L128" s="650"/>
    </row>
    <row r="129" spans="2:12" x14ac:dyDescent="0.2">
      <c r="B129" s="647">
        <f t="shared" si="7"/>
        <v>118</v>
      </c>
      <c r="C129" s="648">
        <f t="shared" ca="1" si="8"/>
        <v>45777</v>
      </c>
      <c r="D129" s="649">
        <f t="shared" si="12"/>
        <v>0</v>
      </c>
      <c r="E129" s="649">
        <f t="shared" si="9"/>
        <v>0</v>
      </c>
      <c r="F129" s="649">
        <f t="shared" si="10"/>
        <v>0</v>
      </c>
      <c r="G129" s="649">
        <f t="shared" si="11"/>
        <v>0</v>
      </c>
      <c r="H129" s="649">
        <f t="shared" si="13"/>
        <v>0</v>
      </c>
      <c r="J129" s="650"/>
      <c r="K129" s="650"/>
      <c r="L129" s="650"/>
    </row>
    <row r="130" spans="2:12" x14ac:dyDescent="0.2">
      <c r="B130" s="647">
        <f t="shared" si="7"/>
        <v>119</v>
      </c>
      <c r="C130" s="648">
        <f t="shared" ca="1" si="8"/>
        <v>45807</v>
      </c>
      <c r="D130" s="649">
        <f t="shared" si="12"/>
        <v>0</v>
      </c>
      <c r="E130" s="649">
        <f t="shared" si="9"/>
        <v>0</v>
      </c>
      <c r="F130" s="649">
        <f t="shared" si="10"/>
        <v>0</v>
      </c>
      <c r="G130" s="649">
        <f t="shared" si="11"/>
        <v>0</v>
      </c>
      <c r="H130" s="649">
        <f t="shared" si="13"/>
        <v>0</v>
      </c>
      <c r="J130" s="650"/>
      <c r="K130" s="650"/>
      <c r="L130" s="650"/>
    </row>
    <row r="131" spans="2:12" x14ac:dyDescent="0.2">
      <c r="B131" s="647">
        <f t="shared" si="7"/>
        <v>120</v>
      </c>
      <c r="C131" s="648">
        <f t="shared" ca="1" si="8"/>
        <v>45838</v>
      </c>
      <c r="D131" s="649">
        <f t="shared" si="12"/>
        <v>0</v>
      </c>
      <c r="E131" s="649">
        <f t="shared" si="9"/>
        <v>0</v>
      </c>
      <c r="F131" s="649">
        <f t="shared" si="10"/>
        <v>0</v>
      </c>
      <c r="G131" s="649">
        <f t="shared" si="11"/>
        <v>0</v>
      </c>
      <c r="H131" s="649">
        <f t="shared" si="13"/>
        <v>0</v>
      </c>
      <c r="J131" s="642">
        <f>D119</f>
        <v>0</v>
      </c>
      <c r="K131" s="650"/>
      <c r="L131" s="650"/>
    </row>
    <row r="132" spans="2:12" x14ac:dyDescent="0.2">
      <c r="B132" s="660" t="str">
        <f t="shared" si="7"/>
        <v>-</v>
      </c>
      <c r="C132" s="661" t="str">
        <f t="shared" si="8"/>
        <v/>
      </c>
      <c r="D132" s="650"/>
      <c r="E132" s="650" t="str">
        <f t="shared" si="9"/>
        <v/>
      </c>
      <c r="F132" s="650" t="str">
        <f t="shared" si="10"/>
        <v/>
      </c>
      <c r="G132" s="650" t="str">
        <f t="shared" si="11"/>
        <v/>
      </c>
      <c r="H132" s="650" t="str">
        <f t="shared" si="13"/>
        <v/>
      </c>
      <c r="J132" s="650"/>
      <c r="K132" s="650"/>
      <c r="L132" s="650"/>
    </row>
    <row r="133" spans="2:12" x14ac:dyDescent="0.2">
      <c r="B133" s="660" t="str">
        <f t="shared" si="7"/>
        <v>-</v>
      </c>
      <c r="C133" s="661" t="str">
        <f t="shared" si="8"/>
        <v/>
      </c>
      <c r="D133" s="650"/>
      <c r="E133" s="650">
        <f>SUM(E12:E131)</f>
        <v>0</v>
      </c>
      <c r="F133" s="650" t="str">
        <f t="shared" si="10"/>
        <v/>
      </c>
      <c r="G133" s="650" t="str">
        <f t="shared" si="11"/>
        <v/>
      </c>
      <c r="H133" s="650" t="str">
        <f t="shared" si="13"/>
        <v/>
      </c>
      <c r="J133" s="650"/>
      <c r="K133" s="650"/>
      <c r="L133" s="650"/>
    </row>
    <row r="134" spans="2:12" x14ac:dyDescent="0.2">
      <c r="B134" s="660" t="str">
        <f t="shared" si="7"/>
        <v>-</v>
      </c>
      <c r="C134" s="661" t="str">
        <f t="shared" si="8"/>
        <v/>
      </c>
      <c r="D134" s="650" t="str">
        <f t="shared" si="12"/>
        <v/>
      </c>
      <c r="E134" s="650" t="str">
        <f t="shared" si="9"/>
        <v/>
      </c>
      <c r="F134" s="650" t="str">
        <f t="shared" si="10"/>
        <v/>
      </c>
      <c r="G134" s="650" t="str">
        <f t="shared" si="11"/>
        <v/>
      </c>
      <c r="H134" s="650" t="str">
        <f t="shared" si="13"/>
        <v/>
      </c>
      <c r="J134" s="650"/>
      <c r="K134" s="650"/>
      <c r="L134" s="650"/>
    </row>
    <row r="135" spans="2:12" x14ac:dyDescent="0.2">
      <c r="B135" s="660" t="str">
        <f t="shared" si="7"/>
        <v>-</v>
      </c>
      <c r="C135" s="661" t="str">
        <f t="shared" si="8"/>
        <v/>
      </c>
      <c r="D135" s="650" t="str">
        <f t="shared" si="12"/>
        <v/>
      </c>
      <c r="E135" s="650" t="str">
        <f t="shared" si="9"/>
        <v/>
      </c>
      <c r="F135" s="650" t="str">
        <f t="shared" si="10"/>
        <v/>
      </c>
      <c r="G135" s="650" t="str">
        <f t="shared" si="11"/>
        <v/>
      </c>
      <c r="H135" s="650" t="str">
        <f t="shared" si="13"/>
        <v/>
      </c>
      <c r="J135" s="650"/>
      <c r="K135" s="650"/>
      <c r="L135" s="650"/>
    </row>
    <row r="136" spans="2:12" x14ac:dyDescent="0.2">
      <c r="B136" s="660" t="str">
        <f t="shared" si="7"/>
        <v>-</v>
      </c>
      <c r="C136" s="661" t="str">
        <f t="shared" si="8"/>
        <v/>
      </c>
      <c r="D136" s="650" t="str">
        <f t="shared" si="12"/>
        <v/>
      </c>
      <c r="E136" s="650" t="str">
        <f t="shared" si="9"/>
        <v/>
      </c>
      <c r="F136" s="650" t="str">
        <f t="shared" si="10"/>
        <v/>
      </c>
      <c r="G136" s="650" t="str">
        <f t="shared" si="11"/>
        <v/>
      </c>
      <c r="H136" s="650" t="str">
        <f t="shared" si="13"/>
        <v/>
      </c>
      <c r="J136" s="650"/>
      <c r="K136" s="650"/>
      <c r="L136" s="650"/>
    </row>
    <row r="137" spans="2:12" x14ac:dyDescent="0.2">
      <c r="B137" s="660" t="str">
        <f t="shared" si="7"/>
        <v>-</v>
      </c>
      <c r="C137" s="661" t="str">
        <f t="shared" si="8"/>
        <v/>
      </c>
      <c r="D137" s="650" t="str">
        <f t="shared" si="12"/>
        <v/>
      </c>
      <c r="E137" s="650" t="str">
        <f t="shared" si="9"/>
        <v/>
      </c>
      <c r="F137" s="650" t="str">
        <f t="shared" si="10"/>
        <v/>
      </c>
      <c r="G137" s="650" t="str">
        <f t="shared" si="11"/>
        <v/>
      </c>
      <c r="H137" s="650" t="str">
        <f t="shared" si="13"/>
        <v/>
      </c>
      <c r="J137" s="650"/>
      <c r="K137" s="650"/>
      <c r="L137" s="650"/>
    </row>
    <row r="138" spans="2:12" x14ac:dyDescent="0.2">
      <c r="B138" s="660" t="str">
        <f t="shared" si="7"/>
        <v>-</v>
      </c>
      <c r="C138" s="661" t="str">
        <f t="shared" si="8"/>
        <v/>
      </c>
      <c r="D138" s="650" t="str">
        <f t="shared" si="12"/>
        <v/>
      </c>
      <c r="E138" s="650" t="str">
        <f t="shared" si="9"/>
        <v/>
      </c>
      <c r="F138" s="650" t="str">
        <f t="shared" si="10"/>
        <v/>
      </c>
      <c r="G138" s="650" t="str">
        <f t="shared" si="11"/>
        <v/>
      </c>
      <c r="H138" s="650" t="str">
        <f t="shared" si="13"/>
        <v/>
      </c>
      <c r="J138" s="650"/>
      <c r="K138" s="650"/>
      <c r="L138" s="650"/>
    </row>
    <row r="139" spans="2:12" x14ac:dyDescent="0.2">
      <c r="B139" s="660" t="str">
        <f t="shared" si="7"/>
        <v>-</v>
      </c>
      <c r="C139" s="661" t="str">
        <f t="shared" si="8"/>
        <v/>
      </c>
      <c r="D139" s="650" t="str">
        <f t="shared" si="12"/>
        <v/>
      </c>
      <c r="E139" s="650" t="str">
        <f t="shared" si="9"/>
        <v/>
      </c>
      <c r="F139" s="650" t="str">
        <f t="shared" si="10"/>
        <v/>
      </c>
      <c r="G139" s="650" t="str">
        <f t="shared" si="11"/>
        <v/>
      </c>
      <c r="H139" s="650" t="str">
        <f t="shared" si="13"/>
        <v/>
      </c>
      <c r="J139" s="650"/>
      <c r="K139" s="650"/>
      <c r="L139" s="650"/>
    </row>
    <row r="140" spans="2:12" x14ac:dyDescent="0.2">
      <c r="B140" s="660" t="str">
        <f t="shared" ref="B140:B203" si="14">IF(B139&lt;$L$3,B139+1,"-")</f>
        <v>-</v>
      </c>
      <c r="C140" s="661" t="str">
        <f t="shared" ref="C140:C203" si="15">IF(ISNUMBER(B140),MIN(DATE(YEAR($C$11),MONTH($C$11)+B140*12/$P$5,DAY($C$11)),DATE(YEAR($C$11),MONTH($C$11)+1+B140*12/$P$5,1)-1),"")</f>
        <v/>
      </c>
      <c r="D140" s="650" t="str">
        <f t="shared" si="12"/>
        <v/>
      </c>
      <c r="E140" s="650" t="str">
        <f t="shared" ref="E140:E203" si="16">IF(ISNUMBER(B140),ROUND(D140*$L$7,$R$6),"")</f>
        <v/>
      </c>
      <c r="F140" s="650" t="str">
        <f t="shared" ref="F140:F203" si="17">IF(ISNUMBER(B140),IF(B140=$L$3,D140,IF(B140&gt;$L$4,$H$3-E140,0)),"")</f>
        <v/>
      </c>
      <c r="G140" s="650" t="str">
        <f t="shared" ref="G140:G203" si="18">IF(ISNUMBER(B140),$H$4,"")</f>
        <v/>
      </c>
      <c r="H140" s="650" t="str">
        <f t="shared" si="13"/>
        <v/>
      </c>
      <c r="J140" s="650"/>
      <c r="K140" s="650"/>
      <c r="L140" s="650"/>
    </row>
    <row r="141" spans="2:12" x14ac:dyDescent="0.2">
      <c r="B141" s="660" t="str">
        <f t="shared" si="14"/>
        <v>-</v>
      </c>
      <c r="C141" s="661" t="str">
        <f t="shared" si="15"/>
        <v/>
      </c>
      <c r="D141" s="650" t="str">
        <f t="shared" ref="D141:D204" si="19">IF(ISNUMBER(B141),D140-F140,"")</f>
        <v/>
      </c>
      <c r="E141" s="650" t="str">
        <f t="shared" si="16"/>
        <v/>
      </c>
      <c r="F141" s="650" t="str">
        <f t="shared" si="17"/>
        <v/>
      </c>
      <c r="G141" s="650" t="str">
        <f t="shared" si="18"/>
        <v/>
      </c>
      <c r="H141" s="650" t="str">
        <f t="shared" ref="H141:H204" si="20">IF(ISNUMBER(B141),E141+F141+G141,"")</f>
        <v/>
      </c>
      <c r="J141" s="650"/>
      <c r="K141" s="650"/>
      <c r="L141" s="650"/>
    </row>
    <row r="142" spans="2:12" x14ac:dyDescent="0.2">
      <c r="B142" s="660" t="str">
        <f t="shared" si="14"/>
        <v>-</v>
      </c>
      <c r="C142" s="661" t="str">
        <f t="shared" si="15"/>
        <v/>
      </c>
      <c r="D142" s="650" t="str">
        <f t="shared" si="19"/>
        <v/>
      </c>
      <c r="E142" s="650" t="str">
        <f t="shared" si="16"/>
        <v/>
      </c>
      <c r="F142" s="650" t="str">
        <f t="shared" si="17"/>
        <v/>
      </c>
      <c r="G142" s="650" t="str">
        <f t="shared" si="18"/>
        <v/>
      </c>
      <c r="H142" s="650" t="str">
        <f t="shared" si="20"/>
        <v/>
      </c>
      <c r="J142" s="650"/>
      <c r="K142" s="650"/>
      <c r="L142" s="650"/>
    </row>
    <row r="143" spans="2:12" x14ac:dyDescent="0.2">
      <c r="B143" s="660" t="str">
        <f t="shared" si="14"/>
        <v>-</v>
      </c>
      <c r="C143" s="661" t="str">
        <f t="shared" si="15"/>
        <v/>
      </c>
      <c r="D143" s="650" t="str">
        <f t="shared" si="19"/>
        <v/>
      </c>
      <c r="E143" s="650" t="str">
        <f t="shared" si="16"/>
        <v/>
      </c>
      <c r="F143" s="650" t="str">
        <f t="shared" si="17"/>
        <v/>
      </c>
      <c r="G143" s="650" t="str">
        <f t="shared" si="18"/>
        <v/>
      </c>
      <c r="H143" s="650" t="str">
        <f t="shared" si="20"/>
        <v/>
      </c>
      <c r="J143" s="650"/>
      <c r="K143" s="650"/>
      <c r="L143" s="650"/>
    </row>
    <row r="144" spans="2:12" x14ac:dyDescent="0.2">
      <c r="B144" s="660" t="str">
        <f t="shared" si="14"/>
        <v>-</v>
      </c>
      <c r="C144" s="661" t="str">
        <f t="shared" si="15"/>
        <v/>
      </c>
      <c r="D144" s="650" t="str">
        <f t="shared" si="19"/>
        <v/>
      </c>
      <c r="E144" s="650" t="str">
        <f t="shared" si="16"/>
        <v/>
      </c>
      <c r="F144" s="650" t="str">
        <f t="shared" si="17"/>
        <v/>
      </c>
      <c r="G144" s="650" t="str">
        <f t="shared" si="18"/>
        <v/>
      </c>
      <c r="H144" s="650" t="str">
        <f t="shared" si="20"/>
        <v/>
      </c>
      <c r="J144" s="650"/>
      <c r="K144" s="650"/>
      <c r="L144" s="650"/>
    </row>
    <row r="145" spans="2:12" x14ac:dyDescent="0.2">
      <c r="B145" s="660" t="str">
        <f t="shared" si="14"/>
        <v>-</v>
      </c>
      <c r="C145" s="661" t="str">
        <f t="shared" si="15"/>
        <v/>
      </c>
      <c r="D145" s="650" t="str">
        <f t="shared" si="19"/>
        <v/>
      </c>
      <c r="E145" s="650" t="str">
        <f t="shared" si="16"/>
        <v/>
      </c>
      <c r="F145" s="650" t="str">
        <f t="shared" si="17"/>
        <v/>
      </c>
      <c r="G145" s="650" t="str">
        <f t="shared" si="18"/>
        <v/>
      </c>
      <c r="H145" s="650" t="str">
        <f t="shared" si="20"/>
        <v/>
      </c>
      <c r="J145" s="650"/>
      <c r="K145" s="650"/>
      <c r="L145" s="650"/>
    </row>
    <row r="146" spans="2:12" x14ac:dyDescent="0.2">
      <c r="B146" s="660" t="str">
        <f t="shared" si="14"/>
        <v>-</v>
      </c>
      <c r="C146" s="661" t="str">
        <f t="shared" si="15"/>
        <v/>
      </c>
      <c r="D146" s="650" t="str">
        <f t="shared" si="19"/>
        <v/>
      </c>
      <c r="E146" s="650" t="str">
        <f t="shared" si="16"/>
        <v/>
      </c>
      <c r="F146" s="650" t="str">
        <f t="shared" si="17"/>
        <v/>
      </c>
      <c r="G146" s="650" t="str">
        <f t="shared" si="18"/>
        <v/>
      </c>
      <c r="H146" s="650" t="str">
        <f t="shared" si="20"/>
        <v/>
      </c>
      <c r="J146" s="650"/>
      <c r="K146" s="650"/>
      <c r="L146" s="650"/>
    </row>
    <row r="147" spans="2:12" x14ac:dyDescent="0.2">
      <c r="B147" s="660" t="str">
        <f t="shared" si="14"/>
        <v>-</v>
      </c>
      <c r="C147" s="661" t="str">
        <f t="shared" si="15"/>
        <v/>
      </c>
      <c r="D147" s="650" t="str">
        <f t="shared" si="19"/>
        <v/>
      </c>
      <c r="E147" s="650" t="str">
        <f t="shared" si="16"/>
        <v/>
      </c>
      <c r="F147" s="650" t="str">
        <f t="shared" si="17"/>
        <v/>
      </c>
      <c r="G147" s="650" t="str">
        <f t="shared" si="18"/>
        <v/>
      </c>
      <c r="H147" s="650" t="str">
        <f t="shared" si="20"/>
        <v/>
      </c>
      <c r="J147" s="650"/>
      <c r="K147" s="650"/>
      <c r="L147" s="650"/>
    </row>
    <row r="148" spans="2:12" x14ac:dyDescent="0.2">
      <c r="B148" s="660" t="str">
        <f t="shared" si="14"/>
        <v>-</v>
      </c>
      <c r="C148" s="661" t="str">
        <f t="shared" si="15"/>
        <v/>
      </c>
      <c r="D148" s="650" t="str">
        <f t="shared" si="19"/>
        <v/>
      </c>
      <c r="E148" s="650" t="str">
        <f t="shared" si="16"/>
        <v/>
      </c>
      <c r="F148" s="650" t="str">
        <f t="shared" si="17"/>
        <v/>
      </c>
      <c r="G148" s="650" t="str">
        <f t="shared" si="18"/>
        <v/>
      </c>
      <c r="H148" s="650" t="str">
        <f t="shared" si="20"/>
        <v/>
      </c>
      <c r="J148" s="650"/>
      <c r="K148" s="650"/>
      <c r="L148" s="650"/>
    </row>
    <row r="149" spans="2:12" x14ac:dyDescent="0.2">
      <c r="B149" s="660" t="str">
        <f t="shared" si="14"/>
        <v>-</v>
      </c>
      <c r="C149" s="661" t="str">
        <f t="shared" si="15"/>
        <v/>
      </c>
      <c r="D149" s="650" t="str">
        <f t="shared" si="19"/>
        <v/>
      </c>
      <c r="E149" s="650" t="str">
        <f t="shared" si="16"/>
        <v/>
      </c>
      <c r="F149" s="650" t="str">
        <f t="shared" si="17"/>
        <v/>
      </c>
      <c r="G149" s="650" t="str">
        <f t="shared" si="18"/>
        <v/>
      </c>
      <c r="H149" s="650" t="str">
        <f t="shared" si="20"/>
        <v/>
      </c>
      <c r="J149" s="650"/>
      <c r="K149" s="650"/>
      <c r="L149" s="650"/>
    </row>
    <row r="150" spans="2:12" x14ac:dyDescent="0.2">
      <c r="B150" s="660" t="str">
        <f t="shared" si="14"/>
        <v>-</v>
      </c>
      <c r="C150" s="661" t="str">
        <f t="shared" si="15"/>
        <v/>
      </c>
      <c r="D150" s="650" t="str">
        <f t="shared" si="19"/>
        <v/>
      </c>
      <c r="E150" s="650" t="str">
        <f t="shared" si="16"/>
        <v/>
      </c>
      <c r="F150" s="650" t="str">
        <f t="shared" si="17"/>
        <v/>
      </c>
      <c r="G150" s="650" t="str">
        <f t="shared" si="18"/>
        <v/>
      </c>
      <c r="H150" s="650" t="str">
        <f t="shared" si="20"/>
        <v/>
      </c>
      <c r="J150" s="650"/>
      <c r="K150" s="650"/>
      <c r="L150" s="650"/>
    </row>
    <row r="151" spans="2:12" x14ac:dyDescent="0.2">
      <c r="B151" s="660" t="str">
        <f t="shared" si="14"/>
        <v>-</v>
      </c>
      <c r="C151" s="661" t="str">
        <f t="shared" si="15"/>
        <v/>
      </c>
      <c r="D151" s="650" t="str">
        <f t="shared" si="19"/>
        <v/>
      </c>
      <c r="E151" s="650" t="str">
        <f t="shared" si="16"/>
        <v/>
      </c>
      <c r="F151" s="650" t="str">
        <f t="shared" si="17"/>
        <v/>
      </c>
      <c r="G151" s="650" t="str">
        <f t="shared" si="18"/>
        <v/>
      </c>
      <c r="H151" s="650" t="str">
        <f t="shared" si="20"/>
        <v/>
      </c>
      <c r="J151" s="650"/>
      <c r="K151" s="650"/>
      <c r="L151" s="650"/>
    </row>
    <row r="152" spans="2:12" x14ac:dyDescent="0.2">
      <c r="B152" s="660" t="str">
        <f t="shared" si="14"/>
        <v>-</v>
      </c>
      <c r="C152" s="661" t="str">
        <f t="shared" si="15"/>
        <v/>
      </c>
      <c r="D152" s="650" t="str">
        <f t="shared" si="19"/>
        <v/>
      </c>
      <c r="E152" s="650" t="str">
        <f t="shared" si="16"/>
        <v/>
      </c>
      <c r="F152" s="650" t="str">
        <f t="shared" si="17"/>
        <v/>
      </c>
      <c r="G152" s="650" t="str">
        <f t="shared" si="18"/>
        <v/>
      </c>
      <c r="H152" s="650" t="str">
        <f t="shared" si="20"/>
        <v/>
      </c>
      <c r="J152" s="650"/>
      <c r="K152" s="650"/>
      <c r="L152" s="650"/>
    </row>
    <row r="153" spans="2:12" x14ac:dyDescent="0.2">
      <c r="B153" s="660" t="str">
        <f t="shared" si="14"/>
        <v>-</v>
      </c>
      <c r="C153" s="661" t="str">
        <f t="shared" si="15"/>
        <v/>
      </c>
      <c r="D153" s="650" t="str">
        <f t="shared" si="19"/>
        <v/>
      </c>
      <c r="E153" s="650" t="str">
        <f t="shared" si="16"/>
        <v/>
      </c>
      <c r="F153" s="650" t="str">
        <f t="shared" si="17"/>
        <v/>
      </c>
      <c r="G153" s="650" t="str">
        <f t="shared" si="18"/>
        <v/>
      </c>
      <c r="H153" s="650" t="str">
        <f t="shared" si="20"/>
        <v/>
      </c>
      <c r="J153" s="650"/>
      <c r="K153" s="650"/>
      <c r="L153" s="650"/>
    </row>
    <row r="154" spans="2:12" x14ac:dyDescent="0.2">
      <c r="B154" s="660" t="str">
        <f t="shared" si="14"/>
        <v>-</v>
      </c>
      <c r="C154" s="661" t="str">
        <f t="shared" si="15"/>
        <v/>
      </c>
      <c r="D154" s="650" t="str">
        <f t="shared" si="19"/>
        <v/>
      </c>
      <c r="E154" s="650" t="str">
        <f t="shared" si="16"/>
        <v/>
      </c>
      <c r="F154" s="650" t="str">
        <f t="shared" si="17"/>
        <v/>
      </c>
      <c r="G154" s="650" t="str">
        <f t="shared" si="18"/>
        <v/>
      </c>
      <c r="H154" s="650" t="str">
        <f t="shared" si="20"/>
        <v/>
      </c>
      <c r="J154" s="650"/>
      <c r="K154" s="650"/>
      <c r="L154" s="650"/>
    </row>
    <row r="155" spans="2:12" x14ac:dyDescent="0.2">
      <c r="B155" s="660" t="str">
        <f t="shared" si="14"/>
        <v>-</v>
      </c>
      <c r="C155" s="661" t="str">
        <f t="shared" si="15"/>
        <v/>
      </c>
      <c r="D155" s="650" t="str">
        <f t="shared" si="19"/>
        <v/>
      </c>
      <c r="E155" s="650" t="str">
        <f t="shared" si="16"/>
        <v/>
      </c>
      <c r="F155" s="650" t="str">
        <f t="shared" si="17"/>
        <v/>
      </c>
      <c r="G155" s="650" t="str">
        <f t="shared" si="18"/>
        <v/>
      </c>
      <c r="H155" s="650" t="str">
        <f t="shared" si="20"/>
        <v/>
      </c>
      <c r="J155" s="650"/>
      <c r="K155" s="650"/>
      <c r="L155" s="650"/>
    </row>
    <row r="156" spans="2:12" x14ac:dyDescent="0.2">
      <c r="B156" s="660" t="str">
        <f t="shared" si="14"/>
        <v>-</v>
      </c>
      <c r="C156" s="661" t="str">
        <f t="shared" si="15"/>
        <v/>
      </c>
      <c r="D156" s="650" t="str">
        <f t="shared" si="19"/>
        <v/>
      </c>
      <c r="E156" s="650" t="str">
        <f t="shared" si="16"/>
        <v/>
      </c>
      <c r="F156" s="650" t="str">
        <f t="shared" si="17"/>
        <v/>
      </c>
      <c r="G156" s="650" t="str">
        <f t="shared" si="18"/>
        <v/>
      </c>
      <c r="H156" s="650" t="str">
        <f t="shared" si="20"/>
        <v/>
      </c>
      <c r="J156" s="650"/>
      <c r="K156" s="650"/>
      <c r="L156" s="650"/>
    </row>
    <row r="157" spans="2:12" x14ac:dyDescent="0.2">
      <c r="B157" s="660" t="str">
        <f t="shared" si="14"/>
        <v>-</v>
      </c>
      <c r="C157" s="661" t="str">
        <f t="shared" si="15"/>
        <v/>
      </c>
      <c r="D157" s="650" t="str">
        <f t="shared" si="19"/>
        <v/>
      </c>
      <c r="E157" s="650" t="str">
        <f t="shared" si="16"/>
        <v/>
      </c>
      <c r="F157" s="650" t="str">
        <f t="shared" si="17"/>
        <v/>
      </c>
      <c r="G157" s="650" t="str">
        <f t="shared" si="18"/>
        <v/>
      </c>
      <c r="H157" s="650" t="str">
        <f t="shared" si="20"/>
        <v/>
      </c>
      <c r="J157" s="650"/>
      <c r="K157" s="650"/>
      <c r="L157" s="650"/>
    </row>
    <row r="158" spans="2:12" x14ac:dyDescent="0.2">
      <c r="B158" s="660" t="str">
        <f t="shared" si="14"/>
        <v>-</v>
      </c>
      <c r="C158" s="661" t="str">
        <f t="shared" si="15"/>
        <v/>
      </c>
      <c r="D158" s="650" t="str">
        <f t="shared" si="19"/>
        <v/>
      </c>
      <c r="E158" s="650" t="str">
        <f t="shared" si="16"/>
        <v/>
      </c>
      <c r="F158" s="650" t="str">
        <f t="shared" si="17"/>
        <v/>
      </c>
      <c r="G158" s="650" t="str">
        <f t="shared" si="18"/>
        <v/>
      </c>
      <c r="H158" s="650" t="str">
        <f t="shared" si="20"/>
        <v/>
      </c>
      <c r="J158" s="650"/>
      <c r="K158" s="650"/>
      <c r="L158" s="650"/>
    </row>
    <row r="159" spans="2:12" x14ac:dyDescent="0.2">
      <c r="B159" s="660" t="str">
        <f t="shared" si="14"/>
        <v>-</v>
      </c>
      <c r="C159" s="661" t="str">
        <f t="shared" si="15"/>
        <v/>
      </c>
      <c r="D159" s="650" t="str">
        <f t="shared" si="19"/>
        <v/>
      </c>
      <c r="E159" s="650" t="str">
        <f t="shared" si="16"/>
        <v/>
      </c>
      <c r="F159" s="650" t="str">
        <f t="shared" si="17"/>
        <v/>
      </c>
      <c r="G159" s="650" t="str">
        <f t="shared" si="18"/>
        <v/>
      </c>
      <c r="H159" s="650" t="str">
        <f t="shared" si="20"/>
        <v/>
      </c>
      <c r="J159" s="650"/>
      <c r="K159" s="650"/>
      <c r="L159" s="650"/>
    </row>
    <row r="160" spans="2:12" x14ac:dyDescent="0.2">
      <c r="B160" s="660" t="str">
        <f t="shared" si="14"/>
        <v>-</v>
      </c>
      <c r="C160" s="661" t="str">
        <f t="shared" si="15"/>
        <v/>
      </c>
      <c r="D160" s="650" t="str">
        <f t="shared" si="19"/>
        <v/>
      </c>
      <c r="E160" s="650" t="str">
        <f t="shared" si="16"/>
        <v/>
      </c>
      <c r="F160" s="650" t="str">
        <f t="shared" si="17"/>
        <v/>
      </c>
      <c r="G160" s="650" t="str">
        <f t="shared" si="18"/>
        <v/>
      </c>
      <c r="H160" s="650" t="str">
        <f t="shared" si="20"/>
        <v/>
      </c>
      <c r="J160" s="650"/>
      <c r="K160" s="650"/>
      <c r="L160" s="650"/>
    </row>
    <row r="161" spans="2:12" x14ac:dyDescent="0.2">
      <c r="B161" s="660" t="str">
        <f t="shared" si="14"/>
        <v>-</v>
      </c>
      <c r="C161" s="661" t="str">
        <f t="shared" si="15"/>
        <v/>
      </c>
      <c r="D161" s="650" t="str">
        <f t="shared" si="19"/>
        <v/>
      </c>
      <c r="E161" s="650" t="str">
        <f t="shared" si="16"/>
        <v/>
      </c>
      <c r="F161" s="650" t="str">
        <f t="shared" si="17"/>
        <v/>
      </c>
      <c r="G161" s="650" t="str">
        <f t="shared" si="18"/>
        <v/>
      </c>
      <c r="H161" s="650" t="str">
        <f t="shared" si="20"/>
        <v/>
      </c>
      <c r="J161" s="650"/>
      <c r="K161" s="650"/>
      <c r="L161" s="650"/>
    </row>
    <row r="162" spans="2:12" x14ac:dyDescent="0.2">
      <c r="B162" s="660" t="str">
        <f t="shared" si="14"/>
        <v>-</v>
      </c>
      <c r="C162" s="661" t="str">
        <f t="shared" si="15"/>
        <v/>
      </c>
      <c r="D162" s="650" t="str">
        <f t="shared" si="19"/>
        <v/>
      </c>
      <c r="E162" s="650" t="str">
        <f t="shared" si="16"/>
        <v/>
      </c>
      <c r="F162" s="650" t="str">
        <f t="shared" si="17"/>
        <v/>
      </c>
      <c r="G162" s="650" t="str">
        <f t="shared" si="18"/>
        <v/>
      </c>
      <c r="H162" s="650" t="str">
        <f t="shared" si="20"/>
        <v/>
      </c>
      <c r="J162" s="650"/>
      <c r="K162" s="650"/>
      <c r="L162" s="650"/>
    </row>
    <row r="163" spans="2:12" x14ac:dyDescent="0.2">
      <c r="B163" s="660" t="str">
        <f t="shared" si="14"/>
        <v>-</v>
      </c>
      <c r="C163" s="661" t="str">
        <f t="shared" si="15"/>
        <v/>
      </c>
      <c r="D163" s="650" t="str">
        <f t="shared" si="19"/>
        <v/>
      </c>
      <c r="E163" s="650" t="str">
        <f t="shared" si="16"/>
        <v/>
      </c>
      <c r="F163" s="650" t="str">
        <f t="shared" si="17"/>
        <v/>
      </c>
      <c r="G163" s="650" t="str">
        <f t="shared" si="18"/>
        <v/>
      </c>
      <c r="H163" s="650" t="str">
        <f t="shared" si="20"/>
        <v/>
      </c>
      <c r="J163" s="650"/>
      <c r="K163" s="650"/>
      <c r="L163" s="650"/>
    </row>
    <row r="164" spans="2:12" x14ac:dyDescent="0.2">
      <c r="B164" s="660" t="str">
        <f t="shared" si="14"/>
        <v>-</v>
      </c>
      <c r="C164" s="661" t="str">
        <f t="shared" si="15"/>
        <v/>
      </c>
      <c r="D164" s="650" t="str">
        <f t="shared" si="19"/>
        <v/>
      </c>
      <c r="E164" s="650" t="str">
        <f t="shared" si="16"/>
        <v/>
      </c>
      <c r="F164" s="650" t="str">
        <f t="shared" si="17"/>
        <v/>
      </c>
      <c r="G164" s="650" t="str">
        <f t="shared" si="18"/>
        <v/>
      </c>
      <c r="H164" s="650" t="str">
        <f t="shared" si="20"/>
        <v/>
      </c>
      <c r="J164" s="650"/>
      <c r="K164" s="650"/>
      <c r="L164" s="650"/>
    </row>
    <row r="165" spans="2:12" x14ac:dyDescent="0.2">
      <c r="B165" s="660" t="str">
        <f t="shared" si="14"/>
        <v>-</v>
      </c>
      <c r="C165" s="661" t="str">
        <f t="shared" si="15"/>
        <v/>
      </c>
      <c r="D165" s="650" t="str">
        <f t="shared" si="19"/>
        <v/>
      </c>
      <c r="E165" s="650" t="str">
        <f t="shared" si="16"/>
        <v/>
      </c>
      <c r="F165" s="650" t="str">
        <f t="shared" si="17"/>
        <v/>
      </c>
      <c r="G165" s="650" t="str">
        <f t="shared" si="18"/>
        <v/>
      </c>
      <c r="H165" s="650" t="str">
        <f t="shared" si="20"/>
        <v/>
      </c>
      <c r="J165" s="650"/>
      <c r="K165" s="650"/>
      <c r="L165" s="650"/>
    </row>
    <row r="166" spans="2:12" x14ac:dyDescent="0.2">
      <c r="B166" s="660" t="str">
        <f t="shared" si="14"/>
        <v>-</v>
      </c>
      <c r="C166" s="661" t="str">
        <f t="shared" si="15"/>
        <v/>
      </c>
      <c r="D166" s="650" t="str">
        <f t="shared" si="19"/>
        <v/>
      </c>
      <c r="E166" s="650" t="str">
        <f t="shared" si="16"/>
        <v/>
      </c>
      <c r="F166" s="650" t="str">
        <f t="shared" si="17"/>
        <v/>
      </c>
      <c r="G166" s="650" t="str">
        <f t="shared" si="18"/>
        <v/>
      </c>
      <c r="H166" s="650" t="str">
        <f t="shared" si="20"/>
        <v/>
      </c>
      <c r="J166" s="650"/>
      <c r="K166" s="650"/>
      <c r="L166" s="650"/>
    </row>
    <row r="167" spans="2:12" x14ac:dyDescent="0.2">
      <c r="B167" s="660" t="str">
        <f t="shared" si="14"/>
        <v>-</v>
      </c>
      <c r="C167" s="661" t="str">
        <f t="shared" si="15"/>
        <v/>
      </c>
      <c r="D167" s="650" t="str">
        <f t="shared" si="19"/>
        <v/>
      </c>
      <c r="E167" s="650" t="str">
        <f t="shared" si="16"/>
        <v/>
      </c>
      <c r="F167" s="650" t="str">
        <f t="shared" si="17"/>
        <v/>
      </c>
      <c r="G167" s="650" t="str">
        <f t="shared" si="18"/>
        <v/>
      </c>
      <c r="H167" s="650" t="str">
        <f t="shared" si="20"/>
        <v/>
      </c>
      <c r="J167" s="650"/>
      <c r="K167" s="650"/>
      <c r="L167" s="650"/>
    </row>
    <row r="168" spans="2:12" x14ac:dyDescent="0.2">
      <c r="B168" s="660" t="str">
        <f t="shared" si="14"/>
        <v>-</v>
      </c>
      <c r="C168" s="661" t="str">
        <f t="shared" si="15"/>
        <v/>
      </c>
      <c r="D168" s="650" t="str">
        <f t="shared" si="19"/>
        <v/>
      </c>
      <c r="E168" s="650" t="str">
        <f t="shared" si="16"/>
        <v/>
      </c>
      <c r="F168" s="650" t="str">
        <f t="shared" si="17"/>
        <v/>
      </c>
      <c r="G168" s="650" t="str">
        <f t="shared" si="18"/>
        <v/>
      </c>
      <c r="H168" s="650" t="str">
        <f t="shared" si="20"/>
        <v/>
      </c>
      <c r="J168" s="650"/>
      <c r="K168" s="650"/>
      <c r="L168" s="650"/>
    </row>
    <row r="169" spans="2:12" x14ac:dyDescent="0.2">
      <c r="B169" s="660" t="str">
        <f t="shared" si="14"/>
        <v>-</v>
      </c>
      <c r="C169" s="661" t="str">
        <f t="shared" si="15"/>
        <v/>
      </c>
      <c r="D169" s="650" t="str">
        <f t="shared" si="19"/>
        <v/>
      </c>
      <c r="E169" s="650" t="str">
        <f t="shared" si="16"/>
        <v/>
      </c>
      <c r="F169" s="650" t="str">
        <f t="shared" si="17"/>
        <v/>
      </c>
      <c r="G169" s="650" t="str">
        <f t="shared" si="18"/>
        <v/>
      </c>
      <c r="H169" s="650" t="str">
        <f t="shared" si="20"/>
        <v/>
      </c>
      <c r="J169" s="650"/>
      <c r="K169" s="650"/>
      <c r="L169" s="650"/>
    </row>
    <row r="170" spans="2:12" x14ac:dyDescent="0.2">
      <c r="B170" s="660" t="str">
        <f t="shared" si="14"/>
        <v>-</v>
      </c>
      <c r="C170" s="661" t="str">
        <f t="shared" si="15"/>
        <v/>
      </c>
      <c r="D170" s="650" t="str">
        <f t="shared" si="19"/>
        <v/>
      </c>
      <c r="E170" s="650" t="str">
        <f t="shared" si="16"/>
        <v/>
      </c>
      <c r="F170" s="650" t="str">
        <f t="shared" si="17"/>
        <v/>
      </c>
      <c r="G170" s="650" t="str">
        <f t="shared" si="18"/>
        <v/>
      </c>
      <c r="H170" s="650" t="str">
        <f t="shared" si="20"/>
        <v/>
      </c>
      <c r="J170" s="650"/>
      <c r="K170" s="650"/>
      <c r="L170" s="650"/>
    </row>
    <row r="171" spans="2:12" x14ac:dyDescent="0.2">
      <c r="B171" s="660" t="str">
        <f t="shared" si="14"/>
        <v>-</v>
      </c>
      <c r="C171" s="661" t="str">
        <f t="shared" si="15"/>
        <v/>
      </c>
      <c r="D171" s="650" t="str">
        <f t="shared" si="19"/>
        <v/>
      </c>
      <c r="E171" s="650" t="str">
        <f t="shared" si="16"/>
        <v/>
      </c>
      <c r="F171" s="650" t="str">
        <f t="shared" si="17"/>
        <v/>
      </c>
      <c r="G171" s="650" t="str">
        <f t="shared" si="18"/>
        <v/>
      </c>
      <c r="H171" s="650" t="str">
        <f t="shared" si="20"/>
        <v/>
      </c>
      <c r="J171" s="650"/>
      <c r="K171" s="650"/>
      <c r="L171" s="650"/>
    </row>
    <row r="172" spans="2:12" x14ac:dyDescent="0.2">
      <c r="B172" s="660" t="str">
        <f t="shared" si="14"/>
        <v>-</v>
      </c>
      <c r="C172" s="661" t="str">
        <f t="shared" si="15"/>
        <v/>
      </c>
      <c r="D172" s="650" t="str">
        <f t="shared" si="19"/>
        <v/>
      </c>
      <c r="E172" s="650" t="str">
        <f t="shared" si="16"/>
        <v/>
      </c>
      <c r="F172" s="650" t="str">
        <f t="shared" si="17"/>
        <v/>
      </c>
      <c r="G172" s="650" t="str">
        <f t="shared" si="18"/>
        <v/>
      </c>
      <c r="H172" s="650" t="str">
        <f t="shared" si="20"/>
        <v/>
      </c>
      <c r="J172" s="650"/>
      <c r="K172" s="650"/>
      <c r="L172" s="650"/>
    </row>
    <row r="173" spans="2:12" x14ac:dyDescent="0.2">
      <c r="B173" s="660" t="str">
        <f t="shared" si="14"/>
        <v>-</v>
      </c>
      <c r="C173" s="661" t="str">
        <f t="shared" si="15"/>
        <v/>
      </c>
      <c r="D173" s="650" t="str">
        <f t="shared" si="19"/>
        <v/>
      </c>
      <c r="E173" s="650" t="str">
        <f t="shared" si="16"/>
        <v/>
      </c>
      <c r="F173" s="650" t="str">
        <f t="shared" si="17"/>
        <v/>
      </c>
      <c r="G173" s="650" t="str">
        <f t="shared" si="18"/>
        <v/>
      </c>
      <c r="H173" s="650" t="str">
        <f t="shared" si="20"/>
        <v/>
      </c>
      <c r="J173" s="650"/>
      <c r="K173" s="650"/>
      <c r="L173" s="650"/>
    </row>
    <row r="174" spans="2:12" x14ac:dyDescent="0.2">
      <c r="B174" s="660" t="str">
        <f t="shared" si="14"/>
        <v>-</v>
      </c>
      <c r="C174" s="661" t="str">
        <f t="shared" si="15"/>
        <v/>
      </c>
      <c r="D174" s="650" t="str">
        <f t="shared" si="19"/>
        <v/>
      </c>
      <c r="E174" s="650" t="str">
        <f t="shared" si="16"/>
        <v/>
      </c>
      <c r="F174" s="650" t="str">
        <f t="shared" si="17"/>
        <v/>
      </c>
      <c r="G174" s="650" t="str">
        <f t="shared" si="18"/>
        <v/>
      </c>
      <c r="H174" s="650" t="str">
        <f t="shared" si="20"/>
        <v/>
      </c>
      <c r="J174" s="650"/>
      <c r="K174" s="650"/>
      <c r="L174" s="650"/>
    </row>
    <row r="175" spans="2:12" x14ac:dyDescent="0.2">
      <c r="B175" s="660" t="str">
        <f t="shared" si="14"/>
        <v>-</v>
      </c>
      <c r="C175" s="661" t="str">
        <f t="shared" si="15"/>
        <v/>
      </c>
      <c r="D175" s="650" t="str">
        <f t="shared" si="19"/>
        <v/>
      </c>
      <c r="E175" s="650" t="str">
        <f t="shared" si="16"/>
        <v/>
      </c>
      <c r="F175" s="650" t="str">
        <f t="shared" si="17"/>
        <v/>
      </c>
      <c r="G175" s="650" t="str">
        <f t="shared" si="18"/>
        <v/>
      </c>
      <c r="H175" s="650" t="str">
        <f t="shared" si="20"/>
        <v/>
      </c>
      <c r="J175" s="650"/>
      <c r="K175" s="650"/>
      <c r="L175" s="650"/>
    </row>
    <row r="176" spans="2:12" x14ac:dyDescent="0.2">
      <c r="B176" s="660" t="str">
        <f t="shared" si="14"/>
        <v>-</v>
      </c>
      <c r="C176" s="661" t="str">
        <f t="shared" si="15"/>
        <v/>
      </c>
      <c r="D176" s="650" t="str">
        <f t="shared" si="19"/>
        <v/>
      </c>
      <c r="E176" s="650" t="str">
        <f t="shared" si="16"/>
        <v/>
      </c>
      <c r="F176" s="650" t="str">
        <f t="shared" si="17"/>
        <v/>
      </c>
      <c r="G176" s="650" t="str">
        <f t="shared" si="18"/>
        <v/>
      </c>
      <c r="H176" s="650" t="str">
        <f t="shared" si="20"/>
        <v/>
      </c>
      <c r="J176" s="650"/>
      <c r="K176" s="650"/>
      <c r="L176" s="650"/>
    </row>
    <row r="177" spans="2:12" x14ac:dyDescent="0.2">
      <c r="B177" s="660" t="str">
        <f t="shared" si="14"/>
        <v>-</v>
      </c>
      <c r="C177" s="661" t="str">
        <f t="shared" si="15"/>
        <v/>
      </c>
      <c r="D177" s="650" t="str">
        <f t="shared" si="19"/>
        <v/>
      </c>
      <c r="E177" s="650" t="str">
        <f t="shared" si="16"/>
        <v/>
      </c>
      <c r="F177" s="650" t="str">
        <f t="shared" si="17"/>
        <v/>
      </c>
      <c r="G177" s="650" t="str">
        <f t="shared" si="18"/>
        <v/>
      </c>
      <c r="H177" s="650" t="str">
        <f t="shared" si="20"/>
        <v/>
      </c>
      <c r="J177" s="650"/>
      <c r="K177" s="650"/>
      <c r="L177" s="650"/>
    </row>
    <row r="178" spans="2:12" x14ac:dyDescent="0.2">
      <c r="B178" s="660" t="str">
        <f t="shared" si="14"/>
        <v>-</v>
      </c>
      <c r="C178" s="661" t="str">
        <f t="shared" si="15"/>
        <v/>
      </c>
      <c r="D178" s="650" t="str">
        <f t="shared" si="19"/>
        <v/>
      </c>
      <c r="E178" s="650" t="str">
        <f t="shared" si="16"/>
        <v/>
      </c>
      <c r="F178" s="650" t="str">
        <f t="shared" si="17"/>
        <v/>
      </c>
      <c r="G178" s="650" t="str">
        <f t="shared" si="18"/>
        <v/>
      </c>
      <c r="H178" s="650" t="str">
        <f t="shared" si="20"/>
        <v/>
      </c>
      <c r="J178" s="650"/>
      <c r="K178" s="650"/>
      <c r="L178" s="650"/>
    </row>
    <row r="179" spans="2:12" x14ac:dyDescent="0.2">
      <c r="B179" s="660" t="str">
        <f t="shared" si="14"/>
        <v>-</v>
      </c>
      <c r="C179" s="661" t="str">
        <f t="shared" si="15"/>
        <v/>
      </c>
      <c r="D179" s="650" t="str">
        <f t="shared" si="19"/>
        <v/>
      </c>
      <c r="E179" s="650" t="str">
        <f t="shared" si="16"/>
        <v/>
      </c>
      <c r="F179" s="650" t="str">
        <f t="shared" si="17"/>
        <v/>
      </c>
      <c r="G179" s="650" t="str">
        <f t="shared" si="18"/>
        <v/>
      </c>
      <c r="H179" s="650" t="str">
        <f t="shared" si="20"/>
        <v/>
      </c>
      <c r="J179" s="650"/>
      <c r="K179" s="650"/>
      <c r="L179" s="650"/>
    </row>
    <row r="180" spans="2:12" x14ac:dyDescent="0.2">
      <c r="B180" s="660" t="str">
        <f t="shared" si="14"/>
        <v>-</v>
      </c>
      <c r="C180" s="661" t="str">
        <f t="shared" si="15"/>
        <v/>
      </c>
      <c r="D180" s="650" t="str">
        <f t="shared" si="19"/>
        <v/>
      </c>
      <c r="E180" s="650" t="str">
        <f t="shared" si="16"/>
        <v/>
      </c>
      <c r="F180" s="650" t="str">
        <f t="shared" si="17"/>
        <v/>
      </c>
      <c r="G180" s="650" t="str">
        <f t="shared" si="18"/>
        <v/>
      </c>
      <c r="H180" s="650" t="str">
        <f t="shared" si="20"/>
        <v/>
      </c>
      <c r="J180" s="650"/>
      <c r="K180" s="650"/>
      <c r="L180" s="650"/>
    </row>
    <row r="181" spans="2:12" x14ac:dyDescent="0.2">
      <c r="B181" s="660" t="str">
        <f t="shared" si="14"/>
        <v>-</v>
      </c>
      <c r="C181" s="661" t="str">
        <f t="shared" si="15"/>
        <v/>
      </c>
      <c r="D181" s="650" t="str">
        <f t="shared" si="19"/>
        <v/>
      </c>
      <c r="E181" s="650" t="str">
        <f t="shared" si="16"/>
        <v/>
      </c>
      <c r="F181" s="650" t="str">
        <f t="shared" si="17"/>
        <v/>
      </c>
      <c r="G181" s="650" t="str">
        <f t="shared" si="18"/>
        <v/>
      </c>
      <c r="H181" s="650" t="str">
        <f t="shared" si="20"/>
        <v/>
      </c>
      <c r="J181" s="650"/>
      <c r="K181" s="650"/>
      <c r="L181" s="650"/>
    </row>
    <row r="182" spans="2:12" x14ac:dyDescent="0.2">
      <c r="B182" s="660" t="str">
        <f t="shared" si="14"/>
        <v>-</v>
      </c>
      <c r="C182" s="661" t="str">
        <f t="shared" si="15"/>
        <v/>
      </c>
      <c r="D182" s="650" t="str">
        <f t="shared" si="19"/>
        <v/>
      </c>
      <c r="E182" s="650" t="str">
        <f t="shared" si="16"/>
        <v/>
      </c>
      <c r="F182" s="650" t="str">
        <f t="shared" si="17"/>
        <v/>
      </c>
      <c r="G182" s="650" t="str">
        <f t="shared" si="18"/>
        <v/>
      </c>
      <c r="H182" s="650" t="str">
        <f t="shared" si="20"/>
        <v/>
      </c>
      <c r="J182" s="650"/>
      <c r="K182" s="650"/>
      <c r="L182" s="650"/>
    </row>
    <row r="183" spans="2:12" x14ac:dyDescent="0.2">
      <c r="B183" s="660" t="str">
        <f t="shared" si="14"/>
        <v>-</v>
      </c>
      <c r="C183" s="661" t="str">
        <f t="shared" si="15"/>
        <v/>
      </c>
      <c r="D183" s="650" t="str">
        <f t="shared" si="19"/>
        <v/>
      </c>
      <c r="E183" s="650" t="str">
        <f t="shared" si="16"/>
        <v/>
      </c>
      <c r="F183" s="650" t="str">
        <f t="shared" si="17"/>
        <v/>
      </c>
      <c r="G183" s="650" t="str">
        <f t="shared" si="18"/>
        <v/>
      </c>
      <c r="H183" s="650" t="str">
        <f t="shared" si="20"/>
        <v/>
      </c>
      <c r="J183" s="650"/>
      <c r="K183" s="650"/>
      <c r="L183" s="650"/>
    </row>
    <row r="184" spans="2:12" x14ac:dyDescent="0.2">
      <c r="B184" s="660" t="str">
        <f t="shared" si="14"/>
        <v>-</v>
      </c>
      <c r="C184" s="661" t="str">
        <f t="shared" si="15"/>
        <v/>
      </c>
      <c r="D184" s="650" t="str">
        <f t="shared" si="19"/>
        <v/>
      </c>
      <c r="E184" s="650" t="str">
        <f t="shared" si="16"/>
        <v/>
      </c>
      <c r="F184" s="650" t="str">
        <f t="shared" si="17"/>
        <v/>
      </c>
      <c r="G184" s="650" t="str">
        <f t="shared" si="18"/>
        <v/>
      </c>
      <c r="H184" s="650" t="str">
        <f t="shared" si="20"/>
        <v/>
      </c>
      <c r="J184" s="650"/>
      <c r="K184" s="650"/>
      <c r="L184" s="650"/>
    </row>
    <row r="185" spans="2:12" x14ac:dyDescent="0.2">
      <c r="B185" s="660" t="str">
        <f t="shared" si="14"/>
        <v>-</v>
      </c>
      <c r="C185" s="661" t="str">
        <f t="shared" si="15"/>
        <v/>
      </c>
      <c r="D185" s="650" t="str">
        <f t="shared" si="19"/>
        <v/>
      </c>
      <c r="E185" s="650" t="str">
        <f t="shared" si="16"/>
        <v/>
      </c>
      <c r="F185" s="650" t="str">
        <f t="shared" si="17"/>
        <v/>
      </c>
      <c r="G185" s="650" t="str">
        <f t="shared" si="18"/>
        <v/>
      </c>
      <c r="H185" s="650" t="str">
        <f t="shared" si="20"/>
        <v/>
      </c>
      <c r="J185" s="650"/>
      <c r="K185" s="650"/>
      <c r="L185" s="650"/>
    </row>
    <row r="186" spans="2:12" x14ac:dyDescent="0.2">
      <c r="B186" s="660" t="str">
        <f t="shared" si="14"/>
        <v>-</v>
      </c>
      <c r="C186" s="661" t="str">
        <f t="shared" si="15"/>
        <v/>
      </c>
      <c r="D186" s="650" t="str">
        <f t="shared" si="19"/>
        <v/>
      </c>
      <c r="E186" s="650" t="str">
        <f t="shared" si="16"/>
        <v/>
      </c>
      <c r="F186" s="650" t="str">
        <f t="shared" si="17"/>
        <v/>
      </c>
      <c r="G186" s="650" t="str">
        <f t="shared" si="18"/>
        <v/>
      </c>
      <c r="H186" s="650" t="str">
        <f t="shared" si="20"/>
        <v/>
      </c>
      <c r="J186" s="650"/>
      <c r="K186" s="650"/>
      <c r="L186" s="650"/>
    </row>
    <row r="187" spans="2:12" x14ac:dyDescent="0.2">
      <c r="B187" s="660" t="str">
        <f t="shared" si="14"/>
        <v>-</v>
      </c>
      <c r="C187" s="661" t="str">
        <f t="shared" si="15"/>
        <v/>
      </c>
      <c r="D187" s="650" t="str">
        <f t="shared" si="19"/>
        <v/>
      </c>
      <c r="E187" s="650" t="str">
        <f t="shared" si="16"/>
        <v/>
      </c>
      <c r="F187" s="650" t="str">
        <f t="shared" si="17"/>
        <v/>
      </c>
      <c r="G187" s="650" t="str">
        <f t="shared" si="18"/>
        <v/>
      </c>
      <c r="H187" s="650" t="str">
        <f t="shared" si="20"/>
        <v/>
      </c>
      <c r="J187" s="650"/>
      <c r="K187" s="650"/>
      <c r="L187" s="650"/>
    </row>
    <row r="188" spans="2:12" x14ac:dyDescent="0.2">
      <c r="B188" s="660" t="str">
        <f t="shared" si="14"/>
        <v>-</v>
      </c>
      <c r="C188" s="661" t="str">
        <f t="shared" si="15"/>
        <v/>
      </c>
      <c r="D188" s="650" t="str">
        <f t="shared" si="19"/>
        <v/>
      </c>
      <c r="E188" s="650" t="str">
        <f t="shared" si="16"/>
        <v/>
      </c>
      <c r="F188" s="650" t="str">
        <f t="shared" si="17"/>
        <v/>
      </c>
      <c r="G188" s="650" t="str">
        <f t="shared" si="18"/>
        <v/>
      </c>
      <c r="H188" s="650" t="str">
        <f t="shared" si="20"/>
        <v/>
      </c>
      <c r="J188" s="650"/>
      <c r="K188" s="650"/>
      <c r="L188" s="650"/>
    </row>
    <row r="189" spans="2:12" x14ac:dyDescent="0.2">
      <c r="B189" s="660" t="str">
        <f t="shared" si="14"/>
        <v>-</v>
      </c>
      <c r="C189" s="661" t="str">
        <f t="shared" si="15"/>
        <v/>
      </c>
      <c r="D189" s="650" t="str">
        <f t="shared" si="19"/>
        <v/>
      </c>
      <c r="E189" s="650" t="str">
        <f t="shared" si="16"/>
        <v/>
      </c>
      <c r="F189" s="650" t="str">
        <f t="shared" si="17"/>
        <v/>
      </c>
      <c r="G189" s="650" t="str">
        <f t="shared" si="18"/>
        <v/>
      </c>
      <c r="H189" s="650" t="str">
        <f t="shared" si="20"/>
        <v/>
      </c>
      <c r="J189" s="650"/>
      <c r="K189" s="650"/>
      <c r="L189" s="650"/>
    </row>
    <row r="190" spans="2:12" x14ac:dyDescent="0.2">
      <c r="B190" s="660" t="str">
        <f t="shared" si="14"/>
        <v>-</v>
      </c>
      <c r="C190" s="661" t="str">
        <f t="shared" si="15"/>
        <v/>
      </c>
      <c r="D190" s="650" t="str">
        <f t="shared" si="19"/>
        <v/>
      </c>
      <c r="E190" s="650" t="str">
        <f t="shared" si="16"/>
        <v/>
      </c>
      <c r="F190" s="650" t="str">
        <f t="shared" si="17"/>
        <v/>
      </c>
      <c r="G190" s="650" t="str">
        <f t="shared" si="18"/>
        <v/>
      </c>
      <c r="H190" s="650" t="str">
        <f t="shared" si="20"/>
        <v/>
      </c>
      <c r="J190" s="650"/>
      <c r="K190" s="650"/>
      <c r="L190" s="650"/>
    </row>
    <row r="191" spans="2:12" x14ac:dyDescent="0.2">
      <c r="B191" s="660" t="str">
        <f t="shared" si="14"/>
        <v>-</v>
      </c>
      <c r="C191" s="661" t="str">
        <f t="shared" si="15"/>
        <v/>
      </c>
      <c r="D191" s="650" t="str">
        <f t="shared" si="19"/>
        <v/>
      </c>
      <c r="E191" s="650" t="str">
        <f t="shared" si="16"/>
        <v/>
      </c>
      <c r="F191" s="650" t="str">
        <f t="shared" si="17"/>
        <v/>
      </c>
      <c r="G191" s="650" t="str">
        <f t="shared" si="18"/>
        <v/>
      </c>
      <c r="H191" s="650" t="str">
        <f t="shared" si="20"/>
        <v/>
      </c>
      <c r="J191" s="650"/>
      <c r="K191" s="650"/>
      <c r="L191" s="650"/>
    </row>
    <row r="192" spans="2:12" x14ac:dyDescent="0.2">
      <c r="B192" s="660" t="str">
        <f t="shared" si="14"/>
        <v>-</v>
      </c>
      <c r="C192" s="661" t="str">
        <f t="shared" si="15"/>
        <v/>
      </c>
      <c r="D192" s="650" t="str">
        <f t="shared" si="19"/>
        <v/>
      </c>
      <c r="E192" s="650" t="str">
        <f t="shared" si="16"/>
        <v/>
      </c>
      <c r="F192" s="650" t="str">
        <f t="shared" si="17"/>
        <v/>
      </c>
      <c r="G192" s="650" t="str">
        <f t="shared" si="18"/>
        <v/>
      </c>
      <c r="H192" s="650" t="str">
        <f t="shared" si="20"/>
        <v/>
      </c>
      <c r="J192" s="650"/>
      <c r="K192" s="650"/>
      <c r="L192" s="650"/>
    </row>
    <row r="193" spans="2:12" x14ac:dyDescent="0.2">
      <c r="B193" s="660" t="str">
        <f t="shared" si="14"/>
        <v>-</v>
      </c>
      <c r="C193" s="661" t="str">
        <f t="shared" si="15"/>
        <v/>
      </c>
      <c r="D193" s="650" t="str">
        <f t="shared" si="19"/>
        <v/>
      </c>
      <c r="E193" s="650" t="str">
        <f t="shared" si="16"/>
        <v/>
      </c>
      <c r="F193" s="650" t="str">
        <f t="shared" si="17"/>
        <v/>
      </c>
      <c r="G193" s="650" t="str">
        <f t="shared" si="18"/>
        <v/>
      </c>
      <c r="H193" s="650" t="str">
        <f t="shared" si="20"/>
        <v/>
      </c>
      <c r="J193" s="650"/>
      <c r="K193" s="650"/>
      <c r="L193" s="650"/>
    </row>
    <row r="194" spans="2:12" x14ac:dyDescent="0.2">
      <c r="B194" s="660" t="str">
        <f t="shared" si="14"/>
        <v>-</v>
      </c>
      <c r="C194" s="661" t="str">
        <f t="shared" si="15"/>
        <v/>
      </c>
      <c r="D194" s="650" t="str">
        <f t="shared" si="19"/>
        <v/>
      </c>
      <c r="E194" s="650" t="str">
        <f t="shared" si="16"/>
        <v/>
      </c>
      <c r="F194" s="650" t="str">
        <f t="shared" si="17"/>
        <v/>
      </c>
      <c r="G194" s="650" t="str">
        <f t="shared" si="18"/>
        <v/>
      </c>
      <c r="H194" s="650" t="str">
        <f t="shared" si="20"/>
        <v/>
      </c>
      <c r="J194" s="650"/>
      <c r="K194" s="650"/>
      <c r="L194" s="650"/>
    </row>
    <row r="195" spans="2:12" x14ac:dyDescent="0.2">
      <c r="B195" s="660" t="str">
        <f t="shared" si="14"/>
        <v>-</v>
      </c>
      <c r="C195" s="661" t="str">
        <f t="shared" si="15"/>
        <v/>
      </c>
      <c r="D195" s="650" t="str">
        <f t="shared" si="19"/>
        <v/>
      </c>
      <c r="E195" s="650" t="str">
        <f t="shared" si="16"/>
        <v/>
      </c>
      <c r="F195" s="650" t="str">
        <f t="shared" si="17"/>
        <v/>
      </c>
      <c r="G195" s="650" t="str">
        <f t="shared" si="18"/>
        <v/>
      </c>
      <c r="H195" s="650" t="str">
        <f t="shared" si="20"/>
        <v/>
      </c>
      <c r="J195" s="650"/>
      <c r="K195" s="650"/>
      <c r="L195" s="650"/>
    </row>
    <row r="196" spans="2:12" x14ac:dyDescent="0.2">
      <c r="B196" s="660" t="str">
        <f t="shared" si="14"/>
        <v>-</v>
      </c>
      <c r="C196" s="661" t="str">
        <f t="shared" si="15"/>
        <v/>
      </c>
      <c r="D196" s="650" t="str">
        <f t="shared" si="19"/>
        <v/>
      </c>
      <c r="E196" s="650" t="str">
        <f t="shared" si="16"/>
        <v/>
      </c>
      <c r="F196" s="650" t="str">
        <f t="shared" si="17"/>
        <v/>
      </c>
      <c r="G196" s="650" t="str">
        <f t="shared" si="18"/>
        <v/>
      </c>
      <c r="H196" s="650" t="str">
        <f t="shared" si="20"/>
        <v/>
      </c>
      <c r="J196" s="650"/>
      <c r="K196" s="650"/>
      <c r="L196" s="650"/>
    </row>
    <row r="197" spans="2:12" x14ac:dyDescent="0.2">
      <c r="B197" s="660" t="str">
        <f t="shared" si="14"/>
        <v>-</v>
      </c>
      <c r="C197" s="661" t="str">
        <f t="shared" si="15"/>
        <v/>
      </c>
      <c r="D197" s="650" t="str">
        <f t="shared" si="19"/>
        <v/>
      </c>
      <c r="E197" s="650" t="str">
        <f t="shared" si="16"/>
        <v/>
      </c>
      <c r="F197" s="650" t="str">
        <f t="shared" si="17"/>
        <v/>
      </c>
      <c r="G197" s="650" t="str">
        <f t="shared" si="18"/>
        <v/>
      </c>
      <c r="H197" s="650" t="str">
        <f t="shared" si="20"/>
        <v/>
      </c>
      <c r="J197" s="650"/>
      <c r="K197" s="650"/>
      <c r="L197" s="650"/>
    </row>
    <row r="198" spans="2:12" x14ac:dyDescent="0.2">
      <c r="B198" s="660" t="str">
        <f t="shared" si="14"/>
        <v>-</v>
      </c>
      <c r="C198" s="661" t="str">
        <f t="shared" si="15"/>
        <v/>
      </c>
      <c r="D198" s="650" t="str">
        <f t="shared" si="19"/>
        <v/>
      </c>
      <c r="E198" s="650" t="str">
        <f t="shared" si="16"/>
        <v/>
      </c>
      <c r="F198" s="650" t="str">
        <f t="shared" si="17"/>
        <v/>
      </c>
      <c r="G198" s="650" t="str">
        <f t="shared" si="18"/>
        <v/>
      </c>
      <c r="H198" s="650" t="str">
        <f t="shared" si="20"/>
        <v/>
      </c>
      <c r="J198" s="650"/>
      <c r="K198" s="650"/>
      <c r="L198" s="650"/>
    </row>
    <row r="199" spans="2:12" x14ac:dyDescent="0.2">
      <c r="B199" s="660" t="str">
        <f t="shared" si="14"/>
        <v>-</v>
      </c>
      <c r="C199" s="661" t="str">
        <f t="shared" si="15"/>
        <v/>
      </c>
      <c r="D199" s="650" t="str">
        <f t="shared" si="19"/>
        <v/>
      </c>
      <c r="E199" s="650" t="str">
        <f t="shared" si="16"/>
        <v/>
      </c>
      <c r="F199" s="650" t="str">
        <f t="shared" si="17"/>
        <v/>
      </c>
      <c r="G199" s="650" t="str">
        <f t="shared" si="18"/>
        <v/>
      </c>
      <c r="H199" s="650" t="str">
        <f t="shared" si="20"/>
        <v/>
      </c>
      <c r="J199" s="650"/>
      <c r="K199" s="650"/>
      <c r="L199" s="650"/>
    </row>
    <row r="200" spans="2:12" x14ac:dyDescent="0.2">
      <c r="B200" s="660" t="str">
        <f t="shared" si="14"/>
        <v>-</v>
      </c>
      <c r="C200" s="661" t="str">
        <f t="shared" si="15"/>
        <v/>
      </c>
      <c r="D200" s="650" t="str">
        <f t="shared" si="19"/>
        <v/>
      </c>
      <c r="E200" s="650" t="str">
        <f t="shared" si="16"/>
        <v/>
      </c>
      <c r="F200" s="650" t="str">
        <f t="shared" si="17"/>
        <v/>
      </c>
      <c r="G200" s="650" t="str">
        <f t="shared" si="18"/>
        <v/>
      </c>
      <c r="H200" s="650" t="str">
        <f t="shared" si="20"/>
        <v/>
      </c>
      <c r="J200" s="650"/>
      <c r="K200" s="650"/>
      <c r="L200" s="650"/>
    </row>
    <row r="201" spans="2:12" x14ac:dyDescent="0.2">
      <c r="B201" s="660" t="str">
        <f t="shared" si="14"/>
        <v>-</v>
      </c>
      <c r="C201" s="661" t="str">
        <f t="shared" si="15"/>
        <v/>
      </c>
      <c r="D201" s="650" t="str">
        <f t="shared" si="19"/>
        <v/>
      </c>
      <c r="E201" s="650" t="str">
        <f t="shared" si="16"/>
        <v/>
      </c>
      <c r="F201" s="650" t="str">
        <f t="shared" si="17"/>
        <v/>
      </c>
      <c r="G201" s="650" t="str">
        <f t="shared" si="18"/>
        <v/>
      </c>
      <c r="H201" s="650" t="str">
        <f t="shared" si="20"/>
        <v/>
      </c>
      <c r="J201" s="650"/>
      <c r="K201" s="650"/>
      <c r="L201" s="650"/>
    </row>
    <row r="202" spans="2:12" x14ac:dyDescent="0.2">
      <c r="B202" s="660" t="str">
        <f t="shared" si="14"/>
        <v>-</v>
      </c>
      <c r="C202" s="661" t="str">
        <f t="shared" si="15"/>
        <v/>
      </c>
      <c r="D202" s="650" t="str">
        <f t="shared" si="19"/>
        <v/>
      </c>
      <c r="E202" s="650" t="str">
        <f t="shared" si="16"/>
        <v/>
      </c>
      <c r="F202" s="650" t="str">
        <f t="shared" si="17"/>
        <v/>
      </c>
      <c r="G202" s="650" t="str">
        <f t="shared" si="18"/>
        <v/>
      </c>
      <c r="H202" s="650" t="str">
        <f t="shared" si="20"/>
        <v/>
      </c>
      <c r="J202" s="650"/>
      <c r="K202" s="650"/>
      <c r="L202" s="650"/>
    </row>
    <row r="203" spans="2:12" x14ac:dyDescent="0.2">
      <c r="B203" s="660" t="str">
        <f t="shared" si="14"/>
        <v>-</v>
      </c>
      <c r="C203" s="661" t="str">
        <f t="shared" si="15"/>
        <v/>
      </c>
      <c r="D203" s="650" t="str">
        <f t="shared" si="19"/>
        <v/>
      </c>
      <c r="E203" s="650" t="str">
        <f t="shared" si="16"/>
        <v/>
      </c>
      <c r="F203" s="650" t="str">
        <f t="shared" si="17"/>
        <v/>
      </c>
      <c r="G203" s="650" t="str">
        <f t="shared" si="18"/>
        <v/>
      </c>
      <c r="H203" s="650" t="str">
        <f t="shared" si="20"/>
        <v/>
      </c>
      <c r="J203" s="650"/>
      <c r="K203" s="650"/>
      <c r="L203" s="650"/>
    </row>
    <row r="204" spans="2:12" x14ac:dyDescent="0.2">
      <c r="B204" s="660" t="str">
        <f t="shared" ref="B204:B267" si="21">IF(B203&lt;$L$3,B203+1,"-")</f>
        <v>-</v>
      </c>
      <c r="C204" s="661" t="str">
        <f t="shared" ref="C204:C267" si="22">IF(ISNUMBER(B204),MIN(DATE(YEAR($C$11),MONTH($C$11)+B204*12/$P$5,DAY($C$11)),DATE(YEAR($C$11),MONTH($C$11)+1+B204*12/$P$5,1)-1),"")</f>
        <v/>
      </c>
      <c r="D204" s="650" t="str">
        <f t="shared" si="19"/>
        <v/>
      </c>
      <c r="E204" s="650" t="str">
        <f t="shared" ref="E204:E267" si="23">IF(ISNUMBER(B204),ROUND(D204*$L$7,$R$6),"")</f>
        <v/>
      </c>
      <c r="F204" s="650" t="str">
        <f t="shared" ref="F204:F267" si="24">IF(ISNUMBER(B204),IF(B204=$L$3,D204,IF(B204&gt;$L$4,$H$3-E204,0)),"")</f>
        <v/>
      </c>
      <c r="G204" s="650" t="str">
        <f t="shared" ref="G204:G267" si="25">IF(ISNUMBER(B204),$H$4,"")</f>
        <v/>
      </c>
      <c r="H204" s="650" t="str">
        <f t="shared" si="20"/>
        <v/>
      </c>
      <c r="J204" s="650"/>
      <c r="K204" s="650"/>
      <c r="L204" s="650"/>
    </row>
    <row r="205" spans="2:12" x14ac:dyDescent="0.2">
      <c r="B205" s="660" t="str">
        <f t="shared" si="21"/>
        <v>-</v>
      </c>
      <c r="C205" s="661" t="str">
        <f t="shared" si="22"/>
        <v/>
      </c>
      <c r="D205" s="650" t="str">
        <f t="shared" ref="D205:D268" si="26">IF(ISNUMBER(B205),D204-F204,"")</f>
        <v/>
      </c>
      <c r="E205" s="650" t="str">
        <f t="shared" si="23"/>
        <v/>
      </c>
      <c r="F205" s="650" t="str">
        <f t="shared" si="24"/>
        <v/>
      </c>
      <c r="G205" s="650" t="str">
        <f t="shared" si="25"/>
        <v/>
      </c>
      <c r="H205" s="650" t="str">
        <f t="shared" ref="H205:H268" si="27">IF(ISNUMBER(B205),E205+F205+G205,"")</f>
        <v/>
      </c>
      <c r="J205" s="650"/>
      <c r="K205" s="650"/>
      <c r="L205" s="650"/>
    </row>
    <row r="206" spans="2:12" x14ac:dyDescent="0.2">
      <c r="B206" s="660" t="str">
        <f t="shared" si="21"/>
        <v>-</v>
      </c>
      <c r="C206" s="661" t="str">
        <f t="shared" si="22"/>
        <v/>
      </c>
      <c r="D206" s="650" t="str">
        <f t="shared" si="26"/>
        <v/>
      </c>
      <c r="E206" s="650" t="str">
        <f t="shared" si="23"/>
        <v/>
      </c>
      <c r="F206" s="650" t="str">
        <f t="shared" si="24"/>
        <v/>
      </c>
      <c r="G206" s="650" t="str">
        <f t="shared" si="25"/>
        <v/>
      </c>
      <c r="H206" s="650" t="str">
        <f t="shared" si="27"/>
        <v/>
      </c>
      <c r="J206" s="650"/>
      <c r="K206" s="650"/>
      <c r="L206" s="650"/>
    </row>
    <row r="207" spans="2:12" x14ac:dyDescent="0.2">
      <c r="B207" s="660" t="str">
        <f t="shared" si="21"/>
        <v>-</v>
      </c>
      <c r="C207" s="661" t="str">
        <f t="shared" si="22"/>
        <v/>
      </c>
      <c r="D207" s="650" t="str">
        <f t="shared" si="26"/>
        <v/>
      </c>
      <c r="E207" s="650" t="str">
        <f t="shared" si="23"/>
        <v/>
      </c>
      <c r="F207" s="650" t="str">
        <f t="shared" si="24"/>
        <v/>
      </c>
      <c r="G207" s="650" t="str">
        <f t="shared" si="25"/>
        <v/>
      </c>
      <c r="H207" s="650" t="str">
        <f t="shared" si="27"/>
        <v/>
      </c>
      <c r="J207" s="650"/>
      <c r="K207" s="650"/>
      <c r="L207" s="650"/>
    </row>
    <row r="208" spans="2:12" x14ac:dyDescent="0.2">
      <c r="B208" s="660" t="str">
        <f t="shared" si="21"/>
        <v>-</v>
      </c>
      <c r="C208" s="661" t="str">
        <f t="shared" si="22"/>
        <v/>
      </c>
      <c r="D208" s="650" t="str">
        <f t="shared" si="26"/>
        <v/>
      </c>
      <c r="E208" s="650" t="str">
        <f t="shared" si="23"/>
        <v/>
      </c>
      <c r="F208" s="650" t="str">
        <f t="shared" si="24"/>
        <v/>
      </c>
      <c r="G208" s="650" t="str">
        <f t="shared" si="25"/>
        <v/>
      </c>
      <c r="H208" s="650" t="str">
        <f t="shared" si="27"/>
        <v/>
      </c>
      <c r="J208" s="650"/>
      <c r="K208" s="650"/>
      <c r="L208" s="650"/>
    </row>
    <row r="209" spans="2:12" x14ac:dyDescent="0.2">
      <c r="B209" s="660" t="str">
        <f t="shared" si="21"/>
        <v>-</v>
      </c>
      <c r="C209" s="661" t="str">
        <f t="shared" si="22"/>
        <v/>
      </c>
      <c r="D209" s="650" t="str">
        <f t="shared" si="26"/>
        <v/>
      </c>
      <c r="E209" s="650" t="str">
        <f t="shared" si="23"/>
        <v/>
      </c>
      <c r="F209" s="650" t="str">
        <f t="shared" si="24"/>
        <v/>
      </c>
      <c r="G209" s="650" t="str">
        <f t="shared" si="25"/>
        <v/>
      </c>
      <c r="H209" s="650" t="str">
        <f t="shared" si="27"/>
        <v/>
      </c>
      <c r="J209" s="650"/>
      <c r="K209" s="650"/>
      <c r="L209" s="650"/>
    </row>
    <row r="210" spans="2:12" x14ac:dyDescent="0.2">
      <c r="B210" s="660" t="str">
        <f t="shared" si="21"/>
        <v>-</v>
      </c>
      <c r="C210" s="661" t="str">
        <f t="shared" si="22"/>
        <v/>
      </c>
      <c r="D210" s="650" t="str">
        <f t="shared" si="26"/>
        <v/>
      </c>
      <c r="E210" s="650" t="str">
        <f t="shared" si="23"/>
        <v/>
      </c>
      <c r="F210" s="650" t="str">
        <f t="shared" si="24"/>
        <v/>
      </c>
      <c r="G210" s="650" t="str">
        <f t="shared" si="25"/>
        <v/>
      </c>
      <c r="H210" s="650" t="str">
        <f t="shared" si="27"/>
        <v/>
      </c>
      <c r="J210" s="650"/>
      <c r="K210" s="650"/>
      <c r="L210" s="650"/>
    </row>
    <row r="211" spans="2:12" x14ac:dyDescent="0.2">
      <c r="B211" s="660" t="str">
        <f t="shared" si="21"/>
        <v>-</v>
      </c>
      <c r="C211" s="661" t="str">
        <f t="shared" si="22"/>
        <v/>
      </c>
      <c r="D211" s="650" t="str">
        <f t="shared" si="26"/>
        <v/>
      </c>
      <c r="E211" s="650" t="str">
        <f t="shared" si="23"/>
        <v/>
      </c>
      <c r="F211" s="650" t="str">
        <f t="shared" si="24"/>
        <v/>
      </c>
      <c r="G211" s="650" t="str">
        <f t="shared" si="25"/>
        <v/>
      </c>
      <c r="H211" s="650" t="str">
        <f t="shared" si="27"/>
        <v/>
      </c>
      <c r="J211" s="650"/>
      <c r="K211" s="650"/>
      <c r="L211" s="650"/>
    </row>
    <row r="212" spans="2:12" x14ac:dyDescent="0.2">
      <c r="B212" s="660" t="str">
        <f t="shared" si="21"/>
        <v>-</v>
      </c>
      <c r="C212" s="661" t="str">
        <f t="shared" si="22"/>
        <v/>
      </c>
      <c r="D212" s="650" t="str">
        <f t="shared" si="26"/>
        <v/>
      </c>
      <c r="E212" s="650" t="str">
        <f t="shared" si="23"/>
        <v/>
      </c>
      <c r="F212" s="650" t="str">
        <f t="shared" si="24"/>
        <v/>
      </c>
      <c r="G212" s="650" t="str">
        <f t="shared" si="25"/>
        <v/>
      </c>
      <c r="H212" s="650" t="str">
        <f t="shared" si="27"/>
        <v/>
      </c>
      <c r="J212" s="650"/>
      <c r="K212" s="650"/>
      <c r="L212" s="650"/>
    </row>
    <row r="213" spans="2:12" x14ac:dyDescent="0.2">
      <c r="B213" s="660" t="str">
        <f t="shared" si="21"/>
        <v>-</v>
      </c>
      <c r="C213" s="661" t="str">
        <f t="shared" si="22"/>
        <v/>
      </c>
      <c r="D213" s="650" t="str">
        <f t="shared" si="26"/>
        <v/>
      </c>
      <c r="E213" s="650" t="str">
        <f t="shared" si="23"/>
        <v/>
      </c>
      <c r="F213" s="650" t="str">
        <f t="shared" si="24"/>
        <v/>
      </c>
      <c r="G213" s="650" t="str">
        <f t="shared" si="25"/>
        <v/>
      </c>
      <c r="H213" s="650" t="str">
        <f t="shared" si="27"/>
        <v/>
      </c>
      <c r="J213" s="650"/>
      <c r="K213" s="650"/>
      <c r="L213" s="650"/>
    </row>
    <row r="214" spans="2:12" x14ac:dyDescent="0.2">
      <c r="B214" s="660" t="str">
        <f t="shared" si="21"/>
        <v>-</v>
      </c>
      <c r="C214" s="661" t="str">
        <f t="shared" si="22"/>
        <v/>
      </c>
      <c r="D214" s="650" t="str">
        <f t="shared" si="26"/>
        <v/>
      </c>
      <c r="E214" s="650" t="str">
        <f t="shared" si="23"/>
        <v/>
      </c>
      <c r="F214" s="650" t="str">
        <f t="shared" si="24"/>
        <v/>
      </c>
      <c r="G214" s="650" t="str">
        <f t="shared" si="25"/>
        <v/>
      </c>
      <c r="H214" s="650" t="str">
        <f t="shared" si="27"/>
        <v/>
      </c>
      <c r="J214" s="650"/>
      <c r="K214" s="650"/>
      <c r="L214" s="650"/>
    </row>
    <row r="215" spans="2:12" x14ac:dyDescent="0.2">
      <c r="B215" s="660" t="str">
        <f t="shared" si="21"/>
        <v>-</v>
      </c>
      <c r="C215" s="661" t="str">
        <f t="shared" si="22"/>
        <v/>
      </c>
      <c r="D215" s="650" t="str">
        <f t="shared" si="26"/>
        <v/>
      </c>
      <c r="E215" s="650" t="str">
        <f t="shared" si="23"/>
        <v/>
      </c>
      <c r="F215" s="650" t="str">
        <f t="shared" si="24"/>
        <v/>
      </c>
      <c r="G215" s="650" t="str">
        <f t="shared" si="25"/>
        <v/>
      </c>
      <c r="H215" s="650" t="str">
        <f t="shared" si="27"/>
        <v/>
      </c>
      <c r="J215" s="650"/>
      <c r="K215" s="650"/>
      <c r="L215" s="650"/>
    </row>
    <row r="216" spans="2:12" x14ac:dyDescent="0.2">
      <c r="B216" s="660" t="str">
        <f t="shared" si="21"/>
        <v>-</v>
      </c>
      <c r="C216" s="661" t="str">
        <f t="shared" si="22"/>
        <v/>
      </c>
      <c r="D216" s="650" t="str">
        <f t="shared" si="26"/>
        <v/>
      </c>
      <c r="E216" s="650" t="str">
        <f t="shared" si="23"/>
        <v/>
      </c>
      <c r="F216" s="650" t="str">
        <f t="shared" si="24"/>
        <v/>
      </c>
      <c r="G216" s="650" t="str">
        <f t="shared" si="25"/>
        <v/>
      </c>
      <c r="H216" s="650" t="str">
        <f t="shared" si="27"/>
        <v/>
      </c>
      <c r="J216" s="650"/>
      <c r="K216" s="650"/>
      <c r="L216" s="650"/>
    </row>
    <row r="217" spans="2:12" x14ac:dyDescent="0.2">
      <c r="B217" s="660" t="str">
        <f t="shared" si="21"/>
        <v>-</v>
      </c>
      <c r="C217" s="661" t="str">
        <f t="shared" si="22"/>
        <v/>
      </c>
      <c r="D217" s="650" t="str">
        <f t="shared" si="26"/>
        <v/>
      </c>
      <c r="E217" s="650" t="str">
        <f t="shared" si="23"/>
        <v/>
      </c>
      <c r="F217" s="650" t="str">
        <f t="shared" si="24"/>
        <v/>
      </c>
      <c r="G217" s="650" t="str">
        <f t="shared" si="25"/>
        <v/>
      </c>
      <c r="H217" s="650" t="str">
        <f t="shared" si="27"/>
        <v/>
      </c>
      <c r="J217" s="650"/>
      <c r="K217" s="650"/>
      <c r="L217" s="650"/>
    </row>
    <row r="218" spans="2:12" x14ac:dyDescent="0.2">
      <c r="B218" s="660" t="str">
        <f t="shared" si="21"/>
        <v>-</v>
      </c>
      <c r="C218" s="661" t="str">
        <f t="shared" si="22"/>
        <v/>
      </c>
      <c r="D218" s="650" t="str">
        <f t="shared" si="26"/>
        <v/>
      </c>
      <c r="E218" s="650" t="str">
        <f t="shared" si="23"/>
        <v/>
      </c>
      <c r="F218" s="650" t="str">
        <f t="shared" si="24"/>
        <v/>
      </c>
      <c r="G218" s="650" t="str">
        <f t="shared" si="25"/>
        <v/>
      </c>
      <c r="H218" s="650" t="str">
        <f t="shared" si="27"/>
        <v/>
      </c>
      <c r="J218" s="650"/>
      <c r="K218" s="650"/>
      <c r="L218" s="650"/>
    </row>
    <row r="219" spans="2:12" x14ac:dyDescent="0.2">
      <c r="B219" s="660" t="str">
        <f t="shared" si="21"/>
        <v>-</v>
      </c>
      <c r="C219" s="661" t="str">
        <f t="shared" si="22"/>
        <v/>
      </c>
      <c r="D219" s="650" t="str">
        <f t="shared" si="26"/>
        <v/>
      </c>
      <c r="E219" s="650" t="str">
        <f t="shared" si="23"/>
        <v/>
      </c>
      <c r="F219" s="650" t="str">
        <f t="shared" si="24"/>
        <v/>
      </c>
      <c r="G219" s="650" t="str">
        <f t="shared" si="25"/>
        <v/>
      </c>
      <c r="H219" s="650" t="str">
        <f t="shared" si="27"/>
        <v/>
      </c>
      <c r="J219" s="650"/>
      <c r="K219" s="650"/>
      <c r="L219" s="650"/>
    </row>
    <row r="220" spans="2:12" x14ac:dyDescent="0.2">
      <c r="B220" s="660" t="str">
        <f t="shared" si="21"/>
        <v>-</v>
      </c>
      <c r="C220" s="661" t="str">
        <f t="shared" si="22"/>
        <v/>
      </c>
      <c r="D220" s="650" t="str">
        <f t="shared" si="26"/>
        <v/>
      </c>
      <c r="E220" s="650" t="str">
        <f t="shared" si="23"/>
        <v/>
      </c>
      <c r="F220" s="650" t="str">
        <f t="shared" si="24"/>
        <v/>
      </c>
      <c r="G220" s="650" t="str">
        <f t="shared" si="25"/>
        <v/>
      </c>
      <c r="H220" s="650" t="str">
        <f t="shared" si="27"/>
        <v/>
      </c>
      <c r="J220" s="650"/>
      <c r="K220" s="650"/>
      <c r="L220" s="650"/>
    </row>
    <row r="221" spans="2:12" x14ac:dyDescent="0.2">
      <c r="B221" s="660" t="str">
        <f t="shared" si="21"/>
        <v>-</v>
      </c>
      <c r="C221" s="661" t="str">
        <f t="shared" si="22"/>
        <v/>
      </c>
      <c r="D221" s="650" t="str">
        <f t="shared" si="26"/>
        <v/>
      </c>
      <c r="E221" s="650" t="str">
        <f t="shared" si="23"/>
        <v/>
      </c>
      <c r="F221" s="650" t="str">
        <f t="shared" si="24"/>
        <v/>
      </c>
      <c r="G221" s="650" t="str">
        <f t="shared" si="25"/>
        <v/>
      </c>
      <c r="H221" s="650" t="str">
        <f t="shared" si="27"/>
        <v/>
      </c>
      <c r="J221" s="650"/>
      <c r="K221" s="650"/>
      <c r="L221" s="650"/>
    </row>
    <row r="222" spans="2:12" x14ac:dyDescent="0.2">
      <c r="B222" s="660" t="str">
        <f t="shared" si="21"/>
        <v>-</v>
      </c>
      <c r="C222" s="661" t="str">
        <f t="shared" si="22"/>
        <v/>
      </c>
      <c r="D222" s="650" t="str">
        <f t="shared" si="26"/>
        <v/>
      </c>
      <c r="E222" s="650" t="str">
        <f t="shared" si="23"/>
        <v/>
      </c>
      <c r="F222" s="650" t="str">
        <f t="shared" si="24"/>
        <v/>
      </c>
      <c r="G222" s="650" t="str">
        <f t="shared" si="25"/>
        <v/>
      </c>
      <c r="H222" s="650" t="str">
        <f t="shared" si="27"/>
        <v/>
      </c>
      <c r="J222" s="650"/>
      <c r="K222" s="650"/>
      <c r="L222" s="650"/>
    </row>
    <row r="223" spans="2:12" x14ac:dyDescent="0.2">
      <c r="B223" s="660" t="str">
        <f t="shared" si="21"/>
        <v>-</v>
      </c>
      <c r="C223" s="661" t="str">
        <f t="shared" si="22"/>
        <v/>
      </c>
      <c r="D223" s="650" t="str">
        <f t="shared" si="26"/>
        <v/>
      </c>
      <c r="E223" s="650" t="str">
        <f t="shared" si="23"/>
        <v/>
      </c>
      <c r="F223" s="650" t="str">
        <f t="shared" si="24"/>
        <v/>
      </c>
      <c r="G223" s="650" t="str">
        <f t="shared" si="25"/>
        <v/>
      </c>
      <c r="H223" s="650" t="str">
        <f t="shared" si="27"/>
        <v/>
      </c>
      <c r="J223" s="650"/>
      <c r="K223" s="650"/>
      <c r="L223" s="650"/>
    </row>
    <row r="224" spans="2:12" x14ac:dyDescent="0.2">
      <c r="B224" s="660" t="str">
        <f t="shared" si="21"/>
        <v>-</v>
      </c>
      <c r="C224" s="661" t="str">
        <f t="shared" si="22"/>
        <v/>
      </c>
      <c r="D224" s="650" t="str">
        <f t="shared" si="26"/>
        <v/>
      </c>
      <c r="E224" s="650" t="str">
        <f t="shared" si="23"/>
        <v/>
      </c>
      <c r="F224" s="650" t="str">
        <f t="shared" si="24"/>
        <v/>
      </c>
      <c r="G224" s="650" t="str">
        <f t="shared" si="25"/>
        <v/>
      </c>
      <c r="H224" s="650" t="str">
        <f t="shared" si="27"/>
        <v/>
      </c>
      <c r="J224" s="650"/>
      <c r="K224" s="650"/>
      <c r="L224" s="650"/>
    </row>
    <row r="225" spans="2:12" x14ac:dyDescent="0.2">
      <c r="B225" s="660" t="str">
        <f t="shared" si="21"/>
        <v>-</v>
      </c>
      <c r="C225" s="661" t="str">
        <f t="shared" si="22"/>
        <v/>
      </c>
      <c r="D225" s="650" t="str">
        <f t="shared" si="26"/>
        <v/>
      </c>
      <c r="E225" s="650" t="str">
        <f t="shared" si="23"/>
        <v/>
      </c>
      <c r="F225" s="650" t="str">
        <f t="shared" si="24"/>
        <v/>
      </c>
      <c r="G225" s="650" t="str">
        <f t="shared" si="25"/>
        <v/>
      </c>
      <c r="H225" s="650" t="str">
        <f t="shared" si="27"/>
        <v/>
      </c>
      <c r="J225" s="650"/>
      <c r="K225" s="650"/>
      <c r="L225" s="650"/>
    </row>
    <row r="226" spans="2:12" x14ac:dyDescent="0.2">
      <c r="B226" s="660" t="str">
        <f t="shared" si="21"/>
        <v>-</v>
      </c>
      <c r="C226" s="661" t="str">
        <f t="shared" si="22"/>
        <v/>
      </c>
      <c r="D226" s="650" t="str">
        <f t="shared" si="26"/>
        <v/>
      </c>
      <c r="E226" s="650" t="str">
        <f t="shared" si="23"/>
        <v/>
      </c>
      <c r="F226" s="650" t="str">
        <f t="shared" si="24"/>
        <v/>
      </c>
      <c r="G226" s="650" t="str">
        <f t="shared" si="25"/>
        <v/>
      </c>
      <c r="H226" s="650" t="str">
        <f t="shared" si="27"/>
        <v/>
      </c>
      <c r="J226" s="650"/>
      <c r="K226" s="650"/>
      <c r="L226" s="650"/>
    </row>
    <row r="227" spans="2:12" x14ac:dyDescent="0.2">
      <c r="B227" s="660" t="str">
        <f t="shared" si="21"/>
        <v>-</v>
      </c>
      <c r="C227" s="661" t="str">
        <f t="shared" si="22"/>
        <v/>
      </c>
      <c r="D227" s="650" t="str">
        <f t="shared" si="26"/>
        <v/>
      </c>
      <c r="E227" s="650" t="str">
        <f t="shared" si="23"/>
        <v/>
      </c>
      <c r="F227" s="650" t="str">
        <f t="shared" si="24"/>
        <v/>
      </c>
      <c r="G227" s="650" t="str">
        <f t="shared" si="25"/>
        <v/>
      </c>
      <c r="H227" s="650" t="str">
        <f t="shared" si="27"/>
        <v/>
      </c>
      <c r="J227" s="650"/>
      <c r="K227" s="650"/>
      <c r="L227" s="650"/>
    </row>
    <row r="228" spans="2:12" x14ac:dyDescent="0.2">
      <c r="B228" s="660" t="str">
        <f t="shared" si="21"/>
        <v>-</v>
      </c>
      <c r="C228" s="661" t="str">
        <f t="shared" si="22"/>
        <v/>
      </c>
      <c r="D228" s="650" t="str">
        <f t="shared" si="26"/>
        <v/>
      </c>
      <c r="E228" s="650" t="str">
        <f t="shared" si="23"/>
        <v/>
      </c>
      <c r="F228" s="650" t="str">
        <f t="shared" si="24"/>
        <v/>
      </c>
      <c r="G228" s="650" t="str">
        <f t="shared" si="25"/>
        <v/>
      </c>
      <c r="H228" s="650" t="str">
        <f t="shared" si="27"/>
        <v/>
      </c>
      <c r="J228" s="650"/>
      <c r="K228" s="650"/>
      <c r="L228" s="650"/>
    </row>
    <row r="229" spans="2:12" x14ac:dyDescent="0.2">
      <c r="B229" s="660" t="str">
        <f t="shared" si="21"/>
        <v>-</v>
      </c>
      <c r="C229" s="661" t="str">
        <f t="shared" si="22"/>
        <v/>
      </c>
      <c r="D229" s="650" t="str">
        <f t="shared" si="26"/>
        <v/>
      </c>
      <c r="E229" s="650" t="str">
        <f t="shared" si="23"/>
        <v/>
      </c>
      <c r="F229" s="650" t="str">
        <f t="shared" si="24"/>
        <v/>
      </c>
      <c r="G229" s="650" t="str">
        <f t="shared" si="25"/>
        <v/>
      </c>
      <c r="H229" s="650" t="str">
        <f t="shared" si="27"/>
        <v/>
      </c>
      <c r="J229" s="650"/>
      <c r="K229" s="650"/>
      <c r="L229" s="650"/>
    </row>
    <row r="230" spans="2:12" x14ac:dyDescent="0.2">
      <c r="B230" s="660" t="str">
        <f t="shared" si="21"/>
        <v>-</v>
      </c>
      <c r="C230" s="661" t="str">
        <f t="shared" si="22"/>
        <v/>
      </c>
      <c r="D230" s="650" t="str">
        <f t="shared" si="26"/>
        <v/>
      </c>
      <c r="E230" s="650" t="str">
        <f t="shared" si="23"/>
        <v/>
      </c>
      <c r="F230" s="650" t="str">
        <f t="shared" si="24"/>
        <v/>
      </c>
      <c r="G230" s="650" t="str">
        <f t="shared" si="25"/>
        <v/>
      </c>
      <c r="H230" s="650" t="str">
        <f t="shared" si="27"/>
        <v/>
      </c>
      <c r="J230" s="650"/>
      <c r="K230" s="650"/>
      <c r="L230" s="650"/>
    </row>
    <row r="231" spans="2:12" x14ac:dyDescent="0.2">
      <c r="B231" s="660" t="str">
        <f t="shared" si="21"/>
        <v>-</v>
      </c>
      <c r="C231" s="661" t="str">
        <f t="shared" si="22"/>
        <v/>
      </c>
      <c r="D231" s="650" t="str">
        <f t="shared" si="26"/>
        <v/>
      </c>
      <c r="E231" s="650" t="str">
        <f t="shared" si="23"/>
        <v/>
      </c>
      <c r="F231" s="650" t="str">
        <f t="shared" si="24"/>
        <v/>
      </c>
      <c r="G231" s="650" t="str">
        <f t="shared" si="25"/>
        <v/>
      </c>
      <c r="H231" s="650" t="str">
        <f t="shared" si="27"/>
        <v/>
      </c>
      <c r="J231" s="650"/>
      <c r="K231" s="650"/>
      <c r="L231" s="650"/>
    </row>
    <row r="232" spans="2:12" x14ac:dyDescent="0.2">
      <c r="B232" s="660" t="str">
        <f t="shared" si="21"/>
        <v>-</v>
      </c>
      <c r="C232" s="661" t="str">
        <f t="shared" si="22"/>
        <v/>
      </c>
      <c r="D232" s="650" t="str">
        <f t="shared" si="26"/>
        <v/>
      </c>
      <c r="E232" s="650" t="str">
        <f t="shared" si="23"/>
        <v/>
      </c>
      <c r="F232" s="650" t="str">
        <f t="shared" si="24"/>
        <v/>
      </c>
      <c r="G232" s="650" t="str">
        <f t="shared" si="25"/>
        <v/>
      </c>
      <c r="H232" s="650" t="str">
        <f t="shared" si="27"/>
        <v/>
      </c>
      <c r="J232" s="650"/>
      <c r="K232" s="650"/>
      <c r="L232" s="650"/>
    </row>
    <row r="233" spans="2:12" x14ac:dyDescent="0.2">
      <c r="B233" s="660" t="str">
        <f t="shared" si="21"/>
        <v>-</v>
      </c>
      <c r="C233" s="661" t="str">
        <f t="shared" si="22"/>
        <v/>
      </c>
      <c r="D233" s="650" t="str">
        <f t="shared" si="26"/>
        <v/>
      </c>
      <c r="E233" s="650" t="str">
        <f t="shared" si="23"/>
        <v/>
      </c>
      <c r="F233" s="650" t="str">
        <f t="shared" si="24"/>
        <v/>
      </c>
      <c r="G233" s="650" t="str">
        <f t="shared" si="25"/>
        <v/>
      </c>
      <c r="H233" s="650" t="str">
        <f t="shared" si="27"/>
        <v/>
      </c>
      <c r="J233" s="650"/>
      <c r="K233" s="650"/>
      <c r="L233" s="650"/>
    </row>
    <row r="234" spans="2:12" x14ac:dyDescent="0.2">
      <c r="B234" s="660" t="str">
        <f t="shared" si="21"/>
        <v>-</v>
      </c>
      <c r="C234" s="661" t="str">
        <f t="shared" si="22"/>
        <v/>
      </c>
      <c r="D234" s="650" t="str">
        <f t="shared" si="26"/>
        <v/>
      </c>
      <c r="E234" s="650" t="str">
        <f t="shared" si="23"/>
        <v/>
      </c>
      <c r="F234" s="650" t="str">
        <f t="shared" si="24"/>
        <v/>
      </c>
      <c r="G234" s="650" t="str">
        <f t="shared" si="25"/>
        <v/>
      </c>
      <c r="H234" s="650" t="str">
        <f t="shared" si="27"/>
        <v/>
      </c>
      <c r="J234" s="650"/>
      <c r="K234" s="650"/>
      <c r="L234" s="650"/>
    </row>
    <row r="235" spans="2:12" x14ac:dyDescent="0.2">
      <c r="B235" s="660" t="str">
        <f t="shared" si="21"/>
        <v>-</v>
      </c>
      <c r="C235" s="661" t="str">
        <f t="shared" si="22"/>
        <v/>
      </c>
      <c r="D235" s="650" t="str">
        <f t="shared" si="26"/>
        <v/>
      </c>
      <c r="E235" s="650" t="str">
        <f t="shared" si="23"/>
        <v/>
      </c>
      <c r="F235" s="650" t="str">
        <f t="shared" si="24"/>
        <v/>
      </c>
      <c r="G235" s="650" t="str">
        <f t="shared" si="25"/>
        <v/>
      </c>
      <c r="H235" s="650" t="str">
        <f t="shared" si="27"/>
        <v/>
      </c>
      <c r="J235" s="650"/>
      <c r="K235" s="650"/>
      <c r="L235" s="650"/>
    </row>
    <row r="236" spans="2:12" x14ac:dyDescent="0.2">
      <c r="B236" s="660" t="str">
        <f t="shared" si="21"/>
        <v>-</v>
      </c>
      <c r="C236" s="661" t="str">
        <f t="shared" si="22"/>
        <v/>
      </c>
      <c r="D236" s="650" t="str">
        <f t="shared" si="26"/>
        <v/>
      </c>
      <c r="E236" s="650" t="str">
        <f t="shared" si="23"/>
        <v/>
      </c>
      <c r="F236" s="650" t="str">
        <f t="shared" si="24"/>
        <v/>
      </c>
      <c r="G236" s="650" t="str">
        <f t="shared" si="25"/>
        <v/>
      </c>
      <c r="H236" s="650" t="str">
        <f t="shared" si="27"/>
        <v/>
      </c>
      <c r="J236" s="650"/>
      <c r="K236" s="650"/>
      <c r="L236" s="650"/>
    </row>
    <row r="237" spans="2:12" x14ac:dyDescent="0.2">
      <c r="B237" s="660" t="str">
        <f t="shared" si="21"/>
        <v>-</v>
      </c>
      <c r="C237" s="661" t="str">
        <f t="shared" si="22"/>
        <v/>
      </c>
      <c r="D237" s="650" t="str">
        <f t="shared" si="26"/>
        <v/>
      </c>
      <c r="E237" s="650" t="str">
        <f t="shared" si="23"/>
        <v/>
      </c>
      <c r="F237" s="650" t="str">
        <f t="shared" si="24"/>
        <v/>
      </c>
      <c r="G237" s="650" t="str">
        <f t="shared" si="25"/>
        <v/>
      </c>
      <c r="H237" s="650" t="str">
        <f t="shared" si="27"/>
        <v/>
      </c>
      <c r="J237" s="650"/>
      <c r="K237" s="650"/>
      <c r="L237" s="650"/>
    </row>
    <row r="238" spans="2:12" x14ac:dyDescent="0.2">
      <c r="B238" s="660" t="str">
        <f t="shared" si="21"/>
        <v>-</v>
      </c>
      <c r="C238" s="661" t="str">
        <f t="shared" si="22"/>
        <v/>
      </c>
      <c r="D238" s="650" t="str">
        <f t="shared" si="26"/>
        <v/>
      </c>
      <c r="E238" s="650" t="str">
        <f t="shared" si="23"/>
        <v/>
      </c>
      <c r="F238" s="650" t="str">
        <f t="shared" si="24"/>
        <v/>
      </c>
      <c r="G238" s="650" t="str">
        <f t="shared" si="25"/>
        <v/>
      </c>
      <c r="H238" s="650" t="str">
        <f t="shared" si="27"/>
        <v/>
      </c>
      <c r="J238" s="650"/>
      <c r="K238" s="650"/>
      <c r="L238" s="650"/>
    </row>
    <row r="239" spans="2:12" x14ac:dyDescent="0.2">
      <c r="B239" s="660" t="str">
        <f t="shared" si="21"/>
        <v>-</v>
      </c>
      <c r="C239" s="661" t="str">
        <f t="shared" si="22"/>
        <v/>
      </c>
      <c r="D239" s="650" t="str">
        <f t="shared" si="26"/>
        <v/>
      </c>
      <c r="E239" s="650" t="str">
        <f t="shared" si="23"/>
        <v/>
      </c>
      <c r="F239" s="650" t="str">
        <f t="shared" si="24"/>
        <v/>
      </c>
      <c r="G239" s="650" t="str">
        <f t="shared" si="25"/>
        <v/>
      </c>
      <c r="H239" s="650" t="str">
        <f t="shared" si="27"/>
        <v/>
      </c>
      <c r="J239" s="650"/>
      <c r="K239" s="650"/>
      <c r="L239" s="650"/>
    </row>
    <row r="240" spans="2:12" x14ac:dyDescent="0.2">
      <c r="B240" s="660" t="str">
        <f t="shared" si="21"/>
        <v>-</v>
      </c>
      <c r="C240" s="661" t="str">
        <f t="shared" si="22"/>
        <v/>
      </c>
      <c r="D240" s="650" t="str">
        <f t="shared" si="26"/>
        <v/>
      </c>
      <c r="E240" s="650" t="str">
        <f t="shared" si="23"/>
        <v/>
      </c>
      <c r="F240" s="650" t="str">
        <f t="shared" si="24"/>
        <v/>
      </c>
      <c r="G240" s="650" t="str">
        <f t="shared" si="25"/>
        <v/>
      </c>
      <c r="H240" s="650" t="str">
        <f t="shared" si="27"/>
        <v/>
      </c>
      <c r="J240" s="650"/>
      <c r="K240" s="650"/>
      <c r="L240" s="650"/>
    </row>
    <row r="241" spans="2:12" x14ac:dyDescent="0.2">
      <c r="B241" s="660" t="str">
        <f t="shared" si="21"/>
        <v>-</v>
      </c>
      <c r="C241" s="661" t="str">
        <f t="shared" si="22"/>
        <v/>
      </c>
      <c r="D241" s="650" t="str">
        <f t="shared" si="26"/>
        <v/>
      </c>
      <c r="E241" s="650" t="str">
        <f t="shared" si="23"/>
        <v/>
      </c>
      <c r="F241" s="650" t="str">
        <f t="shared" si="24"/>
        <v/>
      </c>
      <c r="G241" s="650" t="str">
        <f t="shared" si="25"/>
        <v/>
      </c>
      <c r="H241" s="650" t="str">
        <f t="shared" si="27"/>
        <v/>
      </c>
      <c r="J241" s="650"/>
      <c r="K241" s="650"/>
      <c r="L241" s="650"/>
    </row>
    <row r="242" spans="2:12" x14ac:dyDescent="0.2">
      <c r="B242" s="660" t="str">
        <f t="shared" si="21"/>
        <v>-</v>
      </c>
      <c r="C242" s="661" t="str">
        <f t="shared" si="22"/>
        <v/>
      </c>
      <c r="D242" s="650" t="str">
        <f t="shared" si="26"/>
        <v/>
      </c>
      <c r="E242" s="650" t="str">
        <f t="shared" si="23"/>
        <v/>
      </c>
      <c r="F242" s="650" t="str">
        <f t="shared" si="24"/>
        <v/>
      </c>
      <c r="G242" s="650" t="str">
        <f t="shared" si="25"/>
        <v/>
      </c>
      <c r="H242" s="650" t="str">
        <f t="shared" si="27"/>
        <v/>
      </c>
      <c r="J242" s="650"/>
      <c r="K242" s="650"/>
      <c r="L242" s="650"/>
    </row>
    <row r="243" spans="2:12" x14ac:dyDescent="0.2">
      <c r="B243" s="660" t="str">
        <f t="shared" si="21"/>
        <v>-</v>
      </c>
      <c r="C243" s="661" t="str">
        <f t="shared" si="22"/>
        <v/>
      </c>
      <c r="D243" s="650" t="str">
        <f t="shared" si="26"/>
        <v/>
      </c>
      <c r="E243" s="650" t="str">
        <f t="shared" si="23"/>
        <v/>
      </c>
      <c r="F243" s="650" t="str">
        <f t="shared" si="24"/>
        <v/>
      </c>
      <c r="G243" s="650" t="str">
        <f t="shared" si="25"/>
        <v/>
      </c>
      <c r="H243" s="650" t="str">
        <f t="shared" si="27"/>
        <v/>
      </c>
      <c r="J243" s="650"/>
      <c r="K243" s="650"/>
      <c r="L243" s="650"/>
    </row>
    <row r="244" spans="2:12" x14ac:dyDescent="0.2">
      <c r="B244" s="660" t="str">
        <f t="shared" si="21"/>
        <v>-</v>
      </c>
      <c r="C244" s="661" t="str">
        <f t="shared" si="22"/>
        <v/>
      </c>
      <c r="D244" s="650" t="str">
        <f t="shared" si="26"/>
        <v/>
      </c>
      <c r="E244" s="650" t="str">
        <f t="shared" si="23"/>
        <v/>
      </c>
      <c r="F244" s="650" t="str">
        <f t="shared" si="24"/>
        <v/>
      </c>
      <c r="G244" s="650" t="str">
        <f t="shared" si="25"/>
        <v/>
      </c>
      <c r="H244" s="650" t="str">
        <f t="shared" si="27"/>
        <v/>
      </c>
      <c r="J244" s="650"/>
      <c r="K244" s="650"/>
      <c r="L244" s="650"/>
    </row>
    <row r="245" spans="2:12" x14ac:dyDescent="0.2">
      <c r="B245" s="660" t="str">
        <f t="shared" si="21"/>
        <v>-</v>
      </c>
      <c r="C245" s="661" t="str">
        <f t="shared" si="22"/>
        <v/>
      </c>
      <c r="D245" s="650" t="str">
        <f t="shared" si="26"/>
        <v/>
      </c>
      <c r="E245" s="650" t="str">
        <f t="shared" si="23"/>
        <v/>
      </c>
      <c r="F245" s="650" t="str">
        <f t="shared" si="24"/>
        <v/>
      </c>
      <c r="G245" s="650" t="str">
        <f t="shared" si="25"/>
        <v/>
      </c>
      <c r="H245" s="650" t="str">
        <f t="shared" si="27"/>
        <v/>
      </c>
      <c r="J245" s="650"/>
      <c r="K245" s="650"/>
      <c r="L245" s="650"/>
    </row>
    <row r="246" spans="2:12" x14ac:dyDescent="0.2">
      <c r="B246" s="660" t="str">
        <f t="shared" si="21"/>
        <v>-</v>
      </c>
      <c r="C246" s="661" t="str">
        <f t="shared" si="22"/>
        <v/>
      </c>
      <c r="D246" s="650" t="str">
        <f t="shared" si="26"/>
        <v/>
      </c>
      <c r="E246" s="650" t="str">
        <f t="shared" si="23"/>
        <v/>
      </c>
      <c r="F246" s="650" t="str">
        <f t="shared" si="24"/>
        <v/>
      </c>
      <c r="G246" s="650" t="str">
        <f t="shared" si="25"/>
        <v/>
      </c>
      <c r="H246" s="650" t="str">
        <f t="shared" si="27"/>
        <v/>
      </c>
      <c r="J246" s="650"/>
      <c r="K246" s="650"/>
      <c r="L246" s="650"/>
    </row>
    <row r="247" spans="2:12" x14ac:dyDescent="0.2">
      <c r="B247" s="660" t="str">
        <f t="shared" si="21"/>
        <v>-</v>
      </c>
      <c r="C247" s="661" t="str">
        <f t="shared" si="22"/>
        <v/>
      </c>
      <c r="D247" s="650" t="str">
        <f t="shared" si="26"/>
        <v/>
      </c>
      <c r="E247" s="650" t="str">
        <f t="shared" si="23"/>
        <v/>
      </c>
      <c r="F247" s="650" t="str">
        <f t="shared" si="24"/>
        <v/>
      </c>
      <c r="G247" s="650" t="str">
        <f t="shared" si="25"/>
        <v/>
      </c>
      <c r="H247" s="650" t="str">
        <f t="shared" si="27"/>
        <v/>
      </c>
      <c r="J247" s="650"/>
      <c r="K247" s="650"/>
      <c r="L247" s="650"/>
    </row>
    <row r="248" spans="2:12" x14ac:dyDescent="0.2">
      <c r="B248" s="660" t="str">
        <f t="shared" si="21"/>
        <v>-</v>
      </c>
      <c r="C248" s="661" t="str">
        <f t="shared" si="22"/>
        <v/>
      </c>
      <c r="D248" s="650" t="str">
        <f t="shared" si="26"/>
        <v/>
      </c>
      <c r="E248" s="650" t="str">
        <f t="shared" si="23"/>
        <v/>
      </c>
      <c r="F248" s="650" t="str">
        <f t="shared" si="24"/>
        <v/>
      </c>
      <c r="G248" s="650" t="str">
        <f t="shared" si="25"/>
        <v/>
      </c>
      <c r="H248" s="650" t="str">
        <f t="shared" si="27"/>
        <v/>
      </c>
      <c r="J248" s="650"/>
      <c r="K248" s="650"/>
      <c r="L248" s="650"/>
    </row>
    <row r="249" spans="2:12" x14ac:dyDescent="0.2">
      <c r="B249" s="660" t="str">
        <f t="shared" si="21"/>
        <v>-</v>
      </c>
      <c r="C249" s="661" t="str">
        <f t="shared" si="22"/>
        <v/>
      </c>
      <c r="D249" s="650" t="str">
        <f t="shared" si="26"/>
        <v/>
      </c>
      <c r="E249" s="650" t="str">
        <f t="shared" si="23"/>
        <v/>
      </c>
      <c r="F249" s="650" t="str">
        <f t="shared" si="24"/>
        <v/>
      </c>
      <c r="G249" s="650" t="str">
        <f t="shared" si="25"/>
        <v/>
      </c>
      <c r="H249" s="650" t="str">
        <f t="shared" si="27"/>
        <v/>
      </c>
      <c r="J249" s="650"/>
      <c r="K249" s="650"/>
      <c r="L249" s="650"/>
    </row>
    <row r="250" spans="2:12" x14ac:dyDescent="0.2">
      <c r="B250" s="660" t="str">
        <f t="shared" si="21"/>
        <v>-</v>
      </c>
      <c r="C250" s="661" t="str">
        <f t="shared" si="22"/>
        <v/>
      </c>
      <c r="D250" s="650" t="str">
        <f t="shared" si="26"/>
        <v/>
      </c>
      <c r="E250" s="650" t="str">
        <f t="shared" si="23"/>
        <v/>
      </c>
      <c r="F250" s="650" t="str">
        <f t="shared" si="24"/>
        <v/>
      </c>
      <c r="G250" s="650" t="str">
        <f t="shared" si="25"/>
        <v/>
      </c>
      <c r="H250" s="650" t="str">
        <f t="shared" si="27"/>
        <v/>
      </c>
      <c r="J250" s="650"/>
      <c r="K250" s="650"/>
      <c r="L250" s="650"/>
    </row>
    <row r="251" spans="2:12" x14ac:dyDescent="0.2">
      <c r="B251" s="660" t="str">
        <f t="shared" si="21"/>
        <v>-</v>
      </c>
      <c r="C251" s="661" t="str">
        <f t="shared" si="22"/>
        <v/>
      </c>
      <c r="D251" s="650" t="str">
        <f t="shared" si="26"/>
        <v/>
      </c>
      <c r="E251" s="650" t="str">
        <f t="shared" si="23"/>
        <v/>
      </c>
      <c r="F251" s="650" t="str">
        <f t="shared" si="24"/>
        <v/>
      </c>
      <c r="G251" s="650" t="str">
        <f t="shared" si="25"/>
        <v/>
      </c>
      <c r="H251" s="650" t="str">
        <f t="shared" si="27"/>
        <v/>
      </c>
      <c r="J251" s="650"/>
      <c r="K251" s="650"/>
      <c r="L251" s="650"/>
    </row>
    <row r="252" spans="2:12" x14ac:dyDescent="0.2">
      <c r="B252" s="660" t="str">
        <f t="shared" si="21"/>
        <v>-</v>
      </c>
      <c r="C252" s="661" t="str">
        <f t="shared" si="22"/>
        <v/>
      </c>
      <c r="D252" s="650" t="str">
        <f t="shared" si="26"/>
        <v/>
      </c>
      <c r="E252" s="650" t="str">
        <f t="shared" si="23"/>
        <v/>
      </c>
      <c r="F252" s="650" t="str">
        <f t="shared" si="24"/>
        <v/>
      </c>
      <c r="G252" s="650" t="str">
        <f t="shared" si="25"/>
        <v/>
      </c>
      <c r="H252" s="650" t="str">
        <f t="shared" si="27"/>
        <v/>
      </c>
      <c r="J252" s="650"/>
      <c r="K252" s="650"/>
      <c r="L252" s="650"/>
    </row>
    <row r="253" spans="2:12" x14ac:dyDescent="0.2">
      <c r="B253" s="660" t="str">
        <f t="shared" si="21"/>
        <v>-</v>
      </c>
      <c r="C253" s="661" t="str">
        <f t="shared" si="22"/>
        <v/>
      </c>
      <c r="D253" s="650" t="str">
        <f t="shared" si="26"/>
        <v/>
      </c>
      <c r="E253" s="650" t="str">
        <f t="shared" si="23"/>
        <v/>
      </c>
      <c r="F253" s="650" t="str">
        <f t="shared" si="24"/>
        <v/>
      </c>
      <c r="G253" s="650" t="str">
        <f t="shared" si="25"/>
        <v/>
      </c>
      <c r="H253" s="650" t="str">
        <f t="shared" si="27"/>
        <v/>
      </c>
      <c r="J253" s="650"/>
      <c r="K253" s="650"/>
      <c r="L253" s="650"/>
    </row>
    <row r="254" spans="2:12" x14ac:dyDescent="0.2">
      <c r="B254" s="660" t="str">
        <f t="shared" si="21"/>
        <v>-</v>
      </c>
      <c r="C254" s="661" t="str">
        <f t="shared" si="22"/>
        <v/>
      </c>
      <c r="D254" s="650" t="str">
        <f t="shared" si="26"/>
        <v/>
      </c>
      <c r="E254" s="650" t="str">
        <f t="shared" si="23"/>
        <v/>
      </c>
      <c r="F254" s="650" t="str">
        <f t="shared" si="24"/>
        <v/>
      </c>
      <c r="G254" s="650" t="str">
        <f t="shared" si="25"/>
        <v/>
      </c>
      <c r="H254" s="650" t="str">
        <f t="shared" si="27"/>
        <v/>
      </c>
      <c r="J254" s="650"/>
      <c r="K254" s="650"/>
      <c r="L254" s="650"/>
    </row>
    <row r="255" spans="2:12" x14ac:dyDescent="0.2">
      <c r="B255" s="660" t="str">
        <f t="shared" si="21"/>
        <v>-</v>
      </c>
      <c r="C255" s="661" t="str">
        <f t="shared" si="22"/>
        <v/>
      </c>
      <c r="D255" s="650" t="str">
        <f t="shared" si="26"/>
        <v/>
      </c>
      <c r="E255" s="650" t="str">
        <f t="shared" si="23"/>
        <v/>
      </c>
      <c r="F255" s="650" t="str">
        <f t="shared" si="24"/>
        <v/>
      </c>
      <c r="G255" s="650" t="str">
        <f t="shared" si="25"/>
        <v/>
      </c>
      <c r="H255" s="650" t="str">
        <f t="shared" si="27"/>
        <v/>
      </c>
      <c r="J255" s="650"/>
      <c r="K255" s="650"/>
      <c r="L255" s="650"/>
    </row>
    <row r="256" spans="2:12" x14ac:dyDescent="0.2">
      <c r="B256" s="660" t="str">
        <f t="shared" si="21"/>
        <v>-</v>
      </c>
      <c r="C256" s="661" t="str">
        <f t="shared" si="22"/>
        <v/>
      </c>
      <c r="D256" s="650" t="str">
        <f t="shared" si="26"/>
        <v/>
      </c>
      <c r="E256" s="650" t="str">
        <f t="shared" si="23"/>
        <v/>
      </c>
      <c r="F256" s="650" t="str">
        <f t="shared" si="24"/>
        <v/>
      </c>
      <c r="G256" s="650" t="str">
        <f t="shared" si="25"/>
        <v/>
      </c>
      <c r="H256" s="650" t="str">
        <f t="shared" si="27"/>
        <v/>
      </c>
      <c r="J256" s="650"/>
      <c r="K256" s="650"/>
      <c r="L256" s="650"/>
    </row>
    <row r="257" spans="2:12" x14ac:dyDescent="0.2">
      <c r="B257" s="660" t="str">
        <f t="shared" si="21"/>
        <v>-</v>
      </c>
      <c r="C257" s="661" t="str">
        <f t="shared" si="22"/>
        <v/>
      </c>
      <c r="D257" s="650" t="str">
        <f t="shared" si="26"/>
        <v/>
      </c>
      <c r="E257" s="650" t="str">
        <f t="shared" si="23"/>
        <v/>
      </c>
      <c r="F257" s="650" t="str">
        <f t="shared" si="24"/>
        <v/>
      </c>
      <c r="G257" s="650" t="str">
        <f t="shared" si="25"/>
        <v/>
      </c>
      <c r="H257" s="650" t="str">
        <f t="shared" si="27"/>
        <v/>
      </c>
      <c r="J257" s="650"/>
      <c r="K257" s="650"/>
      <c r="L257" s="650"/>
    </row>
    <row r="258" spans="2:12" x14ac:dyDescent="0.2">
      <c r="B258" s="660" t="str">
        <f t="shared" si="21"/>
        <v>-</v>
      </c>
      <c r="C258" s="661" t="str">
        <f t="shared" si="22"/>
        <v/>
      </c>
      <c r="D258" s="650" t="str">
        <f t="shared" si="26"/>
        <v/>
      </c>
      <c r="E258" s="650" t="str">
        <f t="shared" si="23"/>
        <v/>
      </c>
      <c r="F258" s="650" t="str">
        <f t="shared" si="24"/>
        <v/>
      </c>
      <c r="G258" s="650" t="str">
        <f t="shared" si="25"/>
        <v/>
      </c>
      <c r="H258" s="650" t="str">
        <f t="shared" si="27"/>
        <v/>
      </c>
      <c r="J258" s="650"/>
      <c r="K258" s="650"/>
      <c r="L258" s="650"/>
    </row>
    <row r="259" spans="2:12" x14ac:dyDescent="0.2">
      <c r="B259" s="660" t="str">
        <f t="shared" si="21"/>
        <v>-</v>
      </c>
      <c r="C259" s="661" t="str">
        <f t="shared" si="22"/>
        <v/>
      </c>
      <c r="D259" s="650" t="str">
        <f t="shared" si="26"/>
        <v/>
      </c>
      <c r="E259" s="650" t="str">
        <f t="shared" si="23"/>
        <v/>
      </c>
      <c r="F259" s="650" t="str">
        <f t="shared" si="24"/>
        <v/>
      </c>
      <c r="G259" s="650" t="str">
        <f t="shared" si="25"/>
        <v/>
      </c>
      <c r="H259" s="650" t="str">
        <f t="shared" si="27"/>
        <v/>
      </c>
      <c r="J259" s="650"/>
      <c r="K259" s="650"/>
      <c r="L259" s="650"/>
    </row>
    <row r="260" spans="2:12" x14ac:dyDescent="0.2">
      <c r="B260" s="660" t="str">
        <f t="shared" si="21"/>
        <v>-</v>
      </c>
      <c r="C260" s="661" t="str">
        <f t="shared" si="22"/>
        <v/>
      </c>
      <c r="D260" s="650" t="str">
        <f t="shared" si="26"/>
        <v/>
      </c>
      <c r="E260" s="650" t="str">
        <f t="shared" si="23"/>
        <v/>
      </c>
      <c r="F260" s="650" t="str">
        <f t="shared" si="24"/>
        <v/>
      </c>
      <c r="G260" s="650" t="str">
        <f t="shared" si="25"/>
        <v/>
      </c>
      <c r="H260" s="650" t="str">
        <f t="shared" si="27"/>
        <v/>
      </c>
      <c r="J260" s="650"/>
      <c r="K260" s="650"/>
      <c r="L260" s="650"/>
    </row>
    <row r="261" spans="2:12" x14ac:dyDescent="0.2">
      <c r="B261" s="660" t="str">
        <f t="shared" si="21"/>
        <v>-</v>
      </c>
      <c r="C261" s="661" t="str">
        <f t="shared" si="22"/>
        <v/>
      </c>
      <c r="D261" s="650" t="str">
        <f t="shared" si="26"/>
        <v/>
      </c>
      <c r="E261" s="650" t="str">
        <f t="shared" si="23"/>
        <v/>
      </c>
      <c r="F261" s="650" t="str">
        <f t="shared" si="24"/>
        <v/>
      </c>
      <c r="G261" s="650" t="str">
        <f t="shared" si="25"/>
        <v/>
      </c>
      <c r="H261" s="650" t="str">
        <f t="shared" si="27"/>
        <v/>
      </c>
      <c r="J261" s="650"/>
      <c r="K261" s="650"/>
      <c r="L261" s="650"/>
    </row>
    <row r="262" spans="2:12" x14ac:dyDescent="0.2">
      <c r="B262" s="660" t="str">
        <f t="shared" si="21"/>
        <v>-</v>
      </c>
      <c r="C262" s="661" t="str">
        <f t="shared" si="22"/>
        <v/>
      </c>
      <c r="D262" s="650" t="str">
        <f t="shared" si="26"/>
        <v/>
      </c>
      <c r="E262" s="650" t="str">
        <f t="shared" si="23"/>
        <v/>
      </c>
      <c r="F262" s="650" t="str">
        <f t="shared" si="24"/>
        <v/>
      </c>
      <c r="G262" s="650" t="str">
        <f t="shared" si="25"/>
        <v/>
      </c>
      <c r="H262" s="650" t="str">
        <f t="shared" si="27"/>
        <v/>
      </c>
      <c r="J262" s="650"/>
      <c r="K262" s="650"/>
      <c r="L262" s="650"/>
    </row>
    <row r="263" spans="2:12" x14ac:dyDescent="0.2">
      <c r="B263" s="660" t="str">
        <f t="shared" si="21"/>
        <v>-</v>
      </c>
      <c r="C263" s="661" t="str">
        <f t="shared" si="22"/>
        <v/>
      </c>
      <c r="D263" s="650" t="str">
        <f t="shared" si="26"/>
        <v/>
      </c>
      <c r="E263" s="650" t="str">
        <f t="shared" si="23"/>
        <v/>
      </c>
      <c r="F263" s="650" t="str">
        <f t="shared" si="24"/>
        <v/>
      </c>
      <c r="G263" s="650" t="str">
        <f t="shared" si="25"/>
        <v/>
      </c>
      <c r="H263" s="650" t="str">
        <f t="shared" si="27"/>
        <v/>
      </c>
      <c r="J263" s="650"/>
      <c r="K263" s="650"/>
      <c r="L263" s="650"/>
    </row>
    <row r="264" spans="2:12" x14ac:dyDescent="0.2">
      <c r="B264" s="660" t="str">
        <f t="shared" si="21"/>
        <v>-</v>
      </c>
      <c r="C264" s="661" t="str">
        <f t="shared" si="22"/>
        <v/>
      </c>
      <c r="D264" s="650" t="str">
        <f t="shared" si="26"/>
        <v/>
      </c>
      <c r="E264" s="650" t="str">
        <f t="shared" si="23"/>
        <v/>
      </c>
      <c r="F264" s="650" t="str">
        <f t="shared" si="24"/>
        <v/>
      </c>
      <c r="G264" s="650" t="str">
        <f t="shared" si="25"/>
        <v/>
      </c>
      <c r="H264" s="650" t="str">
        <f t="shared" si="27"/>
        <v/>
      </c>
      <c r="J264" s="650"/>
      <c r="K264" s="650"/>
      <c r="L264" s="650"/>
    </row>
    <row r="265" spans="2:12" x14ac:dyDescent="0.2">
      <c r="B265" s="660" t="str">
        <f t="shared" si="21"/>
        <v>-</v>
      </c>
      <c r="C265" s="661" t="str">
        <f t="shared" si="22"/>
        <v/>
      </c>
      <c r="D265" s="650" t="str">
        <f t="shared" si="26"/>
        <v/>
      </c>
      <c r="E265" s="650" t="str">
        <f t="shared" si="23"/>
        <v/>
      </c>
      <c r="F265" s="650" t="str">
        <f t="shared" si="24"/>
        <v/>
      </c>
      <c r="G265" s="650" t="str">
        <f t="shared" si="25"/>
        <v/>
      </c>
      <c r="H265" s="650" t="str">
        <f t="shared" si="27"/>
        <v/>
      </c>
      <c r="J265" s="650"/>
      <c r="K265" s="650"/>
      <c r="L265" s="650"/>
    </row>
    <row r="266" spans="2:12" x14ac:dyDescent="0.2">
      <c r="B266" s="660" t="str">
        <f t="shared" si="21"/>
        <v>-</v>
      </c>
      <c r="C266" s="661" t="str">
        <f t="shared" si="22"/>
        <v/>
      </c>
      <c r="D266" s="650" t="str">
        <f t="shared" si="26"/>
        <v/>
      </c>
      <c r="E266" s="650" t="str">
        <f t="shared" si="23"/>
        <v/>
      </c>
      <c r="F266" s="650" t="str">
        <f t="shared" si="24"/>
        <v/>
      </c>
      <c r="G266" s="650" t="str">
        <f t="shared" si="25"/>
        <v/>
      </c>
      <c r="H266" s="650" t="str">
        <f t="shared" si="27"/>
        <v/>
      </c>
      <c r="J266" s="650"/>
      <c r="K266" s="650"/>
      <c r="L266" s="650"/>
    </row>
    <row r="267" spans="2:12" x14ac:dyDescent="0.2">
      <c r="B267" s="660" t="str">
        <f t="shared" si="21"/>
        <v>-</v>
      </c>
      <c r="C267" s="661" t="str">
        <f t="shared" si="22"/>
        <v/>
      </c>
      <c r="D267" s="650" t="str">
        <f t="shared" si="26"/>
        <v/>
      </c>
      <c r="E267" s="650" t="str">
        <f t="shared" si="23"/>
        <v/>
      </c>
      <c r="F267" s="650" t="str">
        <f t="shared" si="24"/>
        <v/>
      </c>
      <c r="G267" s="650" t="str">
        <f t="shared" si="25"/>
        <v/>
      </c>
      <c r="H267" s="650" t="str">
        <f t="shared" si="27"/>
        <v/>
      </c>
      <c r="J267" s="650"/>
      <c r="K267" s="650"/>
      <c r="L267" s="650"/>
    </row>
    <row r="268" spans="2:12" x14ac:dyDescent="0.2">
      <c r="B268" s="660" t="str">
        <f t="shared" ref="B268:B331" si="28">IF(B267&lt;$L$3,B267+1,"-")</f>
        <v>-</v>
      </c>
      <c r="C268" s="661" t="str">
        <f t="shared" ref="C268:C331" si="29">IF(ISNUMBER(B268),MIN(DATE(YEAR($C$11),MONTH($C$11)+B268*12/$P$5,DAY($C$11)),DATE(YEAR($C$11),MONTH($C$11)+1+B268*12/$P$5,1)-1),"")</f>
        <v/>
      </c>
      <c r="D268" s="650" t="str">
        <f t="shared" si="26"/>
        <v/>
      </c>
      <c r="E268" s="650" t="str">
        <f t="shared" ref="E268:E331" si="30">IF(ISNUMBER(B268),ROUND(D268*$L$7,$R$6),"")</f>
        <v/>
      </c>
      <c r="F268" s="650" t="str">
        <f t="shared" ref="F268:F331" si="31">IF(ISNUMBER(B268),IF(B268=$L$3,D268,IF(B268&gt;$L$4,$H$3-E268,0)),"")</f>
        <v/>
      </c>
      <c r="G268" s="650" t="str">
        <f t="shared" ref="G268:G331" si="32">IF(ISNUMBER(B268),$H$4,"")</f>
        <v/>
      </c>
      <c r="H268" s="650" t="str">
        <f t="shared" si="27"/>
        <v/>
      </c>
      <c r="J268" s="650"/>
      <c r="K268" s="650"/>
      <c r="L268" s="650"/>
    </row>
    <row r="269" spans="2:12" x14ac:dyDescent="0.2">
      <c r="B269" s="660" t="str">
        <f t="shared" si="28"/>
        <v>-</v>
      </c>
      <c r="C269" s="661" t="str">
        <f t="shared" si="29"/>
        <v/>
      </c>
      <c r="D269" s="650" t="str">
        <f t="shared" ref="D269:D332" si="33">IF(ISNUMBER(B269),D268-F268,"")</f>
        <v/>
      </c>
      <c r="E269" s="650" t="str">
        <f t="shared" si="30"/>
        <v/>
      </c>
      <c r="F269" s="650" t="str">
        <f t="shared" si="31"/>
        <v/>
      </c>
      <c r="G269" s="650" t="str">
        <f t="shared" si="32"/>
        <v/>
      </c>
      <c r="H269" s="650" t="str">
        <f t="shared" ref="H269:H332" si="34">IF(ISNUMBER(B269),E269+F269+G269,"")</f>
        <v/>
      </c>
      <c r="J269" s="650"/>
      <c r="K269" s="650"/>
      <c r="L269" s="650"/>
    </row>
    <row r="270" spans="2:12" x14ac:dyDescent="0.2">
      <c r="B270" s="660" t="str">
        <f t="shared" si="28"/>
        <v>-</v>
      </c>
      <c r="C270" s="661" t="str">
        <f t="shared" si="29"/>
        <v/>
      </c>
      <c r="D270" s="650" t="str">
        <f t="shared" si="33"/>
        <v/>
      </c>
      <c r="E270" s="650" t="str">
        <f t="shared" si="30"/>
        <v/>
      </c>
      <c r="F270" s="650" t="str">
        <f t="shared" si="31"/>
        <v/>
      </c>
      <c r="G270" s="650" t="str">
        <f t="shared" si="32"/>
        <v/>
      </c>
      <c r="H270" s="650" t="str">
        <f t="shared" si="34"/>
        <v/>
      </c>
      <c r="J270" s="650"/>
      <c r="K270" s="650"/>
      <c r="L270" s="650"/>
    </row>
    <row r="271" spans="2:12" x14ac:dyDescent="0.2">
      <c r="B271" s="660" t="str">
        <f t="shared" si="28"/>
        <v>-</v>
      </c>
      <c r="C271" s="661" t="str">
        <f t="shared" si="29"/>
        <v/>
      </c>
      <c r="D271" s="650" t="str">
        <f t="shared" si="33"/>
        <v/>
      </c>
      <c r="E271" s="650" t="str">
        <f t="shared" si="30"/>
        <v/>
      </c>
      <c r="F271" s="650" t="str">
        <f t="shared" si="31"/>
        <v/>
      </c>
      <c r="G271" s="650" t="str">
        <f t="shared" si="32"/>
        <v/>
      </c>
      <c r="H271" s="650" t="str">
        <f t="shared" si="34"/>
        <v/>
      </c>
      <c r="J271" s="650"/>
      <c r="K271" s="650"/>
      <c r="L271" s="650"/>
    </row>
    <row r="272" spans="2:12" x14ac:dyDescent="0.2">
      <c r="B272" s="660" t="str">
        <f t="shared" si="28"/>
        <v>-</v>
      </c>
      <c r="C272" s="661" t="str">
        <f t="shared" si="29"/>
        <v/>
      </c>
      <c r="D272" s="650" t="str">
        <f t="shared" si="33"/>
        <v/>
      </c>
      <c r="E272" s="650" t="str">
        <f t="shared" si="30"/>
        <v/>
      </c>
      <c r="F272" s="650" t="str">
        <f t="shared" si="31"/>
        <v/>
      </c>
      <c r="G272" s="650" t="str">
        <f t="shared" si="32"/>
        <v/>
      </c>
      <c r="H272" s="650" t="str">
        <f t="shared" si="34"/>
        <v/>
      </c>
      <c r="J272" s="650"/>
      <c r="K272" s="650"/>
      <c r="L272" s="650"/>
    </row>
    <row r="273" spans="2:12" x14ac:dyDescent="0.2">
      <c r="B273" s="660" t="str">
        <f t="shared" si="28"/>
        <v>-</v>
      </c>
      <c r="C273" s="661" t="str">
        <f t="shared" si="29"/>
        <v/>
      </c>
      <c r="D273" s="650" t="str">
        <f t="shared" si="33"/>
        <v/>
      </c>
      <c r="E273" s="650" t="str">
        <f t="shared" si="30"/>
        <v/>
      </c>
      <c r="F273" s="650" t="str">
        <f t="shared" si="31"/>
        <v/>
      </c>
      <c r="G273" s="650" t="str">
        <f t="shared" si="32"/>
        <v/>
      </c>
      <c r="H273" s="650" t="str">
        <f t="shared" si="34"/>
        <v/>
      </c>
      <c r="J273" s="650"/>
      <c r="K273" s="650"/>
      <c r="L273" s="650"/>
    </row>
    <row r="274" spans="2:12" x14ac:dyDescent="0.2">
      <c r="B274" s="660" t="str">
        <f t="shared" si="28"/>
        <v>-</v>
      </c>
      <c r="C274" s="661" t="str">
        <f t="shared" si="29"/>
        <v/>
      </c>
      <c r="D274" s="650" t="str">
        <f t="shared" si="33"/>
        <v/>
      </c>
      <c r="E274" s="650" t="str">
        <f t="shared" si="30"/>
        <v/>
      </c>
      <c r="F274" s="650" t="str">
        <f t="shared" si="31"/>
        <v/>
      </c>
      <c r="G274" s="650" t="str">
        <f t="shared" si="32"/>
        <v/>
      </c>
      <c r="H274" s="650" t="str">
        <f t="shared" si="34"/>
        <v/>
      </c>
      <c r="J274" s="650"/>
      <c r="K274" s="650"/>
      <c r="L274" s="650"/>
    </row>
    <row r="275" spans="2:12" x14ac:dyDescent="0.2">
      <c r="B275" s="660" t="str">
        <f t="shared" si="28"/>
        <v>-</v>
      </c>
      <c r="C275" s="661" t="str">
        <f t="shared" si="29"/>
        <v/>
      </c>
      <c r="D275" s="650" t="str">
        <f t="shared" si="33"/>
        <v/>
      </c>
      <c r="E275" s="650" t="str">
        <f t="shared" si="30"/>
        <v/>
      </c>
      <c r="F275" s="650" t="str">
        <f t="shared" si="31"/>
        <v/>
      </c>
      <c r="G275" s="650" t="str">
        <f t="shared" si="32"/>
        <v/>
      </c>
      <c r="H275" s="650" t="str">
        <f t="shared" si="34"/>
        <v/>
      </c>
      <c r="J275" s="650"/>
      <c r="K275" s="650"/>
      <c r="L275" s="650"/>
    </row>
    <row r="276" spans="2:12" x14ac:dyDescent="0.2">
      <c r="B276" s="660" t="str">
        <f t="shared" si="28"/>
        <v>-</v>
      </c>
      <c r="C276" s="661" t="str">
        <f t="shared" si="29"/>
        <v/>
      </c>
      <c r="D276" s="650" t="str">
        <f t="shared" si="33"/>
        <v/>
      </c>
      <c r="E276" s="650" t="str">
        <f t="shared" si="30"/>
        <v/>
      </c>
      <c r="F276" s="650" t="str">
        <f t="shared" si="31"/>
        <v/>
      </c>
      <c r="G276" s="650" t="str">
        <f t="shared" si="32"/>
        <v/>
      </c>
      <c r="H276" s="650" t="str">
        <f t="shared" si="34"/>
        <v/>
      </c>
      <c r="J276" s="650"/>
      <c r="K276" s="650"/>
      <c r="L276" s="650"/>
    </row>
    <row r="277" spans="2:12" x14ac:dyDescent="0.2">
      <c r="B277" s="660" t="str">
        <f t="shared" si="28"/>
        <v>-</v>
      </c>
      <c r="C277" s="661" t="str">
        <f t="shared" si="29"/>
        <v/>
      </c>
      <c r="D277" s="650" t="str">
        <f t="shared" si="33"/>
        <v/>
      </c>
      <c r="E277" s="650" t="str">
        <f t="shared" si="30"/>
        <v/>
      </c>
      <c r="F277" s="650" t="str">
        <f t="shared" si="31"/>
        <v/>
      </c>
      <c r="G277" s="650" t="str">
        <f t="shared" si="32"/>
        <v/>
      </c>
      <c r="H277" s="650" t="str">
        <f t="shared" si="34"/>
        <v/>
      </c>
      <c r="J277" s="650"/>
      <c r="K277" s="650"/>
      <c r="L277" s="650"/>
    </row>
    <row r="278" spans="2:12" x14ac:dyDescent="0.2">
      <c r="B278" s="660" t="str">
        <f t="shared" si="28"/>
        <v>-</v>
      </c>
      <c r="C278" s="661" t="str">
        <f t="shared" si="29"/>
        <v/>
      </c>
      <c r="D278" s="650" t="str">
        <f t="shared" si="33"/>
        <v/>
      </c>
      <c r="E278" s="650" t="str">
        <f t="shared" si="30"/>
        <v/>
      </c>
      <c r="F278" s="650" t="str">
        <f t="shared" si="31"/>
        <v/>
      </c>
      <c r="G278" s="650" t="str">
        <f t="shared" si="32"/>
        <v/>
      </c>
      <c r="H278" s="650" t="str">
        <f t="shared" si="34"/>
        <v/>
      </c>
      <c r="J278" s="650"/>
      <c r="K278" s="650"/>
      <c r="L278" s="650"/>
    </row>
    <row r="279" spans="2:12" x14ac:dyDescent="0.2">
      <c r="B279" s="660" t="str">
        <f t="shared" si="28"/>
        <v>-</v>
      </c>
      <c r="C279" s="661" t="str">
        <f t="shared" si="29"/>
        <v/>
      </c>
      <c r="D279" s="650" t="str">
        <f t="shared" si="33"/>
        <v/>
      </c>
      <c r="E279" s="650" t="str">
        <f t="shared" si="30"/>
        <v/>
      </c>
      <c r="F279" s="650" t="str">
        <f t="shared" si="31"/>
        <v/>
      </c>
      <c r="G279" s="650" t="str">
        <f t="shared" si="32"/>
        <v/>
      </c>
      <c r="H279" s="650" t="str">
        <f t="shared" si="34"/>
        <v/>
      </c>
      <c r="J279" s="650"/>
      <c r="K279" s="650"/>
      <c r="L279" s="650"/>
    </row>
    <row r="280" spans="2:12" x14ac:dyDescent="0.2">
      <c r="B280" s="660" t="str">
        <f t="shared" si="28"/>
        <v>-</v>
      </c>
      <c r="C280" s="661" t="str">
        <f t="shared" si="29"/>
        <v/>
      </c>
      <c r="D280" s="650" t="str">
        <f t="shared" si="33"/>
        <v/>
      </c>
      <c r="E280" s="650" t="str">
        <f t="shared" si="30"/>
        <v/>
      </c>
      <c r="F280" s="650" t="str">
        <f t="shared" si="31"/>
        <v/>
      </c>
      <c r="G280" s="650" t="str">
        <f t="shared" si="32"/>
        <v/>
      </c>
      <c r="H280" s="650" t="str">
        <f t="shared" si="34"/>
        <v/>
      </c>
      <c r="J280" s="650"/>
      <c r="K280" s="650"/>
      <c r="L280" s="650"/>
    </row>
    <row r="281" spans="2:12" x14ac:dyDescent="0.2">
      <c r="B281" s="660" t="str">
        <f t="shared" si="28"/>
        <v>-</v>
      </c>
      <c r="C281" s="661" t="str">
        <f t="shared" si="29"/>
        <v/>
      </c>
      <c r="D281" s="650" t="str">
        <f t="shared" si="33"/>
        <v/>
      </c>
      <c r="E281" s="650" t="str">
        <f t="shared" si="30"/>
        <v/>
      </c>
      <c r="F281" s="650" t="str">
        <f t="shared" si="31"/>
        <v/>
      </c>
      <c r="G281" s="650" t="str">
        <f t="shared" si="32"/>
        <v/>
      </c>
      <c r="H281" s="650" t="str">
        <f t="shared" si="34"/>
        <v/>
      </c>
      <c r="J281" s="650"/>
      <c r="K281" s="650"/>
      <c r="L281" s="650"/>
    </row>
    <row r="282" spans="2:12" x14ac:dyDescent="0.2">
      <c r="B282" s="660" t="str">
        <f t="shared" si="28"/>
        <v>-</v>
      </c>
      <c r="C282" s="661" t="str">
        <f t="shared" si="29"/>
        <v/>
      </c>
      <c r="D282" s="650" t="str">
        <f t="shared" si="33"/>
        <v/>
      </c>
      <c r="E282" s="650" t="str">
        <f t="shared" si="30"/>
        <v/>
      </c>
      <c r="F282" s="650" t="str">
        <f t="shared" si="31"/>
        <v/>
      </c>
      <c r="G282" s="650" t="str">
        <f t="shared" si="32"/>
        <v/>
      </c>
      <c r="H282" s="650" t="str">
        <f t="shared" si="34"/>
        <v/>
      </c>
      <c r="J282" s="650"/>
      <c r="K282" s="650"/>
      <c r="L282" s="650"/>
    </row>
    <row r="283" spans="2:12" x14ac:dyDescent="0.2">
      <c r="B283" s="660" t="str">
        <f t="shared" si="28"/>
        <v>-</v>
      </c>
      <c r="C283" s="661" t="str">
        <f t="shared" si="29"/>
        <v/>
      </c>
      <c r="D283" s="650" t="str">
        <f t="shared" si="33"/>
        <v/>
      </c>
      <c r="E283" s="650" t="str">
        <f t="shared" si="30"/>
        <v/>
      </c>
      <c r="F283" s="650" t="str">
        <f t="shared" si="31"/>
        <v/>
      </c>
      <c r="G283" s="650" t="str">
        <f t="shared" si="32"/>
        <v/>
      </c>
      <c r="H283" s="650" t="str">
        <f t="shared" si="34"/>
        <v/>
      </c>
      <c r="J283" s="650"/>
      <c r="K283" s="650"/>
      <c r="L283" s="650"/>
    </row>
    <row r="284" spans="2:12" x14ac:dyDescent="0.2">
      <c r="B284" s="660" t="str">
        <f t="shared" si="28"/>
        <v>-</v>
      </c>
      <c r="C284" s="661" t="str">
        <f t="shared" si="29"/>
        <v/>
      </c>
      <c r="D284" s="650" t="str">
        <f t="shared" si="33"/>
        <v/>
      </c>
      <c r="E284" s="650" t="str">
        <f t="shared" si="30"/>
        <v/>
      </c>
      <c r="F284" s="650" t="str">
        <f t="shared" si="31"/>
        <v/>
      </c>
      <c r="G284" s="650" t="str">
        <f t="shared" si="32"/>
        <v/>
      </c>
      <c r="H284" s="650" t="str">
        <f t="shared" si="34"/>
        <v/>
      </c>
      <c r="J284" s="650"/>
      <c r="K284" s="650"/>
      <c r="L284" s="650"/>
    </row>
    <row r="285" spans="2:12" x14ac:dyDescent="0.2">
      <c r="B285" s="660" t="str">
        <f t="shared" si="28"/>
        <v>-</v>
      </c>
      <c r="C285" s="661" t="str">
        <f t="shared" si="29"/>
        <v/>
      </c>
      <c r="D285" s="650" t="str">
        <f t="shared" si="33"/>
        <v/>
      </c>
      <c r="E285" s="650" t="str">
        <f t="shared" si="30"/>
        <v/>
      </c>
      <c r="F285" s="650" t="str">
        <f t="shared" si="31"/>
        <v/>
      </c>
      <c r="G285" s="650" t="str">
        <f t="shared" si="32"/>
        <v/>
      </c>
      <c r="H285" s="650" t="str">
        <f t="shared" si="34"/>
        <v/>
      </c>
      <c r="J285" s="650"/>
      <c r="K285" s="650"/>
      <c r="L285" s="650"/>
    </row>
    <row r="286" spans="2:12" x14ac:dyDescent="0.2">
      <c r="B286" s="660" t="str">
        <f t="shared" si="28"/>
        <v>-</v>
      </c>
      <c r="C286" s="661" t="str">
        <f t="shared" si="29"/>
        <v/>
      </c>
      <c r="D286" s="650" t="str">
        <f t="shared" si="33"/>
        <v/>
      </c>
      <c r="E286" s="650" t="str">
        <f t="shared" si="30"/>
        <v/>
      </c>
      <c r="F286" s="650" t="str">
        <f t="shared" si="31"/>
        <v/>
      </c>
      <c r="G286" s="650" t="str">
        <f t="shared" si="32"/>
        <v/>
      </c>
      <c r="H286" s="650" t="str">
        <f t="shared" si="34"/>
        <v/>
      </c>
      <c r="J286" s="650"/>
      <c r="K286" s="650"/>
      <c r="L286" s="650"/>
    </row>
    <row r="287" spans="2:12" x14ac:dyDescent="0.2">
      <c r="B287" s="660" t="str">
        <f t="shared" si="28"/>
        <v>-</v>
      </c>
      <c r="C287" s="661" t="str">
        <f t="shared" si="29"/>
        <v/>
      </c>
      <c r="D287" s="650" t="str">
        <f t="shared" si="33"/>
        <v/>
      </c>
      <c r="E287" s="650" t="str">
        <f t="shared" si="30"/>
        <v/>
      </c>
      <c r="F287" s="650" t="str">
        <f t="shared" si="31"/>
        <v/>
      </c>
      <c r="G287" s="650" t="str">
        <f t="shared" si="32"/>
        <v/>
      </c>
      <c r="H287" s="650" t="str">
        <f t="shared" si="34"/>
        <v/>
      </c>
      <c r="J287" s="650"/>
      <c r="K287" s="650"/>
      <c r="L287" s="650"/>
    </row>
    <row r="288" spans="2:12" x14ac:dyDescent="0.2">
      <c r="B288" s="660" t="str">
        <f t="shared" si="28"/>
        <v>-</v>
      </c>
      <c r="C288" s="661" t="str">
        <f t="shared" si="29"/>
        <v/>
      </c>
      <c r="D288" s="650" t="str">
        <f t="shared" si="33"/>
        <v/>
      </c>
      <c r="E288" s="650" t="str">
        <f t="shared" si="30"/>
        <v/>
      </c>
      <c r="F288" s="650" t="str">
        <f t="shared" si="31"/>
        <v/>
      </c>
      <c r="G288" s="650" t="str">
        <f t="shared" si="32"/>
        <v/>
      </c>
      <c r="H288" s="650" t="str">
        <f t="shared" si="34"/>
        <v/>
      </c>
      <c r="J288" s="650"/>
      <c r="K288" s="650"/>
      <c r="L288" s="650"/>
    </row>
    <row r="289" spans="2:12" x14ac:dyDescent="0.2">
      <c r="B289" s="660" t="str">
        <f t="shared" si="28"/>
        <v>-</v>
      </c>
      <c r="C289" s="661" t="str">
        <f t="shared" si="29"/>
        <v/>
      </c>
      <c r="D289" s="650" t="str">
        <f t="shared" si="33"/>
        <v/>
      </c>
      <c r="E289" s="650" t="str">
        <f t="shared" si="30"/>
        <v/>
      </c>
      <c r="F289" s="650" t="str">
        <f t="shared" si="31"/>
        <v/>
      </c>
      <c r="G289" s="650" t="str">
        <f t="shared" si="32"/>
        <v/>
      </c>
      <c r="H289" s="650" t="str">
        <f t="shared" si="34"/>
        <v/>
      </c>
      <c r="J289" s="650"/>
      <c r="K289" s="650"/>
      <c r="L289" s="650"/>
    </row>
    <row r="290" spans="2:12" x14ac:dyDescent="0.2">
      <c r="B290" s="660" t="str">
        <f t="shared" si="28"/>
        <v>-</v>
      </c>
      <c r="C290" s="661" t="str">
        <f t="shared" si="29"/>
        <v/>
      </c>
      <c r="D290" s="650" t="str">
        <f t="shared" si="33"/>
        <v/>
      </c>
      <c r="E290" s="650" t="str">
        <f t="shared" si="30"/>
        <v/>
      </c>
      <c r="F290" s="650" t="str">
        <f t="shared" si="31"/>
        <v/>
      </c>
      <c r="G290" s="650" t="str">
        <f t="shared" si="32"/>
        <v/>
      </c>
      <c r="H290" s="650" t="str">
        <f t="shared" si="34"/>
        <v/>
      </c>
      <c r="J290" s="650"/>
      <c r="K290" s="650"/>
      <c r="L290" s="650"/>
    </row>
    <row r="291" spans="2:12" x14ac:dyDescent="0.2">
      <c r="B291" s="660" t="str">
        <f t="shared" si="28"/>
        <v>-</v>
      </c>
      <c r="C291" s="661" t="str">
        <f t="shared" si="29"/>
        <v/>
      </c>
      <c r="D291" s="650" t="str">
        <f t="shared" si="33"/>
        <v/>
      </c>
      <c r="E291" s="650" t="str">
        <f t="shared" si="30"/>
        <v/>
      </c>
      <c r="F291" s="650" t="str">
        <f t="shared" si="31"/>
        <v/>
      </c>
      <c r="G291" s="650" t="str">
        <f t="shared" si="32"/>
        <v/>
      </c>
      <c r="H291" s="650" t="str">
        <f t="shared" si="34"/>
        <v/>
      </c>
      <c r="J291" s="650"/>
      <c r="K291" s="650"/>
      <c r="L291" s="650"/>
    </row>
    <row r="292" spans="2:12" x14ac:dyDescent="0.2">
      <c r="B292" s="660" t="str">
        <f t="shared" si="28"/>
        <v>-</v>
      </c>
      <c r="C292" s="661" t="str">
        <f t="shared" si="29"/>
        <v/>
      </c>
      <c r="D292" s="650" t="str">
        <f t="shared" si="33"/>
        <v/>
      </c>
      <c r="E292" s="650" t="str">
        <f t="shared" si="30"/>
        <v/>
      </c>
      <c r="F292" s="650" t="str">
        <f t="shared" si="31"/>
        <v/>
      </c>
      <c r="G292" s="650" t="str">
        <f t="shared" si="32"/>
        <v/>
      </c>
      <c r="H292" s="650" t="str">
        <f t="shared" si="34"/>
        <v/>
      </c>
      <c r="J292" s="650"/>
      <c r="K292" s="650"/>
      <c r="L292" s="650"/>
    </row>
    <row r="293" spans="2:12" x14ac:dyDescent="0.2">
      <c r="B293" s="660" t="str">
        <f t="shared" si="28"/>
        <v>-</v>
      </c>
      <c r="C293" s="661" t="str">
        <f t="shared" si="29"/>
        <v/>
      </c>
      <c r="D293" s="650" t="str">
        <f t="shared" si="33"/>
        <v/>
      </c>
      <c r="E293" s="650" t="str">
        <f t="shared" si="30"/>
        <v/>
      </c>
      <c r="F293" s="650" t="str">
        <f t="shared" si="31"/>
        <v/>
      </c>
      <c r="G293" s="650" t="str">
        <f t="shared" si="32"/>
        <v/>
      </c>
      <c r="H293" s="650" t="str">
        <f t="shared" si="34"/>
        <v/>
      </c>
      <c r="J293" s="650"/>
      <c r="K293" s="650"/>
      <c r="L293" s="650"/>
    </row>
    <row r="294" spans="2:12" x14ac:dyDescent="0.2">
      <c r="B294" s="660" t="str">
        <f t="shared" si="28"/>
        <v>-</v>
      </c>
      <c r="C294" s="661" t="str">
        <f t="shared" si="29"/>
        <v/>
      </c>
      <c r="D294" s="650" t="str">
        <f t="shared" si="33"/>
        <v/>
      </c>
      <c r="E294" s="650" t="str">
        <f t="shared" si="30"/>
        <v/>
      </c>
      <c r="F294" s="650" t="str">
        <f t="shared" si="31"/>
        <v/>
      </c>
      <c r="G294" s="650" t="str">
        <f t="shared" si="32"/>
        <v/>
      </c>
      <c r="H294" s="650" t="str">
        <f t="shared" si="34"/>
        <v/>
      </c>
      <c r="J294" s="650"/>
      <c r="K294" s="650"/>
      <c r="L294" s="650"/>
    </row>
    <row r="295" spans="2:12" x14ac:dyDescent="0.2">
      <c r="B295" s="660" t="str">
        <f t="shared" si="28"/>
        <v>-</v>
      </c>
      <c r="C295" s="661" t="str">
        <f t="shared" si="29"/>
        <v/>
      </c>
      <c r="D295" s="650" t="str">
        <f t="shared" si="33"/>
        <v/>
      </c>
      <c r="E295" s="650" t="str">
        <f t="shared" si="30"/>
        <v/>
      </c>
      <c r="F295" s="650" t="str">
        <f t="shared" si="31"/>
        <v/>
      </c>
      <c r="G295" s="650" t="str">
        <f t="shared" si="32"/>
        <v/>
      </c>
      <c r="H295" s="650" t="str">
        <f t="shared" si="34"/>
        <v/>
      </c>
      <c r="J295" s="650"/>
      <c r="K295" s="650"/>
      <c r="L295" s="650"/>
    </row>
    <row r="296" spans="2:12" x14ac:dyDescent="0.2">
      <c r="B296" s="660" t="str">
        <f t="shared" si="28"/>
        <v>-</v>
      </c>
      <c r="C296" s="661" t="str">
        <f t="shared" si="29"/>
        <v/>
      </c>
      <c r="D296" s="650" t="str">
        <f t="shared" si="33"/>
        <v/>
      </c>
      <c r="E296" s="650" t="str">
        <f t="shared" si="30"/>
        <v/>
      </c>
      <c r="F296" s="650" t="str">
        <f t="shared" si="31"/>
        <v/>
      </c>
      <c r="G296" s="650" t="str">
        <f t="shared" si="32"/>
        <v/>
      </c>
      <c r="H296" s="650" t="str">
        <f t="shared" si="34"/>
        <v/>
      </c>
      <c r="J296" s="650"/>
      <c r="K296" s="650"/>
      <c r="L296" s="650"/>
    </row>
    <row r="297" spans="2:12" x14ac:dyDescent="0.2">
      <c r="B297" s="660" t="str">
        <f t="shared" si="28"/>
        <v>-</v>
      </c>
      <c r="C297" s="661" t="str">
        <f t="shared" si="29"/>
        <v/>
      </c>
      <c r="D297" s="650" t="str">
        <f t="shared" si="33"/>
        <v/>
      </c>
      <c r="E297" s="650" t="str">
        <f t="shared" si="30"/>
        <v/>
      </c>
      <c r="F297" s="650" t="str">
        <f t="shared" si="31"/>
        <v/>
      </c>
      <c r="G297" s="650" t="str">
        <f t="shared" si="32"/>
        <v/>
      </c>
      <c r="H297" s="650" t="str">
        <f t="shared" si="34"/>
        <v/>
      </c>
      <c r="J297" s="650"/>
      <c r="K297" s="650"/>
      <c r="L297" s="650"/>
    </row>
    <row r="298" spans="2:12" x14ac:dyDescent="0.2">
      <c r="B298" s="660" t="str">
        <f t="shared" si="28"/>
        <v>-</v>
      </c>
      <c r="C298" s="661" t="str">
        <f t="shared" si="29"/>
        <v/>
      </c>
      <c r="D298" s="650" t="str">
        <f t="shared" si="33"/>
        <v/>
      </c>
      <c r="E298" s="650" t="str">
        <f t="shared" si="30"/>
        <v/>
      </c>
      <c r="F298" s="650" t="str">
        <f t="shared" si="31"/>
        <v/>
      </c>
      <c r="G298" s="650" t="str">
        <f t="shared" si="32"/>
        <v/>
      </c>
      <c r="H298" s="650" t="str">
        <f t="shared" si="34"/>
        <v/>
      </c>
      <c r="J298" s="650"/>
      <c r="K298" s="650"/>
      <c r="L298" s="650"/>
    </row>
    <row r="299" spans="2:12" x14ac:dyDescent="0.2">
      <c r="B299" s="660" t="str">
        <f t="shared" si="28"/>
        <v>-</v>
      </c>
      <c r="C299" s="661" t="str">
        <f t="shared" si="29"/>
        <v/>
      </c>
      <c r="D299" s="650" t="str">
        <f t="shared" si="33"/>
        <v/>
      </c>
      <c r="E299" s="650" t="str">
        <f t="shared" si="30"/>
        <v/>
      </c>
      <c r="F299" s="650" t="str">
        <f t="shared" si="31"/>
        <v/>
      </c>
      <c r="G299" s="650" t="str">
        <f t="shared" si="32"/>
        <v/>
      </c>
      <c r="H299" s="650" t="str">
        <f t="shared" si="34"/>
        <v/>
      </c>
      <c r="J299" s="650"/>
      <c r="K299" s="650"/>
      <c r="L299" s="650"/>
    </row>
    <row r="300" spans="2:12" x14ac:dyDescent="0.2">
      <c r="B300" s="660" t="str">
        <f t="shared" si="28"/>
        <v>-</v>
      </c>
      <c r="C300" s="661" t="str">
        <f t="shared" si="29"/>
        <v/>
      </c>
      <c r="D300" s="650" t="str">
        <f t="shared" si="33"/>
        <v/>
      </c>
      <c r="E300" s="650" t="str">
        <f t="shared" si="30"/>
        <v/>
      </c>
      <c r="F300" s="650" t="str">
        <f t="shared" si="31"/>
        <v/>
      </c>
      <c r="G300" s="650" t="str">
        <f t="shared" si="32"/>
        <v/>
      </c>
      <c r="H300" s="650" t="str">
        <f t="shared" si="34"/>
        <v/>
      </c>
      <c r="J300" s="650"/>
      <c r="K300" s="650"/>
      <c r="L300" s="650"/>
    </row>
    <row r="301" spans="2:12" x14ac:dyDescent="0.2">
      <c r="B301" s="660" t="str">
        <f t="shared" si="28"/>
        <v>-</v>
      </c>
      <c r="C301" s="661" t="str">
        <f t="shared" si="29"/>
        <v/>
      </c>
      <c r="D301" s="650" t="str">
        <f t="shared" si="33"/>
        <v/>
      </c>
      <c r="E301" s="650" t="str">
        <f t="shared" si="30"/>
        <v/>
      </c>
      <c r="F301" s="650" t="str">
        <f t="shared" si="31"/>
        <v/>
      </c>
      <c r="G301" s="650" t="str">
        <f t="shared" si="32"/>
        <v/>
      </c>
      <c r="H301" s="650" t="str">
        <f t="shared" si="34"/>
        <v/>
      </c>
      <c r="J301" s="650"/>
      <c r="K301" s="650"/>
      <c r="L301" s="650"/>
    </row>
    <row r="302" spans="2:12" x14ac:dyDescent="0.2">
      <c r="B302" s="660" t="str">
        <f t="shared" si="28"/>
        <v>-</v>
      </c>
      <c r="C302" s="661" t="str">
        <f t="shared" si="29"/>
        <v/>
      </c>
      <c r="D302" s="650" t="str">
        <f t="shared" si="33"/>
        <v/>
      </c>
      <c r="E302" s="650" t="str">
        <f t="shared" si="30"/>
        <v/>
      </c>
      <c r="F302" s="650" t="str">
        <f t="shared" si="31"/>
        <v/>
      </c>
      <c r="G302" s="650" t="str">
        <f t="shared" si="32"/>
        <v/>
      </c>
      <c r="H302" s="650" t="str">
        <f t="shared" si="34"/>
        <v/>
      </c>
      <c r="J302" s="650"/>
      <c r="K302" s="650"/>
      <c r="L302" s="650"/>
    </row>
    <row r="303" spans="2:12" x14ac:dyDescent="0.2">
      <c r="B303" s="660" t="str">
        <f t="shared" si="28"/>
        <v>-</v>
      </c>
      <c r="C303" s="661" t="str">
        <f t="shared" si="29"/>
        <v/>
      </c>
      <c r="D303" s="650" t="str">
        <f t="shared" si="33"/>
        <v/>
      </c>
      <c r="E303" s="650" t="str">
        <f t="shared" si="30"/>
        <v/>
      </c>
      <c r="F303" s="650" t="str">
        <f t="shared" si="31"/>
        <v/>
      </c>
      <c r="G303" s="650" t="str">
        <f t="shared" si="32"/>
        <v/>
      </c>
      <c r="H303" s="650" t="str">
        <f t="shared" si="34"/>
        <v/>
      </c>
      <c r="J303" s="650"/>
      <c r="K303" s="650"/>
      <c r="L303" s="650"/>
    </row>
    <row r="304" spans="2:12" x14ac:dyDescent="0.2">
      <c r="B304" s="660" t="str">
        <f t="shared" si="28"/>
        <v>-</v>
      </c>
      <c r="C304" s="661" t="str">
        <f t="shared" si="29"/>
        <v/>
      </c>
      <c r="D304" s="650" t="str">
        <f t="shared" si="33"/>
        <v/>
      </c>
      <c r="E304" s="650" t="str">
        <f t="shared" si="30"/>
        <v/>
      </c>
      <c r="F304" s="650" t="str">
        <f t="shared" si="31"/>
        <v/>
      </c>
      <c r="G304" s="650" t="str">
        <f t="shared" si="32"/>
        <v/>
      </c>
      <c r="H304" s="650" t="str">
        <f t="shared" si="34"/>
        <v/>
      </c>
      <c r="J304" s="650"/>
      <c r="K304" s="650"/>
      <c r="L304" s="650"/>
    </row>
    <row r="305" spans="2:12" x14ac:dyDescent="0.2">
      <c r="B305" s="660" t="str">
        <f t="shared" si="28"/>
        <v>-</v>
      </c>
      <c r="C305" s="661" t="str">
        <f t="shared" si="29"/>
        <v/>
      </c>
      <c r="D305" s="650" t="str">
        <f t="shared" si="33"/>
        <v/>
      </c>
      <c r="E305" s="650" t="str">
        <f t="shared" si="30"/>
        <v/>
      </c>
      <c r="F305" s="650" t="str">
        <f t="shared" si="31"/>
        <v/>
      </c>
      <c r="G305" s="650" t="str">
        <f t="shared" si="32"/>
        <v/>
      </c>
      <c r="H305" s="650" t="str">
        <f t="shared" si="34"/>
        <v/>
      </c>
      <c r="J305" s="650"/>
      <c r="K305" s="650"/>
      <c r="L305" s="650"/>
    </row>
    <row r="306" spans="2:12" x14ac:dyDescent="0.2">
      <c r="B306" s="660" t="str">
        <f t="shared" si="28"/>
        <v>-</v>
      </c>
      <c r="C306" s="661" t="str">
        <f t="shared" si="29"/>
        <v/>
      </c>
      <c r="D306" s="650" t="str">
        <f t="shared" si="33"/>
        <v/>
      </c>
      <c r="E306" s="650" t="str">
        <f t="shared" si="30"/>
        <v/>
      </c>
      <c r="F306" s="650" t="str">
        <f t="shared" si="31"/>
        <v/>
      </c>
      <c r="G306" s="650" t="str">
        <f t="shared" si="32"/>
        <v/>
      </c>
      <c r="H306" s="650" t="str">
        <f t="shared" si="34"/>
        <v/>
      </c>
      <c r="J306" s="650"/>
      <c r="K306" s="650"/>
      <c r="L306" s="650"/>
    </row>
    <row r="307" spans="2:12" x14ac:dyDescent="0.2">
      <c r="B307" s="660" t="str">
        <f t="shared" si="28"/>
        <v>-</v>
      </c>
      <c r="C307" s="661" t="str">
        <f t="shared" si="29"/>
        <v/>
      </c>
      <c r="D307" s="650" t="str">
        <f t="shared" si="33"/>
        <v/>
      </c>
      <c r="E307" s="650" t="str">
        <f t="shared" si="30"/>
        <v/>
      </c>
      <c r="F307" s="650" t="str">
        <f t="shared" si="31"/>
        <v/>
      </c>
      <c r="G307" s="650" t="str">
        <f t="shared" si="32"/>
        <v/>
      </c>
      <c r="H307" s="650" t="str">
        <f t="shared" si="34"/>
        <v/>
      </c>
      <c r="J307" s="650"/>
      <c r="K307" s="650"/>
      <c r="L307" s="650"/>
    </row>
    <row r="308" spans="2:12" x14ac:dyDescent="0.2">
      <c r="B308" s="660" t="str">
        <f t="shared" si="28"/>
        <v>-</v>
      </c>
      <c r="C308" s="661" t="str">
        <f t="shared" si="29"/>
        <v/>
      </c>
      <c r="D308" s="650" t="str">
        <f t="shared" si="33"/>
        <v/>
      </c>
      <c r="E308" s="650" t="str">
        <f t="shared" si="30"/>
        <v/>
      </c>
      <c r="F308" s="650" t="str">
        <f t="shared" si="31"/>
        <v/>
      </c>
      <c r="G308" s="650" t="str">
        <f t="shared" si="32"/>
        <v/>
      </c>
      <c r="H308" s="650" t="str">
        <f t="shared" si="34"/>
        <v/>
      </c>
      <c r="J308" s="650"/>
      <c r="K308" s="650"/>
      <c r="L308" s="650"/>
    </row>
    <row r="309" spans="2:12" x14ac:dyDescent="0.2">
      <c r="B309" s="660" t="str">
        <f t="shared" si="28"/>
        <v>-</v>
      </c>
      <c r="C309" s="661" t="str">
        <f t="shared" si="29"/>
        <v/>
      </c>
      <c r="D309" s="650" t="str">
        <f t="shared" si="33"/>
        <v/>
      </c>
      <c r="E309" s="650" t="str">
        <f t="shared" si="30"/>
        <v/>
      </c>
      <c r="F309" s="650" t="str">
        <f t="shared" si="31"/>
        <v/>
      </c>
      <c r="G309" s="650" t="str">
        <f t="shared" si="32"/>
        <v/>
      </c>
      <c r="H309" s="650" t="str">
        <f t="shared" si="34"/>
        <v/>
      </c>
      <c r="J309" s="650"/>
      <c r="K309" s="650"/>
      <c r="L309" s="650"/>
    </row>
    <row r="310" spans="2:12" x14ac:dyDescent="0.2">
      <c r="B310" s="660" t="str">
        <f t="shared" si="28"/>
        <v>-</v>
      </c>
      <c r="C310" s="661" t="str">
        <f t="shared" si="29"/>
        <v/>
      </c>
      <c r="D310" s="650" t="str">
        <f t="shared" si="33"/>
        <v/>
      </c>
      <c r="E310" s="650" t="str">
        <f t="shared" si="30"/>
        <v/>
      </c>
      <c r="F310" s="650" t="str">
        <f t="shared" si="31"/>
        <v/>
      </c>
      <c r="G310" s="650" t="str">
        <f t="shared" si="32"/>
        <v/>
      </c>
      <c r="H310" s="650" t="str">
        <f t="shared" si="34"/>
        <v/>
      </c>
      <c r="J310" s="650"/>
      <c r="K310" s="650"/>
      <c r="L310" s="650"/>
    </row>
    <row r="311" spans="2:12" x14ac:dyDescent="0.2">
      <c r="B311" s="660" t="str">
        <f t="shared" si="28"/>
        <v>-</v>
      </c>
      <c r="C311" s="661" t="str">
        <f t="shared" si="29"/>
        <v/>
      </c>
      <c r="D311" s="650" t="str">
        <f t="shared" si="33"/>
        <v/>
      </c>
      <c r="E311" s="650" t="str">
        <f t="shared" si="30"/>
        <v/>
      </c>
      <c r="F311" s="650" t="str">
        <f t="shared" si="31"/>
        <v/>
      </c>
      <c r="G311" s="650" t="str">
        <f t="shared" si="32"/>
        <v/>
      </c>
      <c r="H311" s="650" t="str">
        <f t="shared" si="34"/>
        <v/>
      </c>
      <c r="J311" s="650"/>
      <c r="K311" s="650"/>
      <c r="L311" s="650"/>
    </row>
    <row r="312" spans="2:12" x14ac:dyDescent="0.2">
      <c r="B312" s="660" t="str">
        <f t="shared" si="28"/>
        <v>-</v>
      </c>
      <c r="C312" s="661" t="str">
        <f t="shared" si="29"/>
        <v/>
      </c>
      <c r="D312" s="650" t="str">
        <f t="shared" si="33"/>
        <v/>
      </c>
      <c r="E312" s="650" t="str">
        <f t="shared" si="30"/>
        <v/>
      </c>
      <c r="F312" s="650" t="str">
        <f t="shared" si="31"/>
        <v/>
      </c>
      <c r="G312" s="650" t="str">
        <f t="shared" si="32"/>
        <v/>
      </c>
      <c r="H312" s="650" t="str">
        <f t="shared" si="34"/>
        <v/>
      </c>
      <c r="J312" s="650"/>
      <c r="K312" s="650"/>
      <c r="L312" s="650"/>
    </row>
    <row r="313" spans="2:12" x14ac:dyDescent="0.2">
      <c r="B313" s="660" t="str">
        <f t="shared" si="28"/>
        <v>-</v>
      </c>
      <c r="C313" s="661" t="str">
        <f t="shared" si="29"/>
        <v/>
      </c>
      <c r="D313" s="650" t="str">
        <f t="shared" si="33"/>
        <v/>
      </c>
      <c r="E313" s="650" t="str">
        <f t="shared" si="30"/>
        <v/>
      </c>
      <c r="F313" s="650" t="str">
        <f t="shared" si="31"/>
        <v/>
      </c>
      <c r="G313" s="650" t="str">
        <f t="shared" si="32"/>
        <v/>
      </c>
      <c r="H313" s="650" t="str">
        <f t="shared" si="34"/>
        <v/>
      </c>
      <c r="J313" s="650"/>
      <c r="K313" s="650"/>
      <c r="L313" s="650"/>
    </row>
    <row r="314" spans="2:12" x14ac:dyDescent="0.2">
      <c r="B314" s="660" t="str">
        <f t="shared" si="28"/>
        <v>-</v>
      </c>
      <c r="C314" s="661" t="str">
        <f t="shared" si="29"/>
        <v/>
      </c>
      <c r="D314" s="650" t="str">
        <f t="shared" si="33"/>
        <v/>
      </c>
      <c r="E314" s="650" t="str">
        <f t="shared" si="30"/>
        <v/>
      </c>
      <c r="F314" s="650" t="str">
        <f t="shared" si="31"/>
        <v/>
      </c>
      <c r="G314" s="650" t="str">
        <f t="shared" si="32"/>
        <v/>
      </c>
      <c r="H314" s="650" t="str">
        <f t="shared" si="34"/>
        <v/>
      </c>
      <c r="J314" s="650"/>
      <c r="K314" s="650"/>
      <c r="L314" s="650"/>
    </row>
    <row r="315" spans="2:12" x14ac:dyDescent="0.2">
      <c r="B315" s="660" t="str">
        <f t="shared" si="28"/>
        <v>-</v>
      </c>
      <c r="C315" s="661" t="str">
        <f t="shared" si="29"/>
        <v/>
      </c>
      <c r="D315" s="650" t="str">
        <f t="shared" si="33"/>
        <v/>
      </c>
      <c r="E315" s="650" t="str">
        <f t="shared" si="30"/>
        <v/>
      </c>
      <c r="F315" s="650" t="str">
        <f t="shared" si="31"/>
        <v/>
      </c>
      <c r="G315" s="650" t="str">
        <f t="shared" si="32"/>
        <v/>
      </c>
      <c r="H315" s="650" t="str">
        <f t="shared" si="34"/>
        <v/>
      </c>
      <c r="J315" s="650"/>
      <c r="K315" s="650"/>
      <c r="L315" s="650"/>
    </row>
    <row r="316" spans="2:12" x14ac:dyDescent="0.2">
      <c r="B316" s="660" t="str">
        <f t="shared" si="28"/>
        <v>-</v>
      </c>
      <c r="C316" s="661" t="str">
        <f t="shared" si="29"/>
        <v/>
      </c>
      <c r="D316" s="650" t="str">
        <f t="shared" si="33"/>
        <v/>
      </c>
      <c r="E316" s="650" t="str">
        <f t="shared" si="30"/>
        <v/>
      </c>
      <c r="F316" s="650" t="str">
        <f t="shared" si="31"/>
        <v/>
      </c>
      <c r="G316" s="650" t="str">
        <f t="shared" si="32"/>
        <v/>
      </c>
      <c r="H316" s="650" t="str">
        <f t="shared" si="34"/>
        <v/>
      </c>
      <c r="J316" s="650"/>
      <c r="K316" s="650"/>
      <c r="L316" s="650"/>
    </row>
    <row r="317" spans="2:12" x14ac:dyDescent="0.2">
      <c r="B317" s="660" t="str">
        <f t="shared" si="28"/>
        <v>-</v>
      </c>
      <c r="C317" s="661" t="str">
        <f t="shared" si="29"/>
        <v/>
      </c>
      <c r="D317" s="650" t="str">
        <f t="shared" si="33"/>
        <v/>
      </c>
      <c r="E317" s="650" t="str">
        <f t="shared" si="30"/>
        <v/>
      </c>
      <c r="F317" s="650" t="str">
        <f t="shared" si="31"/>
        <v/>
      </c>
      <c r="G317" s="650" t="str">
        <f t="shared" si="32"/>
        <v/>
      </c>
      <c r="H317" s="650" t="str">
        <f t="shared" si="34"/>
        <v/>
      </c>
      <c r="J317" s="650"/>
      <c r="K317" s="650"/>
      <c r="L317" s="650"/>
    </row>
    <row r="318" spans="2:12" x14ac:dyDescent="0.2">
      <c r="B318" s="660" t="str">
        <f t="shared" si="28"/>
        <v>-</v>
      </c>
      <c r="C318" s="661" t="str">
        <f t="shared" si="29"/>
        <v/>
      </c>
      <c r="D318" s="650" t="str">
        <f t="shared" si="33"/>
        <v/>
      </c>
      <c r="E318" s="650" t="str">
        <f t="shared" si="30"/>
        <v/>
      </c>
      <c r="F318" s="650" t="str">
        <f t="shared" si="31"/>
        <v/>
      </c>
      <c r="G318" s="650" t="str">
        <f t="shared" si="32"/>
        <v/>
      </c>
      <c r="H318" s="650" t="str">
        <f t="shared" si="34"/>
        <v/>
      </c>
      <c r="J318" s="650"/>
      <c r="K318" s="650"/>
      <c r="L318" s="650"/>
    </row>
    <row r="319" spans="2:12" x14ac:dyDescent="0.2">
      <c r="B319" s="660" t="str">
        <f t="shared" si="28"/>
        <v>-</v>
      </c>
      <c r="C319" s="661" t="str">
        <f t="shared" si="29"/>
        <v/>
      </c>
      <c r="D319" s="650" t="str">
        <f t="shared" si="33"/>
        <v/>
      </c>
      <c r="E319" s="650" t="str">
        <f t="shared" si="30"/>
        <v/>
      </c>
      <c r="F319" s="650" t="str">
        <f t="shared" si="31"/>
        <v/>
      </c>
      <c r="G319" s="650" t="str">
        <f t="shared" si="32"/>
        <v/>
      </c>
      <c r="H319" s="650" t="str">
        <f t="shared" si="34"/>
        <v/>
      </c>
      <c r="J319" s="650"/>
      <c r="K319" s="650"/>
      <c r="L319" s="650"/>
    </row>
    <row r="320" spans="2:12" x14ac:dyDescent="0.2">
      <c r="B320" s="660" t="str">
        <f t="shared" si="28"/>
        <v>-</v>
      </c>
      <c r="C320" s="661" t="str">
        <f t="shared" si="29"/>
        <v/>
      </c>
      <c r="D320" s="650" t="str">
        <f t="shared" si="33"/>
        <v/>
      </c>
      <c r="E320" s="650" t="str">
        <f t="shared" si="30"/>
        <v/>
      </c>
      <c r="F320" s="650" t="str">
        <f t="shared" si="31"/>
        <v/>
      </c>
      <c r="G320" s="650" t="str">
        <f t="shared" si="32"/>
        <v/>
      </c>
      <c r="H320" s="650" t="str">
        <f t="shared" si="34"/>
        <v/>
      </c>
      <c r="J320" s="650"/>
      <c r="K320" s="650"/>
      <c r="L320" s="650"/>
    </row>
    <row r="321" spans="2:12" x14ac:dyDescent="0.2">
      <c r="B321" s="660" t="str">
        <f t="shared" si="28"/>
        <v>-</v>
      </c>
      <c r="C321" s="661" t="str">
        <f t="shared" si="29"/>
        <v/>
      </c>
      <c r="D321" s="650" t="str">
        <f t="shared" si="33"/>
        <v/>
      </c>
      <c r="E321" s="650" t="str">
        <f t="shared" si="30"/>
        <v/>
      </c>
      <c r="F321" s="650" t="str">
        <f t="shared" si="31"/>
        <v/>
      </c>
      <c r="G321" s="650" t="str">
        <f t="shared" si="32"/>
        <v/>
      </c>
      <c r="H321" s="650" t="str">
        <f t="shared" si="34"/>
        <v/>
      </c>
      <c r="J321" s="650"/>
      <c r="K321" s="650"/>
      <c r="L321" s="650"/>
    </row>
    <row r="322" spans="2:12" x14ac:dyDescent="0.2">
      <c r="B322" s="660" t="str">
        <f t="shared" si="28"/>
        <v>-</v>
      </c>
      <c r="C322" s="661" t="str">
        <f t="shared" si="29"/>
        <v/>
      </c>
      <c r="D322" s="650" t="str">
        <f t="shared" si="33"/>
        <v/>
      </c>
      <c r="E322" s="650" t="str">
        <f t="shared" si="30"/>
        <v/>
      </c>
      <c r="F322" s="650" t="str">
        <f t="shared" si="31"/>
        <v/>
      </c>
      <c r="G322" s="650" t="str">
        <f t="shared" si="32"/>
        <v/>
      </c>
      <c r="H322" s="650" t="str">
        <f t="shared" si="34"/>
        <v/>
      </c>
      <c r="J322" s="650"/>
      <c r="K322" s="650"/>
      <c r="L322" s="650"/>
    </row>
    <row r="323" spans="2:12" x14ac:dyDescent="0.2">
      <c r="B323" s="660" t="str">
        <f t="shared" si="28"/>
        <v>-</v>
      </c>
      <c r="C323" s="661" t="str">
        <f t="shared" si="29"/>
        <v/>
      </c>
      <c r="D323" s="650" t="str">
        <f t="shared" si="33"/>
        <v/>
      </c>
      <c r="E323" s="650" t="str">
        <f t="shared" si="30"/>
        <v/>
      </c>
      <c r="F323" s="650" t="str">
        <f t="shared" si="31"/>
        <v/>
      </c>
      <c r="G323" s="650" t="str">
        <f t="shared" si="32"/>
        <v/>
      </c>
      <c r="H323" s="650" t="str">
        <f t="shared" si="34"/>
        <v/>
      </c>
      <c r="J323" s="650"/>
      <c r="K323" s="650"/>
      <c r="L323" s="650"/>
    </row>
    <row r="324" spans="2:12" x14ac:dyDescent="0.2">
      <c r="B324" s="660" t="str">
        <f t="shared" si="28"/>
        <v>-</v>
      </c>
      <c r="C324" s="661" t="str">
        <f t="shared" si="29"/>
        <v/>
      </c>
      <c r="D324" s="650" t="str">
        <f t="shared" si="33"/>
        <v/>
      </c>
      <c r="E324" s="650" t="str">
        <f t="shared" si="30"/>
        <v/>
      </c>
      <c r="F324" s="650" t="str">
        <f t="shared" si="31"/>
        <v/>
      </c>
      <c r="G324" s="650" t="str">
        <f t="shared" si="32"/>
        <v/>
      </c>
      <c r="H324" s="650" t="str">
        <f t="shared" si="34"/>
        <v/>
      </c>
      <c r="J324" s="650"/>
      <c r="K324" s="650"/>
      <c r="L324" s="650"/>
    </row>
    <row r="325" spans="2:12" x14ac:dyDescent="0.2">
      <c r="B325" s="660" t="str">
        <f t="shared" si="28"/>
        <v>-</v>
      </c>
      <c r="C325" s="661" t="str">
        <f t="shared" si="29"/>
        <v/>
      </c>
      <c r="D325" s="650" t="str">
        <f t="shared" si="33"/>
        <v/>
      </c>
      <c r="E325" s="650" t="str">
        <f t="shared" si="30"/>
        <v/>
      </c>
      <c r="F325" s="650" t="str">
        <f t="shared" si="31"/>
        <v/>
      </c>
      <c r="G325" s="650" t="str">
        <f t="shared" si="32"/>
        <v/>
      </c>
      <c r="H325" s="650" t="str">
        <f t="shared" si="34"/>
        <v/>
      </c>
      <c r="J325" s="650"/>
      <c r="K325" s="650"/>
      <c r="L325" s="650"/>
    </row>
    <row r="326" spans="2:12" x14ac:dyDescent="0.2">
      <c r="B326" s="660" t="str">
        <f t="shared" si="28"/>
        <v>-</v>
      </c>
      <c r="C326" s="661" t="str">
        <f t="shared" si="29"/>
        <v/>
      </c>
      <c r="D326" s="650" t="str">
        <f t="shared" si="33"/>
        <v/>
      </c>
      <c r="E326" s="650" t="str">
        <f t="shared" si="30"/>
        <v/>
      </c>
      <c r="F326" s="650" t="str">
        <f t="shared" si="31"/>
        <v/>
      </c>
      <c r="G326" s="650" t="str">
        <f t="shared" si="32"/>
        <v/>
      </c>
      <c r="H326" s="650" t="str">
        <f t="shared" si="34"/>
        <v/>
      </c>
      <c r="J326" s="650"/>
      <c r="K326" s="650"/>
      <c r="L326" s="650"/>
    </row>
    <row r="327" spans="2:12" x14ac:dyDescent="0.2">
      <c r="B327" s="660" t="str">
        <f t="shared" si="28"/>
        <v>-</v>
      </c>
      <c r="C327" s="661" t="str">
        <f t="shared" si="29"/>
        <v/>
      </c>
      <c r="D327" s="650" t="str">
        <f t="shared" si="33"/>
        <v/>
      </c>
      <c r="E327" s="650" t="str">
        <f t="shared" si="30"/>
        <v/>
      </c>
      <c r="F327" s="650" t="str">
        <f t="shared" si="31"/>
        <v/>
      </c>
      <c r="G327" s="650" t="str">
        <f t="shared" si="32"/>
        <v/>
      </c>
      <c r="H327" s="650" t="str">
        <f t="shared" si="34"/>
        <v/>
      </c>
      <c r="J327" s="650"/>
      <c r="K327" s="650"/>
      <c r="L327" s="650"/>
    </row>
    <row r="328" spans="2:12" x14ac:dyDescent="0.2">
      <c r="B328" s="660" t="str">
        <f t="shared" si="28"/>
        <v>-</v>
      </c>
      <c r="C328" s="661" t="str">
        <f t="shared" si="29"/>
        <v/>
      </c>
      <c r="D328" s="650" t="str">
        <f t="shared" si="33"/>
        <v/>
      </c>
      <c r="E328" s="650" t="str">
        <f t="shared" si="30"/>
        <v/>
      </c>
      <c r="F328" s="650" t="str">
        <f t="shared" si="31"/>
        <v/>
      </c>
      <c r="G328" s="650" t="str">
        <f t="shared" si="32"/>
        <v/>
      </c>
      <c r="H328" s="650" t="str">
        <f t="shared" si="34"/>
        <v/>
      </c>
      <c r="J328" s="650"/>
      <c r="K328" s="650"/>
      <c r="L328" s="650"/>
    </row>
    <row r="329" spans="2:12" x14ac:dyDescent="0.2">
      <c r="B329" s="660" t="str">
        <f t="shared" si="28"/>
        <v>-</v>
      </c>
      <c r="C329" s="661" t="str">
        <f t="shared" si="29"/>
        <v/>
      </c>
      <c r="D329" s="650" t="str">
        <f t="shared" si="33"/>
        <v/>
      </c>
      <c r="E329" s="650" t="str">
        <f t="shared" si="30"/>
        <v/>
      </c>
      <c r="F329" s="650" t="str">
        <f t="shared" si="31"/>
        <v/>
      </c>
      <c r="G329" s="650" t="str">
        <f t="shared" si="32"/>
        <v/>
      </c>
      <c r="H329" s="650" t="str">
        <f t="shared" si="34"/>
        <v/>
      </c>
      <c r="J329" s="650"/>
      <c r="K329" s="650"/>
      <c r="L329" s="650"/>
    </row>
    <row r="330" spans="2:12" x14ac:dyDescent="0.2">
      <c r="B330" s="660" t="str">
        <f t="shared" si="28"/>
        <v>-</v>
      </c>
      <c r="C330" s="661" t="str">
        <f t="shared" si="29"/>
        <v/>
      </c>
      <c r="D330" s="650" t="str">
        <f t="shared" si="33"/>
        <v/>
      </c>
      <c r="E330" s="650" t="str">
        <f t="shared" si="30"/>
        <v/>
      </c>
      <c r="F330" s="650" t="str">
        <f t="shared" si="31"/>
        <v/>
      </c>
      <c r="G330" s="650" t="str">
        <f t="shared" si="32"/>
        <v/>
      </c>
      <c r="H330" s="650" t="str">
        <f t="shared" si="34"/>
        <v/>
      </c>
      <c r="J330" s="650"/>
      <c r="K330" s="650"/>
      <c r="L330" s="650"/>
    </row>
    <row r="331" spans="2:12" x14ac:dyDescent="0.2">
      <c r="B331" s="660" t="str">
        <f t="shared" si="28"/>
        <v>-</v>
      </c>
      <c r="C331" s="661" t="str">
        <f t="shared" si="29"/>
        <v/>
      </c>
      <c r="D331" s="650" t="str">
        <f t="shared" si="33"/>
        <v/>
      </c>
      <c r="E331" s="650" t="str">
        <f t="shared" si="30"/>
        <v/>
      </c>
      <c r="F331" s="650" t="str">
        <f t="shared" si="31"/>
        <v/>
      </c>
      <c r="G331" s="650" t="str">
        <f t="shared" si="32"/>
        <v/>
      </c>
      <c r="H331" s="650" t="str">
        <f t="shared" si="34"/>
        <v/>
      </c>
      <c r="J331" s="650"/>
      <c r="K331" s="650"/>
      <c r="L331" s="650"/>
    </row>
    <row r="332" spans="2:12" x14ac:dyDescent="0.2">
      <c r="B332" s="660" t="str">
        <f t="shared" ref="B332:B371" si="35">IF(B331&lt;$L$3,B331+1,"-")</f>
        <v>-</v>
      </c>
      <c r="C332" s="661" t="str">
        <f t="shared" ref="C332:C371" si="36">IF(ISNUMBER(B332),MIN(DATE(YEAR($C$11),MONTH($C$11)+B332*12/$P$5,DAY($C$11)),DATE(YEAR($C$11),MONTH($C$11)+1+B332*12/$P$5,1)-1),"")</f>
        <v/>
      </c>
      <c r="D332" s="650" t="str">
        <f t="shared" si="33"/>
        <v/>
      </c>
      <c r="E332" s="650" t="str">
        <f t="shared" ref="E332:E371" si="37">IF(ISNUMBER(B332),ROUND(D332*$L$7,$R$6),"")</f>
        <v/>
      </c>
      <c r="F332" s="650" t="str">
        <f t="shared" ref="F332:F371" si="38">IF(ISNUMBER(B332),IF(B332=$L$3,D332,IF(B332&gt;$L$4,$H$3-E332,0)),"")</f>
        <v/>
      </c>
      <c r="G332" s="650" t="str">
        <f t="shared" ref="G332:G371" si="39">IF(ISNUMBER(B332),$H$4,"")</f>
        <v/>
      </c>
      <c r="H332" s="650" t="str">
        <f t="shared" si="34"/>
        <v/>
      </c>
      <c r="J332" s="650"/>
      <c r="K332" s="650"/>
      <c r="L332" s="650"/>
    </row>
    <row r="333" spans="2:12" x14ac:dyDescent="0.2">
      <c r="B333" s="660" t="str">
        <f t="shared" si="35"/>
        <v>-</v>
      </c>
      <c r="C333" s="661" t="str">
        <f t="shared" si="36"/>
        <v/>
      </c>
      <c r="D333" s="650" t="str">
        <f t="shared" ref="D333:D368" si="40">IF(ISNUMBER(B333),D332-F332,"")</f>
        <v/>
      </c>
      <c r="E333" s="650" t="str">
        <f t="shared" si="37"/>
        <v/>
      </c>
      <c r="F333" s="650" t="str">
        <f t="shared" si="38"/>
        <v/>
      </c>
      <c r="G333" s="650" t="str">
        <f t="shared" si="39"/>
        <v/>
      </c>
      <c r="H333" s="650" t="str">
        <f t="shared" ref="H333:H368" si="41">IF(ISNUMBER(B333),E333+F333+G333,"")</f>
        <v/>
      </c>
      <c r="J333" s="650"/>
      <c r="K333" s="650"/>
      <c r="L333" s="650"/>
    </row>
    <row r="334" spans="2:12" x14ac:dyDescent="0.2">
      <c r="B334" s="660" t="str">
        <f t="shared" si="35"/>
        <v>-</v>
      </c>
      <c r="C334" s="661" t="str">
        <f t="shared" si="36"/>
        <v/>
      </c>
      <c r="D334" s="650" t="str">
        <f t="shared" si="40"/>
        <v/>
      </c>
      <c r="E334" s="650" t="str">
        <f t="shared" si="37"/>
        <v/>
      </c>
      <c r="F334" s="650" t="str">
        <f t="shared" si="38"/>
        <v/>
      </c>
      <c r="G334" s="650" t="str">
        <f t="shared" si="39"/>
        <v/>
      </c>
      <c r="H334" s="650" t="str">
        <f t="shared" si="41"/>
        <v/>
      </c>
      <c r="J334" s="650"/>
      <c r="K334" s="650"/>
      <c r="L334" s="650"/>
    </row>
    <row r="335" spans="2:12" x14ac:dyDescent="0.2">
      <c r="B335" s="660" t="str">
        <f t="shared" si="35"/>
        <v>-</v>
      </c>
      <c r="C335" s="661" t="str">
        <f t="shared" si="36"/>
        <v/>
      </c>
      <c r="D335" s="650" t="str">
        <f t="shared" si="40"/>
        <v/>
      </c>
      <c r="E335" s="650" t="str">
        <f t="shared" si="37"/>
        <v/>
      </c>
      <c r="F335" s="650" t="str">
        <f t="shared" si="38"/>
        <v/>
      </c>
      <c r="G335" s="650" t="str">
        <f t="shared" si="39"/>
        <v/>
      </c>
      <c r="H335" s="650" t="str">
        <f t="shared" si="41"/>
        <v/>
      </c>
      <c r="J335" s="650"/>
      <c r="K335" s="650"/>
      <c r="L335" s="650"/>
    </row>
    <row r="336" spans="2:12" x14ac:dyDescent="0.2">
      <c r="B336" s="660" t="str">
        <f t="shared" si="35"/>
        <v>-</v>
      </c>
      <c r="C336" s="661" t="str">
        <f t="shared" si="36"/>
        <v/>
      </c>
      <c r="D336" s="650" t="str">
        <f t="shared" si="40"/>
        <v/>
      </c>
      <c r="E336" s="650" t="str">
        <f t="shared" si="37"/>
        <v/>
      </c>
      <c r="F336" s="650" t="str">
        <f t="shared" si="38"/>
        <v/>
      </c>
      <c r="G336" s="650" t="str">
        <f t="shared" si="39"/>
        <v/>
      </c>
      <c r="H336" s="650" t="str">
        <f t="shared" si="41"/>
        <v/>
      </c>
      <c r="J336" s="650"/>
      <c r="K336" s="650"/>
      <c r="L336" s="650"/>
    </row>
    <row r="337" spans="2:12" x14ac:dyDescent="0.2">
      <c r="B337" s="660" t="str">
        <f t="shared" si="35"/>
        <v>-</v>
      </c>
      <c r="C337" s="661" t="str">
        <f t="shared" si="36"/>
        <v/>
      </c>
      <c r="D337" s="650" t="str">
        <f t="shared" si="40"/>
        <v/>
      </c>
      <c r="E337" s="650" t="str">
        <f t="shared" si="37"/>
        <v/>
      </c>
      <c r="F337" s="650" t="str">
        <f t="shared" si="38"/>
        <v/>
      </c>
      <c r="G337" s="650" t="str">
        <f t="shared" si="39"/>
        <v/>
      </c>
      <c r="H337" s="650" t="str">
        <f t="shared" si="41"/>
        <v/>
      </c>
      <c r="J337" s="650"/>
      <c r="K337" s="650"/>
      <c r="L337" s="650"/>
    </row>
    <row r="338" spans="2:12" x14ac:dyDescent="0.2">
      <c r="B338" s="660" t="str">
        <f t="shared" si="35"/>
        <v>-</v>
      </c>
      <c r="C338" s="661" t="str">
        <f t="shared" si="36"/>
        <v/>
      </c>
      <c r="D338" s="650" t="str">
        <f t="shared" si="40"/>
        <v/>
      </c>
      <c r="E338" s="650" t="str">
        <f t="shared" si="37"/>
        <v/>
      </c>
      <c r="F338" s="650" t="str">
        <f t="shared" si="38"/>
        <v/>
      </c>
      <c r="G338" s="650" t="str">
        <f t="shared" si="39"/>
        <v/>
      </c>
      <c r="H338" s="650" t="str">
        <f t="shared" si="41"/>
        <v/>
      </c>
      <c r="J338" s="650"/>
      <c r="K338" s="650"/>
      <c r="L338" s="650"/>
    </row>
    <row r="339" spans="2:12" x14ac:dyDescent="0.2">
      <c r="B339" s="660" t="str">
        <f t="shared" si="35"/>
        <v>-</v>
      </c>
      <c r="C339" s="661" t="str">
        <f t="shared" si="36"/>
        <v/>
      </c>
      <c r="D339" s="650" t="str">
        <f t="shared" si="40"/>
        <v/>
      </c>
      <c r="E339" s="650" t="str">
        <f t="shared" si="37"/>
        <v/>
      </c>
      <c r="F339" s="650" t="str">
        <f t="shared" si="38"/>
        <v/>
      </c>
      <c r="G339" s="650" t="str">
        <f t="shared" si="39"/>
        <v/>
      </c>
      <c r="H339" s="650" t="str">
        <f t="shared" si="41"/>
        <v/>
      </c>
      <c r="J339" s="650"/>
      <c r="K339" s="650"/>
      <c r="L339" s="650"/>
    </row>
    <row r="340" spans="2:12" x14ac:dyDescent="0.2">
      <c r="B340" s="660" t="str">
        <f t="shared" si="35"/>
        <v>-</v>
      </c>
      <c r="C340" s="661" t="str">
        <f t="shared" si="36"/>
        <v/>
      </c>
      <c r="D340" s="650" t="str">
        <f t="shared" si="40"/>
        <v/>
      </c>
      <c r="E340" s="650" t="str">
        <f t="shared" si="37"/>
        <v/>
      </c>
      <c r="F340" s="650" t="str">
        <f t="shared" si="38"/>
        <v/>
      </c>
      <c r="G340" s="650" t="str">
        <f t="shared" si="39"/>
        <v/>
      </c>
      <c r="H340" s="650" t="str">
        <f t="shared" si="41"/>
        <v/>
      </c>
      <c r="J340" s="650"/>
      <c r="K340" s="650"/>
      <c r="L340" s="650"/>
    </row>
    <row r="341" spans="2:12" x14ac:dyDescent="0.2">
      <c r="B341" s="660" t="str">
        <f t="shared" si="35"/>
        <v>-</v>
      </c>
      <c r="C341" s="661" t="str">
        <f t="shared" si="36"/>
        <v/>
      </c>
      <c r="D341" s="650" t="str">
        <f t="shared" si="40"/>
        <v/>
      </c>
      <c r="E341" s="650" t="str">
        <f t="shared" si="37"/>
        <v/>
      </c>
      <c r="F341" s="650" t="str">
        <f t="shared" si="38"/>
        <v/>
      </c>
      <c r="G341" s="650" t="str">
        <f t="shared" si="39"/>
        <v/>
      </c>
      <c r="H341" s="650" t="str">
        <f t="shared" si="41"/>
        <v/>
      </c>
      <c r="J341" s="650"/>
      <c r="K341" s="650"/>
      <c r="L341" s="650"/>
    </row>
    <row r="342" spans="2:12" x14ac:dyDescent="0.2">
      <c r="B342" s="660" t="str">
        <f t="shared" si="35"/>
        <v>-</v>
      </c>
      <c r="C342" s="661" t="str">
        <f t="shared" si="36"/>
        <v/>
      </c>
      <c r="D342" s="650" t="str">
        <f t="shared" si="40"/>
        <v/>
      </c>
      <c r="E342" s="650" t="str">
        <f t="shared" si="37"/>
        <v/>
      </c>
      <c r="F342" s="650" t="str">
        <f t="shared" si="38"/>
        <v/>
      </c>
      <c r="G342" s="650" t="str">
        <f t="shared" si="39"/>
        <v/>
      </c>
      <c r="H342" s="650" t="str">
        <f t="shared" si="41"/>
        <v/>
      </c>
      <c r="J342" s="650"/>
      <c r="K342" s="650"/>
      <c r="L342" s="650"/>
    </row>
    <row r="343" spans="2:12" x14ac:dyDescent="0.2">
      <c r="B343" s="660" t="str">
        <f t="shared" si="35"/>
        <v>-</v>
      </c>
      <c r="C343" s="661" t="str">
        <f t="shared" si="36"/>
        <v/>
      </c>
      <c r="D343" s="650" t="str">
        <f t="shared" si="40"/>
        <v/>
      </c>
      <c r="E343" s="650" t="str">
        <f t="shared" si="37"/>
        <v/>
      </c>
      <c r="F343" s="650" t="str">
        <f t="shared" si="38"/>
        <v/>
      </c>
      <c r="G343" s="650" t="str">
        <f t="shared" si="39"/>
        <v/>
      </c>
      <c r="H343" s="650" t="str">
        <f t="shared" si="41"/>
        <v/>
      </c>
      <c r="J343" s="650"/>
      <c r="K343" s="650"/>
      <c r="L343" s="650"/>
    </row>
    <row r="344" spans="2:12" x14ac:dyDescent="0.2">
      <c r="B344" s="660" t="str">
        <f t="shared" si="35"/>
        <v>-</v>
      </c>
      <c r="C344" s="661" t="str">
        <f t="shared" si="36"/>
        <v/>
      </c>
      <c r="D344" s="650" t="str">
        <f t="shared" si="40"/>
        <v/>
      </c>
      <c r="E344" s="650" t="str">
        <f t="shared" si="37"/>
        <v/>
      </c>
      <c r="F344" s="650" t="str">
        <f t="shared" si="38"/>
        <v/>
      </c>
      <c r="G344" s="650" t="str">
        <f t="shared" si="39"/>
        <v/>
      </c>
      <c r="H344" s="650" t="str">
        <f t="shared" si="41"/>
        <v/>
      </c>
      <c r="J344" s="650"/>
      <c r="K344" s="650"/>
      <c r="L344" s="650"/>
    </row>
    <row r="345" spans="2:12" x14ac:dyDescent="0.2">
      <c r="B345" s="660" t="str">
        <f t="shared" si="35"/>
        <v>-</v>
      </c>
      <c r="C345" s="661" t="str">
        <f t="shared" si="36"/>
        <v/>
      </c>
      <c r="D345" s="650" t="str">
        <f t="shared" si="40"/>
        <v/>
      </c>
      <c r="E345" s="650" t="str">
        <f t="shared" si="37"/>
        <v/>
      </c>
      <c r="F345" s="650" t="str">
        <f t="shared" si="38"/>
        <v/>
      </c>
      <c r="G345" s="650" t="str">
        <f t="shared" si="39"/>
        <v/>
      </c>
      <c r="H345" s="650" t="str">
        <f t="shared" si="41"/>
        <v/>
      </c>
      <c r="J345" s="650"/>
      <c r="K345" s="650"/>
      <c r="L345" s="650"/>
    </row>
    <row r="346" spans="2:12" x14ac:dyDescent="0.2">
      <c r="B346" s="660" t="str">
        <f t="shared" si="35"/>
        <v>-</v>
      </c>
      <c r="C346" s="661" t="str">
        <f t="shared" si="36"/>
        <v/>
      </c>
      <c r="D346" s="650" t="str">
        <f t="shared" si="40"/>
        <v/>
      </c>
      <c r="E346" s="650" t="str">
        <f t="shared" si="37"/>
        <v/>
      </c>
      <c r="F346" s="650" t="str">
        <f t="shared" si="38"/>
        <v/>
      </c>
      <c r="G346" s="650" t="str">
        <f t="shared" si="39"/>
        <v/>
      </c>
      <c r="H346" s="650" t="str">
        <f t="shared" si="41"/>
        <v/>
      </c>
      <c r="J346" s="650"/>
      <c r="K346" s="650"/>
      <c r="L346" s="650"/>
    </row>
    <row r="347" spans="2:12" x14ac:dyDescent="0.2">
      <c r="B347" s="660" t="str">
        <f t="shared" si="35"/>
        <v>-</v>
      </c>
      <c r="C347" s="661" t="str">
        <f t="shared" si="36"/>
        <v/>
      </c>
      <c r="D347" s="650" t="str">
        <f t="shared" si="40"/>
        <v/>
      </c>
      <c r="E347" s="650" t="str">
        <f t="shared" si="37"/>
        <v/>
      </c>
      <c r="F347" s="650" t="str">
        <f t="shared" si="38"/>
        <v/>
      </c>
      <c r="G347" s="650" t="str">
        <f t="shared" si="39"/>
        <v/>
      </c>
      <c r="H347" s="650" t="str">
        <f t="shared" si="41"/>
        <v/>
      </c>
      <c r="J347" s="650"/>
      <c r="K347" s="650"/>
      <c r="L347" s="650"/>
    </row>
    <row r="348" spans="2:12" x14ac:dyDescent="0.2">
      <c r="B348" s="660" t="str">
        <f t="shared" si="35"/>
        <v>-</v>
      </c>
      <c r="C348" s="661" t="str">
        <f t="shared" si="36"/>
        <v/>
      </c>
      <c r="D348" s="650" t="str">
        <f t="shared" si="40"/>
        <v/>
      </c>
      <c r="E348" s="650" t="str">
        <f t="shared" si="37"/>
        <v/>
      </c>
      <c r="F348" s="650" t="str">
        <f t="shared" si="38"/>
        <v/>
      </c>
      <c r="G348" s="650" t="str">
        <f t="shared" si="39"/>
        <v/>
      </c>
      <c r="H348" s="650" t="str">
        <f t="shared" si="41"/>
        <v/>
      </c>
      <c r="J348" s="650"/>
      <c r="K348" s="650"/>
      <c r="L348" s="650"/>
    </row>
    <row r="349" spans="2:12" x14ac:dyDescent="0.2">
      <c r="B349" s="660" t="str">
        <f t="shared" si="35"/>
        <v>-</v>
      </c>
      <c r="C349" s="661" t="str">
        <f t="shared" si="36"/>
        <v/>
      </c>
      <c r="D349" s="650" t="str">
        <f t="shared" si="40"/>
        <v/>
      </c>
      <c r="E349" s="650" t="str">
        <f t="shared" si="37"/>
        <v/>
      </c>
      <c r="F349" s="650" t="str">
        <f t="shared" si="38"/>
        <v/>
      </c>
      <c r="G349" s="650" t="str">
        <f t="shared" si="39"/>
        <v/>
      </c>
      <c r="H349" s="650" t="str">
        <f t="shared" si="41"/>
        <v/>
      </c>
      <c r="J349" s="650"/>
      <c r="K349" s="650"/>
      <c r="L349" s="650"/>
    </row>
    <row r="350" spans="2:12" x14ac:dyDescent="0.2">
      <c r="B350" s="660" t="str">
        <f t="shared" si="35"/>
        <v>-</v>
      </c>
      <c r="C350" s="661" t="str">
        <f t="shared" si="36"/>
        <v/>
      </c>
      <c r="D350" s="650" t="str">
        <f t="shared" si="40"/>
        <v/>
      </c>
      <c r="E350" s="650" t="str">
        <f t="shared" si="37"/>
        <v/>
      </c>
      <c r="F350" s="650" t="str">
        <f t="shared" si="38"/>
        <v/>
      </c>
      <c r="G350" s="650" t="str">
        <f t="shared" si="39"/>
        <v/>
      </c>
      <c r="H350" s="650" t="str">
        <f t="shared" si="41"/>
        <v/>
      </c>
      <c r="J350" s="650"/>
      <c r="K350" s="650"/>
      <c r="L350" s="650"/>
    </row>
    <row r="351" spans="2:12" x14ac:dyDescent="0.2">
      <c r="B351" s="660" t="str">
        <f t="shared" si="35"/>
        <v>-</v>
      </c>
      <c r="C351" s="661" t="str">
        <f t="shared" si="36"/>
        <v/>
      </c>
      <c r="D351" s="650" t="str">
        <f t="shared" si="40"/>
        <v/>
      </c>
      <c r="E351" s="650" t="str">
        <f t="shared" si="37"/>
        <v/>
      </c>
      <c r="F351" s="650" t="str">
        <f t="shared" si="38"/>
        <v/>
      </c>
      <c r="G351" s="650" t="str">
        <f t="shared" si="39"/>
        <v/>
      </c>
      <c r="H351" s="650" t="str">
        <f t="shared" si="41"/>
        <v/>
      </c>
      <c r="J351" s="650"/>
      <c r="K351" s="650"/>
      <c r="L351" s="650"/>
    </row>
    <row r="352" spans="2:12" x14ac:dyDescent="0.2">
      <c r="B352" s="660" t="str">
        <f t="shared" si="35"/>
        <v>-</v>
      </c>
      <c r="C352" s="661" t="str">
        <f t="shared" si="36"/>
        <v/>
      </c>
      <c r="D352" s="650" t="str">
        <f t="shared" si="40"/>
        <v/>
      </c>
      <c r="E352" s="650" t="str">
        <f t="shared" si="37"/>
        <v/>
      </c>
      <c r="F352" s="650" t="str">
        <f t="shared" si="38"/>
        <v/>
      </c>
      <c r="G352" s="650" t="str">
        <f t="shared" si="39"/>
        <v/>
      </c>
      <c r="H352" s="650" t="str">
        <f t="shared" si="41"/>
        <v/>
      </c>
      <c r="J352" s="650"/>
      <c r="K352" s="650"/>
      <c r="L352" s="650"/>
    </row>
    <row r="353" spans="2:12" x14ac:dyDescent="0.2">
      <c r="B353" s="660" t="str">
        <f t="shared" si="35"/>
        <v>-</v>
      </c>
      <c r="C353" s="661" t="str">
        <f t="shared" si="36"/>
        <v/>
      </c>
      <c r="D353" s="650" t="str">
        <f t="shared" si="40"/>
        <v/>
      </c>
      <c r="E353" s="650" t="str">
        <f t="shared" si="37"/>
        <v/>
      </c>
      <c r="F353" s="650" t="str">
        <f t="shared" si="38"/>
        <v/>
      </c>
      <c r="G353" s="650" t="str">
        <f t="shared" si="39"/>
        <v/>
      </c>
      <c r="H353" s="650" t="str">
        <f t="shared" si="41"/>
        <v/>
      </c>
      <c r="J353" s="650"/>
      <c r="K353" s="650"/>
      <c r="L353" s="650"/>
    </row>
    <row r="354" spans="2:12" x14ac:dyDescent="0.2">
      <c r="B354" s="660" t="str">
        <f t="shared" si="35"/>
        <v>-</v>
      </c>
      <c r="C354" s="661" t="str">
        <f t="shared" si="36"/>
        <v/>
      </c>
      <c r="D354" s="650" t="str">
        <f t="shared" si="40"/>
        <v/>
      </c>
      <c r="E354" s="650" t="str">
        <f t="shared" si="37"/>
        <v/>
      </c>
      <c r="F354" s="650" t="str">
        <f t="shared" si="38"/>
        <v/>
      </c>
      <c r="G354" s="650" t="str">
        <f t="shared" si="39"/>
        <v/>
      </c>
      <c r="H354" s="650" t="str">
        <f t="shared" si="41"/>
        <v/>
      </c>
      <c r="J354" s="650"/>
      <c r="K354" s="650"/>
      <c r="L354" s="650"/>
    </row>
    <row r="355" spans="2:12" x14ac:dyDescent="0.2">
      <c r="B355" s="660" t="str">
        <f t="shared" si="35"/>
        <v>-</v>
      </c>
      <c r="C355" s="661" t="str">
        <f t="shared" si="36"/>
        <v/>
      </c>
      <c r="D355" s="650" t="str">
        <f t="shared" si="40"/>
        <v/>
      </c>
      <c r="E355" s="650" t="str">
        <f t="shared" si="37"/>
        <v/>
      </c>
      <c r="F355" s="650" t="str">
        <f t="shared" si="38"/>
        <v/>
      </c>
      <c r="G355" s="650" t="str">
        <f t="shared" si="39"/>
        <v/>
      </c>
      <c r="H355" s="650" t="str">
        <f t="shared" si="41"/>
        <v/>
      </c>
      <c r="J355" s="650"/>
      <c r="K355" s="650"/>
      <c r="L355" s="650"/>
    </row>
    <row r="356" spans="2:12" x14ac:dyDescent="0.2">
      <c r="B356" s="660" t="str">
        <f t="shared" si="35"/>
        <v>-</v>
      </c>
      <c r="C356" s="661" t="str">
        <f t="shared" si="36"/>
        <v/>
      </c>
      <c r="D356" s="650" t="str">
        <f t="shared" si="40"/>
        <v/>
      </c>
      <c r="E356" s="650" t="str">
        <f t="shared" si="37"/>
        <v/>
      </c>
      <c r="F356" s="650" t="str">
        <f t="shared" si="38"/>
        <v/>
      </c>
      <c r="G356" s="650" t="str">
        <f t="shared" si="39"/>
        <v/>
      </c>
      <c r="H356" s="650" t="str">
        <f t="shared" si="41"/>
        <v/>
      </c>
      <c r="J356" s="650"/>
      <c r="K356" s="650"/>
      <c r="L356" s="650"/>
    </row>
    <row r="357" spans="2:12" x14ac:dyDescent="0.2">
      <c r="B357" s="660" t="str">
        <f t="shared" si="35"/>
        <v>-</v>
      </c>
      <c r="C357" s="661" t="str">
        <f t="shared" si="36"/>
        <v/>
      </c>
      <c r="D357" s="650" t="str">
        <f t="shared" si="40"/>
        <v/>
      </c>
      <c r="E357" s="650" t="str">
        <f t="shared" si="37"/>
        <v/>
      </c>
      <c r="F357" s="650" t="str">
        <f t="shared" si="38"/>
        <v/>
      </c>
      <c r="G357" s="650" t="str">
        <f t="shared" si="39"/>
        <v/>
      </c>
      <c r="H357" s="650" t="str">
        <f t="shared" si="41"/>
        <v/>
      </c>
      <c r="J357" s="650"/>
      <c r="K357" s="650"/>
      <c r="L357" s="650"/>
    </row>
    <row r="358" spans="2:12" x14ac:dyDescent="0.2">
      <c r="B358" s="660" t="str">
        <f t="shared" si="35"/>
        <v>-</v>
      </c>
      <c r="C358" s="661" t="str">
        <f t="shared" si="36"/>
        <v/>
      </c>
      <c r="D358" s="650" t="str">
        <f t="shared" si="40"/>
        <v/>
      </c>
      <c r="E358" s="650" t="str">
        <f t="shared" si="37"/>
        <v/>
      </c>
      <c r="F358" s="650" t="str">
        <f t="shared" si="38"/>
        <v/>
      </c>
      <c r="G358" s="650" t="str">
        <f t="shared" si="39"/>
        <v/>
      </c>
      <c r="H358" s="650" t="str">
        <f t="shared" si="41"/>
        <v/>
      </c>
      <c r="J358" s="650"/>
      <c r="K358" s="650"/>
      <c r="L358" s="650"/>
    </row>
    <row r="359" spans="2:12" x14ac:dyDescent="0.2">
      <c r="B359" s="660" t="str">
        <f t="shared" si="35"/>
        <v>-</v>
      </c>
      <c r="C359" s="661" t="str">
        <f t="shared" si="36"/>
        <v/>
      </c>
      <c r="D359" s="650" t="str">
        <f t="shared" si="40"/>
        <v/>
      </c>
      <c r="E359" s="650" t="str">
        <f t="shared" si="37"/>
        <v/>
      </c>
      <c r="F359" s="650" t="str">
        <f t="shared" si="38"/>
        <v/>
      </c>
      <c r="G359" s="650" t="str">
        <f t="shared" si="39"/>
        <v/>
      </c>
      <c r="H359" s="650" t="str">
        <f t="shared" si="41"/>
        <v/>
      </c>
      <c r="J359" s="650"/>
      <c r="K359" s="650"/>
      <c r="L359" s="650"/>
    </row>
    <row r="360" spans="2:12" x14ac:dyDescent="0.2">
      <c r="B360" s="660" t="str">
        <f t="shared" si="35"/>
        <v>-</v>
      </c>
      <c r="C360" s="661" t="str">
        <f t="shared" si="36"/>
        <v/>
      </c>
      <c r="D360" s="650" t="str">
        <f t="shared" si="40"/>
        <v/>
      </c>
      <c r="E360" s="650" t="str">
        <f t="shared" si="37"/>
        <v/>
      </c>
      <c r="F360" s="650" t="str">
        <f t="shared" si="38"/>
        <v/>
      </c>
      <c r="G360" s="650" t="str">
        <f t="shared" si="39"/>
        <v/>
      </c>
      <c r="H360" s="650" t="str">
        <f t="shared" si="41"/>
        <v/>
      </c>
      <c r="J360" s="650"/>
      <c r="K360" s="650"/>
      <c r="L360" s="650"/>
    </row>
    <row r="361" spans="2:12" x14ac:dyDescent="0.2">
      <c r="B361" s="660" t="str">
        <f t="shared" si="35"/>
        <v>-</v>
      </c>
      <c r="C361" s="661" t="str">
        <f t="shared" si="36"/>
        <v/>
      </c>
      <c r="D361" s="650" t="str">
        <f t="shared" si="40"/>
        <v/>
      </c>
      <c r="E361" s="650" t="str">
        <f t="shared" si="37"/>
        <v/>
      </c>
      <c r="F361" s="650" t="str">
        <f t="shared" si="38"/>
        <v/>
      </c>
      <c r="G361" s="650" t="str">
        <f t="shared" si="39"/>
        <v/>
      </c>
      <c r="H361" s="650" t="str">
        <f t="shared" si="41"/>
        <v/>
      </c>
      <c r="J361" s="650"/>
      <c r="K361" s="650"/>
      <c r="L361" s="650"/>
    </row>
    <row r="362" spans="2:12" x14ac:dyDescent="0.2">
      <c r="B362" s="660" t="str">
        <f t="shared" si="35"/>
        <v>-</v>
      </c>
      <c r="C362" s="661" t="str">
        <f t="shared" si="36"/>
        <v/>
      </c>
      <c r="D362" s="650" t="str">
        <f t="shared" si="40"/>
        <v/>
      </c>
      <c r="E362" s="650" t="str">
        <f t="shared" si="37"/>
        <v/>
      </c>
      <c r="F362" s="650" t="str">
        <f t="shared" si="38"/>
        <v/>
      </c>
      <c r="G362" s="650" t="str">
        <f t="shared" si="39"/>
        <v/>
      </c>
      <c r="H362" s="650" t="str">
        <f t="shared" si="41"/>
        <v/>
      </c>
      <c r="J362" s="650"/>
      <c r="K362" s="650"/>
      <c r="L362" s="650"/>
    </row>
    <row r="363" spans="2:12" x14ac:dyDescent="0.2">
      <c r="B363" s="660" t="str">
        <f t="shared" si="35"/>
        <v>-</v>
      </c>
      <c r="C363" s="661" t="str">
        <f t="shared" si="36"/>
        <v/>
      </c>
      <c r="D363" s="650" t="str">
        <f t="shared" si="40"/>
        <v/>
      </c>
      <c r="E363" s="650" t="str">
        <f t="shared" si="37"/>
        <v/>
      </c>
      <c r="F363" s="650" t="str">
        <f t="shared" si="38"/>
        <v/>
      </c>
      <c r="G363" s="650" t="str">
        <f t="shared" si="39"/>
        <v/>
      </c>
      <c r="H363" s="650" t="str">
        <f t="shared" si="41"/>
        <v/>
      </c>
      <c r="J363" s="650"/>
      <c r="K363" s="650"/>
      <c r="L363" s="650"/>
    </row>
    <row r="364" spans="2:12" x14ac:dyDescent="0.2">
      <c r="B364" s="660" t="str">
        <f t="shared" si="35"/>
        <v>-</v>
      </c>
      <c r="C364" s="661" t="str">
        <f t="shared" si="36"/>
        <v/>
      </c>
      <c r="D364" s="650" t="str">
        <f t="shared" si="40"/>
        <v/>
      </c>
      <c r="E364" s="650" t="str">
        <f t="shared" si="37"/>
        <v/>
      </c>
      <c r="F364" s="650" t="str">
        <f t="shared" si="38"/>
        <v/>
      </c>
      <c r="G364" s="650" t="str">
        <f t="shared" si="39"/>
        <v/>
      </c>
      <c r="H364" s="650" t="str">
        <f t="shared" si="41"/>
        <v/>
      </c>
      <c r="J364" s="650"/>
      <c r="K364" s="650"/>
      <c r="L364" s="650"/>
    </row>
    <row r="365" spans="2:12" x14ac:dyDescent="0.2">
      <c r="B365" s="660" t="str">
        <f t="shared" si="35"/>
        <v>-</v>
      </c>
      <c r="C365" s="661" t="str">
        <f t="shared" si="36"/>
        <v/>
      </c>
      <c r="D365" s="650" t="str">
        <f t="shared" si="40"/>
        <v/>
      </c>
      <c r="E365" s="650" t="str">
        <f t="shared" si="37"/>
        <v/>
      </c>
      <c r="F365" s="650" t="str">
        <f t="shared" si="38"/>
        <v/>
      </c>
      <c r="G365" s="650" t="str">
        <f t="shared" si="39"/>
        <v/>
      </c>
      <c r="H365" s="650" t="str">
        <f t="shared" si="41"/>
        <v/>
      </c>
      <c r="J365" s="650"/>
      <c r="K365" s="650"/>
      <c r="L365" s="650"/>
    </row>
    <row r="366" spans="2:12" x14ac:dyDescent="0.2">
      <c r="B366" s="660" t="str">
        <f t="shared" si="35"/>
        <v>-</v>
      </c>
      <c r="C366" s="661" t="str">
        <f t="shared" si="36"/>
        <v/>
      </c>
      <c r="D366" s="650" t="str">
        <f t="shared" si="40"/>
        <v/>
      </c>
      <c r="E366" s="650" t="str">
        <f t="shared" si="37"/>
        <v/>
      </c>
      <c r="F366" s="650" t="str">
        <f t="shared" si="38"/>
        <v/>
      </c>
      <c r="G366" s="650" t="str">
        <f t="shared" si="39"/>
        <v/>
      </c>
      <c r="H366" s="650" t="str">
        <f t="shared" si="41"/>
        <v/>
      </c>
      <c r="J366" s="650"/>
      <c r="K366" s="650"/>
      <c r="L366" s="650"/>
    </row>
    <row r="367" spans="2:12" x14ac:dyDescent="0.2">
      <c r="B367" s="660" t="str">
        <f t="shared" si="35"/>
        <v>-</v>
      </c>
      <c r="C367" s="661" t="str">
        <f t="shared" si="36"/>
        <v/>
      </c>
      <c r="D367" s="650" t="str">
        <f t="shared" si="40"/>
        <v/>
      </c>
      <c r="E367" s="650" t="str">
        <f t="shared" si="37"/>
        <v/>
      </c>
      <c r="F367" s="650" t="str">
        <f t="shared" si="38"/>
        <v/>
      </c>
      <c r="G367" s="650" t="str">
        <f t="shared" si="39"/>
        <v/>
      </c>
      <c r="H367" s="650" t="str">
        <f t="shared" si="41"/>
        <v/>
      </c>
      <c r="J367" s="650"/>
      <c r="K367" s="650"/>
      <c r="L367" s="650"/>
    </row>
    <row r="368" spans="2:12" x14ac:dyDescent="0.2">
      <c r="B368" s="660" t="str">
        <f t="shared" si="35"/>
        <v>-</v>
      </c>
      <c r="C368" s="661" t="str">
        <f t="shared" si="36"/>
        <v/>
      </c>
      <c r="D368" s="650" t="str">
        <f t="shared" si="40"/>
        <v/>
      </c>
      <c r="E368" s="650" t="str">
        <f t="shared" si="37"/>
        <v/>
      </c>
      <c r="F368" s="650" t="str">
        <f t="shared" si="38"/>
        <v/>
      </c>
      <c r="G368" s="650" t="str">
        <f t="shared" si="39"/>
        <v/>
      </c>
      <c r="H368" s="650" t="str">
        <f t="shared" si="41"/>
        <v/>
      </c>
      <c r="J368" s="650"/>
      <c r="K368" s="650"/>
      <c r="L368" s="650"/>
    </row>
    <row r="369" spans="2:12" x14ac:dyDescent="0.2">
      <c r="B369" s="660" t="str">
        <f t="shared" si="35"/>
        <v>-</v>
      </c>
      <c r="C369" s="661" t="str">
        <f t="shared" si="36"/>
        <v/>
      </c>
      <c r="D369" s="650" t="str">
        <f>IF(ISNUMBER(B369),D368-F368,"")</f>
        <v/>
      </c>
      <c r="E369" s="650" t="str">
        <f t="shared" si="37"/>
        <v/>
      </c>
      <c r="F369" s="650" t="str">
        <f t="shared" si="38"/>
        <v/>
      </c>
      <c r="G369" s="650" t="str">
        <f t="shared" si="39"/>
        <v/>
      </c>
      <c r="H369" s="650" t="str">
        <f>IF(ISNUMBER(B369),E369+F369+G369,"")</f>
        <v/>
      </c>
      <c r="J369" s="650"/>
      <c r="K369" s="650"/>
      <c r="L369" s="650"/>
    </row>
    <row r="370" spans="2:12" x14ac:dyDescent="0.2">
      <c r="B370" s="660" t="str">
        <f t="shared" si="35"/>
        <v>-</v>
      </c>
      <c r="C370" s="661" t="str">
        <f t="shared" si="36"/>
        <v/>
      </c>
      <c r="D370" s="650" t="str">
        <f>IF(ISNUMBER(B370),D369-F369,"")</f>
        <v/>
      </c>
      <c r="E370" s="650" t="str">
        <f t="shared" si="37"/>
        <v/>
      </c>
      <c r="F370" s="650" t="str">
        <f t="shared" si="38"/>
        <v/>
      </c>
      <c r="G370" s="650" t="str">
        <f t="shared" si="39"/>
        <v/>
      </c>
      <c r="H370" s="650" t="str">
        <f>IF(ISNUMBER(B370),E370+F370+G370,"")</f>
        <v/>
      </c>
      <c r="J370" s="650"/>
      <c r="K370" s="650"/>
      <c r="L370" s="650"/>
    </row>
    <row r="371" spans="2:12" x14ac:dyDescent="0.2">
      <c r="B371" s="660" t="str">
        <f t="shared" si="35"/>
        <v>-</v>
      </c>
      <c r="C371" s="661" t="str">
        <f t="shared" si="36"/>
        <v/>
      </c>
      <c r="D371" s="650" t="str">
        <f>IF(ISNUMBER(B371),D370-F370,"")</f>
        <v/>
      </c>
      <c r="E371" s="650" t="str">
        <f t="shared" si="37"/>
        <v/>
      </c>
      <c r="F371" s="650" t="str">
        <f t="shared" si="38"/>
        <v/>
      </c>
      <c r="G371" s="650" t="str">
        <f t="shared" si="39"/>
        <v/>
      </c>
      <c r="H371" s="650" t="str">
        <f>IF(ISNUMBER(B371),E371+F371+G371,"")</f>
        <v/>
      </c>
      <c r="J371" s="650"/>
      <c r="K371" s="650"/>
      <c r="L371" s="650"/>
    </row>
    <row r="372" spans="2:12" x14ac:dyDescent="0.2">
      <c r="B372" s="1252" t="s">
        <v>166</v>
      </c>
      <c r="C372" s="1252"/>
      <c r="D372" s="1252"/>
      <c r="E372" s="1252"/>
      <c r="F372" s="1252"/>
      <c r="G372" s="1252"/>
      <c r="H372" s="1252"/>
    </row>
    <row r="373" spans="2:12" x14ac:dyDescent="0.2">
      <c r="B373" s="662" t="s">
        <v>167</v>
      </c>
      <c r="E373" s="650">
        <f>SUM(E12:E371)</f>
        <v>0</v>
      </c>
      <c r="F373" s="650">
        <f>SUM(F12:F371)</f>
        <v>0</v>
      </c>
      <c r="G373" s="650">
        <f>SUM(G12:G371)</f>
        <v>0</v>
      </c>
      <c r="H373" s="650">
        <f>SUM(H12:H371)</f>
        <v>0</v>
      </c>
    </row>
  </sheetData>
  <mergeCells count="26">
    <mergeCell ref="B1:G1"/>
    <mergeCell ref="J1:L1"/>
    <mergeCell ref="B2:D2"/>
    <mergeCell ref="F2:H2"/>
    <mergeCell ref="J2:L2"/>
    <mergeCell ref="P2:R2"/>
    <mergeCell ref="B3:C3"/>
    <mergeCell ref="F3:G3"/>
    <mergeCell ref="J3:K3"/>
    <mergeCell ref="B4:C4"/>
    <mergeCell ref="F4:G4"/>
    <mergeCell ref="J4:K4"/>
    <mergeCell ref="B5:C5"/>
    <mergeCell ref="F5:G5"/>
    <mergeCell ref="J5:K5"/>
    <mergeCell ref="B6:C6"/>
    <mergeCell ref="F6:G6"/>
    <mergeCell ref="J6:K6"/>
    <mergeCell ref="B9:H9"/>
    <mergeCell ref="B372:H372"/>
    <mergeCell ref="B7:C7"/>
    <mergeCell ref="F7:G7"/>
    <mergeCell ref="J7:K7"/>
    <mergeCell ref="B8:C8"/>
    <mergeCell ref="F8:G8"/>
    <mergeCell ref="J8:K8"/>
  </mergeCells>
  <conditionalFormatting sqref="L8">
    <cfRule type="cellIs" dxfId="6" priority="1" stopIfTrue="1" operator="equal">
      <formula>"KO"</formula>
    </cfRule>
  </conditionalFormatting>
  <hyperlinks>
    <hyperlink ref="J1" r:id="rId1" display="www.cbanque.com"/>
    <hyperlink ref="J1:L1" r:id="rId2" tooltip="Mode d'emploi JxPret sur cbanque.com - site d'information sur les crédits et les placements" display="Lien mode d'emploi"/>
  </hyperlinks>
  <pageMargins left="0.78740157499999996" right="0.78740157499999996" top="0.984251969" bottom="0.984251969" header="0.4921259845" footer="0.4921259845"/>
  <pageSetup paperSize="9"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0000"/>
  </sheetPr>
  <dimension ref="A1:R373"/>
  <sheetViews>
    <sheetView showGridLines="0" workbookViewId="0">
      <pane ySplit="10" topLeftCell="A11" activePane="bottomLeft" state="frozen"/>
      <selection activeCell="J137" sqref="J137"/>
      <selection pane="bottomLeft" activeCell="D4" sqref="D4"/>
    </sheetView>
  </sheetViews>
  <sheetFormatPr baseColWidth="10" defaultRowHeight="12.75" x14ac:dyDescent="0.2"/>
  <cols>
    <col min="1" max="1" width="3.7109375" style="624" customWidth="1"/>
    <col min="2" max="2" width="11.42578125" style="660"/>
    <col min="3" max="3" width="11.42578125" style="624"/>
    <col min="4" max="4" width="16.5703125" style="624" customWidth="1"/>
    <col min="5" max="5" width="11.7109375" style="624" bestFit="1" customWidth="1"/>
    <col min="6" max="6" width="12.140625" style="624" bestFit="1" customWidth="1"/>
    <col min="7" max="7" width="11.42578125" style="624"/>
    <col min="8" max="8" width="14.140625" style="624" customWidth="1"/>
    <col min="9" max="9" width="3.7109375" style="624" customWidth="1"/>
    <col min="10" max="10" width="11.7109375" style="624" bestFit="1" customWidth="1"/>
    <col min="11" max="11" width="11.42578125" style="624"/>
    <col min="12" max="12" width="11.7109375" style="624" bestFit="1" customWidth="1"/>
    <col min="13" max="13" width="3.7109375" style="624" customWidth="1"/>
    <col min="14" max="14" width="21.28515625" style="624" hidden="1" customWidth="1"/>
    <col min="15" max="15" width="11.42578125" style="624" hidden="1" customWidth="1"/>
    <col min="16" max="16" width="6.140625" style="624" hidden="1" customWidth="1"/>
    <col min="17" max="17" width="11.42578125" style="624" hidden="1" customWidth="1"/>
    <col min="18" max="18" width="17.42578125" style="624" hidden="1" customWidth="1"/>
    <col min="19" max="16384" width="11.42578125" style="624"/>
  </cols>
  <sheetData>
    <row r="1" spans="1:18" x14ac:dyDescent="0.2">
      <c r="A1" s="621"/>
      <c r="B1" s="1264" t="s">
        <v>125</v>
      </c>
      <c r="C1" s="1264"/>
      <c r="D1" s="1264"/>
      <c r="E1" s="1264"/>
      <c r="F1" s="1264"/>
      <c r="G1" s="1264"/>
      <c r="H1" s="622" t="s">
        <v>126</v>
      </c>
      <c r="I1" s="623"/>
      <c r="J1" s="1265" t="s">
        <v>127</v>
      </c>
      <c r="K1" s="1265"/>
      <c r="L1" s="1265"/>
      <c r="M1" s="621"/>
    </row>
    <row r="2" spans="1:18" x14ac:dyDescent="0.2">
      <c r="B2" s="1263" t="s">
        <v>128</v>
      </c>
      <c r="C2" s="1263"/>
      <c r="D2" s="1263"/>
      <c r="E2" s="636">
        <v>2016</v>
      </c>
      <c r="F2" s="1263" t="s">
        <v>129</v>
      </c>
      <c r="G2" s="1263"/>
      <c r="H2" s="1263"/>
      <c r="J2" s="1263" t="s">
        <v>130</v>
      </c>
      <c r="K2" s="1263"/>
      <c r="L2" s="1263"/>
      <c r="P2" s="1263" t="s">
        <v>156</v>
      </c>
      <c r="Q2" s="1263"/>
      <c r="R2" s="1263"/>
    </row>
    <row r="3" spans="1:18" x14ac:dyDescent="0.2">
      <c r="B3" s="1259" t="s">
        <v>131</v>
      </c>
      <c r="C3" s="1259"/>
      <c r="D3" s="625">
        <f>Flux!D42</f>
        <v>16973804.931508496</v>
      </c>
      <c r="F3" s="1260" t="str">
        <f>"Montant "&amp;R5&amp;" :"</f>
        <v>Montant mensualité :</v>
      </c>
      <c r="G3" s="1261"/>
      <c r="H3" s="626">
        <f>IF(L7=0,ROUND(D3/L5,R6),ROUND(D3*L7/(1-(1+L7)^-L5),R6))</f>
        <v>206898.38</v>
      </c>
      <c r="J3" s="1256" t="s">
        <v>132</v>
      </c>
      <c r="K3" s="1256"/>
      <c r="L3" s="627">
        <f>ROUND(D5*P5,0)</f>
        <v>120</v>
      </c>
      <c r="N3" s="654"/>
      <c r="O3" s="655"/>
      <c r="P3" s="656" t="s">
        <v>157</v>
      </c>
      <c r="Q3" s="656" t="s">
        <v>158</v>
      </c>
      <c r="R3" s="656" t="s">
        <v>1073</v>
      </c>
    </row>
    <row r="4" spans="1:18" x14ac:dyDescent="0.2">
      <c r="B4" s="1259" t="s">
        <v>133</v>
      </c>
      <c r="C4" s="1259"/>
      <c r="D4" s="628">
        <v>0.04</v>
      </c>
      <c r="F4" s="1257" t="s">
        <v>134</v>
      </c>
      <c r="G4" s="1258"/>
      <c r="H4" s="629">
        <f>ROUND(D3*D7/P5,R6)</f>
        <v>0</v>
      </c>
      <c r="J4" s="1262" t="s">
        <v>135</v>
      </c>
      <c r="K4" s="1262"/>
      <c r="L4" s="627">
        <v>24</v>
      </c>
      <c r="N4" s="627" t="s">
        <v>159</v>
      </c>
      <c r="O4" s="627"/>
      <c r="P4" s="657" t="s">
        <v>160</v>
      </c>
      <c r="Q4" s="627" t="s">
        <v>161</v>
      </c>
      <c r="R4" s="658" t="str">
        <f>IF(LEFT(P4,1)="A","Calcul actuariel","Calcul proportionnel")</f>
        <v>Calcul proportionnel</v>
      </c>
    </row>
    <row r="5" spans="1:18" x14ac:dyDescent="0.2">
      <c r="B5" s="1259" t="s">
        <v>136</v>
      </c>
      <c r="C5" s="1259"/>
      <c r="D5" s="630">
        <v>10</v>
      </c>
      <c r="F5" s="1260" t="s">
        <v>137</v>
      </c>
      <c r="G5" s="1261"/>
      <c r="H5" s="626">
        <f>H6+H7</f>
        <v>8492688.179999996</v>
      </c>
      <c r="J5" s="1262" t="s">
        <v>138</v>
      </c>
      <c r="K5" s="1262"/>
      <c r="L5" s="627">
        <f>L3-L4</f>
        <v>96</v>
      </c>
      <c r="N5" s="627" t="s">
        <v>162</v>
      </c>
      <c r="O5" s="627"/>
      <c r="P5" s="657">
        <v>12</v>
      </c>
      <c r="Q5" s="627" t="s">
        <v>163</v>
      </c>
      <c r="R5" s="658" t="str">
        <f>IF(P5=12,"mensualité",IF(P5=1,"annuité",IF(P5=4,"trimestrialité",IF(P5=2,"semestrialité","ERREUR"))))</f>
        <v>mensualité</v>
      </c>
    </row>
    <row r="6" spans="1:18" x14ac:dyDescent="0.2">
      <c r="B6" s="1253" t="s">
        <v>139</v>
      </c>
      <c r="C6" s="1253"/>
      <c r="D6" s="631"/>
      <c r="F6" s="1254" t="s">
        <v>140</v>
      </c>
      <c r="G6" s="1255"/>
      <c r="H6" s="629">
        <f>E373</f>
        <v>8492688.179999996</v>
      </c>
      <c r="J6" s="1256" t="s">
        <v>141</v>
      </c>
      <c r="K6" s="1256"/>
      <c r="L6" s="627">
        <f>L3*12/P5</f>
        <v>120</v>
      </c>
      <c r="N6" s="627" t="s">
        <v>164</v>
      </c>
      <c r="O6" s="627"/>
      <c r="P6" s="657">
        <v>2</v>
      </c>
      <c r="Q6" s="627" t="s">
        <v>165</v>
      </c>
      <c r="R6" s="658">
        <f>IF(ISNUMBER(P6),P6,2)</f>
        <v>2</v>
      </c>
    </row>
    <row r="7" spans="1:18" x14ac:dyDescent="0.2">
      <c r="B7" s="1253" t="s">
        <v>142</v>
      </c>
      <c r="C7" s="1253"/>
      <c r="D7" s="632"/>
      <c r="E7" s="624">
        <f>D3/E133</f>
        <v>3.9972749668311747</v>
      </c>
      <c r="F7" s="1254" t="s">
        <v>143</v>
      </c>
      <c r="G7" s="1255"/>
      <c r="H7" s="629">
        <f>G373</f>
        <v>0</v>
      </c>
      <c r="J7" s="1256" t="s">
        <v>144</v>
      </c>
      <c r="K7" s="1256"/>
      <c r="L7" s="633">
        <f>IF(D4=0,0,IF(LEFT(P4,1)="A",((D4+1)^(1/P5))-1,D4/P5))</f>
        <v>3.3333333333333335E-3</v>
      </c>
      <c r="N7" s="659"/>
    </row>
    <row r="8" spans="1:18" x14ac:dyDescent="0.2">
      <c r="B8" s="1253" t="s">
        <v>145</v>
      </c>
      <c r="C8" s="1253"/>
      <c r="D8" s="634">
        <f ca="1">NOW()</f>
        <v>42185.546445370368</v>
      </c>
      <c r="F8" s="1257" t="s">
        <v>146</v>
      </c>
      <c r="G8" s="1258"/>
      <c r="H8" s="629">
        <f>F373</f>
        <v>16973804.930000003</v>
      </c>
      <c r="J8" s="1256" t="s">
        <v>147</v>
      </c>
      <c r="K8" s="1256"/>
      <c r="L8" s="635" t="str">
        <f>IF(ABS(H8-D11)&gt;0.01,"KO","Ok")</f>
        <v>Ok</v>
      </c>
    </row>
    <row r="9" spans="1:18" x14ac:dyDescent="0.2">
      <c r="B9" s="1251" t="s">
        <v>148</v>
      </c>
      <c r="C9" s="1251"/>
      <c r="D9" s="1251"/>
      <c r="E9" s="1251"/>
      <c r="F9" s="1251"/>
      <c r="G9" s="1251"/>
      <c r="H9" s="1251"/>
    </row>
    <row r="10" spans="1:18" x14ac:dyDescent="0.2">
      <c r="B10" s="636" t="s">
        <v>149</v>
      </c>
      <c r="C10" s="637" t="s">
        <v>150</v>
      </c>
      <c r="D10" s="637" t="s">
        <v>151</v>
      </c>
      <c r="E10" s="638" t="s">
        <v>152</v>
      </c>
      <c r="F10" s="638" t="s">
        <v>153</v>
      </c>
      <c r="G10" s="638" t="s">
        <v>154</v>
      </c>
      <c r="H10" s="638" t="s">
        <v>155</v>
      </c>
      <c r="J10" s="638"/>
      <c r="K10" s="638"/>
      <c r="L10" s="638"/>
    </row>
    <row r="11" spans="1:18" s="639" customFormat="1" x14ac:dyDescent="0.2">
      <c r="B11" s="640">
        <v>0</v>
      </c>
      <c r="C11" s="641">
        <f ca="1">D8</f>
        <v>42185.546445370368</v>
      </c>
      <c r="D11" s="642">
        <f>ROUND(D3,R6)</f>
        <v>16973804.93</v>
      </c>
      <c r="E11" s="642"/>
      <c r="F11" s="642"/>
      <c r="G11" s="642"/>
      <c r="H11" s="642"/>
    </row>
    <row r="12" spans="1:18" s="639" customFormat="1" x14ac:dyDescent="0.2">
      <c r="B12" s="640">
        <f t="shared" ref="B12:B75" si="0">IF(B11&lt;$L$3,B11+1,"-")</f>
        <v>1</v>
      </c>
      <c r="C12" s="641">
        <f t="shared" ref="C12:C75" ca="1" si="1">IF(ISNUMBER(B12),MIN(DATE(YEAR($C$11),MONTH($C$11)+B12*12/$P$5,DAY($C$11)),DATE(YEAR($C$11),MONTH($C$11)+1+B12*12/$P$5,1)-1),"")</f>
        <v>42215</v>
      </c>
      <c r="D12" s="642">
        <f>IF(ISNUMBER(B12),D11-F11,"")</f>
        <v>16973804.93</v>
      </c>
      <c r="E12" s="642">
        <f t="shared" ref="E12:E75" si="2">IF(ISNUMBER(B12),ROUND(D12*$L$7,$R$6),"")</f>
        <v>56579.35</v>
      </c>
      <c r="F12" s="642">
        <f t="shared" ref="F12:F75" si="3">IF(ISNUMBER(B12),IF(B12=$L$3,D12,IF(B12&gt;$L$4,$H$3-E12,0)),"")</f>
        <v>0</v>
      </c>
      <c r="G12" s="642">
        <f t="shared" ref="G12:G75" si="4">IF(ISNUMBER(B12),$H$4,"")</f>
        <v>0</v>
      </c>
      <c r="H12" s="642">
        <f>IF(ISNUMBER(B12),E12+F12+G12,"")</f>
        <v>56579.35</v>
      </c>
      <c r="J12" s="663"/>
      <c r="K12" s="643"/>
      <c r="L12" s="643"/>
      <c r="M12" s="644"/>
    </row>
    <row r="13" spans="1:18" s="639" customFormat="1" x14ac:dyDescent="0.2">
      <c r="B13" s="640">
        <f t="shared" si="0"/>
        <v>2</v>
      </c>
      <c r="C13" s="641">
        <f t="shared" ca="1" si="1"/>
        <v>42246</v>
      </c>
      <c r="D13" s="642">
        <f t="shared" ref="D13:D26" si="5">IF(ISNUMBER(B13),D12-F12,"")</f>
        <v>16973804.93</v>
      </c>
      <c r="E13" s="642">
        <f t="shared" si="2"/>
        <v>56579.35</v>
      </c>
      <c r="F13" s="642">
        <f t="shared" si="3"/>
        <v>0</v>
      </c>
      <c r="G13" s="642">
        <f t="shared" si="4"/>
        <v>0</v>
      </c>
      <c r="H13" s="642">
        <f t="shared" ref="H13:H26" si="6">IF(ISNUMBER(B13),E13+F13+G13,"")</f>
        <v>56579.35</v>
      </c>
      <c r="J13" s="643"/>
      <c r="K13" s="643"/>
      <c r="L13" s="663"/>
      <c r="M13" s="644"/>
    </row>
    <row r="14" spans="1:18" s="639" customFormat="1" x14ac:dyDescent="0.2">
      <c r="B14" s="640">
        <f t="shared" si="0"/>
        <v>3</v>
      </c>
      <c r="C14" s="641">
        <f t="shared" ca="1" si="1"/>
        <v>42277</v>
      </c>
      <c r="D14" s="642">
        <f t="shared" si="5"/>
        <v>16973804.93</v>
      </c>
      <c r="E14" s="642">
        <f t="shared" si="2"/>
        <v>56579.35</v>
      </c>
      <c r="F14" s="642">
        <f t="shared" si="3"/>
        <v>0</v>
      </c>
      <c r="G14" s="642">
        <f t="shared" si="4"/>
        <v>0</v>
      </c>
      <c r="H14" s="642">
        <f t="shared" si="6"/>
        <v>56579.35</v>
      </c>
      <c r="J14" s="643"/>
      <c r="K14" s="643"/>
      <c r="L14" s="643"/>
      <c r="M14" s="644"/>
    </row>
    <row r="15" spans="1:18" s="639" customFormat="1" x14ac:dyDescent="0.2">
      <c r="B15" s="640">
        <f t="shared" si="0"/>
        <v>4</v>
      </c>
      <c r="C15" s="641">
        <f t="shared" ca="1" si="1"/>
        <v>42307</v>
      </c>
      <c r="D15" s="642">
        <f t="shared" si="5"/>
        <v>16973804.93</v>
      </c>
      <c r="E15" s="642">
        <f t="shared" si="2"/>
        <v>56579.35</v>
      </c>
      <c r="F15" s="642">
        <f t="shared" si="3"/>
        <v>0</v>
      </c>
      <c r="G15" s="642">
        <f t="shared" si="4"/>
        <v>0</v>
      </c>
      <c r="H15" s="642">
        <f t="shared" si="6"/>
        <v>56579.35</v>
      </c>
      <c r="J15" s="643"/>
      <c r="K15" s="643"/>
      <c r="L15" s="643"/>
      <c r="M15" s="644"/>
    </row>
    <row r="16" spans="1:18" s="639" customFormat="1" x14ac:dyDescent="0.2">
      <c r="B16" s="640">
        <f t="shared" si="0"/>
        <v>5</v>
      </c>
      <c r="C16" s="641">
        <f t="shared" ca="1" si="1"/>
        <v>42338</v>
      </c>
      <c r="D16" s="642">
        <f t="shared" si="5"/>
        <v>16973804.93</v>
      </c>
      <c r="E16" s="642">
        <f t="shared" si="2"/>
        <v>56579.35</v>
      </c>
      <c r="F16" s="642">
        <f t="shared" si="3"/>
        <v>0</v>
      </c>
      <c r="G16" s="642">
        <f t="shared" si="4"/>
        <v>0</v>
      </c>
      <c r="H16" s="642">
        <f t="shared" si="6"/>
        <v>56579.35</v>
      </c>
      <c r="J16" s="644"/>
      <c r="K16" s="644"/>
      <c r="L16" s="644"/>
      <c r="M16" s="644"/>
    </row>
    <row r="17" spans="2:13" s="639" customFormat="1" x14ac:dyDescent="0.2">
      <c r="B17" s="640">
        <f t="shared" si="0"/>
        <v>6</v>
      </c>
      <c r="C17" s="641">
        <f t="shared" ca="1" si="1"/>
        <v>42368</v>
      </c>
      <c r="D17" s="642">
        <f t="shared" si="5"/>
        <v>16973804.93</v>
      </c>
      <c r="E17" s="642">
        <f t="shared" si="2"/>
        <v>56579.35</v>
      </c>
      <c r="F17" s="642">
        <f t="shared" si="3"/>
        <v>0</v>
      </c>
      <c r="G17" s="642">
        <f t="shared" si="4"/>
        <v>0</v>
      </c>
      <c r="H17" s="642">
        <f t="shared" si="6"/>
        <v>56579.35</v>
      </c>
      <c r="J17" s="645"/>
      <c r="K17" s="644"/>
      <c r="L17" s="644"/>
      <c r="M17" s="644"/>
    </row>
    <row r="18" spans="2:13" s="639" customFormat="1" x14ac:dyDescent="0.2">
      <c r="B18" s="640">
        <f t="shared" si="0"/>
        <v>7</v>
      </c>
      <c r="C18" s="641">
        <f t="shared" ca="1" si="1"/>
        <v>42399</v>
      </c>
      <c r="D18" s="642">
        <f t="shared" si="5"/>
        <v>16973804.93</v>
      </c>
      <c r="E18" s="642">
        <f t="shared" si="2"/>
        <v>56579.35</v>
      </c>
      <c r="F18" s="642">
        <f t="shared" si="3"/>
        <v>0</v>
      </c>
      <c r="G18" s="642">
        <f t="shared" si="4"/>
        <v>0</v>
      </c>
      <c r="H18" s="642">
        <f t="shared" si="6"/>
        <v>56579.35</v>
      </c>
      <c r="J18" s="644"/>
      <c r="K18" s="644"/>
      <c r="L18" s="644"/>
      <c r="M18" s="644"/>
    </row>
    <row r="19" spans="2:13" s="639" customFormat="1" x14ac:dyDescent="0.2">
      <c r="B19" s="640">
        <f t="shared" si="0"/>
        <v>8</v>
      </c>
      <c r="C19" s="641">
        <f t="shared" ca="1" si="1"/>
        <v>42429</v>
      </c>
      <c r="D19" s="642">
        <f t="shared" si="5"/>
        <v>16973804.93</v>
      </c>
      <c r="E19" s="642">
        <f t="shared" si="2"/>
        <v>56579.35</v>
      </c>
      <c r="F19" s="642">
        <f t="shared" si="3"/>
        <v>0</v>
      </c>
      <c r="G19" s="642">
        <f t="shared" si="4"/>
        <v>0</v>
      </c>
      <c r="H19" s="642">
        <f t="shared" si="6"/>
        <v>56579.35</v>
      </c>
      <c r="J19" s="644"/>
      <c r="K19" s="644"/>
      <c r="L19" s="644"/>
      <c r="M19" s="644"/>
    </row>
    <row r="20" spans="2:13" s="639" customFormat="1" x14ac:dyDescent="0.2">
      <c r="B20" s="640">
        <f t="shared" si="0"/>
        <v>9</v>
      </c>
      <c r="C20" s="641">
        <f t="shared" ca="1" si="1"/>
        <v>42459</v>
      </c>
      <c r="D20" s="642">
        <f t="shared" si="5"/>
        <v>16973804.93</v>
      </c>
      <c r="E20" s="642">
        <f t="shared" si="2"/>
        <v>56579.35</v>
      </c>
      <c r="F20" s="642">
        <f t="shared" si="3"/>
        <v>0</v>
      </c>
      <c r="G20" s="642">
        <f t="shared" si="4"/>
        <v>0</v>
      </c>
      <c r="H20" s="642">
        <f t="shared" si="6"/>
        <v>56579.35</v>
      </c>
      <c r="J20" s="642"/>
      <c r="K20" s="642"/>
      <c r="L20" s="642"/>
    </row>
    <row r="21" spans="2:13" s="639" customFormat="1" x14ac:dyDescent="0.2">
      <c r="B21" s="640">
        <f t="shared" si="0"/>
        <v>10</v>
      </c>
      <c r="C21" s="641">
        <f t="shared" ca="1" si="1"/>
        <v>42490</v>
      </c>
      <c r="D21" s="642">
        <f t="shared" si="5"/>
        <v>16973804.93</v>
      </c>
      <c r="E21" s="642">
        <f t="shared" si="2"/>
        <v>56579.35</v>
      </c>
      <c r="F21" s="642">
        <f t="shared" si="3"/>
        <v>0</v>
      </c>
      <c r="G21" s="642">
        <f t="shared" si="4"/>
        <v>0</v>
      </c>
      <c r="H21" s="642">
        <f t="shared" si="6"/>
        <v>56579.35</v>
      </c>
      <c r="J21" s="642"/>
      <c r="K21" s="642"/>
      <c r="L21" s="642"/>
    </row>
    <row r="22" spans="2:13" s="639" customFormat="1" x14ac:dyDescent="0.2">
      <c r="B22" s="640">
        <f t="shared" si="0"/>
        <v>11</v>
      </c>
      <c r="C22" s="641">
        <f t="shared" ca="1" si="1"/>
        <v>42520</v>
      </c>
      <c r="D22" s="642">
        <f t="shared" si="5"/>
        <v>16973804.93</v>
      </c>
      <c r="E22" s="642">
        <f t="shared" si="2"/>
        <v>56579.35</v>
      </c>
      <c r="F22" s="642">
        <f t="shared" si="3"/>
        <v>0</v>
      </c>
      <c r="G22" s="642">
        <f t="shared" si="4"/>
        <v>0</v>
      </c>
      <c r="H22" s="642">
        <f t="shared" si="6"/>
        <v>56579.35</v>
      </c>
      <c r="J22" s="642"/>
      <c r="K22" s="642"/>
      <c r="L22" s="642"/>
    </row>
    <row r="23" spans="2:13" s="639" customFormat="1" x14ac:dyDescent="0.2">
      <c r="B23" s="640">
        <f t="shared" si="0"/>
        <v>12</v>
      </c>
      <c r="C23" s="641">
        <f t="shared" ca="1" si="1"/>
        <v>42551</v>
      </c>
      <c r="D23" s="642">
        <f t="shared" si="5"/>
        <v>16973804.93</v>
      </c>
      <c r="E23" s="642">
        <f t="shared" si="2"/>
        <v>56579.35</v>
      </c>
      <c r="F23" s="642">
        <f t="shared" si="3"/>
        <v>0</v>
      </c>
      <c r="G23" s="642">
        <f t="shared" si="4"/>
        <v>0</v>
      </c>
      <c r="H23" s="642">
        <f t="shared" si="6"/>
        <v>56579.35</v>
      </c>
      <c r="J23" s="642">
        <f>D11-D23</f>
        <v>0</v>
      </c>
      <c r="K23" s="642"/>
      <c r="L23" s="642"/>
    </row>
    <row r="24" spans="2:13" s="646" customFormat="1" x14ac:dyDescent="0.2">
      <c r="B24" s="647">
        <f t="shared" si="0"/>
        <v>13</v>
      </c>
      <c r="C24" s="648">
        <f t="shared" ca="1" si="1"/>
        <v>42581</v>
      </c>
      <c r="D24" s="649">
        <f t="shared" si="5"/>
        <v>16973804.93</v>
      </c>
      <c r="E24" s="649">
        <f t="shared" si="2"/>
        <v>56579.35</v>
      </c>
      <c r="F24" s="649">
        <f t="shared" si="3"/>
        <v>0</v>
      </c>
      <c r="G24" s="649">
        <f t="shared" si="4"/>
        <v>0</v>
      </c>
      <c r="H24" s="649">
        <f t="shared" si="6"/>
        <v>56579.35</v>
      </c>
      <c r="J24" s="649"/>
      <c r="K24" s="649"/>
      <c r="L24" s="649"/>
    </row>
    <row r="25" spans="2:13" s="646" customFormat="1" x14ac:dyDescent="0.2">
      <c r="B25" s="647">
        <f t="shared" si="0"/>
        <v>14</v>
      </c>
      <c r="C25" s="648">
        <f t="shared" ca="1" si="1"/>
        <v>42612</v>
      </c>
      <c r="D25" s="649">
        <f t="shared" si="5"/>
        <v>16973804.93</v>
      </c>
      <c r="E25" s="649">
        <f t="shared" si="2"/>
        <v>56579.35</v>
      </c>
      <c r="F25" s="649">
        <f t="shared" si="3"/>
        <v>0</v>
      </c>
      <c r="G25" s="649">
        <f t="shared" si="4"/>
        <v>0</v>
      </c>
      <c r="H25" s="649">
        <f t="shared" si="6"/>
        <v>56579.35</v>
      </c>
      <c r="J25" s="649"/>
      <c r="K25" s="649"/>
      <c r="L25" s="649"/>
    </row>
    <row r="26" spans="2:13" s="646" customFormat="1" x14ac:dyDescent="0.2">
      <c r="B26" s="647">
        <f t="shared" si="0"/>
        <v>15</v>
      </c>
      <c r="C26" s="648">
        <f t="shared" ca="1" si="1"/>
        <v>42643</v>
      </c>
      <c r="D26" s="649">
        <f t="shared" si="5"/>
        <v>16973804.93</v>
      </c>
      <c r="E26" s="649">
        <f t="shared" si="2"/>
        <v>56579.35</v>
      </c>
      <c r="F26" s="649">
        <f t="shared" si="3"/>
        <v>0</v>
      </c>
      <c r="G26" s="649">
        <f t="shared" si="4"/>
        <v>0</v>
      </c>
      <c r="H26" s="649">
        <f t="shared" si="6"/>
        <v>56579.35</v>
      </c>
      <c r="J26" s="649"/>
      <c r="K26" s="649"/>
      <c r="L26" s="649"/>
    </row>
    <row r="27" spans="2:13" s="646" customFormat="1" x14ac:dyDescent="0.2">
      <c r="B27" s="647">
        <f t="shared" si="0"/>
        <v>16</v>
      </c>
      <c r="C27" s="648">
        <f t="shared" ca="1" si="1"/>
        <v>42673</v>
      </c>
      <c r="D27" s="649">
        <f t="shared" ref="D27:D48" si="7">IF(ISNUMBER(B27),D26-F26,"")</f>
        <v>16973804.93</v>
      </c>
      <c r="E27" s="649">
        <f t="shared" si="2"/>
        <v>56579.35</v>
      </c>
      <c r="F27" s="649">
        <f t="shared" si="3"/>
        <v>0</v>
      </c>
      <c r="G27" s="649">
        <f t="shared" si="4"/>
        <v>0</v>
      </c>
      <c r="H27" s="649">
        <f t="shared" ref="H27:H48" si="8">IF(ISNUMBER(B27),E27+F27+G27,"")</f>
        <v>56579.35</v>
      </c>
      <c r="J27" s="649"/>
      <c r="K27" s="649"/>
      <c r="L27" s="649"/>
    </row>
    <row r="28" spans="2:13" s="646" customFormat="1" x14ac:dyDescent="0.2">
      <c r="B28" s="647">
        <f t="shared" si="0"/>
        <v>17</v>
      </c>
      <c r="C28" s="648">
        <f t="shared" ca="1" si="1"/>
        <v>42704</v>
      </c>
      <c r="D28" s="649">
        <f t="shared" si="7"/>
        <v>16973804.93</v>
      </c>
      <c r="E28" s="649">
        <f t="shared" si="2"/>
        <v>56579.35</v>
      </c>
      <c r="F28" s="649">
        <f t="shared" si="3"/>
        <v>0</v>
      </c>
      <c r="G28" s="649">
        <f t="shared" si="4"/>
        <v>0</v>
      </c>
      <c r="H28" s="649">
        <f t="shared" si="8"/>
        <v>56579.35</v>
      </c>
      <c r="J28" s="649"/>
      <c r="K28" s="649"/>
      <c r="L28" s="649"/>
    </row>
    <row r="29" spans="2:13" s="646" customFormat="1" x14ac:dyDescent="0.2">
      <c r="B29" s="647">
        <f t="shared" si="0"/>
        <v>18</v>
      </c>
      <c r="C29" s="648">
        <f t="shared" ca="1" si="1"/>
        <v>42734</v>
      </c>
      <c r="D29" s="649">
        <f t="shared" si="7"/>
        <v>16973804.93</v>
      </c>
      <c r="E29" s="649">
        <f t="shared" si="2"/>
        <v>56579.35</v>
      </c>
      <c r="F29" s="649">
        <f t="shared" si="3"/>
        <v>0</v>
      </c>
      <c r="G29" s="649">
        <f t="shared" si="4"/>
        <v>0</v>
      </c>
      <c r="H29" s="649">
        <f t="shared" si="8"/>
        <v>56579.35</v>
      </c>
      <c r="J29" s="649"/>
      <c r="K29" s="649"/>
      <c r="L29" s="649"/>
    </row>
    <row r="30" spans="2:13" s="646" customFormat="1" x14ac:dyDescent="0.2">
      <c r="B30" s="647">
        <f t="shared" si="0"/>
        <v>19</v>
      </c>
      <c r="C30" s="648">
        <f t="shared" ca="1" si="1"/>
        <v>42765</v>
      </c>
      <c r="D30" s="649">
        <f t="shared" si="7"/>
        <v>16973804.93</v>
      </c>
      <c r="E30" s="649">
        <f t="shared" si="2"/>
        <v>56579.35</v>
      </c>
      <c r="F30" s="649">
        <f t="shared" si="3"/>
        <v>0</v>
      </c>
      <c r="G30" s="649">
        <f t="shared" si="4"/>
        <v>0</v>
      </c>
      <c r="H30" s="649">
        <f t="shared" si="8"/>
        <v>56579.35</v>
      </c>
      <c r="J30" s="649"/>
      <c r="K30" s="649"/>
      <c r="L30" s="649"/>
    </row>
    <row r="31" spans="2:13" s="646" customFormat="1" x14ac:dyDescent="0.2">
      <c r="B31" s="647">
        <f t="shared" si="0"/>
        <v>20</v>
      </c>
      <c r="C31" s="648">
        <f t="shared" ca="1" si="1"/>
        <v>42794</v>
      </c>
      <c r="D31" s="649">
        <f t="shared" si="7"/>
        <v>16973804.93</v>
      </c>
      <c r="E31" s="649">
        <f t="shared" si="2"/>
        <v>56579.35</v>
      </c>
      <c r="F31" s="649">
        <f t="shared" si="3"/>
        <v>0</v>
      </c>
      <c r="G31" s="649">
        <f t="shared" si="4"/>
        <v>0</v>
      </c>
      <c r="H31" s="649">
        <f t="shared" si="8"/>
        <v>56579.35</v>
      </c>
      <c r="J31" s="649"/>
      <c r="K31" s="649"/>
      <c r="L31" s="649"/>
    </row>
    <row r="32" spans="2:13" s="646" customFormat="1" x14ac:dyDescent="0.2">
      <c r="B32" s="647">
        <f t="shared" si="0"/>
        <v>21</v>
      </c>
      <c r="C32" s="648">
        <f t="shared" ca="1" si="1"/>
        <v>42824</v>
      </c>
      <c r="D32" s="649">
        <f t="shared" si="7"/>
        <v>16973804.93</v>
      </c>
      <c r="E32" s="649">
        <f t="shared" si="2"/>
        <v>56579.35</v>
      </c>
      <c r="F32" s="649">
        <f t="shared" si="3"/>
        <v>0</v>
      </c>
      <c r="G32" s="649">
        <f t="shared" si="4"/>
        <v>0</v>
      </c>
      <c r="H32" s="649">
        <f t="shared" si="8"/>
        <v>56579.35</v>
      </c>
      <c r="J32" s="649"/>
      <c r="K32" s="649"/>
      <c r="L32" s="649"/>
    </row>
    <row r="33" spans="1:12" s="646" customFormat="1" x14ac:dyDescent="0.2">
      <c r="B33" s="647">
        <f t="shared" si="0"/>
        <v>22</v>
      </c>
      <c r="C33" s="648">
        <f t="shared" ca="1" si="1"/>
        <v>42855</v>
      </c>
      <c r="D33" s="649">
        <f t="shared" si="7"/>
        <v>16973804.93</v>
      </c>
      <c r="E33" s="649">
        <f t="shared" si="2"/>
        <v>56579.35</v>
      </c>
      <c r="F33" s="649">
        <f t="shared" si="3"/>
        <v>0</v>
      </c>
      <c r="G33" s="649">
        <f t="shared" si="4"/>
        <v>0</v>
      </c>
      <c r="H33" s="649">
        <f t="shared" si="8"/>
        <v>56579.35</v>
      </c>
      <c r="J33" s="649"/>
      <c r="K33" s="649"/>
      <c r="L33" s="649"/>
    </row>
    <row r="34" spans="1:12" s="646" customFormat="1" x14ac:dyDescent="0.2">
      <c r="B34" s="647">
        <f t="shared" si="0"/>
        <v>23</v>
      </c>
      <c r="C34" s="648">
        <f t="shared" ca="1" si="1"/>
        <v>42885</v>
      </c>
      <c r="D34" s="649">
        <f t="shared" si="7"/>
        <v>16973804.93</v>
      </c>
      <c r="E34" s="649">
        <f t="shared" si="2"/>
        <v>56579.35</v>
      </c>
      <c r="F34" s="649">
        <f t="shared" si="3"/>
        <v>0</v>
      </c>
      <c r="G34" s="649">
        <f t="shared" si="4"/>
        <v>0</v>
      </c>
      <c r="H34" s="649">
        <f t="shared" si="8"/>
        <v>56579.35</v>
      </c>
      <c r="J34" s="649"/>
      <c r="K34" s="649"/>
      <c r="L34" s="649"/>
    </row>
    <row r="35" spans="1:12" s="646" customFormat="1" x14ac:dyDescent="0.2">
      <c r="B35" s="647">
        <f t="shared" si="0"/>
        <v>24</v>
      </c>
      <c r="C35" s="648">
        <f t="shared" ca="1" si="1"/>
        <v>42916</v>
      </c>
      <c r="D35" s="649">
        <f t="shared" si="7"/>
        <v>16973804.93</v>
      </c>
      <c r="E35" s="649">
        <f t="shared" si="2"/>
        <v>56579.35</v>
      </c>
      <c r="F35" s="649">
        <f t="shared" si="3"/>
        <v>0</v>
      </c>
      <c r="G35" s="649">
        <f t="shared" si="4"/>
        <v>0</v>
      </c>
      <c r="H35" s="649">
        <f t="shared" si="8"/>
        <v>56579.35</v>
      </c>
      <c r="J35" s="642">
        <f>D23-D35</f>
        <v>0</v>
      </c>
      <c r="K35" s="649"/>
      <c r="L35" s="649"/>
    </row>
    <row r="36" spans="1:12" x14ac:dyDescent="0.2">
      <c r="A36" s="639"/>
      <c r="B36" s="640">
        <f t="shared" si="0"/>
        <v>25</v>
      </c>
      <c r="C36" s="641">
        <f t="shared" ca="1" si="1"/>
        <v>42946</v>
      </c>
      <c r="D36" s="642">
        <f t="shared" si="7"/>
        <v>16973804.93</v>
      </c>
      <c r="E36" s="642">
        <f t="shared" si="2"/>
        <v>56579.35</v>
      </c>
      <c r="F36" s="642">
        <f t="shared" si="3"/>
        <v>150319.03</v>
      </c>
      <c r="G36" s="642">
        <f t="shared" si="4"/>
        <v>0</v>
      </c>
      <c r="H36" s="642">
        <f t="shared" si="8"/>
        <v>206898.38</v>
      </c>
      <c r="J36" s="650"/>
      <c r="K36" s="650"/>
      <c r="L36" s="650"/>
    </row>
    <row r="37" spans="1:12" x14ac:dyDescent="0.2">
      <c r="A37" s="639"/>
      <c r="B37" s="640">
        <f t="shared" si="0"/>
        <v>26</v>
      </c>
      <c r="C37" s="641">
        <f t="shared" ca="1" si="1"/>
        <v>42977</v>
      </c>
      <c r="D37" s="642">
        <f t="shared" si="7"/>
        <v>16823485.899999999</v>
      </c>
      <c r="E37" s="642">
        <f t="shared" si="2"/>
        <v>56078.29</v>
      </c>
      <c r="F37" s="642">
        <f t="shared" si="3"/>
        <v>150820.09</v>
      </c>
      <c r="G37" s="642">
        <f t="shared" si="4"/>
        <v>0</v>
      </c>
      <c r="H37" s="642">
        <f t="shared" si="8"/>
        <v>206898.38</v>
      </c>
      <c r="J37" s="650"/>
      <c r="K37" s="650"/>
      <c r="L37" s="650"/>
    </row>
    <row r="38" spans="1:12" x14ac:dyDescent="0.2">
      <c r="A38" s="639"/>
      <c r="B38" s="640">
        <f t="shared" si="0"/>
        <v>27</v>
      </c>
      <c r="C38" s="641">
        <f t="shared" ca="1" si="1"/>
        <v>43008</v>
      </c>
      <c r="D38" s="642">
        <f t="shared" si="7"/>
        <v>16672665.809999999</v>
      </c>
      <c r="E38" s="642">
        <f t="shared" si="2"/>
        <v>55575.55</v>
      </c>
      <c r="F38" s="642">
        <f t="shared" si="3"/>
        <v>151322.83000000002</v>
      </c>
      <c r="G38" s="642">
        <f t="shared" si="4"/>
        <v>0</v>
      </c>
      <c r="H38" s="642">
        <f t="shared" si="8"/>
        <v>206898.38</v>
      </c>
      <c r="J38" s="650"/>
      <c r="K38" s="650"/>
      <c r="L38" s="650"/>
    </row>
    <row r="39" spans="1:12" x14ac:dyDescent="0.2">
      <c r="A39" s="639"/>
      <c r="B39" s="640">
        <f t="shared" si="0"/>
        <v>28</v>
      </c>
      <c r="C39" s="641">
        <f t="shared" ca="1" si="1"/>
        <v>43038</v>
      </c>
      <c r="D39" s="642">
        <f t="shared" si="7"/>
        <v>16521342.979999999</v>
      </c>
      <c r="E39" s="642">
        <f t="shared" si="2"/>
        <v>55071.14</v>
      </c>
      <c r="F39" s="642">
        <f t="shared" si="3"/>
        <v>151827.24</v>
      </c>
      <c r="G39" s="642">
        <f t="shared" si="4"/>
        <v>0</v>
      </c>
      <c r="H39" s="642">
        <f t="shared" si="8"/>
        <v>206898.38</v>
      </c>
      <c r="J39" s="650"/>
      <c r="K39" s="650"/>
      <c r="L39" s="650"/>
    </row>
    <row r="40" spans="1:12" x14ac:dyDescent="0.2">
      <c r="A40" s="639"/>
      <c r="B40" s="640">
        <f t="shared" si="0"/>
        <v>29</v>
      </c>
      <c r="C40" s="641">
        <f t="shared" ca="1" si="1"/>
        <v>43069</v>
      </c>
      <c r="D40" s="642">
        <f t="shared" si="7"/>
        <v>16369515.739999998</v>
      </c>
      <c r="E40" s="642">
        <f t="shared" si="2"/>
        <v>54565.05</v>
      </c>
      <c r="F40" s="642">
        <f t="shared" si="3"/>
        <v>152333.33000000002</v>
      </c>
      <c r="G40" s="642">
        <f t="shared" si="4"/>
        <v>0</v>
      </c>
      <c r="H40" s="642">
        <f t="shared" si="8"/>
        <v>206898.38</v>
      </c>
      <c r="J40" s="650"/>
      <c r="K40" s="650"/>
      <c r="L40" s="650"/>
    </row>
    <row r="41" spans="1:12" x14ac:dyDescent="0.2">
      <c r="A41" s="639"/>
      <c r="B41" s="640">
        <f t="shared" si="0"/>
        <v>30</v>
      </c>
      <c r="C41" s="641">
        <f t="shared" ca="1" si="1"/>
        <v>43099</v>
      </c>
      <c r="D41" s="642">
        <f t="shared" si="7"/>
        <v>16217182.409999998</v>
      </c>
      <c r="E41" s="642">
        <f t="shared" si="2"/>
        <v>54057.27</v>
      </c>
      <c r="F41" s="642">
        <f t="shared" si="3"/>
        <v>152841.11000000002</v>
      </c>
      <c r="G41" s="642">
        <f t="shared" si="4"/>
        <v>0</v>
      </c>
      <c r="H41" s="642">
        <f t="shared" si="8"/>
        <v>206898.38</v>
      </c>
      <c r="J41" s="650"/>
      <c r="K41" s="650"/>
      <c r="L41" s="650"/>
    </row>
    <row r="42" spans="1:12" x14ac:dyDescent="0.2">
      <c r="A42" s="639"/>
      <c r="B42" s="640">
        <f t="shared" si="0"/>
        <v>31</v>
      </c>
      <c r="C42" s="641">
        <f t="shared" ca="1" si="1"/>
        <v>43130</v>
      </c>
      <c r="D42" s="642">
        <f t="shared" si="7"/>
        <v>16064341.299999999</v>
      </c>
      <c r="E42" s="642">
        <f t="shared" si="2"/>
        <v>53547.8</v>
      </c>
      <c r="F42" s="642">
        <f t="shared" si="3"/>
        <v>153350.58000000002</v>
      </c>
      <c r="G42" s="642">
        <f t="shared" si="4"/>
        <v>0</v>
      </c>
      <c r="H42" s="642">
        <f t="shared" si="8"/>
        <v>206898.38</v>
      </c>
      <c r="J42" s="650"/>
      <c r="K42" s="650"/>
      <c r="L42" s="650"/>
    </row>
    <row r="43" spans="1:12" x14ac:dyDescent="0.2">
      <c r="A43" s="639"/>
      <c r="B43" s="640">
        <f t="shared" si="0"/>
        <v>32</v>
      </c>
      <c r="C43" s="641">
        <f t="shared" ca="1" si="1"/>
        <v>43159</v>
      </c>
      <c r="D43" s="642">
        <f t="shared" si="7"/>
        <v>15910990.719999999</v>
      </c>
      <c r="E43" s="642">
        <f t="shared" si="2"/>
        <v>53036.639999999999</v>
      </c>
      <c r="F43" s="642">
        <f t="shared" si="3"/>
        <v>153861.74</v>
      </c>
      <c r="G43" s="642">
        <f t="shared" si="4"/>
        <v>0</v>
      </c>
      <c r="H43" s="642">
        <f t="shared" si="8"/>
        <v>206898.38</v>
      </c>
      <c r="J43" s="650"/>
      <c r="K43" s="650"/>
      <c r="L43" s="650"/>
    </row>
    <row r="44" spans="1:12" x14ac:dyDescent="0.2">
      <c r="A44" s="639"/>
      <c r="B44" s="640">
        <f t="shared" si="0"/>
        <v>33</v>
      </c>
      <c r="C44" s="641">
        <f t="shared" ca="1" si="1"/>
        <v>43189</v>
      </c>
      <c r="D44" s="642">
        <f t="shared" si="7"/>
        <v>15757128.979999999</v>
      </c>
      <c r="E44" s="642">
        <f t="shared" si="2"/>
        <v>52523.76</v>
      </c>
      <c r="F44" s="642">
        <f t="shared" si="3"/>
        <v>154374.62</v>
      </c>
      <c r="G44" s="642">
        <f t="shared" si="4"/>
        <v>0</v>
      </c>
      <c r="H44" s="642">
        <f t="shared" si="8"/>
        <v>206898.38</v>
      </c>
      <c r="J44" s="650"/>
      <c r="K44" s="650"/>
      <c r="L44" s="650"/>
    </row>
    <row r="45" spans="1:12" x14ac:dyDescent="0.2">
      <c r="A45" s="639"/>
      <c r="B45" s="640">
        <f t="shared" si="0"/>
        <v>34</v>
      </c>
      <c r="C45" s="641">
        <f t="shared" ca="1" si="1"/>
        <v>43220</v>
      </c>
      <c r="D45" s="642">
        <f t="shared" si="7"/>
        <v>15602754.359999999</v>
      </c>
      <c r="E45" s="642">
        <f t="shared" si="2"/>
        <v>52009.18</v>
      </c>
      <c r="F45" s="642">
        <f t="shared" si="3"/>
        <v>154889.20000000001</v>
      </c>
      <c r="G45" s="642">
        <f t="shared" si="4"/>
        <v>0</v>
      </c>
      <c r="H45" s="642">
        <f t="shared" si="8"/>
        <v>206898.38</v>
      </c>
      <c r="J45" s="650"/>
      <c r="K45" s="650"/>
      <c r="L45" s="650"/>
    </row>
    <row r="46" spans="1:12" x14ac:dyDescent="0.2">
      <c r="A46" s="639"/>
      <c r="B46" s="640">
        <f t="shared" si="0"/>
        <v>35</v>
      </c>
      <c r="C46" s="641">
        <f t="shared" ca="1" si="1"/>
        <v>43250</v>
      </c>
      <c r="D46" s="642">
        <f t="shared" si="7"/>
        <v>15447865.16</v>
      </c>
      <c r="E46" s="642">
        <f t="shared" si="2"/>
        <v>51492.88</v>
      </c>
      <c r="F46" s="642">
        <f t="shared" si="3"/>
        <v>155405.5</v>
      </c>
      <c r="G46" s="642">
        <f t="shared" si="4"/>
        <v>0</v>
      </c>
      <c r="H46" s="642">
        <f t="shared" si="8"/>
        <v>206898.38</v>
      </c>
      <c r="J46" s="650"/>
      <c r="K46" s="650"/>
      <c r="L46" s="650"/>
    </row>
    <row r="47" spans="1:12" x14ac:dyDescent="0.2">
      <c r="A47" s="639"/>
      <c r="B47" s="640">
        <f t="shared" si="0"/>
        <v>36</v>
      </c>
      <c r="C47" s="641">
        <f t="shared" ca="1" si="1"/>
        <v>43281</v>
      </c>
      <c r="D47" s="642">
        <f t="shared" si="7"/>
        <v>15292459.66</v>
      </c>
      <c r="E47" s="642">
        <f t="shared" si="2"/>
        <v>50974.87</v>
      </c>
      <c r="F47" s="642">
        <f t="shared" si="3"/>
        <v>155923.51</v>
      </c>
      <c r="G47" s="642">
        <f t="shared" si="4"/>
        <v>0</v>
      </c>
      <c r="H47" s="642">
        <f t="shared" si="8"/>
        <v>206898.38</v>
      </c>
      <c r="J47" s="642">
        <f>D35-D47</f>
        <v>1681345.2699999996</v>
      </c>
      <c r="K47" s="650"/>
      <c r="L47" s="650"/>
    </row>
    <row r="48" spans="1:12" x14ac:dyDescent="0.2">
      <c r="B48" s="647">
        <f t="shared" si="0"/>
        <v>37</v>
      </c>
      <c r="C48" s="648">
        <f t="shared" ca="1" si="1"/>
        <v>43311</v>
      </c>
      <c r="D48" s="649">
        <f t="shared" si="7"/>
        <v>15136536.15</v>
      </c>
      <c r="E48" s="649">
        <f t="shared" si="2"/>
        <v>50455.12</v>
      </c>
      <c r="F48" s="649">
        <f t="shared" si="3"/>
        <v>156443.26</v>
      </c>
      <c r="G48" s="649">
        <f t="shared" si="4"/>
        <v>0</v>
      </c>
      <c r="H48" s="649">
        <f t="shared" si="8"/>
        <v>206898.38</v>
      </c>
      <c r="J48" s="650"/>
      <c r="K48" s="650"/>
      <c r="L48" s="650"/>
    </row>
    <row r="49" spans="2:12" x14ac:dyDescent="0.2">
      <c r="B49" s="647">
        <f t="shared" si="0"/>
        <v>38</v>
      </c>
      <c r="C49" s="648">
        <f t="shared" ca="1" si="1"/>
        <v>43342</v>
      </c>
      <c r="D49" s="649">
        <f t="shared" ref="D49:D112" si="9">IF(ISNUMBER(B49),D48-F48,"")</f>
        <v>14980092.890000001</v>
      </c>
      <c r="E49" s="649">
        <f t="shared" si="2"/>
        <v>49933.64</v>
      </c>
      <c r="F49" s="649">
        <f t="shared" si="3"/>
        <v>156964.74</v>
      </c>
      <c r="G49" s="649">
        <f t="shared" si="4"/>
        <v>0</v>
      </c>
      <c r="H49" s="649">
        <f t="shared" ref="H49:H112" si="10">IF(ISNUMBER(B49),E49+F49+G49,"")</f>
        <v>206898.38</v>
      </c>
      <c r="J49" s="650"/>
      <c r="K49" s="650"/>
      <c r="L49" s="650"/>
    </row>
    <row r="50" spans="2:12" x14ac:dyDescent="0.2">
      <c r="B50" s="647">
        <f t="shared" si="0"/>
        <v>39</v>
      </c>
      <c r="C50" s="648">
        <f t="shared" ca="1" si="1"/>
        <v>43373</v>
      </c>
      <c r="D50" s="649">
        <f t="shared" si="9"/>
        <v>14823128.15</v>
      </c>
      <c r="E50" s="649">
        <f t="shared" si="2"/>
        <v>49410.43</v>
      </c>
      <c r="F50" s="649">
        <f t="shared" si="3"/>
        <v>157487.95000000001</v>
      </c>
      <c r="G50" s="649">
        <f t="shared" si="4"/>
        <v>0</v>
      </c>
      <c r="H50" s="649">
        <f t="shared" si="10"/>
        <v>206898.38</v>
      </c>
      <c r="J50" s="650"/>
      <c r="K50" s="650"/>
      <c r="L50" s="650"/>
    </row>
    <row r="51" spans="2:12" x14ac:dyDescent="0.2">
      <c r="B51" s="647">
        <f t="shared" si="0"/>
        <v>40</v>
      </c>
      <c r="C51" s="648">
        <f t="shared" ca="1" si="1"/>
        <v>43403</v>
      </c>
      <c r="D51" s="649">
        <f t="shared" si="9"/>
        <v>14665640.200000001</v>
      </c>
      <c r="E51" s="649">
        <f t="shared" si="2"/>
        <v>48885.47</v>
      </c>
      <c r="F51" s="649">
        <f t="shared" si="3"/>
        <v>158012.91</v>
      </c>
      <c r="G51" s="649">
        <f t="shared" si="4"/>
        <v>0</v>
      </c>
      <c r="H51" s="649">
        <f t="shared" si="10"/>
        <v>206898.38</v>
      </c>
      <c r="J51" s="650"/>
      <c r="K51" s="650"/>
      <c r="L51" s="650"/>
    </row>
    <row r="52" spans="2:12" x14ac:dyDescent="0.2">
      <c r="B52" s="647">
        <f t="shared" si="0"/>
        <v>41</v>
      </c>
      <c r="C52" s="648">
        <f t="shared" ca="1" si="1"/>
        <v>43434</v>
      </c>
      <c r="D52" s="649">
        <f t="shared" si="9"/>
        <v>14507627.290000001</v>
      </c>
      <c r="E52" s="649">
        <f t="shared" si="2"/>
        <v>48358.76</v>
      </c>
      <c r="F52" s="649">
        <f t="shared" si="3"/>
        <v>158539.62</v>
      </c>
      <c r="G52" s="649">
        <f t="shared" si="4"/>
        <v>0</v>
      </c>
      <c r="H52" s="649">
        <f t="shared" si="10"/>
        <v>206898.38</v>
      </c>
      <c r="J52" s="650"/>
      <c r="K52" s="650"/>
      <c r="L52" s="650"/>
    </row>
    <row r="53" spans="2:12" x14ac:dyDescent="0.2">
      <c r="B53" s="647">
        <f t="shared" si="0"/>
        <v>42</v>
      </c>
      <c r="C53" s="648">
        <f t="shared" ca="1" si="1"/>
        <v>43464</v>
      </c>
      <c r="D53" s="649">
        <f t="shared" si="9"/>
        <v>14349087.670000002</v>
      </c>
      <c r="E53" s="649">
        <f t="shared" si="2"/>
        <v>47830.29</v>
      </c>
      <c r="F53" s="649">
        <f t="shared" si="3"/>
        <v>159068.09</v>
      </c>
      <c r="G53" s="649">
        <f t="shared" si="4"/>
        <v>0</v>
      </c>
      <c r="H53" s="649">
        <f t="shared" si="10"/>
        <v>206898.38</v>
      </c>
      <c r="J53" s="650"/>
      <c r="K53" s="650"/>
      <c r="L53" s="650"/>
    </row>
    <row r="54" spans="2:12" x14ac:dyDescent="0.2">
      <c r="B54" s="647">
        <f t="shared" si="0"/>
        <v>43</v>
      </c>
      <c r="C54" s="648">
        <f t="shared" ca="1" si="1"/>
        <v>43495</v>
      </c>
      <c r="D54" s="649">
        <f t="shared" si="9"/>
        <v>14190019.580000002</v>
      </c>
      <c r="E54" s="649">
        <f t="shared" si="2"/>
        <v>47300.07</v>
      </c>
      <c r="F54" s="649">
        <f t="shared" si="3"/>
        <v>159598.31</v>
      </c>
      <c r="G54" s="649">
        <f t="shared" si="4"/>
        <v>0</v>
      </c>
      <c r="H54" s="649">
        <f t="shared" si="10"/>
        <v>206898.38</v>
      </c>
      <c r="J54" s="650"/>
      <c r="K54" s="650"/>
      <c r="L54" s="650"/>
    </row>
    <row r="55" spans="2:12" x14ac:dyDescent="0.2">
      <c r="B55" s="647">
        <f t="shared" si="0"/>
        <v>44</v>
      </c>
      <c r="C55" s="648">
        <f t="shared" ca="1" si="1"/>
        <v>43524</v>
      </c>
      <c r="D55" s="649">
        <f t="shared" si="9"/>
        <v>14030421.270000001</v>
      </c>
      <c r="E55" s="649">
        <f t="shared" si="2"/>
        <v>46768.07</v>
      </c>
      <c r="F55" s="649">
        <f t="shared" si="3"/>
        <v>160130.31</v>
      </c>
      <c r="G55" s="649">
        <f t="shared" si="4"/>
        <v>0</v>
      </c>
      <c r="H55" s="649">
        <f t="shared" si="10"/>
        <v>206898.38</v>
      </c>
      <c r="J55" s="650"/>
      <c r="K55" s="650"/>
      <c r="L55" s="650"/>
    </row>
    <row r="56" spans="2:12" x14ac:dyDescent="0.2">
      <c r="B56" s="647">
        <f t="shared" si="0"/>
        <v>45</v>
      </c>
      <c r="C56" s="648">
        <f t="shared" ca="1" si="1"/>
        <v>43554</v>
      </c>
      <c r="D56" s="649">
        <f t="shared" si="9"/>
        <v>13870290.960000001</v>
      </c>
      <c r="E56" s="649">
        <f t="shared" si="2"/>
        <v>46234.3</v>
      </c>
      <c r="F56" s="649">
        <f t="shared" si="3"/>
        <v>160664.08000000002</v>
      </c>
      <c r="G56" s="649">
        <f t="shared" si="4"/>
        <v>0</v>
      </c>
      <c r="H56" s="649">
        <f t="shared" si="10"/>
        <v>206898.38</v>
      </c>
      <c r="J56" s="650"/>
      <c r="K56" s="650"/>
      <c r="L56" s="650"/>
    </row>
    <row r="57" spans="2:12" x14ac:dyDescent="0.2">
      <c r="B57" s="647">
        <f t="shared" si="0"/>
        <v>46</v>
      </c>
      <c r="C57" s="648">
        <f t="shared" ca="1" si="1"/>
        <v>43585</v>
      </c>
      <c r="D57" s="649">
        <f t="shared" si="9"/>
        <v>13709626.880000001</v>
      </c>
      <c r="E57" s="649">
        <f t="shared" si="2"/>
        <v>45698.76</v>
      </c>
      <c r="F57" s="649">
        <f t="shared" si="3"/>
        <v>161199.62</v>
      </c>
      <c r="G57" s="649">
        <f t="shared" si="4"/>
        <v>0</v>
      </c>
      <c r="H57" s="649">
        <f t="shared" si="10"/>
        <v>206898.38</v>
      </c>
      <c r="J57" s="650"/>
      <c r="K57" s="650"/>
      <c r="L57" s="650"/>
    </row>
    <row r="58" spans="2:12" x14ac:dyDescent="0.2">
      <c r="B58" s="647">
        <f t="shared" si="0"/>
        <v>47</v>
      </c>
      <c r="C58" s="648">
        <f t="shared" ca="1" si="1"/>
        <v>43615</v>
      </c>
      <c r="D58" s="649">
        <f t="shared" si="9"/>
        <v>13548427.260000002</v>
      </c>
      <c r="E58" s="649">
        <f t="shared" si="2"/>
        <v>45161.42</v>
      </c>
      <c r="F58" s="649">
        <f t="shared" si="3"/>
        <v>161736.96000000002</v>
      </c>
      <c r="G58" s="649">
        <f t="shared" si="4"/>
        <v>0</v>
      </c>
      <c r="H58" s="649">
        <f t="shared" si="10"/>
        <v>206898.38</v>
      </c>
      <c r="J58" s="650"/>
      <c r="K58" s="650"/>
      <c r="L58" s="650"/>
    </row>
    <row r="59" spans="2:12" x14ac:dyDescent="0.2">
      <c r="B59" s="647">
        <f t="shared" si="0"/>
        <v>48</v>
      </c>
      <c r="C59" s="648">
        <f t="shared" ca="1" si="1"/>
        <v>43646</v>
      </c>
      <c r="D59" s="649">
        <f t="shared" si="9"/>
        <v>13386690.300000001</v>
      </c>
      <c r="E59" s="649">
        <f t="shared" si="2"/>
        <v>44622.3</v>
      </c>
      <c r="F59" s="649">
        <f t="shared" si="3"/>
        <v>162276.08000000002</v>
      </c>
      <c r="G59" s="649">
        <f t="shared" si="4"/>
        <v>0</v>
      </c>
      <c r="H59" s="649">
        <f t="shared" si="10"/>
        <v>206898.38</v>
      </c>
      <c r="J59" s="642">
        <f>D47-D59</f>
        <v>1905769.3599999994</v>
      </c>
      <c r="K59" s="650"/>
      <c r="L59" s="650"/>
    </row>
    <row r="60" spans="2:12" x14ac:dyDescent="0.2">
      <c r="B60" s="640">
        <f t="shared" si="0"/>
        <v>49</v>
      </c>
      <c r="C60" s="641">
        <f t="shared" ca="1" si="1"/>
        <v>43676</v>
      </c>
      <c r="D60" s="642">
        <f t="shared" si="9"/>
        <v>13224414.220000001</v>
      </c>
      <c r="E60" s="642">
        <f t="shared" si="2"/>
        <v>44081.38</v>
      </c>
      <c r="F60" s="642">
        <f t="shared" si="3"/>
        <v>162817</v>
      </c>
      <c r="G60" s="642">
        <f t="shared" si="4"/>
        <v>0</v>
      </c>
      <c r="H60" s="642">
        <f t="shared" si="10"/>
        <v>206898.38</v>
      </c>
      <c r="J60" s="650"/>
      <c r="K60" s="650"/>
      <c r="L60" s="650"/>
    </row>
    <row r="61" spans="2:12" x14ac:dyDescent="0.2">
      <c r="B61" s="640">
        <f t="shared" si="0"/>
        <v>50</v>
      </c>
      <c r="C61" s="641">
        <f t="shared" ca="1" si="1"/>
        <v>43707</v>
      </c>
      <c r="D61" s="642">
        <f t="shared" si="9"/>
        <v>13061597.220000001</v>
      </c>
      <c r="E61" s="642">
        <f t="shared" si="2"/>
        <v>43538.66</v>
      </c>
      <c r="F61" s="642">
        <f t="shared" si="3"/>
        <v>163359.72</v>
      </c>
      <c r="G61" s="642">
        <f t="shared" si="4"/>
        <v>0</v>
      </c>
      <c r="H61" s="642">
        <f t="shared" si="10"/>
        <v>206898.38</v>
      </c>
      <c r="J61" s="650"/>
      <c r="K61" s="650"/>
      <c r="L61" s="650"/>
    </row>
    <row r="62" spans="2:12" x14ac:dyDescent="0.2">
      <c r="B62" s="640">
        <f t="shared" si="0"/>
        <v>51</v>
      </c>
      <c r="C62" s="641">
        <f t="shared" ca="1" si="1"/>
        <v>43738</v>
      </c>
      <c r="D62" s="642">
        <f t="shared" si="9"/>
        <v>12898237.5</v>
      </c>
      <c r="E62" s="642">
        <f t="shared" si="2"/>
        <v>42994.13</v>
      </c>
      <c r="F62" s="642">
        <f t="shared" si="3"/>
        <v>163904.25</v>
      </c>
      <c r="G62" s="642">
        <f t="shared" si="4"/>
        <v>0</v>
      </c>
      <c r="H62" s="642">
        <f t="shared" si="10"/>
        <v>206898.38</v>
      </c>
      <c r="J62" s="650"/>
      <c r="K62" s="650"/>
      <c r="L62" s="650"/>
    </row>
    <row r="63" spans="2:12" x14ac:dyDescent="0.2">
      <c r="B63" s="640">
        <f t="shared" si="0"/>
        <v>52</v>
      </c>
      <c r="C63" s="641">
        <f t="shared" ca="1" si="1"/>
        <v>43768</v>
      </c>
      <c r="D63" s="642">
        <f t="shared" si="9"/>
        <v>12734333.25</v>
      </c>
      <c r="E63" s="642">
        <f t="shared" si="2"/>
        <v>42447.78</v>
      </c>
      <c r="F63" s="642">
        <f t="shared" si="3"/>
        <v>164450.6</v>
      </c>
      <c r="G63" s="642">
        <f t="shared" si="4"/>
        <v>0</v>
      </c>
      <c r="H63" s="642">
        <f t="shared" si="10"/>
        <v>206898.38</v>
      </c>
      <c r="J63" s="650"/>
      <c r="K63" s="650"/>
      <c r="L63" s="650"/>
    </row>
    <row r="64" spans="2:12" x14ac:dyDescent="0.2">
      <c r="B64" s="640">
        <f t="shared" si="0"/>
        <v>53</v>
      </c>
      <c r="C64" s="641">
        <f t="shared" ca="1" si="1"/>
        <v>43799</v>
      </c>
      <c r="D64" s="642">
        <f t="shared" si="9"/>
        <v>12569882.65</v>
      </c>
      <c r="E64" s="642">
        <f t="shared" si="2"/>
        <v>41899.61</v>
      </c>
      <c r="F64" s="642">
        <f t="shared" si="3"/>
        <v>164998.77000000002</v>
      </c>
      <c r="G64" s="642">
        <f t="shared" si="4"/>
        <v>0</v>
      </c>
      <c r="H64" s="642">
        <f t="shared" si="10"/>
        <v>206898.38</v>
      </c>
      <c r="J64" s="650"/>
      <c r="K64" s="650"/>
      <c r="L64" s="650"/>
    </row>
    <row r="65" spans="2:12" x14ac:dyDescent="0.2">
      <c r="B65" s="640">
        <f t="shared" si="0"/>
        <v>54</v>
      </c>
      <c r="C65" s="641">
        <f t="shared" ca="1" si="1"/>
        <v>43829</v>
      </c>
      <c r="D65" s="642">
        <f t="shared" si="9"/>
        <v>12404883.880000001</v>
      </c>
      <c r="E65" s="642">
        <f t="shared" si="2"/>
        <v>41349.61</v>
      </c>
      <c r="F65" s="642">
        <f t="shared" si="3"/>
        <v>165548.77000000002</v>
      </c>
      <c r="G65" s="642">
        <f t="shared" si="4"/>
        <v>0</v>
      </c>
      <c r="H65" s="642">
        <f t="shared" si="10"/>
        <v>206898.38</v>
      </c>
      <c r="J65" s="650"/>
      <c r="K65" s="650"/>
      <c r="L65" s="650"/>
    </row>
    <row r="66" spans="2:12" x14ac:dyDescent="0.2">
      <c r="B66" s="640">
        <f t="shared" si="0"/>
        <v>55</v>
      </c>
      <c r="C66" s="641">
        <f t="shared" ca="1" si="1"/>
        <v>43860</v>
      </c>
      <c r="D66" s="642">
        <f t="shared" si="9"/>
        <v>12239335.110000001</v>
      </c>
      <c r="E66" s="642">
        <f t="shared" si="2"/>
        <v>40797.78</v>
      </c>
      <c r="F66" s="642">
        <f t="shared" si="3"/>
        <v>166100.6</v>
      </c>
      <c r="G66" s="642">
        <f t="shared" si="4"/>
        <v>0</v>
      </c>
      <c r="H66" s="642">
        <f t="shared" si="10"/>
        <v>206898.38</v>
      </c>
      <c r="J66" s="650"/>
      <c r="K66" s="650"/>
      <c r="L66" s="650"/>
    </row>
    <row r="67" spans="2:12" x14ac:dyDescent="0.2">
      <c r="B67" s="640">
        <f t="shared" si="0"/>
        <v>56</v>
      </c>
      <c r="C67" s="641">
        <f t="shared" ca="1" si="1"/>
        <v>43890</v>
      </c>
      <c r="D67" s="642">
        <f t="shared" si="9"/>
        <v>12073234.510000002</v>
      </c>
      <c r="E67" s="642">
        <f t="shared" si="2"/>
        <v>40244.120000000003</v>
      </c>
      <c r="F67" s="642">
        <f t="shared" si="3"/>
        <v>166654.26</v>
      </c>
      <c r="G67" s="642">
        <f t="shared" si="4"/>
        <v>0</v>
      </c>
      <c r="H67" s="642">
        <f t="shared" si="10"/>
        <v>206898.38</v>
      </c>
      <c r="J67" s="650"/>
      <c r="K67" s="650"/>
      <c r="L67" s="650"/>
    </row>
    <row r="68" spans="2:12" x14ac:dyDescent="0.2">
      <c r="B68" s="640">
        <f t="shared" si="0"/>
        <v>57</v>
      </c>
      <c r="C68" s="641">
        <f t="shared" ca="1" si="1"/>
        <v>43920</v>
      </c>
      <c r="D68" s="642">
        <f t="shared" si="9"/>
        <v>11906580.250000002</v>
      </c>
      <c r="E68" s="642">
        <f t="shared" si="2"/>
        <v>39688.6</v>
      </c>
      <c r="F68" s="642">
        <f t="shared" si="3"/>
        <v>167209.78</v>
      </c>
      <c r="G68" s="642">
        <f t="shared" si="4"/>
        <v>0</v>
      </c>
      <c r="H68" s="642">
        <f t="shared" si="10"/>
        <v>206898.38</v>
      </c>
      <c r="J68" s="650"/>
      <c r="K68" s="650"/>
      <c r="L68" s="650"/>
    </row>
    <row r="69" spans="2:12" x14ac:dyDescent="0.2">
      <c r="B69" s="640">
        <f t="shared" si="0"/>
        <v>58</v>
      </c>
      <c r="C69" s="641">
        <f t="shared" ca="1" si="1"/>
        <v>43951</v>
      </c>
      <c r="D69" s="642">
        <f t="shared" si="9"/>
        <v>11739370.470000003</v>
      </c>
      <c r="E69" s="642">
        <f t="shared" si="2"/>
        <v>39131.230000000003</v>
      </c>
      <c r="F69" s="642">
        <f t="shared" si="3"/>
        <v>167767.15</v>
      </c>
      <c r="G69" s="642">
        <f t="shared" si="4"/>
        <v>0</v>
      </c>
      <c r="H69" s="642">
        <f t="shared" si="10"/>
        <v>206898.38</v>
      </c>
      <c r="J69" s="650"/>
      <c r="K69" s="650"/>
      <c r="L69" s="650"/>
    </row>
    <row r="70" spans="2:12" x14ac:dyDescent="0.2">
      <c r="B70" s="640">
        <f t="shared" si="0"/>
        <v>59</v>
      </c>
      <c r="C70" s="641">
        <f t="shared" ca="1" si="1"/>
        <v>43981</v>
      </c>
      <c r="D70" s="642">
        <f t="shared" si="9"/>
        <v>11571603.320000002</v>
      </c>
      <c r="E70" s="642">
        <f t="shared" si="2"/>
        <v>38572.01</v>
      </c>
      <c r="F70" s="642">
        <f t="shared" si="3"/>
        <v>168326.37</v>
      </c>
      <c r="G70" s="642">
        <f t="shared" si="4"/>
        <v>0</v>
      </c>
      <c r="H70" s="642">
        <f t="shared" si="10"/>
        <v>206898.38</v>
      </c>
      <c r="J70" s="650"/>
      <c r="K70" s="650"/>
      <c r="L70" s="650"/>
    </row>
    <row r="71" spans="2:12" x14ac:dyDescent="0.2">
      <c r="B71" s="640">
        <f t="shared" si="0"/>
        <v>60</v>
      </c>
      <c r="C71" s="641">
        <f t="shared" ca="1" si="1"/>
        <v>44012</v>
      </c>
      <c r="D71" s="642">
        <f t="shared" si="9"/>
        <v>11403276.950000003</v>
      </c>
      <c r="E71" s="642">
        <f t="shared" si="2"/>
        <v>38010.92</v>
      </c>
      <c r="F71" s="642">
        <f t="shared" si="3"/>
        <v>168887.46000000002</v>
      </c>
      <c r="G71" s="642">
        <f t="shared" si="4"/>
        <v>0</v>
      </c>
      <c r="H71" s="642">
        <f t="shared" si="10"/>
        <v>206898.38</v>
      </c>
      <c r="J71" s="642">
        <f>D59-D71</f>
        <v>1983413.3499999978</v>
      </c>
      <c r="K71" s="650"/>
      <c r="L71" s="650"/>
    </row>
    <row r="72" spans="2:12" x14ac:dyDescent="0.2">
      <c r="B72" s="647">
        <f t="shared" si="0"/>
        <v>61</v>
      </c>
      <c r="C72" s="648">
        <f t="shared" ca="1" si="1"/>
        <v>44042</v>
      </c>
      <c r="D72" s="649">
        <f t="shared" si="9"/>
        <v>11234389.490000002</v>
      </c>
      <c r="E72" s="649">
        <f t="shared" si="2"/>
        <v>37447.96</v>
      </c>
      <c r="F72" s="649">
        <f t="shared" si="3"/>
        <v>169450.42</v>
      </c>
      <c r="G72" s="649">
        <f t="shared" si="4"/>
        <v>0</v>
      </c>
      <c r="H72" s="649">
        <f t="shared" si="10"/>
        <v>206898.38</v>
      </c>
      <c r="J72" s="650"/>
      <c r="K72" s="650"/>
      <c r="L72" s="650"/>
    </row>
    <row r="73" spans="2:12" x14ac:dyDescent="0.2">
      <c r="B73" s="647">
        <f t="shared" si="0"/>
        <v>62</v>
      </c>
      <c r="C73" s="648">
        <f t="shared" ca="1" si="1"/>
        <v>44073</v>
      </c>
      <c r="D73" s="649">
        <f t="shared" si="9"/>
        <v>11064939.070000002</v>
      </c>
      <c r="E73" s="649">
        <f t="shared" si="2"/>
        <v>36883.129999999997</v>
      </c>
      <c r="F73" s="649">
        <f t="shared" si="3"/>
        <v>170015.25</v>
      </c>
      <c r="G73" s="649">
        <f t="shared" si="4"/>
        <v>0</v>
      </c>
      <c r="H73" s="649">
        <f t="shared" si="10"/>
        <v>206898.38</v>
      </c>
      <c r="J73" s="650"/>
      <c r="K73" s="650"/>
      <c r="L73" s="650"/>
    </row>
    <row r="74" spans="2:12" x14ac:dyDescent="0.2">
      <c r="B74" s="647">
        <f t="shared" si="0"/>
        <v>63</v>
      </c>
      <c r="C74" s="648">
        <f t="shared" ca="1" si="1"/>
        <v>44104</v>
      </c>
      <c r="D74" s="649">
        <f t="shared" si="9"/>
        <v>10894923.820000002</v>
      </c>
      <c r="E74" s="649">
        <f t="shared" si="2"/>
        <v>36316.410000000003</v>
      </c>
      <c r="F74" s="649">
        <f t="shared" si="3"/>
        <v>170581.97</v>
      </c>
      <c r="G74" s="649">
        <f t="shared" si="4"/>
        <v>0</v>
      </c>
      <c r="H74" s="649">
        <f t="shared" si="10"/>
        <v>206898.38</v>
      </c>
      <c r="J74" s="650"/>
      <c r="K74" s="650"/>
      <c r="L74" s="650"/>
    </row>
    <row r="75" spans="2:12" x14ac:dyDescent="0.2">
      <c r="B75" s="647">
        <f t="shared" si="0"/>
        <v>64</v>
      </c>
      <c r="C75" s="648">
        <f t="shared" ca="1" si="1"/>
        <v>44134</v>
      </c>
      <c r="D75" s="649">
        <f t="shared" si="9"/>
        <v>10724341.850000001</v>
      </c>
      <c r="E75" s="649">
        <f t="shared" si="2"/>
        <v>35747.81</v>
      </c>
      <c r="F75" s="649">
        <f t="shared" si="3"/>
        <v>171150.57</v>
      </c>
      <c r="G75" s="649">
        <f t="shared" si="4"/>
        <v>0</v>
      </c>
      <c r="H75" s="649">
        <f t="shared" si="10"/>
        <v>206898.38</v>
      </c>
      <c r="J75" s="650"/>
      <c r="K75" s="650"/>
      <c r="L75" s="650"/>
    </row>
    <row r="76" spans="2:12" x14ac:dyDescent="0.2">
      <c r="B76" s="647">
        <f t="shared" ref="B76:B139" si="11">IF(B75&lt;$L$3,B75+1,"-")</f>
        <v>65</v>
      </c>
      <c r="C76" s="648">
        <f t="shared" ref="C76:C139" ca="1" si="12">IF(ISNUMBER(B76),MIN(DATE(YEAR($C$11),MONTH($C$11)+B76*12/$P$5,DAY($C$11)),DATE(YEAR($C$11),MONTH($C$11)+1+B76*12/$P$5,1)-1),"")</f>
        <v>44165</v>
      </c>
      <c r="D76" s="649">
        <f t="shared" si="9"/>
        <v>10553191.280000001</v>
      </c>
      <c r="E76" s="649">
        <f t="shared" ref="E76:E139" si="13">IF(ISNUMBER(B76),ROUND(D76*$L$7,$R$6),"")</f>
        <v>35177.300000000003</v>
      </c>
      <c r="F76" s="649">
        <f t="shared" ref="F76:F139" si="14">IF(ISNUMBER(B76),IF(B76=$L$3,D76,IF(B76&gt;$L$4,$H$3-E76,0)),"")</f>
        <v>171721.08000000002</v>
      </c>
      <c r="G76" s="649">
        <f t="shared" ref="G76:G139" si="15">IF(ISNUMBER(B76),$H$4,"")</f>
        <v>0</v>
      </c>
      <c r="H76" s="649">
        <f t="shared" si="10"/>
        <v>206898.38</v>
      </c>
      <c r="J76" s="650"/>
      <c r="K76" s="650"/>
      <c r="L76" s="650"/>
    </row>
    <row r="77" spans="2:12" x14ac:dyDescent="0.2">
      <c r="B77" s="647">
        <f t="shared" si="11"/>
        <v>66</v>
      </c>
      <c r="C77" s="648">
        <f t="shared" ca="1" si="12"/>
        <v>44195</v>
      </c>
      <c r="D77" s="649">
        <f t="shared" si="9"/>
        <v>10381470.200000001</v>
      </c>
      <c r="E77" s="649">
        <f t="shared" si="13"/>
        <v>34604.9</v>
      </c>
      <c r="F77" s="649">
        <f t="shared" si="14"/>
        <v>172293.48</v>
      </c>
      <c r="G77" s="649">
        <f t="shared" si="15"/>
        <v>0</v>
      </c>
      <c r="H77" s="649">
        <f t="shared" si="10"/>
        <v>206898.38</v>
      </c>
      <c r="J77" s="650"/>
      <c r="K77" s="650"/>
      <c r="L77" s="650"/>
    </row>
    <row r="78" spans="2:12" x14ac:dyDescent="0.2">
      <c r="B78" s="647">
        <f t="shared" si="11"/>
        <v>67</v>
      </c>
      <c r="C78" s="648">
        <f t="shared" ca="1" si="12"/>
        <v>44226</v>
      </c>
      <c r="D78" s="649">
        <f t="shared" si="9"/>
        <v>10209176.720000001</v>
      </c>
      <c r="E78" s="649">
        <f t="shared" si="13"/>
        <v>34030.589999999997</v>
      </c>
      <c r="F78" s="649">
        <f t="shared" si="14"/>
        <v>172867.79</v>
      </c>
      <c r="G78" s="649">
        <f t="shared" si="15"/>
        <v>0</v>
      </c>
      <c r="H78" s="649">
        <f t="shared" si="10"/>
        <v>206898.38</v>
      </c>
      <c r="J78" s="650"/>
      <c r="K78" s="650"/>
      <c r="L78" s="650"/>
    </row>
    <row r="79" spans="2:12" x14ac:dyDescent="0.2">
      <c r="B79" s="647">
        <f t="shared" si="11"/>
        <v>68</v>
      </c>
      <c r="C79" s="648">
        <f t="shared" ca="1" si="12"/>
        <v>44255</v>
      </c>
      <c r="D79" s="649">
        <f t="shared" si="9"/>
        <v>10036308.930000002</v>
      </c>
      <c r="E79" s="649">
        <f t="shared" si="13"/>
        <v>33454.36</v>
      </c>
      <c r="F79" s="649">
        <f t="shared" si="14"/>
        <v>173444.02000000002</v>
      </c>
      <c r="G79" s="649">
        <f t="shared" si="15"/>
        <v>0</v>
      </c>
      <c r="H79" s="649">
        <f t="shared" si="10"/>
        <v>206898.38</v>
      </c>
      <c r="J79" s="650"/>
      <c r="K79" s="650"/>
      <c r="L79" s="650"/>
    </row>
    <row r="80" spans="2:12" x14ac:dyDescent="0.2">
      <c r="B80" s="647">
        <f t="shared" si="11"/>
        <v>69</v>
      </c>
      <c r="C80" s="648">
        <f t="shared" ca="1" si="12"/>
        <v>44285</v>
      </c>
      <c r="D80" s="649">
        <f t="shared" si="9"/>
        <v>9862864.910000002</v>
      </c>
      <c r="E80" s="649">
        <f t="shared" si="13"/>
        <v>32876.22</v>
      </c>
      <c r="F80" s="649">
        <f t="shared" si="14"/>
        <v>174022.16</v>
      </c>
      <c r="G80" s="649">
        <f t="shared" si="15"/>
        <v>0</v>
      </c>
      <c r="H80" s="649">
        <f t="shared" si="10"/>
        <v>206898.38</v>
      </c>
      <c r="J80" s="650"/>
      <c r="K80" s="650"/>
      <c r="L80" s="650"/>
    </row>
    <row r="81" spans="2:12" x14ac:dyDescent="0.2">
      <c r="B81" s="647">
        <f t="shared" si="11"/>
        <v>70</v>
      </c>
      <c r="C81" s="648">
        <f t="shared" ca="1" si="12"/>
        <v>44316</v>
      </c>
      <c r="D81" s="649">
        <f t="shared" si="9"/>
        <v>9688842.7500000019</v>
      </c>
      <c r="E81" s="649">
        <f t="shared" si="13"/>
        <v>32296.14</v>
      </c>
      <c r="F81" s="649">
        <f t="shared" si="14"/>
        <v>174602.23999999999</v>
      </c>
      <c r="G81" s="649">
        <f t="shared" si="15"/>
        <v>0</v>
      </c>
      <c r="H81" s="649">
        <f t="shared" si="10"/>
        <v>206898.38</v>
      </c>
      <c r="J81" s="650"/>
      <c r="K81" s="650"/>
      <c r="L81" s="650"/>
    </row>
    <row r="82" spans="2:12" x14ac:dyDescent="0.2">
      <c r="B82" s="647">
        <f t="shared" si="11"/>
        <v>71</v>
      </c>
      <c r="C82" s="648">
        <f t="shared" ca="1" si="12"/>
        <v>44346</v>
      </c>
      <c r="D82" s="649">
        <f t="shared" si="9"/>
        <v>9514240.5100000016</v>
      </c>
      <c r="E82" s="649">
        <f t="shared" si="13"/>
        <v>31714.14</v>
      </c>
      <c r="F82" s="649">
        <f t="shared" si="14"/>
        <v>175184.24</v>
      </c>
      <c r="G82" s="649">
        <f t="shared" si="15"/>
        <v>0</v>
      </c>
      <c r="H82" s="649">
        <f t="shared" si="10"/>
        <v>206898.38</v>
      </c>
      <c r="J82" s="650"/>
      <c r="K82" s="650"/>
      <c r="L82" s="650"/>
    </row>
    <row r="83" spans="2:12" x14ac:dyDescent="0.2">
      <c r="B83" s="647">
        <f t="shared" si="11"/>
        <v>72</v>
      </c>
      <c r="C83" s="648">
        <f t="shared" ca="1" si="12"/>
        <v>44377</v>
      </c>
      <c r="D83" s="649">
        <f t="shared" si="9"/>
        <v>9339056.2700000014</v>
      </c>
      <c r="E83" s="649">
        <f t="shared" si="13"/>
        <v>31130.19</v>
      </c>
      <c r="F83" s="649">
        <f t="shared" si="14"/>
        <v>175768.19</v>
      </c>
      <c r="G83" s="649">
        <f t="shared" si="15"/>
        <v>0</v>
      </c>
      <c r="H83" s="649">
        <f t="shared" si="10"/>
        <v>206898.38</v>
      </c>
      <c r="J83" s="642">
        <f>D71-D83</f>
        <v>2064220.6800000016</v>
      </c>
      <c r="K83" s="650"/>
      <c r="L83" s="650"/>
    </row>
    <row r="84" spans="2:12" x14ac:dyDescent="0.2">
      <c r="B84" s="651">
        <f t="shared" si="11"/>
        <v>73</v>
      </c>
      <c r="C84" s="652">
        <f t="shared" ca="1" si="12"/>
        <v>44407</v>
      </c>
      <c r="D84" s="653">
        <f t="shared" si="9"/>
        <v>9163288.0800000019</v>
      </c>
      <c r="E84" s="653">
        <f t="shared" si="13"/>
        <v>30544.29</v>
      </c>
      <c r="F84" s="653">
        <f t="shared" si="14"/>
        <v>176354.09</v>
      </c>
      <c r="G84" s="653">
        <f t="shared" si="15"/>
        <v>0</v>
      </c>
      <c r="H84" s="653">
        <f t="shared" si="10"/>
        <v>206898.38</v>
      </c>
      <c r="J84" s="650"/>
      <c r="K84" s="650"/>
      <c r="L84" s="650"/>
    </row>
    <row r="85" spans="2:12" x14ac:dyDescent="0.2">
      <c r="B85" s="651">
        <f t="shared" si="11"/>
        <v>74</v>
      </c>
      <c r="C85" s="652">
        <f t="shared" ca="1" si="12"/>
        <v>44438</v>
      </c>
      <c r="D85" s="653">
        <f t="shared" si="9"/>
        <v>8986933.9900000021</v>
      </c>
      <c r="E85" s="653">
        <f t="shared" si="13"/>
        <v>29956.45</v>
      </c>
      <c r="F85" s="653">
        <f t="shared" si="14"/>
        <v>176941.93</v>
      </c>
      <c r="G85" s="653">
        <f t="shared" si="15"/>
        <v>0</v>
      </c>
      <c r="H85" s="653">
        <f t="shared" si="10"/>
        <v>206898.38</v>
      </c>
      <c r="J85" s="650"/>
      <c r="K85" s="650"/>
      <c r="L85" s="650"/>
    </row>
    <row r="86" spans="2:12" x14ac:dyDescent="0.2">
      <c r="B86" s="651">
        <f t="shared" si="11"/>
        <v>75</v>
      </c>
      <c r="C86" s="652">
        <f t="shared" ca="1" si="12"/>
        <v>44469</v>
      </c>
      <c r="D86" s="653">
        <f t="shared" si="9"/>
        <v>8809992.0600000024</v>
      </c>
      <c r="E86" s="653">
        <f t="shared" si="13"/>
        <v>29366.639999999999</v>
      </c>
      <c r="F86" s="653">
        <f t="shared" si="14"/>
        <v>177531.74</v>
      </c>
      <c r="G86" s="653">
        <f t="shared" si="15"/>
        <v>0</v>
      </c>
      <c r="H86" s="653">
        <f t="shared" si="10"/>
        <v>206898.38</v>
      </c>
      <c r="J86" s="650"/>
      <c r="K86" s="650"/>
      <c r="L86" s="650"/>
    </row>
    <row r="87" spans="2:12" x14ac:dyDescent="0.2">
      <c r="B87" s="651">
        <f t="shared" si="11"/>
        <v>76</v>
      </c>
      <c r="C87" s="652">
        <f t="shared" ca="1" si="12"/>
        <v>44499</v>
      </c>
      <c r="D87" s="653">
        <f t="shared" si="9"/>
        <v>8632460.3200000022</v>
      </c>
      <c r="E87" s="653">
        <f t="shared" si="13"/>
        <v>28774.87</v>
      </c>
      <c r="F87" s="653">
        <f t="shared" si="14"/>
        <v>178123.51</v>
      </c>
      <c r="G87" s="653">
        <f t="shared" si="15"/>
        <v>0</v>
      </c>
      <c r="H87" s="653">
        <f t="shared" si="10"/>
        <v>206898.38</v>
      </c>
      <c r="J87" s="650"/>
      <c r="K87" s="650"/>
      <c r="L87" s="650"/>
    </row>
    <row r="88" spans="2:12" x14ac:dyDescent="0.2">
      <c r="B88" s="651">
        <f t="shared" si="11"/>
        <v>77</v>
      </c>
      <c r="C88" s="652">
        <f t="shared" ca="1" si="12"/>
        <v>44530</v>
      </c>
      <c r="D88" s="653">
        <f t="shared" si="9"/>
        <v>8454336.8100000024</v>
      </c>
      <c r="E88" s="653">
        <f t="shared" si="13"/>
        <v>28181.119999999999</v>
      </c>
      <c r="F88" s="653">
        <f t="shared" si="14"/>
        <v>178717.26</v>
      </c>
      <c r="G88" s="653">
        <f t="shared" si="15"/>
        <v>0</v>
      </c>
      <c r="H88" s="653">
        <f t="shared" si="10"/>
        <v>206898.38</v>
      </c>
      <c r="J88" s="650"/>
      <c r="K88" s="650"/>
      <c r="L88" s="650"/>
    </row>
    <row r="89" spans="2:12" x14ac:dyDescent="0.2">
      <c r="B89" s="651">
        <f t="shared" si="11"/>
        <v>78</v>
      </c>
      <c r="C89" s="652">
        <f t="shared" ca="1" si="12"/>
        <v>44560</v>
      </c>
      <c r="D89" s="653">
        <f t="shared" si="9"/>
        <v>8275619.5500000026</v>
      </c>
      <c r="E89" s="653">
        <f t="shared" si="13"/>
        <v>27585.4</v>
      </c>
      <c r="F89" s="653">
        <f t="shared" si="14"/>
        <v>179312.98</v>
      </c>
      <c r="G89" s="653">
        <f t="shared" si="15"/>
        <v>0</v>
      </c>
      <c r="H89" s="653">
        <f t="shared" si="10"/>
        <v>206898.38</v>
      </c>
      <c r="J89" s="650"/>
      <c r="K89" s="650"/>
      <c r="L89" s="650"/>
    </row>
    <row r="90" spans="2:12" x14ac:dyDescent="0.2">
      <c r="B90" s="651">
        <f t="shared" si="11"/>
        <v>79</v>
      </c>
      <c r="C90" s="652">
        <f t="shared" ca="1" si="12"/>
        <v>44591</v>
      </c>
      <c r="D90" s="653">
        <f t="shared" si="9"/>
        <v>8096306.5700000022</v>
      </c>
      <c r="E90" s="653">
        <f t="shared" si="13"/>
        <v>26987.69</v>
      </c>
      <c r="F90" s="653">
        <f t="shared" si="14"/>
        <v>179910.69</v>
      </c>
      <c r="G90" s="653">
        <f t="shared" si="15"/>
        <v>0</v>
      </c>
      <c r="H90" s="653">
        <f t="shared" si="10"/>
        <v>206898.38</v>
      </c>
      <c r="J90" s="650"/>
      <c r="K90" s="650"/>
      <c r="L90" s="650"/>
    </row>
    <row r="91" spans="2:12" x14ac:dyDescent="0.2">
      <c r="B91" s="651">
        <f t="shared" si="11"/>
        <v>80</v>
      </c>
      <c r="C91" s="652">
        <f t="shared" ca="1" si="12"/>
        <v>44620</v>
      </c>
      <c r="D91" s="653">
        <f t="shared" si="9"/>
        <v>7916395.8800000018</v>
      </c>
      <c r="E91" s="653">
        <f t="shared" si="13"/>
        <v>26387.99</v>
      </c>
      <c r="F91" s="653">
        <f t="shared" si="14"/>
        <v>180510.39</v>
      </c>
      <c r="G91" s="653">
        <f t="shared" si="15"/>
        <v>0</v>
      </c>
      <c r="H91" s="653">
        <f t="shared" si="10"/>
        <v>206898.38</v>
      </c>
      <c r="J91" s="650"/>
      <c r="K91" s="650"/>
      <c r="L91" s="650"/>
    </row>
    <row r="92" spans="2:12" x14ac:dyDescent="0.2">
      <c r="B92" s="651">
        <f t="shared" si="11"/>
        <v>81</v>
      </c>
      <c r="C92" s="652">
        <f t="shared" ca="1" si="12"/>
        <v>44650</v>
      </c>
      <c r="D92" s="653">
        <f t="shared" si="9"/>
        <v>7735885.4900000021</v>
      </c>
      <c r="E92" s="653">
        <f t="shared" si="13"/>
        <v>25786.28</v>
      </c>
      <c r="F92" s="653">
        <f t="shared" si="14"/>
        <v>181112.1</v>
      </c>
      <c r="G92" s="653">
        <f t="shared" si="15"/>
        <v>0</v>
      </c>
      <c r="H92" s="653">
        <f t="shared" si="10"/>
        <v>206898.38</v>
      </c>
      <c r="J92" s="650"/>
      <c r="K92" s="650"/>
      <c r="L92" s="650"/>
    </row>
    <row r="93" spans="2:12" x14ac:dyDescent="0.2">
      <c r="B93" s="651">
        <f t="shared" si="11"/>
        <v>82</v>
      </c>
      <c r="C93" s="652">
        <f t="shared" ca="1" si="12"/>
        <v>44681</v>
      </c>
      <c r="D93" s="653">
        <f t="shared" si="9"/>
        <v>7554773.3900000025</v>
      </c>
      <c r="E93" s="653">
        <f t="shared" si="13"/>
        <v>25182.58</v>
      </c>
      <c r="F93" s="653">
        <f t="shared" si="14"/>
        <v>181715.8</v>
      </c>
      <c r="G93" s="653">
        <f t="shared" si="15"/>
        <v>0</v>
      </c>
      <c r="H93" s="653">
        <f t="shared" si="10"/>
        <v>206898.38</v>
      </c>
      <c r="J93" s="650"/>
      <c r="K93" s="650"/>
      <c r="L93" s="650"/>
    </row>
    <row r="94" spans="2:12" x14ac:dyDescent="0.2">
      <c r="B94" s="651">
        <f t="shared" si="11"/>
        <v>83</v>
      </c>
      <c r="C94" s="652">
        <f t="shared" ca="1" si="12"/>
        <v>44711</v>
      </c>
      <c r="D94" s="653">
        <f t="shared" si="9"/>
        <v>7373057.5900000026</v>
      </c>
      <c r="E94" s="653">
        <f t="shared" si="13"/>
        <v>24576.86</v>
      </c>
      <c r="F94" s="653">
        <f t="shared" si="14"/>
        <v>182321.52000000002</v>
      </c>
      <c r="G94" s="653">
        <f t="shared" si="15"/>
        <v>0</v>
      </c>
      <c r="H94" s="653">
        <f t="shared" si="10"/>
        <v>206898.38</v>
      </c>
      <c r="J94" s="650"/>
      <c r="K94" s="650"/>
      <c r="L94" s="650"/>
    </row>
    <row r="95" spans="2:12" x14ac:dyDescent="0.2">
      <c r="B95" s="651">
        <f t="shared" si="11"/>
        <v>84</v>
      </c>
      <c r="C95" s="652">
        <f t="shared" ca="1" si="12"/>
        <v>44742</v>
      </c>
      <c r="D95" s="653">
        <f t="shared" si="9"/>
        <v>7190736.0700000022</v>
      </c>
      <c r="E95" s="653">
        <f t="shared" si="13"/>
        <v>23969.119999999999</v>
      </c>
      <c r="F95" s="653">
        <f t="shared" si="14"/>
        <v>182929.26</v>
      </c>
      <c r="G95" s="653">
        <f t="shared" si="15"/>
        <v>0</v>
      </c>
      <c r="H95" s="653">
        <f t="shared" si="10"/>
        <v>206898.38</v>
      </c>
      <c r="J95" s="642">
        <f>D83-D95</f>
        <v>2148320.1999999993</v>
      </c>
      <c r="K95" s="650"/>
      <c r="L95" s="650"/>
    </row>
    <row r="96" spans="2:12" x14ac:dyDescent="0.2">
      <c r="B96" s="647">
        <f t="shared" si="11"/>
        <v>85</v>
      </c>
      <c r="C96" s="648">
        <f t="shared" ca="1" si="12"/>
        <v>44772</v>
      </c>
      <c r="D96" s="649">
        <f t="shared" si="9"/>
        <v>7007806.8100000024</v>
      </c>
      <c r="E96" s="649">
        <f t="shared" si="13"/>
        <v>23359.360000000001</v>
      </c>
      <c r="F96" s="649">
        <f t="shared" si="14"/>
        <v>183539.02000000002</v>
      </c>
      <c r="G96" s="649">
        <f t="shared" si="15"/>
        <v>0</v>
      </c>
      <c r="H96" s="649">
        <f t="shared" si="10"/>
        <v>206898.38</v>
      </c>
      <c r="J96" s="650"/>
      <c r="K96" s="650"/>
      <c r="L96" s="650"/>
    </row>
    <row r="97" spans="2:12" x14ac:dyDescent="0.2">
      <c r="B97" s="647">
        <f t="shared" si="11"/>
        <v>86</v>
      </c>
      <c r="C97" s="648">
        <f t="shared" ca="1" si="12"/>
        <v>44803</v>
      </c>
      <c r="D97" s="649">
        <f t="shared" si="9"/>
        <v>6824267.7900000028</v>
      </c>
      <c r="E97" s="649">
        <f t="shared" si="13"/>
        <v>22747.56</v>
      </c>
      <c r="F97" s="649">
        <f t="shared" si="14"/>
        <v>184150.82</v>
      </c>
      <c r="G97" s="649">
        <f t="shared" si="15"/>
        <v>0</v>
      </c>
      <c r="H97" s="649">
        <f t="shared" si="10"/>
        <v>206898.38</v>
      </c>
      <c r="J97" s="650"/>
      <c r="K97" s="650"/>
      <c r="L97" s="650"/>
    </row>
    <row r="98" spans="2:12" x14ac:dyDescent="0.2">
      <c r="B98" s="647">
        <f t="shared" si="11"/>
        <v>87</v>
      </c>
      <c r="C98" s="648">
        <f t="shared" ca="1" si="12"/>
        <v>44834</v>
      </c>
      <c r="D98" s="649">
        <f t="shared" si="9"/>
        <v>6640116.9700000025</v>
      </c>
      <c r="E98" s="649">
        <f t="shared" si="13"/>
        <v>22133.72</v>
      </c>
      <c r="F98" s="649">
        <f t="shared" si="14"/>
        <v>184764.66</v>
      </c>
      <c r="G98" s="649">
        <f t="shared" si="15"/>
        <v>0</v>
      </c>
      <c r="H98" s="649">
        <f t="shared" si="10"/>
        <v>206898.38</v>
      </c>
      <c r="J98" s="650"/>
      <c r="K98" s="650"/>
      <c r="L98" s="650"/>
    </row>
    <row r="99" spans="2:12" x14ac:dyDescent="0.2">
      <c r="B99" s="647">
        <f t="shared" si="11"/>
        <v>88</v>
      </c>
      <c r="C99" s="648">
        <f t="shared" ca="1" si="12"/>
        <v>44864</v>
      </c>
      <c r="D99" s="649">
        <f t="shared" si="9"/>
        <v>6455352.3100000024</v>
      </c>
      <c r="E99" s="649">
        <f t="shared" si="13"/>
        <v>21517.84</v>
      </c>
      <c r="F99" s="649">
        <f t="shared" si="14"/>
        <v>185380.54</v>
      </c>
      <c r="G99" s="649">
        <f t="shared" si="15"/>
        <v>0</v>
      </c>
      <c r="H99" s="649">
        <f t="shared" si="10"/>
        <v>206898.38</v>
      </c>
      <c r="J99" s="650"/>
      <c r="K99" s="650"/>
      <c r="L99" s="650"/>
    </row>
    <row r="100" spans="2:12" x14ac:dyDescent="0.2">
      <c r="B100" s="647">
        <f t="shared" si="11"/>
        <v>89</v>
      </c>
      <c r="C100" s="648">
        <f t="shared" ca="1" si="12"/>
        <v>44895</v>
      </c>
      <c r="D100" s="649">
        <f t="shared" si="9"/>
        <v>6269971.7700000023</v>
      </c>
      <c r="E100" s="649">
        <f t="shared" si="13"/>
        <v>20899.91</v>
      </c>
      <c r="F100" s="649">
        <f t="shared" si="14"/>
        <v>185998.47</v>
      </c>
      <c r="G100" s="649">
        <f t="shared" si="15"/>
        <v>0</v>
      </c>
      <c r="H100" s="649">
        <f t="shared" si="10"/>
        <v>206898.38</v>
      </c>
      <c r="J100" s="650"/>
      <c r="K100" s="650"/>
      <c r="L100" s="650"/>
    </row>
    <row r="101" spans="2:12" x14ac:dyDescent="0.2">
      <c r="B101" s="647">
        <f t="shared" si="11"/>
        <v>90</v>
      </c>
      <c r="C101" s="648">
        <f t="shared" ca="1" si="12"/>
        <v>44925</v>
      </c>
      <c r="D101" s="649">
        <f t="shared" si="9"/>
        <v>6083973.3000000026</v>
      </c>
      <c r="E101" s="649">
        <f t="shared" si="13"/>
        <v>20279.91</v>
      </c>
      <c r="F101" s="649">
        <f t="shared" si="14"/>
        <v>186618.47</v>
      </c>
      <c r="G101" s="649">
        <f t="shared" si="15"/>
        <v>0</v>
      </c>
      <c r="H101" s="649">
        <f t="shared" si="10"/>
        <v>206898.38</v>
      </c>
      <c r="J101" s="650"/>
      <c r="K101" s="650"/>
      <c r="L101" s="650"/>
    </row>
    <row r="102" spans="2:12" x14ac:dyDescent="0.2">
      <c r="B102" s="647">
        <f t="shared" si="11"/>
        <v>91</v>
      </c>
      <c r="C102" s="648">
        <f t="shared" ca="1" si="12"/>
        <v>44956</v>
      </c>
      <c r="D102" s="649">
        <f t="shared" si="9"/>
        <v>5897354.8300000029</v>
      </c>
      <c r="E102" s="649">
        <f t="shared" si="13"/>
        <v>19657.849999999999</v>
      </c>
      <c r="F102" s="649">
        <f t="shared" si="14"/>
        <v>187240.53</v>
      </c>
      <c r="G102" s="649">
        <f t="shared" si="15"/>
        <v>0</v>
      </c>
      <c r="H102" s="649">
        <f t="shared" si="10"/>
        <v>206898.38</v>
      </c>
      <c r="J102" s="650"/>
      <c r="K102" s="650"/>
      <c r="L102" s="650"/>
    </row>
    <row r="103" spans="2:12" x14ac:dyDescent="0.2">
      <c r="B103" s="647">
        <f t="shared" si="11"/>
        <v>92</v>
      </c>
      <c r="C103" s="648">
        <f t="shared" ca="1" si="12"/>
        <v>44985</v>
      </c>
      <c r="D103" s="649">
        <f t="shared" si="9"/>
        <v>5710114.3000000026</v>
      </c>
      <c r="E103" s="649">
        <f t="shared" si="13"/>
        <v>19033.71</v>
      </c>
      <c r="F103" s="649">
        <f t="shared" si="14"/>
        <v>187864.67</v>
      </c>
      <c r="G103" s="649">
        <f t="shared" si="15"/>
        <v>0</v>
      </c>
      <c r="H103" s="649">
        <f t="shared" si="10"/>
        <v>206898.38</v>
      </c>
      <c r="J103" s="650"/>
      <c r="K103" s="650"/>
      <c r="L103" s="650"/>
    </row>
    <row r="104" spans="2:12" x14ac:dyDescent="0.2">
      <c r="B104" s="647">
        <f t="shared" si="11"/>
        <v>93</v>
      </c>
      <c r="C104" s="648">
        <f t="shared" ca="1" si="12"/>
        <v>45015</v>
      </c>
      <c r="D104" s="649">
        <f t="shared" si="9"/>
        <v>5522249.6300000027</v>
      </c>
      <c r="E104" s="649">
        <f t="shared" si="13"/>
        <v>18407.5</v>
      </c>
      <c r="F104" s="649">
        <f t="shared" si="14"/>
        <v>188490.88</v>
      </c>
      <c r="G104" s="649">
        <f t="shared" si="15"/>
        <v>0</v>
      </c>
      <c r="H104" s="649">
        <f t="shared" si="10"/>
        <v>206898.38</v>
      </c>
      <c r="J104" s="650"/>
      <c r="K104" s="650"/>
      <c r="L104" s="650"/>
    </row>
    <row r="105" spans="2:12" x14ac:dyDescent="0.2">
      <c r="B105" s="647">
        <f t="shared" si="11"/>
        <v>94</v>
      </c>
      <c r="C105" s="648">
        <f t="shared" ca="1" si="12"/>
        <v>45046</v>
      </c>
      <c r="D105" s="649">
        <f t="shared" si="9"/>
        <v>5333758.7500000028</v>
      </c>
      <c r="E105" s="649">
        <f t="shared" si="13"/>
        <v>17779.2</v>
      </c>
      <c r="F105" s="649">
        <f t="shared" si="14"/>
        <v>189119.18</v>
      </c>
      <c r="G105" s="649">
        <f t="shared" si="15"/>
        <v>0</v>
      </c>
      <c r="H105" s="649">
        <f t="shared" si="10"/>
        <v>206898.38</v>
      </c>
      <c r="J105" s="650"/>
      <c r="K105" s="650"/>
      <c r="L105" s="650"/>
    </row>
    <row r="106" spans="2:12" x14ac:dyDescent="0.2">
      <c r="B106" s="647">
        <f t="shared" si="11"/>
        <v>95</v>
      </c>
      <c r="C106" s="648">
        <f t="shared" ca="1" si="12"/>
        <v>45076</v>
      </c>
      <c r="D106" s="649">
        <f t="shared" si="9"/>
        <v>5144639.5700000031</v>
      </c>
      <c r="E106" s="649">
        <f t="shared" si="13"/>
        <v>17148.8</v>
      </c>
      <c r="F106" s="649">
        <f t="shared" si="14"/>
        <v>189749.58000000002</v>
      </c>
      <c r="G106" s="649">
        <f t="shared" si="15"/>
        <v>0</v>
      </c>
      <c r="H106" s="649">
        <f t="shared" si="10"/>
        <v>206898.38</v>
      </c>
      <c r="J106" s="650"/>
      <c r="K106" s="650"/>
      <c r="L106" s="650"/>
    </row>
    <row r="107" spans="2:12" x14ac:dyDescent="0.2">
      <c r="B107" s="647">
        <f t="shared" si="11"/>
        <v>96</v>
      </c>
      <c r="C107" s="648">
        <f t="shared" ca="1" si="12"/>
        <v>45107</v>
      </c>
      <c r="D107" s="649">
        <f t="shared" si="9"/>
        <v>4954889.990000003</v>
      </c>
      <c r="E107" s="649">
        <f t="shared" si="13"/>
        <v>16516.3</v>
      </c>
      <c r="F107" s="649">
        <f t="shared" si="14"/>
        <v>190382.08000000002</v>
      </c>
      <c r="G107" s="649">
        <f t="shared" si="15"/>
        <v>0</v>
      </c>
      <c r="H107" s="649">
        <f t="shared" si="10"/>
        <v>206898.38</v>
      </c>
      <c r="J107" s="642">
        <f>D95-D107</f>
        <v>2235846.0799999991</v>
      </c>
      <c r="K107" s="650"/>
      <c r="L107" s="650"/>
    </row>
    <row r="108" spans="2:12" x14ac:dyDescent="0.2">
      <c r="B108" s="651">
        <f t="shared" si="11"/>
        <v>97</v>
      </c>
      <c r="C108" s="652">
        <f t="shared" ca="1" si="12"/>
        <v>45137</v>
      </c>
      <c r="D108" s="653">
        <f t="shared" si="9"/>
        <v>4764507.9100000029</v>
      </c>
      <c r="E108" s="653">
        <f t="shared" si="13"/>
        <v>15881.69</v>
      </c>
      <c r="F108" s="653">
        <f t="shared" si="14"/>
        <v>191016.69</v>
      </c>
      <c r="G108" s="653">
        <f t="shared" si="15"/>
        <v>0</v>
      </c>
      <c r="H108" s="653">
        <f t="shared" si="10"/>
        <v>206898.38</v>
      </c>
      <c r="J108" s="650"/>
      <c r="K108" s="650"/>
      <c r="L108" s="650"/>
    </row>
    <row r="109" spans="2:12" x14ac:dyDescent="0.2">
      <c r="B109" s="651">
        <f t="shared" si="11"/>
        <v>98</v>
      </c>
      <c r="C109" s="652">
        <f t="shared" ca="1" si="12"/>
        <v>45168</v>
      </c>
      <c r="D109" s="653">
        <f t="shared" si="9"/>
        <v>4573491.2200000025</v>
      </c>
      <c r="E109" s="653">
        <f t="shared" si="13"/>
        <v>15244.97</v>
      </c>
      <c r="F109" s="653">
        <f t="shared" si="14"/>
        <v>191653.41</v>
      </c>
      <c r="G109" s="653">
        <f t="shared" si="15"/>
        <v>0</v>
      </c>
      <c r="H109" s="653">
        <f t="shared" si="10"/>
        <v>206898.38</v>
      </c>
      <c r="J109" s="650"/>
      <c r="K109" s="650"/>
      <c r="L109" s="650"/>
    </row>
    <row r="110" spans="2:12" x14ac:dyDescent="0.2">
      <c r="B110" s="651">
        <f t="shared" si="11"/>
        <v>99</v>
      </c>
      <c r="C110" s="652">
        <f t="shared" ca="1" si="12"/>
        <v>45199</v>
      </c>
      <c r="D110" s="653">
        <f t="shared" si="9"/>
        <v>4381837.8100000024</v>
      </c>
      <c r="E110" s="653">
        <f t="shared" si="13"/>
        <v>14606.13</v>
      </c>
      <c r="F110" s="653">
        <f t="shared" si="14"/>
        <v>192292.25</v>
      </c>
      <c r="G110" s="653">
        <f t="shared" si="15"/>
        <v>0</v>
      </c>
      <c r="H110" s="653">
        <f t="shared" si="10"/>
        <v>206898.38</v>
      </c>
      <c r="J110" s="650"/>
      <c r="K110" s="650"/>
      <c r="L110" s="650"/>
    </row>
    <row r="111" spans="2:12" x14ac:dyDescent="0.2">
      <c r="B111" s="651">
        <f t="shared" si="11"/>
        <v>100</v>
      </c>
      <c r="C111" s="652">
        <f t="shared" ca="1" si="12"/>
        <v>45229</v>
      </c>
      <c r="D111" s="653">
        <f t="shared" si="9"/>
        <v>4189545.5600000024</v>
      </c>
      <c r="E111" s="653">
        <f t="shared" si="13"/>
        <v>13965.15</v>
      </c>
      <c r="F111" s="653">
        <f t="shared" si="14"/>
        <v>192933.23</v>
      </c>
      <c r="G111" s="653">
        <f t="shared" si="15"/>
        <v>0</v>
      </c>
      <c r="H111" s="653">
        <f t="shared" si="10"/>
        <v>206898.38</v>
      </c>
      <c r="J111" s="650"/>
      <c r="K111" s="650"/>
      <c r="L111" s="650"/>
    </row>
    <row r="112" spans="2:12" x14ac:dyDescent="0.2">
      <c r="B112" s="651">
        <f t="shared" si="11"/>
        <v>101</v>
      </c>
      <c r="C112" s="652">
        <f t="shared" ca="1" si="12"/>
        <v>45260</v>
      </c>
      <c r="D112" s="653">
        <f t="shared" si="9"/>
        <v>3996612.3300000024</v>
      </c>
      <c r="E112" s="653">
        <f t="shared" si="13"/>
        <v>13322.04</v>
      </c>
      <c r="F112" s="653">
        <f t="shared" si="14"/>
        <v>193576.34</v>
      </c>
      <c r="G112" s="653">
        <f t="shared" si="15"/>
        <v>0</v>
      </c>
      <c r="H112" s="653">
        <f t="shared" si="10"/>
        <v>206898.38</v>
      </c>
      <c r="J112" s="650"/>
      <c r="K112" s="650"/>
      <c r="L112" s="650"/>
    </row>
    <row r="113" spans="2:12" x14ac:dyDescent="0.2">
      <c r="B113" s="651">
        <f t="shared" si="11"/>
        <v>102</v>
      </c>
      <c r="C113" s="652">
        <f t="shared" ca="1" si="12"/>
        <v>45290</v>
      </c>
      <c r="D113" s="653">
        <f t="shared" ref="D113:D176" si="16">IF(ISNUMBER(B113),D112-F112,"")</f>
        <v>3803035.9900000026</v>
      </c>
      <c r="E113" s="653">
        <f t="shared" si="13"/>
        <v>12676.79</v>
      </c>
      <c r="F113" s="653">
        <f t="shared" si="14"/>
        <v>194221.59</v>
      </c>
      <c r="G113" s="653">
        <f t="shared" si="15"/>
        <v>0</v>
      </c>
      <c r="H113" s="653">
        <f t="shared" ref="H113:H176" si="17">IF(ISNUMBER(B113),E113+F113+G113,"")</f>
        <v>206898.38</v>
      </c>
      <c r="J113" s="650"/>
      <c r="K113" s="650"/>
      <c r="L113" s="650"/>
    </row>
    <row r="114" spans="2:12" x14ac:dyDescent="0.2">
      <c r="B114" s="651">
        <f t="shared" si="11"/>
        <v>103</v>
      </c>
      <c r="C114" s="652">
        <f t="shared" ca="1" si="12"/>
        <v>45321</v>
      </c>
      <c r="D114" s="653">
        <f t="shared" si="16"/>
        <v>3608814.4000000027</v>
      </c>
      <c r="E114" s="653">
        <f t="shared" si="13"/>
        <v>12029.38</v>
      </c>
      <c r="F114" s="653">
        <f t="shared" si="14"/>
        <v>194869</v>
      </c>
      <c r="G114" s="653">
        <f t="shared" si="15"/>
        <v>0</v>
      </c>
      <c r="H114" s="653">
        <f t="shared" si="17"/>
        <v>206898.38</v>
      </c>
      <c r="J114" s="650"/>
      <c r="K114" s="650"/>
      <c r="L114" s="650"/>
    </row>
    <row r="115" spans="2:12" x14ac:dyDescent="0.2">
      <c r="B115" s="651">
        <f t="shared" si="11"/>
        <v>104</v>
      </c>
      <c r="C115" s="652">
        <f t="shared" ca="1" si="12"/>
        <v>45351</v>
      </c>
      <c r="D115" s="653">
        <f t="shared" si="16"/>
        <v>3413945.4000000027</v>
      </c>
      <c r="E115" s="653">
        <f t="shared" si="13"/>
        <v>11379.82</v>
      </c>
      <c r="F115" s="653">
        <f t="shared" si="14"/>
        <v>195518.56</v>
      </c>
      <c r="G115" s="653">
        <f t="shared" si="15"/>
        <v>0</v>
      </c>
      <c r="H115" s="653">
        <f t="shared" si="17"/>
        <v>206898.38</v>
      </c>
      <c r="J115" s="650"/>
      <c r="K115" s="650"/>
      <c r="L115" s="650"/>
    </row>
    <row r="116" spans="2:12" x14ac:dyDescent="0.2">
      <c r="B116" s="651">
        <f t="shared" si="11"/>
        <v>105</v>
      </c>
      <c r="C116" s="652">
        <f t="shared" ca="1" si="12"/>
        <v>45381</v>
      </c>
      <c r="D116" s="653">
        <f t="shared" si="16"/>
        <v>3218426.8400000026</v>
      </c>
      <c r="E116" s="653">
        <f t="shared" si="13"/>
        <v>10728.09</v>
      </c>
      <c r="F116" s="653">
        <f t="shared" si="14"/>
        <v>196170.29</v>
      </c>
      <c r="G116" s="653">
        <f t="shared" si="15"/>
        <v>0</v>
      </c>
      <c r="H116" s="653">
        <f t="shared" si="17"/>
        <v>206898.38</v>
      </c>
      <c r="J116" s="650"/>
      <c r="K116" s="650"/>
      <c r="L116" s="650"/>
    </row>
    <row r="117" spans="2:12" x14ac:dyDescent="0.2">
      <c r="B117" s="651">
        <f t="shared" si="11"/>
        <v>106</v>
      </c>
      <c r="C117" s="652">
        <f t="shared" ca="1" si="12"/>
        <v>45412</v>
      </c>
      <c r="D117" s="653">
        <f t="shared" si="16"/>
        <v>3022256.5500000026</v>
      </c>
      <c r="E117" s="653">
        <f t="shared" si="13"/>
        <v>10074.19</v>
      </c>
      <c r="F117" s="653">
        <f t="shared" si="14"/>
        <v>196824.19</v>
      </c>
      <c r="G117" s="653">
        <f t="shared" si="15"/>
        <v>0</v>
      </c>
      <c r="H117" s="653">
        <f t="shared" si="17"/>
        <v>206898.38</v>
      </c>
      <c r="J117" s="650"/>
      <c r="K117" s="650"/>
      <c r="L117" s="650"/>
    </row>
    <row r="118" spans="2:12" x14ac:dyDescent="0.2">
      <c r="B118" s="651">
        <f t="shared" si="11"/>
        <v>107</v>
      </c>
      <c r="C118" s="652">
        <f t="shared" ca="1" si="12"/>
        <v>45442</v>
      </c>
      <c r="D118" s="653">
        <f t="shared" si="16"/>
        <v>2825432.3600000027</v>
      </c>
      <c r="E118" s="653">
        <f t="shared" si="13"/>
        <v>9418.11</v>
      </c>
      <c r="F118" s="653">
        <f t="shared" si="14"/>
        <v>197480.27000000002</v>
      </c>
      <c r="G118" s="653">
        <f t="shared" si="15"/>
        <v>0</v>
      </c>
      <c r="H118" s="653">
        <f t="shared" si="17"/>
        <v>206898.38</v>
      </c>
      <c r="J118" s="650"/>
      <c r="K118" s="650"/>
      <c r="L118" s="650"/>
    </row>
    <row r="119" spans="2:12" x14ac:dyDescent="0.2">
      <c r="B119" s="651">
        <f t="shared" si="11"/>
        <v>108</v>
      </c>
      <c r="C119" s="652">
        <f t="shared" ca="1" si="12"/>
        <v>45473</v>
      </c>
      <c r="D119" s="653">
        <f t="shared" si="16"/>
        <v>2627952.0900000026</v>
      </c>
      <c r="E119" s="653">
        <f t="shared" si="13"/>
        <v>8759.84</v>
      </c>
      <c r="F119" s="653">
        <f t="shared" si="14"/>
        <v>198138.54</v>
      </c>
      <c r="G119" s="653">
        <f t="shared" si="15"/>
        <v>0</v>
      </c>
      <c r="H119" s="653">
        <f t="shared" si="17"/>
        <v>206898.38</v>
      </c>
      <c r="J119" s="642">
        <f>D107-D119</f>
        <v>2326937.9000000004</v>
      </c>
      <c r="K119" s="650"/>
      <c r="L119" s="650"/>
    </row>
    <row r="120" spans="2:12" x14ac:dyDescent="0.2">
      <c r="B120" s="647">
        <f t="shared" si="11"/>
        <v>109</v>
      </c>
      <c r="C120" s="648">
        <f t="shared" ca="1" si="12"/>
        <v>45503</v>
      </c>
      <c r="D120" s="649">
        <f t="shared" si="16"/>
        <v>2429813.5500000026</v>
      </c>
      <c r="E120" s="649">
        <f t="shared" si="13"/>
        <v>8099.38</v>
      </c>
      <c r="F120" s="649">
        <f t="shared" si="14"/>
        <v>198799</v>
      </c>
      <c r="G120" s="649">
        <f t="shared" si="15"/>
        <v>0</v>
      </c>
      <c r="H120" s="649">
        <f t="shared" si="17"/>
        <v>206898.38</v>
      </c>
      <c r="J120" s="650"/>
      <c r="K120" s="650"/>
      <c r="L120" s="650"/>
    </row>
    <row r="121" spans="2:12" x14ac:dyDescent="0.2">
      <c r="B121" s="647">
        <f t="shared" si="11"/>
        <v>110</v>
      </c>
      <c r="C121" s="648">
        <f t="shared" ca="1" si="12"/>
        <v>45534</v>
      </c>
      <c r="D121" s="649">
        <f t="shared" si="16"/>
        <v>2231014.5500000026</v>
      </c>
      <c r="E121" s="649">
        <f t="shared" si="13"/>
        <v>7436.72</v>
      </c>
      <c r="F121" s="649">
        <f t="shared" si="14"/>
        <v>199461.66</v>
      </c>
      <c r="G121" s="649">
        <f t="shared" si="15"/>
        <v>0</v>
      </c>
      <c r="H121" s="649">
        <f t="shared" si="17"/>
        <v>206898.38</v>
      </c>
      <c r="J121" s="650"/>
      <c r="K121" s="650"/>
      <c r="L121" s="650"/>
    </row>
    <row r="122" spans="2:12" x14ac:dyDescent="0.2">
      <c r="B122" s="647">
        <f t="shared" si="11"/>
        <v>111</v>
      </c>
      <c r="C122" s="648">
        <f t="shared" ca="1" si="12"/>
        <v>45565</v>
      </c>
      <c r="D122" s="649">
        <f t="shared" si="16"/>
        <v>2031552.8900000027</v>
      </c>
      <c r="E122" s="649">
        <f t="shared" si="13"/>
        <v>6771.84</v>
      </c>
      <c r="F122" s="649">
        <f t="shared" si="14"/>
        <v>200126.54</v>
      </c>
      <c r="G122" s="649">
        <f t="shared" si="15"/>
        <v>0</v>
      </c>
      <c r="H122" s="649">
        <f t="shared" si="17"/>
        <v>206898.38</v>
      </c>
      <c r="J122" s="650"/>
      <c r="K122" s="650"/>
      <c r="L122" s="650"/>
    </row>
    <row r="123" spans="2:12" x14ac:dyDescent="0.2">
      <c r="B123" s="647">
        <f t="shared" si="11"/>
        <v>112</v>
      </c>
      <c r="C123" s="648">
        <f t="shared" ca="1" si="12"/>
        <v>45595</v>
      </c>
      <c r="D123" s="649">
        <f t="shared" si="16"/>
        <v>1831426.3500000027</v>
      </c>
      <c r="E123" s="649">
        <f t="shared" si="13"/>
        <v>6104.75</v>
      </c>
      <c r="F123" s="649">
        <f t="shared" si="14"/>
        <v>200793.63</v>
      </c>
      <c r="G123" s="649">
        <f t="shared" si="15"/>
        <v>0</v>
      </c>
      <c r="H123" s="649">
        <f t="shared" si="17"/>
        <v>206898.38</v>
      </c>
      <c r="J123" s="650"/>
      <c r="K123" s="650"/>
      <c r="L123" s="650"/>
    </row>
    <row r="124" spans="2:12" x14ac:dyDescent="0.2">
      <c r="B124" s="647">
        <f t="shared" si="11"/>
        <v>113</v>
      </c>
      <c r="C124" s="648">
        <f t="shared" ca="1" si="12"/>
        <v>45626</v>
      </c>
      <c r="D124" s="649">
        <f t="shared" si="16"/>
        <v>1630632.7200000025</v>
      </c>
      <c r="E124" s="649">
        <f t="shared" si="13"/>
        <v>5435.44</v>
      </c>
      <c r="F124" s="649">
        <f t="shared" si="14"/>
        <v>201462.94</v>
      </c>
      <c r="G124" s="649">
        <f t="shared" si="15"/>
        <v>0</v>
      </c>
      <c r="H124" s="649">
        <f t="shared" si="17"/>
        <v>206898.38</v>
      </c>
      <c r="J124" s="650"/>
      <c r="K124" s="650"/>
      <c r="L124" s="650"/>
    </row>
    <row r="125" spans="2:12" x14ac:dyDescent="0.2">
      <c r="B125" s="647">
        <f t="shared" si="11"/>
        <v>114</v>
      </c>
      <c r="C125" s="648">
        <f t="shared" ca="1" si="12"/>
        <v>45656</v>
      </c>
      <c r="D125" s="649">
        <f t="shared" si="16"/>
        <v>1429169.7800000026</v>
      </c>
      <c r="E125" s="649">
        <f t="shared" si="13"/>
        <v>4763.8999999999996</v>
      </c>
      <c r="F125" s="649">
        <f t="shared" si="14"/>
        <v>202134.48</v>
      </c>
      <c r="G125" s="649">
        <f t="shared" si="15"/>
        <v>0</v>
      </c>
      <c r="H125" s="649">
        <f t="shared" si="17"/>
        <v>206898.38</v>
      </c>
      <c r="J125" s="650"/>
      <c r="K125" s="650"/>
      <c r="L125" s="650"/>
    </row>
    <row r="126" spans="2:12" x14ac:dyDescent="0.2">
      <c r="B126" s="647">
        <f t="shared" si="11"/>
        <v>115</v>
      </c>
      <c r="C126" s="648">
        <f t="shared" ca="1" si="12"/>
        <v>45687</v>
      </c>
      <c r="D126" s="649">
        <f t="shared" si="16"/>
        <v>1227035.3000000026</v>
      </c>
      <c r="E126" s="649">
        <f t="shared" si="13"/>
        <v>4090.12</v>
      </c>
      <c r="F126" s="649">
        <f t="shared" si="14"/>
        <v>202808.26</v>
      </c>
      <c r="G126" s="649">
        <f t="shared" si="15"/>
        <v>0</v>
      </c>
      <c r="H126" s="649">
        <f t="shared" si="17"/>
        <v>206898.38</v>
      </c>
      <c r="J126" s="650"/>
      <c r="K126" s="650"/>
      <c r="L126" s="650"/>
    </row>
    <row r="127" spans="2:12" x14ac:dyDescent="0.2">
      <c r="B127" s="647">
        <f t="shared" si="11"/>
        <v>116</v>
      </c>
      <c r="C127" s="648">
        <f t="shared" ca="1" si="12"/>
        <v>45716</v>
      </c>
      <c r="D127" s="649">
        <f t="shared" si="16"/>
        <v>1024227.0400000026</v>
      </c>
      <c r="E127" s="649">
        <f t="shared" si="13"/>
        <v>3414.09</v>
      </c>
      <c r="F127" s="649">
        <f t="shared" si="14"/>
        <v>203484.29</v>
      </c>
      <c r="G127" s="649">
        <f t="shared" si="15"/>
        <v>0</v>
      </c>
      <c r="H127" s="649">
        <f t="shared" si="17"/>
        <v>206898.38</v>
      </c>
      <c r="J127" s="650"/>
      <c r="K127" s="650"/>
      <c r="L127" s="650"/>
    </row>
    <row r="128" spans="2:12" x14ac:dyDescent="0.2">
      <c r="B128" s="647">
        <f t="shared" si="11"/>
        <v>117</v>
      </c>
      <c r="C128" s="648">
        <f t="shared" ca="1" si="12"/>
        <v>45746</v>
      </c>
      <c r="D128" s="649">
        <f t="shared" si="16"/>
        <v>820742.75000000256</v>
      </c>
      <c r="E128" s="649">
        <f t="shared" si="13"/>
        <v>2735.81</v>
      </c>
      <c r="F128" s="649">
        <f t="shared" si="14"/>
        <v>204162.57</v>
      </c>
      <c r="G128" s="649">
        <f t="shared" si="15"/>
        <v>0</v>
      </c>
      <c r="H128" s="649">
        <f t="shared" si="17"/>
        <v>206898.38</v>
      </c>
      <c r="J128" s="650"/>
      <c r="K128" s="650"/>
      <c r="L128" s="650"/>
    </row>
    <row r="129" spans="2:12" x14ac:dyDescent="0.2">
      <c r="B129" s="647">
        <f t="shared" si="11"/>
        <v>118</v>
      </c>
      <c r="C129" s="648">
        <f t="shared" ca="1" si="12"/>
        <v>45777</v>
      </c>
      <c r="D129" s="649">
        <f t="shared" si="16"/>
        <v>616580.1800000025</v>
      </c>
      <c r="E129" s="649">
        <f t="shared" si="13"/>
        <v>2055.27</v>
      </c>
      <c r="F129" s="649">
        <f t="shared" si="14"/>
        <v>204843.11000000002</v>
      </c>
      <c r="G129" s="649">
        <f t="shared" si="15"/>
        <v>0</v>
      </c>
      <c r="H129" s="649">
        <f t="shared" si="17"/>
        <v>206898.38</v>
      </c>
      <c r="J129" s="650"/>
      <c r="K129" s="650"/>
      <c r="L129" s="650"/>
    </row>
    <row r="130" spans="2:12" x14ac:dyDescent="0.2">
      <c r="B130" s="647">
        <f t="shared" si="11"/>
        <v>119</v>
      </c>
      <c r="C130" s="648">
        <f t="shared" ca="1" si="12"/>
        <v>45807</v>
      </c>
      <c r="D130" s="649">
        <f t="shared" si="16"/>
        <v>411737.07000000251</v>
      </c>
      <c r="E130" s="649">
        <f t="shared" si="13"/>
        <v>1372.46</v>
      </c>
      <c r="F130" s="649">
        <f t="shared" si="14"/>
        <v>205525.92</v>
      </c>
      <c r="G130" s="649">
        <f t="shared" si="15"/>
        <v>0</v>
      </c>
      <c r="H130" s="649">
        <f t="shared" si="17"/>
        <v>206898.38</v>
      </c>
      <c r="J130" s="650"/>
      <c r="K130" s="650"/>
      <c r="L130" s="650"/>
    </row>
    <row r="131" spans="2:12" x14ac:dyDescent="0.2">
      <c r="B131" s="647">
        <f t="shared" si="11"/>
        <v>120</v>
      </c>
      <c r="C131" s="648">
        <f t="shared" ca="1" si="12"/>
        <v>45838</v>
      </c>
      <c r="D131" s="649">
        <f t="shared" si="16"/>
        <v>206211.1500000025</v>
      </c>
      <c r="E131" s="649">
        <f t="shared" si="13"/>
        <v>687.37</v>
      </c>
      <c r="F131" s="649">
        <f t="shared" si="14"/>
        <v>206211.1500000025</v>
      </c>
      <c r="G131" s="649">
        <f t="shared" si="15"/>
        <v>0</v>
      </c>
      <c r="H131" s="649">
        <f t="shared" si="17"/>
        <v>206898.52000000249</v>
      </c>
      <c r="J131" s="642">
        <f>D119</f>
        <v>2627952.0900000026</v>
      </c>
      <c r="K131" s="650"/>
      <c r="L131" s="650"/>
    </row>
    <row r="132" spans="2:12" x14ac:dyDescent="0.2">
      <c r="B132" s="660" t="str">
        <f t="shared" si="11"/>
        <v>-</v>
      </c>
      <c r="C132" s="661" t="str">
        <f t="shared" si="12"/>
        <v/>
      </c>
      <c r="D132" s="650"/>
      <c r="E132" s="650" t="str">
        <f t="shared" si="13"/>
        <v/>
      </c>
      <c r="F132" s="650" t="str">
        <f t="shared" si="14"/>
        <v/>
      </c>
      <c r="G132" s="650" t="str">
        <f t="shared" si="15"/>
        <v/>
      </c>
      <c r="H132" s="650" t="str">
        <f t="shared" si="17"/>
        <v/>
      </c>
      <c r="J132" s="650"/>
      <c r="K132" s="650"/>
      <c r="L132" s="650"/>
    </row>
    <row r="133" spans="2:12" x14ac:dyDescent="0.2">
      <c r="B133" s="660" t="str">
        <f t="shared" si="11"/>
        <v>-</v>
      </c>
      <c r="C133" s="661" t="str">
        <f t="shared" si="12"/>
        <v/>
      </c>
      <c r="D133" s="650"/>
      <c r="E133" s="650">
        <f>SUM(E12:E131)</f>
        <v>4246344.089999998</v>
      </c>
      <c r="F133" s="650" t="str">
        <f t="shared" si="14"/>
        <v/>
      </c>
      <c r="G133" s="650" t="str">
        <f t="shared" si="15"/>
        <v/>
      </c>
      <c r="H133" s="650" t="str">
        <f t="shared" si="17"/>
        <v/>
      </c>
      <c r="J133" s="650"/>
      <c r="K133" s="650"/>
      <c r="L133" s="650"/>
    </row>
    <row r="134" spans="2:12" x14ac:dyDescent="0.2">
      <c r="B134" s="660" t="str">
        <f t="shared" si="11"/>
        <v>-</v>
      </c>
      <c r="C134" s="661" t="str">
        <f t="shared" si="12"/>
        <v/>
      </c>
      <c r="D134" s="650" t="str">
        <f t="shared" si="16"/>
        <v/>
      </c>
      <c r="E134" s="650"/>
      <c r="F134" s="650" t="str">
        <f t="shared" si="14"/>
        <v/>
      </c>
      <c r="G134" s="650" t="str">
        <f t="shared" si="15"/>
        <v/>
      </c>
      <c r="H134" s="650" t="str">
        <f t="shared" si="17"/>
        <v/>
      </c>
      <c r="J134" s="650"/>
      <c r="K134" s="650"/>
      <c r="L134" s="650"/>
    </row>
    <row r="135" spans="2:12" x14ac:dyDescent="0.2">
      <c r="B135" s="660" t="str">
        <f t="shared" si="11"/>
        <v>-</v>
      </c>
      <c r="C135" s="661" t="str">
        <f t="shared" si="12"/>
        <v/>
      </c>
      <c r="D135" s="650" t="str">
        <f t="shared" si="16"/>
        <v/>
      </c>
      <c r="E135" s="650" t="str">
        <f t="shared" si="13"/>
        <v/>
      </c>
      <c r="F135" s="650" t="str">
        <f t="shared" si="14"/>
        <v/>
      </c>
      <c r="G135" s="650" t="str">
        <f t="shared" si="15"/>
        <v/>
      </c>
      <c r="H135" s="650" t="str">
        <f t="shared" si="17"/>
        <v/>
      </c>
      <c r="J135" s="650"/>
      <c r="K135" s="650"/>
      <c r="L135" s="650"/>
    </row>
    <row r="136" spans="2:12" x14ac:dyDescent="0.2">
      <c r="B136" s="660" t="str">
        <f t="shared" si="11"/>
        <v>-</v>
      </c>
      <c r="C136" s="661" t="str">
        <f t="shared" si="12"/>
        <v/>
      </c>
      <c r="D136" s="650" t="str">
        <f t="shared" si="16"/>
        <v/>
      </c>
      <c r="E136" s="650" t="str">
        <f t="shared" si="13"/>
        <v/>
      </c>
      <c r="F136" s="650" t="str">
        <f t="shared" si="14"/>
        <v/>
      </c>
      <c r="G136" s="650" t="str">
        <f t="shared" si="15"/>
        <v/>
      </c>
      <c r="H136" s="650" t="str">
        <f t="shared" si="17"/>
        <v/>
      </c>
      <c r="J136" s="650"/>
      <c r="K136" s="650"/>
      <c r="L136" s="650"/>
    </row>
    <row r="137" spans="2:12" x14ac:dyDescent="0.2">
      <c r="B137" s="660" t="str">
        <f t="shared" si="11"/>
        <v>-</v>
      </c>
      <c r="C137" s="661" t="str">
        <f t="shared" si="12"/>
        <v/>
      </c>
      <c r="D137" s="650" t="str">
        <f t="shared" si="16"/>
        <v/>
      </c>
      <c r="E137" s="650" t="str">
        <f t="shared" si="13"/>
        <v/>
      </c>
      <c r="F137" s="650" t="str">
        <f t="shared" si="14"/>
        <v/>
      </c>
      <c r="G137" s="650" t="str">
        <f t="shared" si="15"/>
        <v/>
      </c>
      <c r="H137" s="650" t="str">
        <f t="shared" si="17"/>
        <v/>
      </c>
      <c r="J137" s="650"/>
      <c r="K137" s="650"/>
      <c r="L137" s="650"/>
    </row>
    <row r="138" spans="2:12" x14ac:dyDescent="0.2">
      <c r="B138" s="660" t="str">
        <f t="shared" si="11"/>
        <v>-</v>
      </c>
      <c r="C138" s="661" t="str">
        <f t="shared" si="12"/>
        <v/>
      </c>
      <c r="D138" s="650" t="str">
        <f t="shared" si="16"/>
        <v/>
      </c>
      <c r="E138" s="650" t="str">
        <f t="shared" si="13"/>
        <v/>
      </c>
      <c r="F138" s="650" t="str">
        <f t="shared" si="14"/>
        <v/>
      </c>
      <c r="G138" s="650" t="str">
        <f t="shared" si="15"/>
        <v/>
      </c>
      <c r="H138" s="650" t="str">
        <f t="shared" si="17"/>
        <v/>
      </c>
      <c r="J138" s="650"/>
      <c r="K138" s="650"/>
      <c r="L138" s="650"/>
    </row>
    <row r="139" spans="2:12" x14ac:dyDescent="0.2">
      <c r="B139" s="660" t="str">
        <f t="shared" si="11"/>
        <v>-</v>
      </c>
      <c r="C139" s="661" t="str">
        <f t="shared" si="12"/>
        <v/>
      </c>
      <c r="D139" s="650" t="str">
        <f t="shared" si="16"/>
        <v/>
      </c>
      <c r="E139" s="650" t="str">
        <f t="shared" si="13"/>
        <v/>
      </c>
      <c r="F139" s="650" t="str">
        <f t="shared" si="14"/>
        <v/>
      </c>
      <c r="G139" s="650" t="str">
        <f t="shared" si="15"/>
        <v/>
      </c>
      <c r="H139" s="650" t="str">
        <f t="shared" si="17"/>
        <v/>
      </c>
      <c r="J139" s="650"/>
      <c r="K139" s="650"/>
      <c r="L139" s="650"/>
    </row>
    <row r="140" spans="2:12" x14ac:dyDescent="0.2">
      <c r="B140" s="660" t="str">
        <f t="shared" ref="B140:B203" si="18">IF(B139&lt;$L$3,B139+1,"-")</f>
        <v>-</v>
      </c>
      <c r="C140" s="661" t="str">
        <f t="shared" ref="C140:C203" si="19">IF(ISNUMBER(B140),MIN(DATE(YEAR($C$11),MONTH($C$11)+B140*12/$P$5,DAY($C$11)),DATE(YEAR($C$11),MONTH($C$11)+1+B140*12/$P$5,1)-1),"")</f>
        <v/>
      </c>
      <c r="D140" s="650" t="str">
        <f t="shared" si="16"/>
        <v/>
      </c>
      <c r="E140" s="650" t="str">
        <f t="shared" ref="E140:E203" si="20">IF(ISNUMBER(B140),ROUND(D140*$L$7,$R$6),"")</f>
        <v/>
      </c>
      <c r="F140" s="650" t="str">
        <f t="shared" ref="F140:F203" si="21">IF(ISNUMBER(B140),IF(B140=$L$3,D140,IF(B140&gt;$L$4,$H$3-E140,0)),"")</f>
        <v/>
      </c>
      <c r="G140" s="650" t="str">
        <f t="shared" ref="G140:G203" si="22">IF(ISNUMBER(B140),$H$4,"")</f>
        <v/>
      </c>
      <c r="H140" s="650" t="str">
        <f t="shared" si="17"/>
        <v/>
      </c>
      <c r="J140" s="650"/>
      <c r="K140" s="650"/>
      <c r="L140" s="650"/>
    </row>
    <row r="141" spans="2:12" x14ac:dyDescent="0.2">
      <c r="B141" s="660" t="str">
        <f t="shared" si="18"/>
        <v>-</v>
      </c>
      <c r="C141" s="661" t="str">
        <f t="shared" si="19"/>
        <v/>
      </c>
      <c r="D141" s="650" t="str">
        <f t="shared" si="16"/>
        <v/>
      </c>
      <c r="E141" s="650" t="str">
        <f t="shared" si="20"/>
        <v/>
      </c>
      <c r="F141" s="650" t="str">
        <f t="shared" si="21"/>
        <v/>
      </c>
      <c r="G141" s="650" t="str">
        <f t="shared" si="22"/>
        <v/>
      </c>
      <c r="H141" s="650" t="str">
        <f t="shared" si="17"/>
        <v/>
      </c>
      <c r="J141" s="650"/>
      <c r="K141" s="650"/>
      <c r="L141" s="650"/>
    </row>
    <row r="142" spans="2:12" x14ac:dyDescent="0.2">
      <c r="B142" s="660" t="str">
        <f t="shared" si="18"/>
        <v>-</v>
      </c>
      <c r="C142" s="661" t="str">
        <f t="shared" si="19"/>
        <v/>
      </c>
      <c r="D142" s="650" t="str">
        <f t="shared" si="16"/>
        <v/>
      </c>
      <c r="E142" s="650" t="str">
        <f t="shared" si="20"/>
        <v/>
      </c>
      <c r="F142" s="650" t="str">
        <f t="shared" si="21"/>
        <v/>
      </c>
      <c r="G142" s="650" t="str">
        <f t="shared" si="22"/>
        <v/>
      </c>
      <c r="H142" s="650" t="str">
        <f t="shared" si="17"/>
        <v/>
      </c>
      <c r="J142" s="650"/>
      <c r="K142" s="650"/>
      <c r="L142" s="650"/>
    </row>
    <row r="143" spans="2:12" x14ac:dyDescent="0.2">
      <c r="B143" s="660" t="str">
        <f t="shared" si="18"/>
        <v>-</v>
      </c>
      <c r="C143" s="661" t="str">
        <f t="shared" si="19"/>
        <v/>
      </c>
      <c r="D143" s="650" t="str">
        <f t="shared" si="16"/>
        <v/>
      </c>
      <c r="E143" s="650" t="str">
        <f t="shared" si="20"/>
        <v/>
      </c>
      <c r="F143" s="650" t="str">
        <f t="shared" si="21"/>
        <v/>
      </c>
      <c r="G143" s="650" t="str">
        <f t="shared" si="22"/>
        <v/>
      </c>
      <c r="H143" s="650" t="str">
        <f t="shared" si="17"/>
        <v/>
      </c>
      <c r="J143" s="650"/>
      <c r="K143" s="650"/>
      <c r="L143" s="650"/>
    </row>
    <row r="144" spans="2:12" x14ac:dyDescent="0.2">
      <c r="B144" s="660" t="str">
        <f t="shared" si="18"/>
        <v>-</v>
      </c>
      <c r="C144" s="661" t="str">
        <f t="shared" si="19"/>
        <v/>
      </c>
      <c r="D144" s="650" t="str">
        <f t="shared" si="16"/>
        <v/>
      </c>
      <c r="E144" s="650" t="str">
        <f t="shared" si="20"/>
        <v/>
      </c>
      <c r="F144" s="650" t="str">
        <f t="shared" si="21"/>
        <v/>
      </c>
      <c r="G144" s="650" t="str">
        <f t="shared" si="22"/>
        <v/>
      </c>
      <c r="H144" s="650" t="str">
        <f t="shared" si="17"/>
        <v/>
      </c>
      <c r="J144" s="650"/>
      <c r="K144" s="650"/>
      <c r="L144" s="650"/>
    </row>
    <row r="145" spans="2:12" x14ac:dyDescent="0.2">
      <c r="B145" s="660" t="str">
        <f t="shared" si="18"/>
        <v>-</v>
      </c>
      <c r="C145" s="661" t="str">
        <f t="shared" si="19"/>
        <v/>
      </c>
      <c r="D145" s="650" t="str">
        <f t="shared" si="16"/>
        <v/>
      </c>
      <c r="E145" s="650" t="str">
        <f t="shared" si="20"/>
        <v/>
      </c>
      <c r="F145" s="650" t="str">
        <f t="shared" si="21"/>
        <v/>
      </c>
      <c r="G145" s="650" t="str">
        <f t="shared" si="22"/>
        <v/>
      </c>
      <c r="H145" s="650" t="str">
        <f t="shared" si="17"/>
        <v/>
      </c>
      <c r="J145" s="650"/>
      <c r="K145" s="650"/>
      <c r="L145" s="650"/>
    </row>
    <row r="146" spans="2:12" x14ac:dyDescent="0.2">
      <c r="B146" s="660" t="str">
        <f t="shared" si="18"/>
        <v>-</v>
      </c>
      <c r="C146" s="661" t="str">
        <f t="shared" si="19"/>
        <v/>
      </c>
      <c r="D146" s="650" t="str">
        <f t="shared" si="16"/>
        <v/>
      </c>
      <c r="E146" s="650" t="str">
        <f t="shared" si="20"/>
        <v/>
      </c>
      <c r="F146" s="650" t="str">
        <f t="shared" si="21"/>
        <v/>
      </c>
      <c r="G146" s="650" t="str">
        <f t="shared" si="22"/>
        <v/>
      </c>
      <c r="H146" s="650" t="str">
        <f t="shared" si="17"/>
        <v/>
      </c>
      <c r="J146" s="650"/>
      <c r="K146" s="650"/>
      <c r="L146" s="650"/>
    </row>
    <row r="147" spans="2:12" x14ac:dyDescent="0.2">
      <c r="B147" s="660" t="str">
        <f t="shared" si="18"/>
        <v>-</v>
      </c>
      <c r="C147" s="661" t="str">
        <f t="shared" si="19"/>
        <v/>
      </c>
      <c r="D147" s="650" t="str">
        <f t="shared" si="16"/>
        <v/>
      </c>
      <c r="E147" s="650" t="str">
        <f t="shared" si="20"/>
        <v/>
      </c>
      <c r="F147" s="650" t="str">
        <f t="shared" si="21"/>
        <v/>
      </c>
      <c r="G147" s="650" t="str">
        <f t="shared" si="22"/>
        <v/>
      </c>
      <c r="H147" s="650" t="str">
        <f t="shared" si="17"/>
        <v/>
      </c>
      <c r="J147" s="650"/>
      <c r="K147" s="650"/>
      <c r="L147" s="650"/>
    </row>
    <row r="148" spans="2:12" x14ac:dyDescent="0.2">
      <c r="B148" s="660" t="str">
        <f t="shared" si="18"/>
        <v>-</v>
      </c>
      <c r="C148" s="661" t="str">
        <f t="shared" si="19"/>
        <v/>
      </c>
      <c r="D148" s="650" t="str">
        <f t="shared" si="16"/>
        <v/>
      </c>
      <c r="E148" s="650" t="str">
        <f t="shared" si="20"/>
        <v/>
      </c>
      <c r="F148" s="650" t="str">
        <f t="shared" si="21"/>
        <v/>
      </c>
      <c r="G148" s="650" t="str">
        <f t="shared" si="22"/>
        <v/>
      </c>
      <c r="H148" s="650" t="str">
        <f t="shared" si="17"/>
        <v/>
      </c>
      <c r="J148" s="650"/>
      <c r="K148" s="650"/>
      <c r="L148" s="650"/>
    </row>
    <row r="149" spans="2:12" x14ac:dyDescent="0.2">
      <c r="B149" s="660" t="str">
        <f t="shared" si="18"/>
        <v>-</v>
      </c>
      <c r="C149" s="661" t="str">
        <f t="shared" si="19"/>
        <v/>
      </c>
      <c r="D149" s="650" t="str">
        <f t="shared" si="16"/>
        <v/>
      </c>
      <c r="E149" s="650" t="str">
        <f t="shared" si="20"/>
        <v/>
      </c>
      <c r="F149" s="650" t="str">
        <f t="shared" si="21"/>
        <v/>
      </c>
      <c r="G149" s="650" t="str">
        <f t="shared" si="22"/>
        <v/>
      </c>
      <c r="H149" s="650" t="str">
        <f t="shared" si="17"/>
        <v/>
      </c>
      <c r="J149" s="650"/>
      <c r="K149" s="650"/>
      <c r="L149" s="650"/>
    </row>
    <row r="150" spans="2:12" x14ac:dyDescent="0.2">
      <c r="B150" s="660" t="str">
        <f t="shared" si="18"/>
        <v>-</v>
      </c>
      <c r="C150" s="661" t="str">
        <f t="shared" si="19"/>
        <v/>
      </c>
      <c r="D150" s="650" t="str">
        <f t="shared" si="16"/>
        <v/>
      </c>
      <c r="E150" s="650" t="str">
        <f t="shared" si="20"/>
        <v/>
      </c>
      <c r="F150" s="650" t="str">
        <f t="shared" si="21"/>
        <v/>
      </c>
      <c r="G150" s="650" t="str">
        <f t="shared" si="22"/>
        <v/>
      </c>
      <c r="H150" s="650" t="str">
        <f t="shared" si="17"/>
        <v/>
      </c>
      <c r="J150" s="650"/>
      <c r="K150" s="650"/>
      <c r="L150" s="650"/>
    </row>
    <row r="151" spans="2:12" x14ac:dyDescent="0.2">
      <c r="B151" s="660" t="str">
        <f t="shared" si="18"/>
        <v>-</v>
      </c>
      <c r="C151" s="661" t="str">
        <f t="shared" si="19"/>
        <v/>
      </c>
      <c r="D151" s="650" t="str">
        <f t="shared" si="16"/>
        <v/>
      </c>
      <c r="E151" s="650" t="str">
        <f t="shared" si="20"/>
        <v/>
      </c>
      <c r="F151" s="650" t="str">
        <f t="shared" si="21"/>
        <v/>
      </c>
      <c r="G151" s="650" t="str">
        <f t="shared" si="22"/>
        <v/>
      </c>
      <c r="H151" s="650" t="str">
        <f t="shared" si="17"/>
        <v/>
      </c>
      <c r="J151" s="650"/>
      <c r="K151" s="650"/>
      <c r="L151" s="650"/>
    </row>
    <row r="152" spans="2:12" x14ac:dyDescent="0.2">
      <c r="B152" s="660" t="str">
        <f t="shared" si="18"/>
        <v>-</v>
      </c>
      <c r="C152" s="661" t="str">
        <f t="shared" si="19"/>
        <v/>
      </c>
      <c r="D152" s="650" t="str">
        <f t="shared" si="16"/>
        <v/>
      </c>
      <c r="E152" s="650" t="str">
        <f t="shared" si="20"/>
        <v/>
      </c>
      <c r="F152" s="650" t="str">
        <f t="shared" si="21"/>
        <v/>
      </c>
      <c r="G152" s="650" t="str">
        <f t="shared" si="22"/>
        <v/>
      </c>
      <c r="H152" s="650" t="str">
        <f t="shared" si="17"/>
        <v/>
      </c>
      <c r="J152" s="650"/>
      <c r="K152" s="650"/>
      <c r="L152" s="650"/>
    </row>
    <row r="153" spans="2:12" x14ac:dyDescent="0.2">
      <c r="B153" s="660" t="str">
        <f t="shared" si="18"/>
        <v>-</v>
      </c>
      <c r="C153" s="661" t="str">
        <f t="shared" si="19"/>
        <v/>
      </c>
      <c r="D153" s="650" t="str">
        <f t="shared" si="16"/>
        <v/>
      </c>
      <c r="E153" s="650" t="str">
        <f t="shared" si="20"/>
        <v/>
      </c>
      <c r="F153" s="650" t="str">
        <f t="shared" si="21"/>
        <v/>
      </c>
      <c r="G153" s="650" t="str">
        <f t="shared" si="22"/>
        <v/>
      </c>
      <c r="H153" s="650" t="str">
        <f t="shared" si="17"/>
        <v/>
      </c>
      <c r="J153" s="650"/>
      <c r="K153" s="650"/>
      <c r="L153" s="650"/>
    </row>
    <row r="154" spans="2:12" x14ac:dyDescent="0.2">
      <c r="B154" s="660" t="str">
        <f t="shared" si="18"/>
        <v>-</v>
      </c>
      <c r="C154" s="661" t="str">
        <f t="shared" si="19"/>
        <v/>
      </c>
      <c r="D154" s="650" t="str">
        <f t="shared" si="16"/>
        <v/>
      </c>
      <c r="E154" s="650" t="str">
        <f t="shared" si="20"/>
        <v/>
      </c>
      <c r="F154" s="650" t="str">
        <f t="shared" si="21"/>
        <v/>
      </c>
      <c r="G154" s="650" t="str">
        <f t="shared" si="22"/>
        <v/>
      </c>
      <c r="H154" s="650" t="str">
        <f t="shared" si="17"/>
        <v/>
      </c>
      <c r="J154" s="650"/>
      <c r="K154" s="650"/>
      <c r="L154" s="650"/>
    </row>
    <row r="155" spans="2:12" x14ac:dyDescent="0.2">
      <c r="B155" s="660" t="str">
        <f t="shared" si="18"/>
        <v>-</v>
      </c>
      <c r="C155" s="661" t="str">
        <f t="shared" si="19"/>
        <v/>
      </c>
      <c r="D155" s="650" t="str">
        <f t="shared" si="16"/>
        <v/>
      </c>
      <c r="E155" s="650" t="str">
        <f t="shared" si="20"/>
        <v/>
      </c>
      <c r="F155" s="650" t="str">
        <f t="shared" si="21"/>
        <v/>
      </c>
      <c r="G155" s="650" t="str">
        <f t="shared" si="22"/>
        <v/>
      </c>
      <c r="H155" s="650" t="str">
        <f t="shared" si="17"/>
        <v/>
      </c>
      <c r="J155" s="650"/>
      <c r="K155" s="650"/>
      <c r="L155" s="650"/>
    </row>
    <row r="156" spans="2:12" x14ac:dyDescent="0.2">
      <c r="B156" s="660" t="str">
        <f t="shared" si="18"/>
        <v>-</v>
      </c>
      <c r="C156" s="661" t="str">
        <f t="shared" si="19"/>
        <v/>
      </c>
      <c r="D156" s="650" t="str">
        <f t="shared" si="16"/>
        <v/>
      </c>
      <c r="E156" s="650" t="str">
        <f t="shared" si="20"/>
        <v/>
      </c>
      <c r="F156" s="650" t="str">
        <f t="shared" si="21"/>
        <v/>
      </c>
      <c r="G156" s="650" t="str">
        <f t="shared" si="22"/>
        <v/>
      </c>
      <c r="H156" s="650" t="str">
        <f t="shared" si="17"/>
        <v/>
      </c>
      <c r="J156" s="650"/>
      <c r="K156" s="650"/>
      <c r="L156" s="650"/>
    </row>
    <row r="157" spans="2:12" x14ac:dyDescent="0.2">
      <c r="B157" s="660" t="str">
        <f t="shared" si="18"/>
        <v>-</v>
      </c>
      <c r="C157" s="661" t="str">
        <f t="shared" si="19"/>
        <v/>
      </c>
      <c r="D157" s="650" t="str">
        <f t="shared" si="16"/>
        <v/>
      </c>
      <c r="E157" s="650" t="str">
        <f t="shared" si="20"/>
        <v/>
      </c>
      <c r="F157" s="650" t="str">
        <f t="shared" si="21"/>
        <v/>
      </c>
      <c r="G157" s="650" t="str">
        <f t="shared" si="22"/>
        <v/>
      </c>
      <c r="H157" s="650" t="str">
        <f t="shared" si="17"/>
        <v/>
      </c>
      <c r="J157" s="650"/>
      <c r="K157" s="650"/>
      <c r="L157" s="650"/>
    </row>
    <row r="158" spans="2:12" x14ac:dyDescent="0.2">
      <c r="B158" s="660" t="str">
        <f t="shared" si="18"/>
        <v>-</v>
      </c>
      <c r="C158" s="661" t="str">
        <f t="shared" si="19"/>
        <v/>
      </c>
      <c r="D158" s="650" t="str">
        <f t="shared" si="16"/>
        <v/>
      </c>
      <c r="E158" s="650" t="str">
        <f t="shared" si="20"/>
        <v/>
      </c>
      <c r="F158" s="650" t="str">
        <f t="shared" si="21"/>
        <v/>
      </c>
      <c r="G158" s="650" t="str">
        <f t="shared" si="22"/>
        <v/>
      </c>
      <c r="H158" s="650" t="str">
        <f t="shared" si="17"/>
        <v/>
      </c>
      <c r="J158" s="650"/>
      <c r="K158" s="650"/>
      <c r="L158" s="650"/>
    </row>
    <row r="159" spans="2:12" x14ac:dyDescent="0.2">
      <c r="B159" s="660" t="str">
        <f t="shared" si="18"/>
        <v>-</v>
      </c>
      <c r="C159" s="661" t="str">
        <f t="shared" si="19"/>
        <v/>
      </c>
      <c r="D159" s="650" t="str">
        <f t="shared" si="16"/>
        <v/>
      </c>
      <c r="E159" s="650" t="str">
        <f t="shared" si="20"/>
        <v/>
      </c>
      <c r="F159" s="650" t="str">
        <f t="shared" si="21"/>
        <v/>
      </c>
      <c r="G159" s="650" t="str">
        <f t="shared" si="22"/>
        <v/>
      </c>
      <c r="H159" s="650" t="str">
        <f t="shared" si="17"/>
        <v/>
      </c>
      <c r="J159" s="650"/>
      <c r="K159" s="650"/>
      <c r="L159" s="650"/>
    </row>
    <row r="160" spans="2:12" x14ac:dyDescent="0.2">
      <c r="B160" s="660" t="str">
        <f t="shared" si="18"/>
        <v>-</v>
      </c>
      <c r="C160" s="661" t="str">
        <f t="shared" si="19"/>
        <v/>
      </c>
      <c r="D160" s="650" t="str">
        <f t="shared" si="16"/>
        <v/>
      </c>
      <c r="E160" s="650" t="str">
        <f t="shared" si="20"/>
        <v/>
      </c>
      <c r="F160" s="650" t="str">
        <f t="shared" si="21"/>
        <v/>
      </c>
      <c r="G160" s="650" t="str">
        <f t="shared" si="22"/>
        <v/>
      </c>
      <c r="H160" s="650" t="str">
        <f t="shared" si="17"/>
        <v/>
      </c>
      <c r="J160" s="650"/>
      <c r="K160" s="650"/>
      <c r="L160" s="650"/>
    </row>
    <row r="161" spans="2:12" x14ac:dyDescent="0.2">
      <c r="B161" s="660" t="str">
        <f t="shared" si="18"/>
        <v>-</v>
      </c>
      <c r="C161" s="661" t="str">
        <f t="shared" si="19"/>
        <v/>
      </c>
      <c r="D161" s="650" t="str">
        <f t="shared" si="16"/>
        <v/>
      </c>
      <c r="E161" s="650" t="str">
        <f t="shared" si="20"/>
        <v/>
      </c>
      <c r="F161" s="650" t="str">
        <f t="shared" si="21"/>
        <v/>
      </c>
      <c r="G161" s="650" t="str">
        <f t="shared" si="22"/>
        <v/>
      </c>
      <c r="H161" s="650" t="str">
        <f t="shared" si="17"/>
        <v/>
      </c>
      <c r="J161" s="650"/>
      <c r="K161" s="650"/>
      <c r="L161" s="650"/>
    </row>
    <row r="162" spans="2:12" x14ac:dyDescent="0.2">
      <c r="B162" s="660" t="str">
        <f t="shared" si="18"/>
        <v>-</v>
      </c>
      <c r="C162" s="661" t="str">
        <f t="shared" si="19"/>
        <v/>
      </c>
      <c r="D162" s="650" t="str">
        <f t="shared" si="16"/>
        <v/>
      </c>
      <c r="E162" s="650" t="str">
        <f t="shared" si="20"/>
        <v/>
      </c>
      <c r="F162" s="650" t="str">
        <f t="shared" si="21"/>
        <v/>
      </c>
      <c r="G162" s="650" t="str">
        <f t="shared" si="22"/>
        <v/>
      </c>
      <c r="H162" s="650" t="str">
        <f t="shared" si="17"/>
        <v/>
      </c>
      <c r="J162" s="650"/>
      <c r="K162" s="650"/>
      <c r="L162" s="650"/>
    </row>
    <row r="163" spans="2:12" x14ac:dyDescent="0.2">
      <c r="B163" s="660" t="str">
        <f t="shared" si="18"/>
        <v>-</v>
      </c>
      <c r="C163" s="661" t="str">
        <f t="shared" si="19"/>
        <v/>
      </c>
      <c r="D163" s="650" t="str">
        <f t="shared" si="16"/>
        <v/>
      </c>
      <c r="E163" s="650" t="str">
        <f t="shared" si="20"/>
        <v/>
      </c>
      <c r="F163" s="650" t="str">
        <f t="shared" si="21"/>
        <v/>
      </c>
      <c r="G163" s="650" t="str">
        <f t="shared" si="22"/>
        <v/>
      </c>
      <c r="H163" s="650" t="str">
        <f t="shared" si="17"/>
        <v/>
      </c>
      <c r="J163" s="650"/>
      <c r="K163" s="650"/>
      <c r="L163" s="650"/>
    </row>
    <row r="164" spans="2:12" x14ac:dyDescent="0.2">
      <c r="B164" s="660" t="str">
        <f t="shared" si="18"/>
        <v>-</v>
      </c>
      <c r="C164" s="661" t="str">
        <f t="shared" si="19"/>
        <v/>
      </c>
      <c r="D164" s="650" t="str">
        <f t="shared" si="16"/>
        <v/>
      </c>
      <c r="E164" s="650" t="str">
        <f t="shared" si="20"/>
        <v/>
      </c>
      <c r="F164" s="650" t="str">
        <f t="shared" si="21"/>
        <v/>
      </c>
      <c r="G164" s="650" t="str">
        <f t="shared" si="22"/>
        <v/>
      </c>
      <c r="H164" s="650" t="str">
        <f t="shared" si="17"/>
        <v/>
      </c>
      <c r="J164" s="650"/>
      <c r="K164" s="650"/>
      <c r="L164" s="650"/>
    </row>
    <row r="165" spans="2:12" x14ac:dyDescent="0.2">
      <c r="B165" s="660" t="str">
        <f t="shared" si="18"/>
        <v>-</v>
      </c>
      <c r="C165" s="661" t="str">
        <f t="shared" si="19"/>
        <v/>
      </c>
      <c r="D165" s="650" t="str">
        <f t="shared" si="16"/>
        <v/>
      </c>
      <c r="E165" s="650" t="str">
        <f t="shared" si="20"/>
        <v/>
      </c>
      <c r="F165" s="650" t="str">
        <f t="shared" si="21"/>
        <v/>
      </c>
      <c r="G165" s="650" t="str">
        <f t="shared" si="22"/>
        <v/>
      </c>
      <c r="H165" s="650" t="str">
        <f t="shared" si="17"/>
        <v/>
      </c>
      <c r="J165" s="650"/>
      <c r="K165" s="650"/>
      <c r="L165" s="650"/>
    </row>
    <row r="166" spans="2:12" x14ac:dyDescent="0.2">
      <c r="B166" s="660" t="str">
        <f t="shared" si="18"/>
        <v>-</v>
      </c>
      <c r="C166" s="661" t="str">
        <f t="shared" si="19"/>
        <v/>
      </c>
      <c r="D166" s="650" t="str">
        <f t="shared" si="16"/>
        <v/>
      </c>
      <c r="E166" s="650" t="str">
        <f t="shared" si="20"/>
        <v/>
      </c>
      <c r="F166" s="650" t="str">
        <f t="shared" si="21"/>
        <v/>
      </c>
      <c r="G166" s="650" t="str">
        <f t="shared" si="22"/>
        <v/>
      </c>
      <c r="H166" s="650" t="str">
        <f t="shared" si="17"/>
        <v/>
      </c>
      <c r="J166" s="650"/>
      <c r="K166" s="650"/>
      <c r="L166" s="650"/>
    </row>
    <row r="167" spans="2:12" x14ac:dyDescent="0.2">
      <c r="B167" s="660" t="str">
        <f t="shared" si="18"/>
        <v>-</v>
      </c>
      <c r="C167" s="661" t="str">
        <f t="shared" si="19"/>
        <v/>
      </c>
      <c r="D167" s="650" t="str">
        <f t="shared" si="16"/>
        <v/>
      </c>
      <c r="E167" s="650" t="str">
        <f t="shared" si="20"/>
        <v/>
      </c>
      <c r="F167" s="650" t="str">
        <f t="shared" si="21"/>
        <v/>
      </c>
      <c r="G167" s="650" t="str">
        <f t="shared" si="22"/>
        <v/>
      </c>
      <c r="H167" s="650" t="str">
        <f t="shared" si="17"/>
        <v/>
      </c>
      <c r="J167" s="650"/>
      <c r="K167" s="650"/>
      <c r="L167" s="650"/>
    </row>
    <row r="168" spans="2:12" x14ac:dyDescent="0.2">
      <c r="B168" s="660" t="str">
        <f t="shared" si="18"/>
        <v>-</v>
      </c>
      <c r="C168" s="661" t="str">
        <f t="shared" si="19"/>
        <v/>
      </c>
      <c r="D168" s="650" t="str">
        <f t="shared" si="16"/>
        <v/>
      </c>
      <c r="E168" s="650" t="str">
        <f t="shared" si="20"/>
        <v/>
      </c>
      <c r="F168" s="650" t="str">
        <f t="shared" si="21"/>
        <v/>
      </c>
      <c r="G168" s="650" t="str">
        <f t="shared" si="22"/>
        <v/>
      </c>
      <c r="H168" s="650" t="str">
        <f t="shared" si="17"/>
        <v/>
      </c>
      <c r="J168" s="650"/>
      <c r="K168" s="650"/>
      <c r="L168" s="650"/>
    </row>
    <row r="169" spans="2:12" x14ac:dyDescent="0.2">
      <c r="B169" s="660" t="str">
        <f t="shared" si="18"/>
        <v>-</v>
      </c>
      <c r="C169" s="661" t="str">
        <f t="shared" si="19"/>
        <v/>
      </c>
      <c r="D169" s="650" t="str">
        <f t="shared" si="16"/>
        <v/>
      </c>
      <c r="E169" s="650" t="str">
        <f t="shared" si="20"/>
        <v/>
      </c>
      <c r="F169" s="650" t="str">
        <f t="shared" si="21"/>
        <v/>
      </c>
      <c r="G169" s="650" t="str">
        <f t="shared" si="22"/>
        <v/>
      </c>
      <c r="H169" s="650" t="str">
        <f t="shared" si="17"/>
        <v/>
      </c>
      <c r="J169" s="650"/>
      <c r="K169" s="650"/>
      <c r="L169" s="650"/>
    </row>
    <row r="170" spans="2:12" x14ac:dyDescent="0.2">
      <c r="B170" s="660" t="str">
        <f t="shared" si="18"/>
        <v>-</v>
      </c>
      <c r="C170" s="661" t="str">
        <f t="shared" si="19"/>
        <v/>
      </c>
      <c r="D170" s="650" t="str">
        <f t="shared" si="16"/>
        <v/>
      </c>
      <c r="E170" s="650" t="str">
        <f t="shared" si="20"/>
        <v/>
      </c>
      <c r="F170" s="650" t="str">
        <f t="shared" si="21"/>
        <v/>
      </c>
      <c r="G170" s="650" t="str">
        <f t="shared" si="22"/>
        <v/>
      </c>
      <c r="H170" s="650" t="str">
        <f t="shared" si="17"/>
        <v/>
      </c>
      <c r="J170" s="650"/>
      <c r="K170" s="650"/>
      <c r="L170" s="650"/>
    </row>
    <row r="171" spans="2:12" x14ac:dyDescent="0.2">
      <c r="B171" s="660" t="str">
        <f t="shared" si="18"/>
        <v>-</v>
      </c>
      <c r="C171" s="661" t="str">
        <f t="shared" si="19"/>
        <v/>
      </c>
      <c r="D171" s="650" t="str">
        <f t="shared" si="16"/>
        <v/>
      </c>
      <c r="E171" s="650" t="str">
        <f t="shared" si="20"/>
        <v/>
      </c>
      <c r="F171" s="650" t="str">
        <f t="shared" si="21"/>
        <v/>
      </c>
      <c r="G171" s="650" t="str">
        <f t="shared" si="22"/>
        <v/>
      </c>
      <c r="H171" s="650" t="str">
        <f t="shared" si="17"/>
        <v/>
      </c>
      <c r="J171" s="650"/>
      <c r="K171" s="650"/>
      <c r="L171" s="650"/>
    </row>
    <row r="172" spans="2:12" x14ac:dyDescent="0.2">
      <c r="B172" s="660" t="str">
        <f t="shared" si="18"/>
        <v>-</v>
      </c>
      <c r="C172" s="661" t="str">
        <f t="shared" si="19"/>
        <v/>
      </c>
      <c r="D172" s="650" t="str">
        <f t="shared" si="16"/>
        <v/>
      </c>
      <c r="E172" s="650" t="str">
        <f t="shared" si="20"/>
        <v/>
      </c>
      <c r="F172" s="650" t="str">
        <f t="shared" si="21"/>
        <v/>
      </c>
      <c r="G172" s="650" t="str">
        <f t="shared" si="22"/>
        <v/>
      </c>
      <c r="H172" s="650" t="str">
        <f t="shared" si="17"/>
        <v/>
      </c>
      <c r="J172" s="650"/>
      <c r="K172" s="650"/>
      <c r="L172" s="650"/>
    </row>
    <row r="173" spans="2:12" x14ac:dyDescent="0.2">
      <c r="B173" s="660" t="str">
        <f t="shared" si="18"/>
        <v>-</v>
      </c>
      <c r="C173" s="661" t="str">
        <f t="shared" si="19"/>
        <v/>
      </c>
      <c r="D173" s="650" t="str">
        <f t="shared" si="16"/>
        <v/>
      </c>
      <c r="E173" s="650" t="str">
        <f t="shared" si="20"/>
        <v/>
      </c>
      <c r="F173" s="650" t="str">
        <f t="shared" si="21"/>
        <v/>
      </c>
      <c r="G173" s="650" t="str">
        <f t="shared" si="22"/>
        <v/>
      </c>
      <c r="H173" s="650" t="str">
        <f t="shared" si="17"/>
        <v/>
      </c>
      <c r="J173" s="650"/>
      <c r="K173" s="650"/>
      <c r="L173" s="650"/>
    </row>
    <row r="174" spans="2:12" x14ac:dyDescent="0.2">
      <c r="B174" s="660" t="str">
        <f t="shared" si="18"/>
        <v>-</v>
      </c>
      <c r="C174" s="661" t="str">
        <f t="shared" si="19"/>
        <v/>
      </c>
      <c r="D174" s="650" t="str">
        <f t="shared" si="16"/>
        <v/>
      </c>
      <c r="E174" s="650" t="str">
        <f t="shared" si="20"/>
        <v/>
      </c>
      <c r="F174" s="650" t="str">
        <f t="shared" si="21"/>
        <v/>
      </c>
      <c r="G174" s="650" t="str">
        <f t="shared" si="22"/>
        <v/>
      </c>
      <c r="H174" s="650" t="str">
        <f t="shared" si="17"/>
        <v/>
      </c>
      <c r="J174" s="650"/>
      <c r="K174" s="650"/>
      <c r="L174" s="650"/>
    </row>
    <row r="175" spans="2:12" x14ac:dyDescent="0.2">
      <c r="B175" s="660" t="str">
        <f t="shared" si="18"/>
        <v>-</v>
      </c>
      <c r="C175" s="661" t="str">
        <f t="shared" si="19"/>
        <v/>
      </c>
      <c r="D175" s="650" t="str">
        <f t="shared" si="16"/>
        <v/>
      </c>
      <c r="E175" s="650" t="str">
        <f t="shared" si="20"/>
        <v/>
      </c>
      <c r="F175" s="650" t="str">
        <f t="shared" si="21"/>
        <v/>
      </c>
      <c r="G175" s="650" t="str">
        <f t="shared" si="22"/>
        <v/>
      </c>
      <c r="H175" s="650" t="str">
        <f t="shared" si="17"/>
        <v/>
      </c>
      <c r="J175" s="650"/>
      <c r="K175" s="650"/>
      <c r="L175" s="650"/>
    </row>
    <row r="176" spans="2:12" x14ac:dyDescent="0.2">
      <c r="B176" s="660" t="str">
        <f t="shared" si="18"/>
        <v>-</v>
      </c>
      <c r="C176" s="661" t="str">
        <f t="shared" si="19"/>
        <v/>
      </c>
      <c r="D176" s="650" t="str">
        <f t="shared" si="16"/>
        <v/>
      </c>
      <c r="E176" s="650" t="str">
        <f t="shared" si="20"/>
        <v/>
      </c>
      <c r="F176" s="650" t="str">
        <f t="shared" si="21"/>
        <v/>
      </c>
      <c r="G176" s="650" t="str">
        <f t="shared" si="22"/>
        <v/>
      </c>
      <c r="H176" s="650" t="str">
        <f t="shared" si="17"/>
        <v/>
      </c>
      <c r="J176" s="650"/>
      <c r="K176" s="650"/>
      <c r="L176" s="650"/>
    </row>
    <row r="177" spans="2:12" x14ac:dyDescent="0.2">
      <c r="B177" s="660" t="str">
        <f t="shared" si="18"/>
        <v>-</v>
      </c>
      <c r="C177" s="661" t="str">
        <f t="shared" si="19"/>
        <v/>
      </c>
      <c r="D177" s="650" t="str">
        <f t="shared" ref="D177:D240" si="23">IF(ISNUMBER(B177),D176-F176,"")</f>
        <v/>
      </c>
      <c r="E177" s="650" t="str">
        <f t="shared" si="20"/>
        <v/>
      </c>
      <c r="F177" s="650" t="str">
        <f t="shared" si="21"/>
        <v/>
      </c>
      <c r="G177" s="650" t="str">
        <f t="shared" si="22"/>
        <v/>
      </c>
      <c r="H177" s="650" t="str">
        <f t="shared" ref="H177:H240" si="24">IF(ISNUMBER(B177),E177+F177+G177,"")</f>
        <v/>
      </c>
      <c r="J177" s="650"/>
      <c r="K177" s="650"/>
      <c r="L177" s="650"/>
    </row>
    <row r="178" spans="2:12" x14ac:dyDescent="0.2">
      <c r="B178" s="660" t="str">
        <f t="shared" si="18"/>
        <v>-</v>
      </c>
      <c r="C178" s="661" t="str">
        <f t="shared" si="19"/>
        <v/>
      </c>
      <c r="D178" s="650" t="str">
        <f t="shared" si="23"/>
        <v/>
      </c>
      <c r="E178" s="650" t="str">
        <f t="shared" si="20"/>
        <v/>
      </c>
      <c r="F178" s="650" t="str">
        <f t="shared" si="21"/>
        <v/>
      </c>
      <c r="G178" s="650" t="str">
        <f t="shared" si="22"/>
        <v/>
      </c>
      <c r="H178" s="650" t="str">
        <f t="shared" si="24"/>
        <v/>
      </c>
      <c r="J178" s="650"/>
      <c r="K178" s="650"/>
      <c r="L178" s="650"/>
    </row>
    <row r="179" spans="2:12" x14ac:dyDescent="0.2">
      <c r="B179" s="660" t="str">
        <f t="shared" si="18"/>
        <v>-</v>
      </c>
      <c r="C179" s="661" t="str">
        <f t="shared" si="19"/>
        <v/>
      </c>
      <c r="D179" s="650" t="str">
        <f t="shared" si="23"/>
        <v/>
      </c>
      <c r="E179" s="650" t="str">
        <f t="shared" si="20"/>
        <v/>
      </c>
      <c r="F179" s="650" t="str">
        <f t="shared" si="21"/>
        <v/>
      </c>
      <c r="G179" s="650" t="str">
        <f t="shared" si="22"/>
        <v/>
      </c>
      <c r="H179" s="650" t="str">
        <f t="shared" si="24"/>
        <v/>
      </c>
      <c r="J179" s="650"/>
      <c r="K179" s="650"/>
      <c r="L179" s="650"/>
    </row>
    <row r="180" spans="2:12" x14ac:dyDescent="0.2">
      <c r="B180" s="660" t="str">
        <f t="shared" si="18"/>
        <v>-</v>
      </c>
      <c r="C180" s="661" t="str">
        <f t="shared" si="19"/>
        <v/>
      </c>
      <c r="D180" s="650" t="str">
        <f t="shared" si="23"/>
        <v/>
      </c>
      <c r="E180" s="650" t="str">
        <f t="shared" si="20"/>
        <v/>
      </c>
      <c r="F180" s="650" t="str">
        <f t="shared" si="21"/>
        <v/>
      </c>
      <c r="G180" s="650" t="str">
        <f t="shared" si="22"/>
        <v/>
      </c>
      <c r="H180" s="650" t="str">
        <f t="shared" si="24"/>
        <v/>
      </c>
      <c r="J180" s="650"/>
      <c r="K180" s="650"/>
      <c r="L180" s="650"/>
    </row>
    <row r="181" spans="2:12" x14ac:dyDescent="0.2">
      <c r="B181" s="660" t="str">
        <f t="shared" si="18"/>
        <v>-</v>
      </c>
      <c r="C181" s="661" t="str">
        <f t="shared" si="19"/>
        <v/>
      </c>
      <c r="D181" s="650" t="str">
        <f t="shared" si="23"/>
        <v/>
      </c>
      <c r="E181" s="650" t="str">
        <f t="shared" si="20"/>
        <v/>
      </c>
      <c r="F181" s="650" t="str">
        <f t="shared" si="21"/>
        <v/>
      </c>
      <c r="G181" s="650" t="str">
        <f t="shared" si="22"/>
        <v/>
      </c>
      <c r="H181" s="650" t="str">
        <f t="shared" si="24"/>
        <v/>
      </c>
      <c r="J181" s="650"/>
      <c r="K181" s="650"/>
      <c r="L181" s="650"/>
    </row>
    <row r="182" spans="2:12" x14ac:dyDescent="0.2">
      <c r="B182" s="660" t="str">
        <f t="shared" si="18"/>
        <v>-</v>
      </c>
      <c r="C182" s="661" t="str">
        <f t="shared" si="19"/>
        <v/>
      </c>
      <c r="D182" s="650" t="str">
        <f t="shared" si="23"/>
        <v/>
      </c>
      <c r="E182" s="650" t="str">
        <f t="shared" si="20"/>
        <v/>
      </c>
      <c r="F182" s="650" t="str">
        <f t="shared" si="21"/>
        <v/>
      </c>
      <c r="G182" s="650" t="str">
        <f t="shared" si="22"/>
        <v/>
      </c>
      <c r="H182" s="650" t="str">
        <f t="shared" si="24"/>
        <v/>
      </c>
      <c r="J182" s="650"/>
      <c r="K182" s="650"/>
      <c r="L182" s="650"/>
    </row>
    <row r="183" spans="2:12" x14ac:dyDescent="0.2">
      <c r="B183" s="660" t="str">
        <f t="shared" si="18"/>
        <v>-</v>
      </c>
      <c r="C183" s="661" t="str">
        <f t="shared" si="19"/>
        <v/>
      </c>
      <c r="D183" s="650" t="str">
        <f t="shared" si="23"/>
        <v/>
      </c>
      <c r="E183" s="650" t="str">
        <f t="shared" si="20"/>
        <v/>
      </c>
      <c r="F183" s="650" t="str">
        <f t="shared" si="21"/>
        <v/>
      </c>
      <c r="G183" s="650" t="str">
        <f t="shared" si="22"/>
        <v/>
      </c>
      <c r="H183" s="650" t="str">
        <f t="shared" si="24"/>
        <v/>
      </c>
      <c r="J183" s="650"/>
      <c r="K183" s="650"/>
      <c r="L183" s="650"/>
    </row>
    <row r="184" spans="2:12" x14ac:dyDescent="0.2">
      <c r="B184" s="660" t="str">
        <f t="shared" si="18"/>
        <v>-</v>
      </c>
      <c r="C184" s="661" t="str">
        <f t="shared" si="19"/>
        <v/>
      </c>
      <c r="D184" s="650" t="str">
        <f t="shared" si="23"/>
        <v/>
      </c>
      <c r="E184" s="650" t="str">
        <f t="shared" si="20"/>
        <v/>
      </c>
      <c r="F184" s="650" t="str">
        <f t="shared" si="21"/>
        <v/>
      </c>
      <c r="G184" s="650" t="str">
        <f t="shared" si="22"/>
        <v/>
      </c>
      <c r="H184" s="650" t="str">
        <f t="shared" si="24"/>
        <v/>
      </c>
      <c r="J184" s="650"/>
      <c r="K184" s="650"/>
      <c r="L184" s="650"/>
    </row>
    <row r="185" spans="2:12" x14ac:dyDescent="0.2">
      <c r="B185" s="660" t="str">
        <f t="shared" si="18"/>
        <v>-</v>
      </c>
      <c r="C185" s="661" t="str">
        <f t="shared" si="19"/>
        <v/>
      </c>
      <c r="D185" s="650" t="str">
        <f t="shared" si="23"/>
        <v/>
      </c>
      <c r="E185" s="650" t="str">
        <f t="shared" si="20"/>
        <v/>
      </c>
      <c r="F185" s="650" t="str">
        <f t="shared" si="21"/>
        <v/>
      </c>
      <c r="G185" s="650" t="str">
        <f t="shared" si="22"/>
        <v/>
      </c>
      <c r="H185" s="650" t="str">
        <f t="shared" si="24"/>
        <v/>
      </c>
      <c r="J185" s="650"/>
      <c r="K185" s="650"/>
      <c r="L185" s="650"/>
    </row>
    <row r="186" spans="2:12" x14ac:dyDescent="0.2">
      <c r="B186" s="660" t="str">
        <f t="shared" si="18"/>
        <v>-</v>
      </c>
      <c r="C186" s="661" t="str">
        <f t="shared" si="19"/>
        <v/>
      </c>
      <c r="D186" s="650" t="str">
        <f t="shared" si="23"/>
        <v/>
      </c>
      <c r="E186" s="650" t="str">
        <f t="shared" si="20"/>
        <v/>
      </c>
      <c r="F186" s="650" t="str">
        <f t="shared" si="21"/>
        <v/>
      </c>
      <c r="G186" s="650" t="str">
        <f t="shared" si="22"/>
        <v/>
      </c>
      <c r="H186" s="650" t="str">
        <f t="shared" si="24"/>
        <v/>
      </c>
      <c r="J186" s="650"/>
      <c r="K186" s="650"/>
      <c r="L186" s="650"/>
    </row>
    <row r="187" spans="2:12" x14ac:dyDescent="0.2">
      <c r="B187" s="660" t="str">
        <f t="shared" si="18"/>
        <v>-</v>
      </c>
      <c r="C187" s="661" t="str">
        <f t="shared" si="19"/>
        <v/>
      </c>
      <c r="D187" s="650" t="str">
        <f t="shared" si="23"/>
        <v/>
      </c>
      <c r="E187" s="650" t="str">
        <f t="shared" si="20"/>
        <v/>
      </c>
      <c r="F187" s="650" t="str">
        <f t="shared" si="21"/>
        <v/>
      </c>
      <c r="G187" s="650" t="str">
        <f t="shared" si="22"/>
        <v/>
      </c>
      <c r="H187" s="650" t="str">
        <f t="shared" si="24"/>
        <v/>
      </c>
      <c r="J187" s="650"/>
      <c r="K187" s="650"/>
      <c r="L187" s="650"/>
    </row>
    <row r="188" spans="2:12" x14ac:dyDescent="0.2">
      <c r="B188" s="660" t="str">
        <f t="shared" si="18"/>
        <v>-</v>
      </c>
      <c r="C188" s="661" t="str">
        <f t="shared" si="19"/>
        <v/>
      </c>
      <c r="D188" s="650" t="str">
        <f t="shared" si="23"/>
        <v/>
      </c>
      <c r="E188" s="650" t="str">
        <f t="shared" si="20"/>
        <v/>
      </c>
      <c r="F188" s="650" t="str">
        <f t="shared" si="21"/>
        <v/>
      </c>
      <c r="G188" s="650" t="str">
        <f t="shared" si="22"/>
        <v/>
      </c>
      <c r="H188" s="650" t="str">
        <f t="shared" si="24"/>
        <v/>
      </c>
      <c r="J188" s="650"/>
      <c r="K188" s="650"/>
      <c r="L188" s="650"/>
    </row>
    <row r="189" spans="2:12" x14ac:dyDescent="0.2">
      <c r="B189" s="660" t="str">
        <f t="shared" si="18"/>
        <v>-</v>
      </c>
      <c r="C189" s="661" t="str">
        <f t="shared" si="19"/>
        <v/>
      </c>
      <c r="D189" s="650" t="str">
        <f t="shared" si="23"/>
        <v/>
      </c>
      <c r="E189" s="650" t="str">
        <f t="shared" si="20"/>
        <v/>
      </c>
      <c r="F189" s="650" t="str">
        <f t="shared" si="21"/>
        <v/>
      </c>
      <c r="G189" s="650" t="str">
        <f t="shared" si="22"/>
        <v/>
      </c>
      <c r="H189" s="650" t="str">
        <f t="shared" si="24"/>
        <v/>
      </c>
      <c r="J189" s="650"/>
      <c r="K189" s="650"/>
      <c r="L189" s="650"/>
    </row>
    <row r="190" spans="2:12" x14ac:dyDescent="0.2">
      <c r="B190" s="660" t="str">
        <f t="shared" si="18"/>
        <v>-</v>
      </c>
      <c r="C190" s="661" t="str">
        <f t="shared" si="19"/>
        <v/>
      </c>
      <c r="D190" s="650" t="str">
        <f t="shared" si="23"/>
        <v/>
      </c>
      <c r="E190" s="650" t="str">
        <f t="shared" si="20"/>
        <v/>
      </c>
      <c r="F190" s="650" t="str">
        <f t="shared" si="21"/>
        <v/>
      </c>
      <c r="G190" s="650" t="str">
        <f t="shared" si="22"/>
        <v/>
      </c>
      <c r="H190" s="650" t="str">
        <f t="shared" si="24"/>
        <v/>
      </c>
      <c r="J190" s="650"/>
      <c r="K190" s="650"/>
      <c r="L190" s="650"/>
    </row>
    <row r="191" spans="2:12" x14ac:dyDescent="0.2">
      <c r="B191" s="660" t="str">
        <f t="shared" si="18"/>
        <v>-</v>
      </c>
      <c r="C191" s="661" t="str">
        <f t="shared" si="19"/>
        <v/>
      </c>
      <c r="D191" s="650" t="str">
        <f t="shared" si="23"/>
        <v/>
      </c>
      <c r="E191" s="650" t="str">
        <f t="shared" si="20"/>
        <v/>
      </c>
      <c r="F191" s="650" t="str">
        <f t="shared" si="21"/>
        <v/>
      </c>
      <c r="G191" s="650" t="str">
        <f t="shared" si="22"/>
        <v/>
      </c>
      <c r="H191" s="650" t="str">
        <f t="shared" si="24"/>
        <v/>
      </c>
      <c r="J191" s="650"/>
      <c r="K191" s="650"/>
      <c r="L191" s="650"/>
    </row>
    <row r="192" spans="2:12" x14ac:dyDescent="0.2">
      <c r="B192" s="660" t="str">
        <f t="shared" si="18"/>
        <v>-</v>
      </c>
      <c r="C192" s="661" t="str">
        <f t="shared" si="19"/>
        <v/>
      </c>
      <c r="D192" s="650" t="str">
        <f t="shared" si="23"/>
        <v/>
      </c>
      <c r="E192" s="650" t="str">
        <f t="shared" si="20"/>
        <v/>
      </c>
      <c r="F192" s="650" t="str">
        <f t="shared" si="21"/>
        <v/>
      </c>
      <c r="G192" s="650" t="str">
        <f t="shared" si="22"/>
        <v/>
      </c>
      <c r="H192" s="650" t="str">
        <f t="shared" si="24"/>
        <v/>
      </c>
      <c r="J192" s="650"/>
      <c r="K192" s="650"/>
      <c r="L192" s="650"/>
    </row>
    <row r="193" spans="2:12" x14ac:dyDescent="0.2">
      <c r="B193" s="660" t="str">
        <f t="shared" si="18"/>
        <v>-</v>
      </c>
      <c r="C193" s="661" t="str">
        <f t="shared" si="19"/>
        <v/>
      </c>
      <c r="D193" s="650" t="str">
        <f t="shared" si="23"/>
        <v/>
      </c>
      <c r="E193" s="650" t="str">
        <f t="shared" si="20"/>
        <v/>
      </c>
      <c r="F193" s="650" t="str">
        <f t="shared" si="21"/>
        <v/>
      </c>
      <c r="G193" s="650" t="str">
        <f t="shared" si="22"/>
        <v/>
      </c>
      <c r="H193" s="650" t="str">
        <f t="shared" si="24"/>
        <v/>
      </c>
      <c r="J193" s="650"/>
      <c r="K193" s="650"/>
      <c r="L193" s="650"/>
    </row>
    <row r="194" spans="2:12" x14ac:dyDescent="0.2">
      <c r="B194" s="660" t="str">
        <f t="shared" si="18"/>
        <v>-</v>
      </c>
      <c r="C194" s="661" t="str">
        <f t="shared" si="19"/>
        <v/>
      </c>
      <c r="D194" s="650" t="str">
        <f t="shared" si="23"/>
        <v/>
      </c>
      <c r="E194" s="650" t="str">
        <f t="shared" si="20"/>
        <v/>
      </c>
      <c r="F194" s="650" t="str">
        <f t="shared" si="21"/>
        <v/>
      </c>
      <c r="G194" s="650" t="str">
        <f t="shared" si="22"/>
        <v/>
      </c>
      <c r="H194" s="650" t="str">
        <f t="shared" si="24"/>
        <v/>
      </c>
      <c r="J194" s="650"/>
      <c r="K194" s="650"/>
      <c r="L194" s="650"/>
    </row>
    <row r="195" spans="2:12" x14ac:dyDescent="0.2">
      <c r="B195" s="660" t="str">
        <f t="shared" si="18"/>
        <v>-</v>
      </c>
      <c r="C195" s="661" t="str">
        <f t="shared" si="19"/>
        <v/>
      </c>
      <c r="D195" s="650" t="str">
        <f t="shared" si="23"/>
        <v/>
      </c>
      <c r="E195" s="650" t="str">
        <f t="shared" si="20"/>
        <v/>
      </c>
      <c r="F195" s="650" t="str">
        <f t="shared" si="21"/>
        <v/>
      </c>
      <c r="G195" s="650" t="str">
        <f t="shared" si="22"/>
        <v/>
      </c>
      <c r="H195" s="650" t="str">
        <f t="shared" si="24"/>
        <v/>
      </c>
      <c r="J195" s="650"/>
      <c r="K195" s="650"/>
      <c r="L195" s="650"/>
    </row>
    <row r="196" spans="2:12" x14ac:dyDescent="0.2">
      <c r="B196" s="660" t="str">
        <f t="shared" si="18"/>
        <v>-</v>
      </c>
      <c r="C196" s="661" t="str">
        <f t="shared" si="19"/>
        <v/>
      </c>
      <c r="D196" s="650" t="str">
        <f t="shared" si="23"/>
        <v/>
      </c>
      <c r="E196" s="650" t="str">
        <f t="shared" si="20"/>
        <v/>
      </c>
      <c r="F196" s="650" t="str">
        <f t="shared" si="21"/>
        <v/>
      </c>
      <c r="G196" s="650" t="str">
        <f t="shared" si="22"/>
        <v/>
      </c>
      <c r="H196" s="650" t="str">
        <f t="shared" si="24"/>
        <v/>
      </c>
      <c r="J196" s="650"/>
      <c r="K196" s="650"/>
      <c r="L196" s="650"/>
    </row>
    <row r="197" spans="2:12" x14ac:dyDescent="0.2">
      <c r="B197" s="660" t="str">
        <f t="shared" si="18"/>
        <v>-</v>
      </c>
      <c r="C197" s="661" t="str">
        <f t="shared" si="19"/>
        <v/>
      </c>
      <c r="D197" s="650" t="str">
        <f t="shared" si="23"/>
        <v/>
      </c>
      <c r="E197" s="650" t="str">
        <f t="shared" si="20"/>
        <v/>
      </c>
      <c r="F197" s="650" t="str">
        <f t="shared" si="21"/>
        <v/>
      </c>
      <c r="G197" s="650" t="str">
        <f t="shared" si="22"/>
        <v/>
      </c>
      <c r="H197" s="650" t="str">
        <f t="shared" si="24"/>
        <v/>
      </c>
      <c r="J197" s="650"/>
      <c r="K197" s="650"/>
      <c r="L197" s="650"/>
    </row>
    <row r="198" spans="2:12" x14ac:dyDescent="0.2">
      <c r="B198" s="660" t="str">
        <f t="shared" si="18"/>
        <v>-</v>
      </c>
      <c r="C198" s="661" t="str">
        <f t="shared" si="19"/>
        <v/>
      </c>
      <c r="D198" s="650" t="str">
        <f t="shared" si="23"/>
        <v/>
      </c>
      <c r="E198" s="650" t="str">
        <f t="shared" si="20"/>
        <v/>
      </c>
      <c r="F198" s="650" t="str">
        <f t="shared" si="21"/>
        <v/>
      </c>
      <c r="G198" s="650" t="str">
        <f t="shared" si="22"/>
        <v/>
      </c>
      <c r="H198" s="650" t="str">
        <f t="shared" si="24"/>
        <v/>
      </c>
      <c r="J198" s="650"/>
      <c r="K198" s="650"/>
      <c r="L198" s="650"/>
    </row>
    <row r="199" spans="2:12" x14ac:dyDescent="0.2">
      <c r="B199" s="660" t="str">
        <f t="shared" si="18"/>
        <v>-</v>
      </c>
      <c r="C199" s="661" t="str">
        <f t="shared" si="19"/>
        <v/>
      </c>
      <c r="D199" s="650" t="str">
        <f t="shared" si="23"/>
        <v/>
      </c>
      <c r="E199" s="650" t="str">
        <f t="shared" si="20"/>
        <v/>
      </c>
      <c r="F199" s="650" t="str">
        <f t="shared" si="21"/>
        <v/>
      </c>
      <c r="G199" s="650" t="str">
        <f t="shared" si="22"/>
        <v/>
      </c>
      <c r="H199" s="650" t="str">
        <f t="shared" si="24"/>
        <v/>
      </c>
      <c r="J199" s="650"/>
      <c r="K199" s="650"/>
      <c r="L199" s="650"/>
    </row>
    <row r="200" spans="2:12" x14ac:dyDescent="0.2">
      <c r="B200" s="660" t="str">
        <f t="shared" si="18"/>
        <v>-</v>
      </c>
      <c r="C200" s="661" t="str">
        <f t="shared" si="19"/>
        <v/>
      </c>
      <c r="D200" s="650" t="str">
        <f t="shared" si="23"/>
        <v/>
      </c>
      <c r="E200" s="650" t="str">
        <f t="shared" si="20"/>
        <v/>
      </c>
      <c r="F200" s="650" t="str">
        <f t="shared" si="21"/>
        <v/>
      </c>
      <c r="G200" s="650" t="str">
        <f t="shared" si="22"/>
        <v/>
      </c>
      <c r="H200" s="650" t="str">
        <f t="shared" si="24"/>
        <v/>
      </c>
      <c r="J200" s="650"/>
      <c r="K200" s="650"/>
      <c r="L200" s="650"/>
    </row>
    <row r="201" spans="2:12" x14ac:dyDescent="0.2">
      <c r="B201" s="660" t="str">
        <f t="shared" si="18"/>
        <v>-</v>
      </c>
      <c r="C201" s="661" t="str">
        <f t="shared" si="19"/>
        <v/>
      </c>
      <c r="D201" s="650" t="str">
        <f t="shared" si="23"/>
        <v/>
      </c>
      <c r="E201" s="650" t="str">
        <f t="shared" si="20"/>
        <v/>
      </c>
      <c r="F201" s="650" t="str">
        <f t="shared" si="21"/>
        <v/>
      </c>
      <c r="G201" s="650" t="str">
        <f t="shared" si="22"/>
        <v/>
      </c>
      <c r="H201" s="650" t="str">
        <f t="shared" si="24"/>
        <v/>
      </c>
      <c r="J201" s="650"/>
      <c r="K201" s="650"/>
      <c r="L201" s="650"/>
    </row>
    <row r="202" spans="2:12" x14ac:dyDescent="0.2">
      <c r="B202" s="660" t="str">
        <f t="shared" si="18"/>
        <v>-</v>
      </c>
      <c r="C202" s="661" t="str">
        <f t="shared" si="19"/>
        <v/>
      </c>
      <c r="D202" s="650" t="str">
        <f t="shared" si="23"/>
        <v/>
      </c>
      <c r="E202" s="650" t="str">
        <f t="shared" si="20"/>
        <v/>
      </c>
      <c r="F202" s="650" t="str">
        <f t="shared" si="21"/>
        <v/>
      </c>
      <c r="G202" s="650" t="str">
        <f t="shared" si="22"/>
        <v/>
      </c>
      <c r="H202" s="650" t="str">
        <f t="shared" si="24"/>
        <v/>
      </c>
      <c r="J202" s="650"/>
      <c r="K202" s="650"/>
      <c r="L202" s="650"/>
    </row>
    <row r="203" spans="2:12" x14ac:dyDescent="0.2">
      <c r="B203" s="660" t="str">
        <f t="shared" si="18"/>
        <v>-</v>
      </c>
      <c r="C203" s="661" t="str">
        <f t="shared" si="19"/>
        <v/>
      </c>
      <c r="D203" s="650" t="str">
        <f t="shared" si="23"/>
        <v/>
      </c>
      <c r="E203" s="650" t="str">
        <f t="shared" si="20"/>
        <v/>
      </c>
      <c r="F203" s="650" t="str">
        <f t="shared" si="21"/>
        <v/>
      </c>
      <c r="G203" s="650" t="str">
        <f t="shared" si="22"/>
        <v/>
      </c>
      <c r="H203" s="650" t="str">
        <f t="shared" si="24"/>
        <v/>
      </c>
      <c r="J203" s="650"/>
      <c r="K203" s="650"/>
      <c r="L203" s="650"/>
    </row>
    <row r="204" spans="2:12" x14ac:dyDescent="0.2">
      <c r="B204" s="660" t="str">
        <f t="shared" ref="B204:B267" si="25">IF(B203&lt;$L$3,B203+1,"-")</f>
        <v>-</v>
      </c>
      <c r="C204" s="661" t="str">
        <f t="shared" ref="C204:C267" si="26">IF(ISNUMBER(B204),MIN(DATE(YEAR($C$11),MONTH($C$11)+B204*12/$P$5,DAY($C$11)),DATE(YEAR($C$11),MONTH($C$11)+1+B204*12/$P$5,1)-1),"")</f>
        <v/>
      </c>
      <c r="D204" s="650" t="str">
        <f t="shared" si="23"/>
        <v/>
      </c>
      <c r="E204" s="650" t="str">
        <f t="shared" ref="E204:E267" si="27">IF(ISNUMBER(B204),ROUND(D204*$L$7,$R$6),"")</f>
        <v/>
      </c>
      <c r="F204" s="650" t="str">
        <f t="shared" ref="F204:F267" si="28">IF(ISNUMBER(B204),IF(B204=$L$3,D204,IF(B204&gt;$L$4,$H$3-E204,0)),"")</f>
        <v/>
      </c>
      <c r="G204" s="650" t="str">
        <f t="shared" ref="G204:G267" si="29">IF(ISNUMBER(B204),$H$4,"")</f>
        <v/>
      </c>
      <c r="H204" s="650" t="str">
        <f t="shared" si="24"/>
        <v/>
      </c>
      <c r="J204" s="650"/>
      <c r="K204" s="650"/>
      <c r="L204" s="650"/>
    </row>
    <row r="205" spans="2:12" x14ac:dyDescent="0.2">
      <c r="B205" s="660" t="str">
        <f t="shared" si="25"/>
        <v>-</v>
      </c>
      <c r="C205" s="661" t="str">
        <f t="shared" si="26"/>
        <v/>
      </c>
      <c r="D205" s="650" t="str">
        <f t="shared" si="23"/>
        <v/>
      </c>
      <c r="E205" s="650" t="str">
        <f t="shared" si="27"/>
        <v/>
      </c>
      <c r="F205" s="650" t="str">
        <f t="shared" si="28"/>
        <v/>
      </c>
      <c r="G205" s="650" t="str">
        <f t="shared" si="29"/>
        <v/>
      </c>
      <c r="H205" s="650" t="str">
        <f t="shared" si="24"/>
        <v/>
      </c>
      <c r="J205" s="650"/>
      <c r="K205" s="650"/>
      <c r="L205" s="650"/>
    </row>
    <row r="206" spans="2:12" x14ac:dyDescent="0.2">
      <c r="B206" s="660" t="str">
        <f t="shared" si="25"/>
        <v>-</v>
      </c>
      <c r="C206" s="661" t="str">
        <f t="shared" si="26"/>
        <v/>
      </c>
      <c r="D206" s="650" t="str">
        <f t="shared" si="23"/>
        <v/>
      </c>
      <c r="E206" s="650" t="str">
        <f t="shared" si="27"/>
        <v/>
      </c>
      <c r="F206" s="650" t="str">
        <f t="shared" si="28"/>
        <v/>
      </c>
      <c r="G206" s="650" t="str">
        <f t="shared" si="29"/>
        <v/>
      </c>
      <c r="H206" s="650" t="str">
        <f t="shared" si="24"/>
        <v/>
      </c>
      <c r="J206" s="650"/>
      <c r="K206" s="650"/>
      <c r="L206" s="650"/>
    </row>
    <row r="207" spans="2:12" x14ac:dyDescent="0.2">
      <c r="B207" s="660" t="str">
        <f t="shared" si="25"/>
        <v>-</v>
      </c>
      <c r="C207" s="661" t="str">
        <f t="shared" si="26"/>
        <v/>
      </c>
      <c r="D207" s="650" t="str">
        <f t="shared" si="23"/>
        <v/>
      </c>
      <c r="E207" s="650" t="str">
        <f t="shared" si="27"/>
        <v/>
      </c>
      <c r="F207" s="650" t="str">
        <f t="shared" si="28"/>
        <v/>
      </c>
      <c r="G207" s="650" t="str">
        <f t="shared" si="29"/>
        <v/>
      </c>
      <c r="H207" s="650" t="str">
        <f t="shared" si="24"/>
        <v/>
      </c>
      <c r="J207" s="650"/>
      <c r="K207" s="650"/>
      <c r="L207" s="650"/>
    </row>
    <row r="208" spans="2:12" x14ac:dyDescent="0.2">
      <c r="B208" s="660" t="str">
        <f t="shared" si="25"/>
        <v>-</v>
      </c>
      <c r="C208" s="661" t="str">
        <f t="shared" si="26"/>
        <v/>
      </c>
      <c r="D208" s="650" t="str">
        <f t="shared" si="23"/>
        <v/>
      </c>
      <c r="E208" s="650" t="str">
        <f t="shared" si="27"/>
        <v/>
      </c>
      <c r="F208" s="650" t="str">
        <f t="shared" si="28"/>
        <v/>
      </c>
      <c r="G208" s="650" t="str">
        <f t="shared" si="29"/>
        <v/>
      </c>
      <c r="H208" s="650" t="str">
        <f t="shared" si="24"/>
        <v/>
      </c>
      <c r="J208" s="650"/>
      <c r="K208" s="650"/>
      <c r="L208" s="650"/>
    </row>
    <row r="209" spans="2:12" x14ac:dyDescent="0.2">
      <c r="B209" s="660" t="str">
        <f t="shared" si="25"/>
        <v>-</v>
      </c>
      <c r="C209" s="661" t="str">
        <f t="shared" si="26"/>
        <v/>
      </c>
      <c r="D209" s="650" t="str">
        <f t="shared" si="23"/>
        <v/>
      </c>
      <c r="E209" s="650" t="str">
        <f t="shared" si="27"/>
        <v/>
      </c>
      <c r="F209" s="650" t="str">
        <f t="shared" si="28"/>
        <v/>
      </c>
      <c r="G209" s="650" t="str">
        <f t="shared" si="29"/>
        <v/>
      </c>
      <c r="H209" s="650" t="str">
        <f t="shared" si="24"/>
        <v/>
      </c>
      <c r="J209" s="650"/>
      <c r="K209" s="650"/>
      <c r="L209" s="650"/>
    </row>
    <row r="210" spans="2:12" x14ac:dyDescent="0.2">
      <c r="B210" s="660" t="str">
        <f t="shared" si="25"/>
        <v>-</v>
      </c>
      <c r="C210" s="661" t="str">
        <f t="shared" si="26"/>
        <v/>
      </c>
      <c r="D210" s="650" t="str">
        <f t="shared" si="23"/>
        <v/>
      </c>
      <c r="E210" s="650" t="str">
        <f t="shared" si="27"/>
        <v/>
      </c>
      <c r="F210" s="650" t="str">
        <f t="shared" si="28"/>
        <v/>
      </c>
      <c r="G210" s="650" t="str">
        <f t="shared" si="29"/>
        <v/>
      </c>
      <c r="H210" s="650" t="str">
        <f t="shared" si="24"/>
        <v/>
      </c>
      <c r="J210" s="650"/>
      <c r="K210" s="650"/>
      <c r="L210" s="650"/>
    </row>
    <row r="211" spans="2:12" x14ac:dyDescent="0.2">
      <c r="B211" s="660" t="str">
        <f t="shared" si="25"/>
        <v>-</v>
      </c>
      <c r="C211" s="661" t="str">
        <f t="shared" si="26"/>
        <v/>
      </c>
      <c r="D211" s="650" t="str">
        <f t="shared" si="23"/>
        <v/>
      </c>
      <c r="E211" s="650" t="str">
        <f t="shared" si="27"/>
        <v/>
      </c>
      <c r="F211" s="650" t="str">
        <f t="shared" si="28"/>
        <v/>
      </c>
      <c r="G211" s="650" t="str">
        <f t="shared" si="29"/>
        <v/>
      </c>
      <c r="H211" s="650" t="str">
        <f t="shared" si="24"/>
        <v/>
      </c>
      <c r="J211" s="650"/>
      <c r="K211" s="650"/>
      <c r="L211" s="650"/>
    </row>
    <row r="212" spans="2:12" x14ac:dyDescent="0.2">
      <c r="B212" s="660" t="str">
        <f t="shared" si="25"/>
        <v>-</v>
      </c>
      <c r="C212" s="661" t="str">
        <f t="shared" si="26"/>
        <v/>
      </c>
      <c r="D212" s="650" t="str">
        <f t="shared" si="23"/>
        <v/>
      </c>
      <c r="E212" s="650" t="str">
        <f t="shared" si="27"/>
        <v/>
      </c>
      <c r="F212" s="650" t="str">
        <f t="shared" si="28"/>
        <v/>
      </c>
      <c r="G212" s="650" t="str">
        <f t="shared" si="29"/>
        <v/>
      </c>
      <c r="H212" s="650" t="str">
        <f t="shared" si="24"/>
        <v/>
      </c>
      <c r="J212" s="650"/>
      <c r="K212" s="650"/>
      <c r="L212" s="650"/>
    </row>
    <row r="213" spans="2:12" x14ac:dyDescent="0.2">
      <c r="B213" s="660" t="str">
        <f t="shared" si="25"/>
        <v>-</v>
      </c>
      <c r="C213" s="661" t="str">
        <f t="shared" si="26"/>
        <v/>
      </c>
      <c r="D213" s="650" t="str">
        <f t="shared" si="23"/>
        <v/>
      </c>
      <c r="E213" s="650" t="str">
        <f t="shared" si="27"/>
        <v/>
      </c>
      <c r="F213" s="650" t="str">
        <f t="shared" si="28"/>
        <v/>
      </c>
      <c r="G213" s="650" t="str">
        <f t="shared" si="29"/>
        <v/>
      </c>
      <c r="H213" s="650" t="str">
        <f t="shared" si="24"/>
        <v/>
      </c>
      <c r="J213" s="650"/>
      <c r="K213" s="650"/>
      <c r="L213" s="650"/>
    </row>
    <row r="214" spans="2:12" x14ac:dyDescent="0.2">
      <c r="B214" s="660" t="str">
        <f t="shared" si="25"/>
        <v>-</v>
      </c>
      <c r="C214" s="661" t="str">
        <f t="shared" si="26"/>
        <v/>
      </c>
      <c r="D214" s="650" t="str">
        <f t="shared" si="23"/>
        <v/>
      </c>
      <c r="E214" s="650" t="str">
        <f t="shared" si="27"/>
        <v/>
      </c>
      <c r="F214" s="650" t="str">
        <f t="shared" si="28"/>
        <v/>
      </c>
      <c r="G214" s="650" t="str">
        <f t="shared" si="29"/>
        <v/>
      </c>
      <c r="H214" s="650" t="str">
        <f t="shared" si="24"/>
        <v/>
      </c>
      <c r="J214" s="650"/>
      <c r="K214" s="650"/>
      <c r="L214" s="650"/>
    </row>
    <row r="215" spans="2:12" x14ac:dyDescent="0.2">
      <c r="B215" s="660" t="str">
        <f t="shared" si="25"/>
        <v>-</v>
      </c>
      <c r="C215" s="661" t="str">
        <f t="shared" si="26"/>
        <v/>
      </c>
      <c r="D215" s="650" t="str">
        <f t="shared" si="23"/>
        <v/>
      </c>
      <c r="E215" s="650" t="str">
        <f t="shared" si="27"/>
        <v/>
      </c>
      <c r="F215" s="650" t="str">
        <f t="shared" si="28"/>
        <v/>
      </c>
      <c r="G215" s="650" t="str">
        <f t="shared" si="29"/>
        <v/>
      </c>
      <c r="H215" s="650" t="str">
        <f t="shared" si="24"/>
        <v/>
      </c>
      <c r="J215" s="650"/>
      <c r="K215" s="650"/>
      <c r="L215" s="650"/>
    </row>
    <row r="216" spans="2:12" x14ac:dyDescent="0.2">
      <c r="B216" s="660" t="str">
        <f t="shared" si="25"/>
        <v>-</v>
      </c>
      <c r="C216" s="661" t="str">
        <f t="shared" si="26"/>
        <v/>
      </c>
      <c r="D216" s="650" t="str">
        <f t="shared" si="23"/>
        <v/>
      </c>
      <c r="E216" s="650" t="str">
        <f t="shared" si="27"/>
        <v/>
      </c>
      <c r="F216" s="650" t="str">
        <f t="shared" si="28"/>
        <v/>
      </c>
      <c r="G216" s="650" t="str">
        <f t="shared" si="29"/>
        <v/>
      </c>
      <c r="H216" s="650" t="str">
        <f t="shared" si="24"/>
        <v/>
      </c>
      <c r="J216" s="650"/>
      <c r="K216" s="650"/>
      <c r="L216" s="650"/>
    </row>
    <row r="217" spans="2:12" x14ac:dyDescent="0.2">
      <c r="B217" s="660" t="str">
        <f t="shared" si="25"/>
        <v>-</v>
      </c>
      <c r="C217" s="661" t="str">
        <f t="shared" si="26"/>
        <v/>
      </c>
      <c r="D217" s="650" t="str">
        <f t="shared" si="23"/>
        <v/>
      </c>
      <c r="E217" s="650" t="str">
        <f t="shared" si="27"/>
        <v/>
      </c>
      <c r="F217" s="650" t="str">
        <f t="shared" si="28"/>
        <v/>
      </c>
      <c r="G217" s="650" t="str">
        <f t="shared" si="29"/>
        <v/>
      </c>
      <c r="H217" s="650" t="str">
        <f t="shared" si="24"/>
        <v/>
      </c>
      <c r="J217" s="650"/>
      <c r="K217" s="650"/>
      <c r="L217" s="650"/>
    </row>
    <row r="218" spans="2:12" x14ac:dyDescent="0.2">
      <c r="B218" s="660" t="str">
        <f t="shared" si="25"/>
        <v>-</v>
      </c>
      <c r="C218" s="661" t="str">
        <f t="shared" si="26"/>
        <v/>
      </c>
      <c r="D218" s="650" t="str">
        <f t="shared" si="23"/>
        <v/>
      </c>
      <c r="E218" s="650" t="str">
        <f t="shared" si="27"/>
        <v/>
      </c>
      <c r="F218" s="650" t="str">
        <f t="shared" si="28"/>
        <v/>
      </c>
      <c r="G218" s="650" t="str">
        <f t="shared" si="29"/>
        <v/>
      </c>
      <c r="H218" s="650" t="str">
        <f t="shared" si="24"/>
        <v/>
      </c>
      <c r="J218" s="650"/>
      <c r="K218" s="650"/>
      <c r="L218" s="650"/>
    </row>
    <row r="219" spans="2:12" x14ac:dyDescent="0.2">
      <c r="B219" s="660" t="str">
        <f t="shared" si="25"/>
        <v>-</v>
      </c>
      <c r="C219" s="661" t="str">
        <f t="shared" si="26"/>
        <v/>
      </c>
      <c r="D219" s="650" t="str">
        <f t="shared" si="23"/>
        <v/>
      </c>
      <c r="E219" s="650" t="str">
        <f t="shared" si="27"/>
        <v/>
      </c>
      <c r="F219" s="650" t="str">
        <f t="shared" si="28"/>
        <v/>
      </c>
      <c r="G219" s="650" t="str">
        <f t="shared" si="29"/>
        <v/>
      </c>
      <c r="H219" s="650" t="str">
        <f t="shared" si="24"/>
        <v/>
      </c>
      <c r="J219" s="650"/>
      <c r="K219" s="650"/>
      <c r="L219" s="650"/>
    </row>
    <row r="220" spans="2:12" x14ac:dyDescent="0.2">
      <c r="B220" s="660" t="str">
        <f t="shared" si="25"/>
        <v>-</v>
      </c>
      <c r="C220" s="661" t="str">
        <f t="shared" si="26"/>
        <v/>
      </c>
      <c r="D220" s="650" t="str">
        <f t="shared" si="23"/>
        <v/>
      </c>
      <c r="E220" s="650" t="str">
        <f t="shared" si="27"/>
        <v/>
      </c>
      <c r="F220" s="650" t="str">
        <f t="shared" si="28"/>
        <v/>
      </c>
      <c r="G220" s="650" t="str">
        <f t="shared" si="29"/>
        <v/>
      </c>
      <c r="H220" s="650" t="str">
        <f t="shared" si="24"/>
        <v/>
      </c>
      <c r="J220" s="650"/>
      <c r="K220" s="650"/>
      <c r="L220" s="650"/>
    </row>
    <row r="221" spans="2:12" x14ac:dyDescent="0.2">
      <c r="B221" s="660" t="str">
        <f t="shared" si="25"/>
        <v>-</v>
      </c>
      <c r="C221" s="661" t="str">
        <f t="shared" si="26"/>
        <v/>
      </c>
      <c r="D221" s="650" t="str">
        <f t="shared" si="23"/>
        <v/>
      </c>
      <c r="E221" s="650" t="str">
        <f t="shared" si="27"/>
        <v/>
      </c>
      <c r="F221" s="650" t="str">
        <f t="shared" si="28"/>
        <v/>
      </c>
      <c r="G221" s="650" t="str">
        <f t="shared" si="29"/>
        <v/>
      </c>
      <c r="H221" s="650" t="str">
        <f t="shared" si="24"/>
        <v/>
      </c>
      <c r="J221" s="650"/>
      <c r="K221" s="650"/>
      <c r="L221" s="650"/>
    </row>
    <row r="222" spans="2:12" x14ac:dyDescent="0.2">
      <c r="B222" s="660" t="str">
        <f t="shared" si="25"/>
        <v>-</v>
      </c>
      <c r="C222" s="661" t="str">
        <f t="shared" si="26"/>
        <v/>
      </c>
      <c r="D222" s="650" t="str">
        <f t="shared" si="23"/>
        <v/>
      </c>
      <c r="E222" s="650" t="str">
        <f t="shared" si="27"/>
        <v/>
      </c>
      <c r="F222" s="650" t="str">
        <f t="shared" si="28"/>
        <v/>
      </c>
      <c r="G222" s="650" t="str">
        <f t="shared" si="29"/>
        <v/>
      </c>
      <c r="H222" s="650" t="str">
        <f t="shared" si="24"/>
        <v/>
      </c>
      <c r="J222" s="650"/>
      <c r="K222" s="650"/>
      <c r="L222" s="650"/>
    </row>
    <row r="223" spans="2:12" x14ac:dyDescent="0.2">
      <c r="B223" s="660" t="str">
        <f t="shared" si="25"/>
        <v>-</v>
      </c>
      <c r="C223" s="661" t="str">
        <f t="shared" si="26"/>
        <v/>
      </c>
      <c r="D223" s="650" t="str">
        <f t="shared" si="23"/>
        <v/>
      </c>
      <c r="E223" s="650" t="str">
        <f t="shared" si="27"/>
        <v/>
      </c>
      <c r="F223" s="650" t="str">
        <f t="shared" si="28"/>
        <v/>
      </c>
      <c r="G223" s="650" t="str">
        <f t="shared" si="29"/>
        <v/>
      </c>
      <c r="H223" s="650" t="str">
        <f t="shared" si="24"/>
        <v/>
      </c>
      <c r="J223" s="650"/>
      <c r="K223" s="650"/>
      <c r="L223" s="650"/>
    </row>
    <row r="224" spans="2:12" x14ac:dyDescent="0.2">
      <c r="B224" s="660" t="str">
        <f t="shared" si="25"/>
        <v>-</v>
      </c>
      <c r="C224" s="661" t="str">
        <f t="shared" si="26"/>
        <v/>
      </c>
      <c r="D224" s="650" t="str">
        <f t="shared" si="23"/>
        <v/>
      </c>
      <c r="E224" s="650" t="str">
        <f t="shared" si="27"/>
        <v/>
      </c>
      <c r="F224" s="650" t="str">
        <f t="shared" si="28"/>
        <v/>
      </c>
      <c r="G224" s="650" t="str">
        <f t="shared" si="29"/>
        <v/>
      </c>
      <c r="H224" s="650" t="str">
        <f t="shared" si="24"/>
        <v/>
      </c>
      <c r="J224" s="650"/>
      <c r="K224" s="650"/>
      <c r="L224" s="650"/>
    </row>
    <row r="225" spans="2:12" x14ac:dyDescent="0.2">
      <c r="B225" s="660" t="str">
        <f t="shared" si="25"/>
        <v>-</v>
      </c>
      <c r="C225" s="661" t="str">
        <f t="shared" si="26"/>
        <v/>
      </c>
      <c r="D225" s="650" t="str">
        <f t="shared" si="23"/>
        <v/>
      </c>
      <c r="E225" s="650" t="str">
        <f t="shared" si="27"/>
        <v/>
      </c>
      <c r="F225" s="650" t="str">
        <f t="shared" si="28"/>
        <v/>
      </c>
      <c r="G225" s="650" t="str">
        <f t="shared" si="29"/>
        <v/>
      </c>
      <c r="H225" s="650" t="str">
        <f t="shared" si="24"/>
        <v/>
      </c>
      <c r="J225" s="650"/>
      <c r="K225" s="650"/>
      <c r="L225" s="650"/>
    </row>
    <row r="226" spans="2:12" x14ac:dyDescent="0.2">
      <c r="B226" s="660" t="str">
        <f t="shared" si="25"/>
        <v>-</v>
      </c>
      <c r="C226" s="661" t="str">
        <f t="shared" si="26"/>
        <v/>
      </c>
      <c r="D226" s="650" t="str">
        <f t="shared" si="23"/>
        <v/>
      </c>
      <c r="E226" s="650" t="str">
        <f t="shared" si="27"/>
        <v/>
      </c>
      <c r="F226" s="650" t="str">
        <f t="shared" si="28"/>
        <v/>
      </c>
      <c r="G226" s="650" t="str">
        <f t="shared" si="29"/>
        <v/>
      </c>
      <c r="H226" s="650" t="str">
        <f t="shared" si="24"/>
        <v/>
      </c>
      <c r="J226" s="650"/>
      <c r="K226" s="650"/>
      <c r="L226" s="650"/>
    </row>
    <row r="227" spans="2:12" x14ac:dyDescent="0.2">
      <c r="B227" s="660" t="str">
        <f t="shared" si="25"/>
        <v>-</v>
      </c>
      <c r="C227" s="661" t="str">
        <f t="shared" si="26"/>
        <v/>
      </c>
      <c r="D227" s="650" t="str">
        <f t="shared" si="23"/>
        <v/>
      </c>
      <c r="E227" s="650" t="str">
        <f t="shared" si="27"/>
        <v/>
      </c>
      <c r="F227" s="650" t="str">
        <f t="shared" si="28"/>
        <v/>
      </c>
      <c r="G227" s="650" t="str">
        <f t="shared" si="29"/>
        <v/>
      </c>
      <c r="H227" s="650" t="str">
        <f t="shared" si="24"/>
        <v/>
      </c>
      <c r="J227" s="650"/>
      <c r="K227" s="650"/>
      <c r="L227" s="650"/>
    </row>
    <row r="228" spans="2:12" x14ac:dyDescent="0.2">
      <c r="B228" s="660" t="str">
        <f t="shared" si="25"/>
        <v>-</v>
      </c>
      <c r="C228" s="661" t="str">
        <f t="shared" si="26"/>
        <v/>
      </c>
      <c r="D228" s="650" t="str">
        <f t="shared" si="23"/>
        <v/>
      </c>
      <c r="E228" s="650" t="str">
        <f t="shared" si="27"/>
        <v/>
      </c>
      <c r="F228" s="650" t="str">
        <f t="shared" si="28"/>
        <v/>
      </c>
      <c r="G228" s="650" t="str">
        <f t="shared" si="29"/>
        <v/>
      </c>
      <c r="H228" s="650" t="str">
        <f t="shared" si="24"/>
        <v/>
      </c>
      <c r="J228" s="650"/>
      <c r="K228" s="650"/>
      <c r="L228" s="650"/>
    </row>
    <row r="229" spans="2:12" x14ac:dyDescent="0.2">
      <c r="B229" s="660" t="str">
        <f t="shared" si="25"/>
        <v>-</v>
      </c>
      <c r="C229" s="661" t="str">
        <f t="shared" si="26"/>
        <v/>
      </c>
      <c r="D229" s="650" t="str">
        <f t="shared" si="23"/>
        <v/>
      </c>
      <c r="E229" s="650" t="str">
        <f t="shared" si="27"/>
        <v/>
      </c>
      <c r="F229" s="650" t="str">
        <f t="shared" si="28"/>
        <v/>
      </c>
      <c r="G229" s="650" t="str">
        <f t="shared" si="29"/>
        <v/>
      </c>
      <c r="H229" s="650" t="str">
        <f t="shared" si="24"/>
        <v/>
      </c>
      <c r="J229" s="650"/>
      <c r="K229" s="650"/>
      <c r="L229" s="650"/>
    </row>
    <row r="230" spans="2:12" x14ac:dyDescent="0.2">
      <c r="B230" s="660" t="str">
        <f t="shared" si="25"/>
        <v>-</v>
      </c>
      <c r="C230" s="661" t="str">
        <f t="shared" si="26"/>
        <v/>
      </c>
      <c r="D230" s="650" t="str">
        <f t="shared" si="23"/>
        <v/>
      </c>
      <c r="E230" s="650" t="str">
        <f t="shared" si="27"/>
        <v/>
      </c>
      <c r="F230" s="650" t="str">
        <f t="shared" si="28"/>
        <v/>
      </c>
      <c r="G230" s="650" t="str">
        <f t="shared" si="29"/>
        <v/>
      </c>
      <c r="H230" s="650" t="str">
        <f t="shared" si="24"/>
        <v/>
      </c>
      <c r="J230" s="650"/>
      <c r="K230" s="650"/>
      <c r="L230" s="650"/>
    </row>
    <row r="231" spans="2:12" x14ac:dyDescent="0.2">
      <c r="B231" s="660" t="str">
        <f t="shared" si="25"/>
        <v>-</v>
      </c>
      <c r="C231" s="661" t="str">
        <f t="shared" si="26"/>
        <v/>
      </c>
      <c r="D231" s="650" t="str">
        <f t="shared" si="23"/>
        <v/>
      </c>
      <c r="E231" s="650" t="str">
        <f t="shared" si="27"/>
        <v/>
      </c>
      <c r="F231" s="650" t="str">
        <f t="shared" si="28"/>
        <v/>
      </c>
      <c r="G231" s="650" t="str">
        <f t="shared" si="29"/>
        <v/>
      </c>
      <c r="H231" s="650" t="str">
        <f t="shared" si="24"/>
        <v/>
      </c>
      <c r="J231" s="650"/>
      <c r="K231" s="650"/>
      <c r="L231" s="650"/>
    </row>
    <row r="232" spans="2:12" x14ac:dyDescent="0.2">
      <c r="B232" s="660" t="str">
        <f t="shared" si="25"/>
        <v>-</v>
      </c>
      <c r="C232" s="661" t="str">
        <f t="shared" si="26"/>
        <v/>
      </c>
      <c r="D232" s="650" t="str">
        <f t="shared" si="23"/>
        <v/>
      </c>
      <c r="E232" s="650" t="str">
        <f t="shared" si="27"/>
        <v/>
      </c>
      <c r="F232" s="650" t="str">
        <f t="shared" si="28"/>
        <v/>
      </c>
      <c r="G232" s="650" t="str">
        <f t="shared" si="29"/>
        <v/>
      </c>
      <c r="H232" s="650" t="str">
        <f t="shared" si="24"/>
        <v/>
      </c>
      <c r="J232" s="650"/>
      <c r="K232" s="650"/>
      <c r="L232" s="650"/>
    </row>
    <row r="233" spans="2:12" x14ac:dyDescent="0.2">
      <c r="B233" s="660" t="str">
        <f t="shared" si="25"/>
        <v>-</v>
      </c>
      <c r="C233" s="661" t="str">
        <f t="shared" si="26"/>
        <v/>
      </c>
      <c r="D233" s="650" t="str">
        <f t="shared" si="23"/>
        <v/>
      </c>
      <c r="E233" s="650" t="str">
        <f t="shared" si="27"/>
        <v/>
      </c>
      <c r="F233" s="650" t="str">
        <f t="shared" si="28"/>
        <v/>
      </c>
      <c r="G233" s="650" t="str">
        <f t="shared" si="29"/>
        <v/>
      </c>
      <c r="H233" s="650" t="str">
        <f t="shared" si="24"/>
        <v/>
      </c>
      <c r="J233" s="650"/>
      <c r="K233" s="650"/>
      <c r="L233" s="650"/>
    </row>
    <row r="234" spans="2:12" x14ac:dyDescent="0.2">
      <c r="B234" s="660" t="str">
        <f t="shared" si="25"/>
        <v>-</v>
      </c>
      <c r="C234" s="661" t="str">
        <f t="shared" si="26"/>
        <v/>
      </c>
      <c r="D234" s="650" t="str">
        <f t="shared" si="23"/>
        <v/>
      </c>
      <c r="E234" s="650" t="str">
        <f t="shared" si="27"/>
        <v/>
      </c>
      <c r="F234" s="650" t="str">
        <f t="shared" si="28"/>
        <v/>
      </c>
      <c r="G234" s="650" t="str">
        <f t="shared" si="29"/>
        <v/>
      </c>
      <c r="H234" s="650" t="str">
        <f t="shared" si="24"/>
        <v/>
      </c>
      <c r="J234" s="650"/>
      <c r="K234" s="650"/>
      <c r="L234" s="650"/>
    </row>
    <row r="235" spans="2:12" x14ac:dyDescent="0.2">
      <c r="B235" s="660" t="str">
        <f t="shared" si="25"/>
        <v>-</v>
      </c>
      <c r="C235" s="661" t="str">
        <f t="shared" si="26"/>
        <v/>
      </c>
      <c r="D235" s="650" t="str">
        <f t="shared" si="23"/>
        <v/>
      </c>
      <c r="E235" s="650" t="str">
        <f t="shared" si="27"/>
        <v/>
      </c>
      <c r="F235" s="650" t="str">
        <f t="shared" si="28"/>
        <v/>
      </c>
      <c r="G235" s="650" t="str">
        <f t="shared" si="29"/>
        <v/>
      </c>
      <c r="H235" s="650" t="str">
        <f t="shared" si="24"/>
        <v/>
      </c>
      <c r="J235" s="650"/>
      <c r="K235" s="650"/>
      <c r="L235" s="650"/>
    </row>
    <row r="236" spans="2:12" x14ac:dyDescent="0.2">
      <c r="B236" s="660" t="str">
        <f t="shared" si="25"/>
        <v>-</v>
      </c>
      <c r="C236" s="661" t="str">
        <f t="shared" si="26"/>
        <v/>
      </c>
      <c r="D236" s="650" t="str">
        <f t="shared" si="23"/>
        <v/>
      </c>
      <c r="E236" s="650" t="str">
        <f t="shared" si="27"/>
        <v/>
      </c>
      <c r="F236" s="650" t="str">
        <f t="shared" si="28"/>
        <v/>
      </c>
      <c r="G236" s="650" t="str">
        <f t="shared" si="29"/>
        <v/>
      </c>
      <c r="H236" s="650" t="str">
        <f t="shared" si="24"/>
        <v/>
      </c>
      <c r="J236" s="650"/>
      <c r="K236" s="650"/>
      <c r="L236" s="650"/>
    </row>
    <row r="237" spans="2:12" x14ac:dyDescent="0.2">
      <c r="B237" s="660" t="str">
        <f t="shared" si="25"/>
        <v>-</v>
      </c>
      <c r="C237" s="661" t="str">
        <f t="shared" si="26"/>
        <v/>
      </c>
      <c r="D237" s="650" t="str">
        <f t="shared" si="23"/>
        <v/>
      </c>
      <c r="E237" s="650" t="str">
        <f t="shared" si="27"/>
        <v/>
      </c>
      <c r="F237" s="650" t="str">
        <f t="shared" si="28"/>
        <v/>
      </c>
      <c r="G237" s="650" t="str">
        <f t="shared" si="29"/>
        <v/>
      </c>
      <c r="H237" s="650" t="str">
        <f t="shared" si="24"/>
        <v/>
      </c>
      <c r="J237" s="650"/>
      <c r="K237" s="650"/>
      <c r="L237" s="650"/>
    </row>
    <row r="238" spans="2:12" x14ac:dyDescent="0.2">
      <c r="B238" s="660" t="str">
        <f t="shared" si="25"/>
        <v>-</v>
      </c>
      <c r="C238" s="661" t="str">
        <f t="shared" si="26"/>
        <v/>
      </c>
      <c r="D238" s="650" t="str">
        <f t="shared" si="23"/>
        <v/>
      </c>
      <c r="E238" s="650" t="str">
        <f t="shared" si="27"/>
        <v/>
      </c>
      <c r="F238" s="650" t="str">
        <f t="shared" si="28"/>
        <v/>
      </c>
      <c r="G238" s="650" t="str">
        <f t="shared" si="29"/>
        <v/>
      </c>
      <c r="H238" s="650" t="str">
        <f t="shared" si="24"/>
        <v/>
      </c>
      <c r="J238" s="650"/>
      <c r="K238" s="650"/>
      <c r="L238" s="650"/>
    </row>
    <row r="239" spans="2:12" x14ac:dyDescent="0.2">
      <c r="B239" s="660" t="str">
        <f t="shared" si="25"/>
        <v>-</v>
      </c>
      <c r="C239" s="661" t="str">
        <f t="shared" si="26"/>
        <v/>
      </c>
      <c r="D239" s="650" t="str">
        <f t="shared" si="23"/>
        <v/>
      </c>
      <c r="E239" s="650" t="str">
        <f t="shared" si="27"/>
        <v/>
      </c>
      <c r="F239" s="650" t="str">
        <f t="shared" si="28"/>
        <v/>
      </c>
      <c r="G239" s="650" t="str">
        <f t="shared" si="29"/>
        <v/>
      </c>
      <c r="H239" s="650" t="str">
        <f t="shared" si="24"/>
        <v/>
      </c>
      <c r="J239" s="650"/>
      <c r="K239" s="650"/>
      <c r="L239" s="650"/>
    </row>
    <row r="240" spans="2:12" x14ac:dyDescent="0.2">
      <c r="B240" s="660" t="str">
        <f t="shared" si="25"/>
        <v>-</v>
      </c>
      <c r="C240" s="661" t="str">
        <f t="shared" si="26"/>
        <v/>
      </c>
      <c r="D240" s="650" t="str">
        <f t="shared" si="23"/>
        <v/>
      </c>
      <c r="E240" s="650" t="str">
        <f t="shared" si="27"/>
        <v/>
      </c>
      <c r="F240" s="650" t="str">
        <f t="shared" si="28"/>
        <v/>
      </c>
      <c r="G240" s="650" t="str">
        <f t="shared" si="29"/>
        <v/>
      </c>
      <c r="H240" s="650" t="str">
        <f t="shared" si="24"/>
        <v/>
      </c>
      <c r="J240" s="650"/>
      <c r="K240" s="650"/>
      <c r="L240" s="650"/>
    </row>
    <row r="241" spans="2:12" x14ac:dyDescent="0.2">
      <c r="B241" s="660" t="str">
        <f t="shared" si="25"/>
        <v>-</v>
      </c>
      <c r="C241" s="661" t="str">
        <f t="shared" si="26"/>
        <v/>
      </c>
      <c r="D241" s="650" t="str">
        <f t="shared" ref="D241:D304" si="30">IF(ISNUMBER(B241),D240-F240,"")</f>
        <v/>
      </c>
      <c r="E241" s="650" t="str">
        <f t="shared" si="27"/>
        <v/>
      </c>
      <c r="F241" s="650" t="str">
        <f t="shared" si="28"/>
        <v/>
      </c>
      <c r="G241" s="650" t="str">
        <f t="shared" si="29"/>
        <v/>
      </c>
      <c r="H241" s="650" t="str">
        <f t="shared" ref="H241:H304" si="31">IF(ISNUMBER(B241),E241+F241+G241,"")</f>
        <v/>
      </c>
      <c r="J241" s="650"/>
      <c r="K241" s="650"/>
      <c r="L241" s="650"/>
    </row>
    <row r="242" spans="2:12" x14ac:dyDescent="0.2">
      <c r="B242" s="660" t="str">
        <f t="shared" si="25"/>
        <v>-</v>
      </c>
      <c r="C242" s="661" t="str">
        <f t="shared" si="26"/>
        <v/>
      </c>
      <c r="D242" s="650" t="str">
        <f t="shared" si="30"/>
        <v/>
      </c>
      <c r="E242" s="650" t="str">
        <f t="shared" si="27"/>
        <v/>
      </c>
      <c r="F242" s="650" t="str">
        <f t="shared" si="28"/>
        <v/>
      </c>
      <c r="G242" s="650" t="str">
        <f t="shared" si="29"/>
        <v/>
      </c>
      <c r="H242" s="650" t="str">
        <f t="shared" si="31"/>
        <v/>
      </c>
      <c r="J242" s="650"/>
      <c r="K242" s="650"/>
      <c r="L242" s="650"/>
    </row>
    <row r="243" spans="2:12" x14ac:dyDescent="0.2">
      <c r="B243" s="660" t="str">
        <f t="shared" si="25"/>
        <v>-</v>
      </c>
      <c r="C243" s="661" t="str">
        <f t="shared" si="26"/>
        <v/>
      </c>
      <c r="D243" s="650" t="str">
        <f t="shared" si="30"/>
        <v/>
      </c>
      <c r="E243" s="650" t="str">
        <f t="shared" si="27"/>
        <v/>
      </c>
      <c r="F243" s="650" t="str">
        <f t="shared" si="28"/>
        <v/>
      </c>
      <c r="G243" s="650" t="str">
        <f t="shared" si="29"/>
        <v/>
      </c>
      <c r="H243" s="650" t="str">
        <f t="shared" si="31"/>
        <v/>
      </c>
      <c r="J243" s="650"/>
      <c r="K243" s="650"/>
      <c r="L243" s="650"/>
    </row>
    <row r="244" spans="2:12" x14ac:dyDescent="0.2">
      <c r="B244" s="660" t="str">
        <f t="shared" si="25"/>
        <v>-</v>
      </c>
      <c r="C244" s="661" t="str">
        <f t="shared" si="26"/>
        <v/>
      </c>
      <c r="D244" s="650" t="str">
        <f t="shared" si="30"/>
        <v/>
      </c>
      <c r="E244" s="650" t="str">
        <f t="shared" si="27"/>
        <v/>
      </c>
      <c r="F244" s="650" t="str">
        <f t="shared" si="28"/>
        <v/>
      </c>
      <c r="G244" s="650" t="str">
        <f t="shared" si="29"/>
        <v/>
      </c>
      <c r="H244" s="650" t="str">
        <f t="shared" si="31"/>
        <v/>
      </c>
      <c r="J244" s="650"/>
      <c r="K244" s="650"/>
      <c r="L244" s="650"/>
    </row>
    <row r="245" spans="2:12" x14ac:dyDescent="0.2">
      <c r="B245" s="660" t="str">
        <f t="shared" si="25"/>
        <v>-</v>
      </c>
      <c r="C245" s="661" t="str">
        <f t="shared" si="26"/>
        <v/>
      </c>
      <c r="D245" s="650" t="str">
        <f t="shared" si="30"/>
        <v/>
      </c>
      <c r="E245" s="650" t="str">
        <f t="shared" si="27"/>
        <v/>
      </c>
      <c r="F245" s="650" t="str">
        <f t="shared" si="28"/>
        <v/>
      </c>
      <c r="G245" s="650" t="str">
        <f t="shared" si="29"/>
        <v/>
      </c>
      <c r="H245" s="650" t="str">
        <f t="shared" si="31"/>
        <v/>
      </c>
      <c r="J245" s="650"/>
      <c r="K245" s="650"/>
      <c r="L245" s="650"/>
    </row>
    <row r="246" spans="2:12" x14ac:dyDescent="0.2">
      <c r="B246" s="660" t="str">
        <f t="shared" si="25"/>
        <v>-</v>
      </c>
      <c r="C246" s="661" t="str">
        <f t="shared" si="26"/>
        <v/>
      </c>
      <c r="D246" s="650" t="str">
        <f t="shared" si="30"/>
        <v/>
      </c>
      <c r="E246" s="650" t="str">
        <f t="shared" si="27"/>
        <v/>
      </c>
      <c r="F246" s="650" t="str">
        <f t="shared" si="28"/>
        <v/>
      </c>
      <c r="G246" s="650" t="str">
        <f t="shared" si="29"/>
        <v/>
      </c>
      <c r="H246" s="650" t="str">
        <f t="shared" si="31"/>
        <v/>
      </c>
      <c r="J246" s="650"/>
      <c r="K246" s="650"/>
      <c r="L246" s="650"/>
    </row>
    <row r="247" spans="2:12" x14ac:dyDescent="0.2">
      <c r="B247" s="660" t="str">
        <f t="shared" si="25"/>
        <v>-</v>
      </c>
      <c r="C247" s="661" t="str">
        <f t="shared" si="26"/>
        <v/>
      </c>
      <c r="D247" s="650" t="str">
        <f t="shared" si="30"/>
        <v/>
      </c>
      <c r="E247" s="650" t="str">
        <f t="shared" si="27"/>
        <v/>
      </c>
      <c r="F247" s="650" t="str">
        <f t="shared" si="28"/>
        <v/>
      </c>
      <c r="G247" s="650" t="str">
        <f t="shared" si="29"/>
        <v/>
      </c>
      <c r="H247" s="650" t="str">
        <f t="shared" si="31"/>
        <v/>
      </c>
      <c r="J247" s="650"/>
      <c r="K247" s="650"/>
      <c r="L247" s="650"/>
    </row>
    <row r="248" spans="2:12" x14ac:dyDescent="0.2">
      <c r="B248" s="660" t="str">
        <f t="shared" si="25"/>
        <v>-</v>
      </c>
      <c r="C248" s="661" t="str">
        <f t="shared" si="26"/>
        <v/>
      </c>
      <c r="D248" s="650" t="str">
        <f t="shared" si="30"/>
        <v/>
      </c>
      <c r="E248" s="650" t="str">
        <f t="shared" si="27"/>
        <v/>
      </c>
      <c r="F248" s="650" t="str">
        <f t="shared" si="28"/>
        <v/>
      </c>
      <c r="G248" s="650" t="str">
        <f t="shared" si="29"/>
        <v/>
      </c>
      <c r="H248" s="650" t="str">
        <f t="shared" si="31"/>
        <v/>
      </c>
      <c r="J248" s="650"/>
      <c r="K248" s="650"/>
      <c r="L248" s="650"/>
    </row>
    <row r="249" spans="2:12" x14ac:dyDescent="0.2">
      <c r="B249" s="660" t="str">
        <f t="shared" si="25"/>
        <v>-</v>
      </c>
      <c r="C249" s="661" t="str">
        <f t="shared" si="26"/>
        <v/>
      </c>
      <c r="D249" s="650" t="str">
        <f t="shared" si="30"/>
        <v/>
      </c>
      <c r="E249" s="650" t="str">
        <f t="shared" si="27"/>
        <v/>
      </c>
      <c r="F249" s="650" t="str">
        <f t="shared" si="28"/>
        <v/>
      </c>
      <c r="G249" s="650" t="str">
        <f t="shared" si="29"/>
        <v/>
      </c>
      <c r="H249" s="650" t="str">
        <f t="shared" si="31"/>
        <v/>
      </c>
      <c r="J249" s="650"/>
      <c r="K249" s="650"/>
      <c r="L249" s="650"/>
    </row>
    <row r="250" spans="2:12" x14ac:dyDescent="0.2">
      <c r="B250" s="660" t="str">
        <f t="shared" si="25"/>
        <v>-</v>
      </c>
      <c r="C250" s="661" t="str">
        <f t="shared" si="26"/>
        <v/>
      </c>
      <c r="D250" s="650" t="str">
        <f t="shared" si="30"/>
        <v/>
      </c>
      <c r="E250" s="650" t="str">
        <f t="shared" si="27"/>
        <v/>
      </c>
      <c r="F250" s="650" t="str">
        <f t="shared" si="28"/>
        <v/>
      </c>
      <c r="G250" s="650" t="str">
        <f t="shared" si="29"/>
        <v/>
      </c>
      <c r="H250" s="650" t="str">
        <f t="shared" si="31"/>
        <v/>
      </c>
      <c r="J250" s="650"/>
      <c r="K250" s="650"/>
      <c r="L250" s="650"/>
    </row>
    <row r="251" spans="2:12" x14ac:dyDescent="0.2">
      <c r="B251" s="660" t="str">
        <f t="shared" si="25"/>
        <v>-</v>
      </c>
      <c r="C251" s="661" t="str">
        <f t="shared" si="26"/>
        <v/>
      </c>
      <c r="D251" s="650" t="str">
        <f t="shared" si="30"/>
        <v/>
      </c>
      <c r="E251" s="650" t="str">
        <f t="shared" si="27"/>
        <v/>
      </c>
      <c r="F251" s="650" t="str">
        <f t="shared" si="28"/>
        <v/>
      </c>
      <c r="G251" s="650" t="str">
        <f t="shared" si="29"/>
        <v/>
      </c>
      <c r="H251" s="650" t="str">
        <f t="shared" si="31"/>
        <v/>
      </c>
      <c r="J251" s="650"/>
      <c r="K251" s="650"/>
      <c r="L251" s="650"/>
    </row>
    <row r="252" spans="2:12" x14ac:dyDescent="0.2">
      <c r="B252" s="660" t="str">
        <f t="shared" si="25"/>
        <v>-</v>
      </c>
      <c r="C252" s="661" t="str">
        <f t="shared" si="26"/>
        <v/>
      </c>
      <c r="D252" s="650" t="str">
        <f t="shared" si="30"/>
        <v/>
      </c>
      <c r="E252" s="650" t="str">
        <f t="shared" si="27"/>
        <v/>
      </c>
      <c r="F252" s="650" t="str">
        <f t="shared" si="28"/>
        <v/>
      </c>
      <c r="G252" s="650" t="str">
        <f t="shared" si="29"/>
        <v/>
      </c>
      <c r="H252" s="650" t="str">
        <f t="shared" si="31"/>
        <v/>
      </c>
      <c r="J252" s="650"/>
      <c r="K252" s="650"/>
      <c r="L252" s="650"/>
    </row>
    <row r="253" spans="2:12" x14ac:dyDescent="0.2">
      <c r="B253" s="660" t="str">
        <f t="shared" si="25"/>
        <v>-</v>
      </c>
      <c r="C253" s="661" t="str">
        <f t="shared" si="26"/>
        <v/>
      </c>
      <c r="D253" s="650" t="str">
        <f t="shared" si="30"/>
        <v/>
      </c>
      <c r="E253" s="650" t="str">
        <f t="shared" si="27"/>
        <v/>
      </c>
      <c r="F253" s="650" t="str">
        <f t="shared" si="28"/>
        <v/>
      </c>
      <c r="G253" s="650" t="str">
        <f t="shared" si="29"/>
        <v/>
      </c>
      <c r="H253" s="650" t="str">
        <f t="shared" si="31"/>
        <v/>
      </c>
      <c r="J253" s="650"/>
      <c r="K253" s="650"/>
      <c r="L253" s="650"/>
    </row>
    <row r="254" spans="2:12" x14ac:dyDescent="0.2">
      <c r="B254" s="660" t="str">
        <f t="shared" si="25"/>
        <v>-</v>
      </c>
      <c r="C254" s="661" t="str">
        <f t="shared" si="26"/>
        <v/>
      </c>
      <c r="D254" s="650" t="str">
        <f t="shared" si="30"/>
        <v/>
      </c>
      <c r="E254" s="650" t="str">
        <f t="shared" si="27"/>
        <v/>
      </c>
      <c r="F254" s="650" t="str">
        <f t="shared" si="28"/>
        <v/>
      </c>
      <c r="G254" s="650" t="str">
        <f t="shared" si="29"/>
        <v/>
      </c>
      <c r="H254" s="650" t="str">
        <f t="shared" si="31"/>
        <v/>
      </c>
      <c r="J254" s="650"/>
      <c r="K254" s="650"/>
      <c r="L254" s="650"/>
    </row>
    <row r="255" spans="2:12" x14ac:dyDescent="0.2">
      <c r="B255" s="660" t="str">
        <f t="shared" si="25"/>
        <v>-</v>
      </c>
      <c r="C255" s="661" t="str">
        <f t="shared" si="26"/>
        <v/>
      </c>
      <c r="D255" s="650" t="str">
        <f t="shared" si="30"/>
        <v/>
      </c>
      <c r="E255" s="650" t="str">
        <f t="shared" si="27"/>
        <v/>
      </c>
      <c r="F255" s="650" t="str">
        <f t="shared" si="28"/>
        <v/>
      </c>
      <c r="G255" s="650" t="str">
        <f t="shared" si="29"/>
        <v/>
      </c>
      <c r="H255" s="650" t="str">
        <f t="shared" si="31"/>
        <v/>
      </c>
      <c r="J255" s="650"/>
      <c r="K255" s="650"/>
      <c r="L255" s="650"/>
    </row>
    <row r="256" spans="2:12" x14ac:dyDescent="0.2">
      <c r="B256" s="660" t="str">
        <f t="shared" si="25"/>
        <v>-</v>
      </c>
      <c r="C256" s="661" t="str">
        <f t="shared" si="26"/>
        <v/>
      </c>
      <c r="D256" s="650" t="str">
        <f t="shared" si="30"/>
        <v/>
      </c>
      <c r="E256" s="650" t="str">
        <f t="shared" si="27"/>
        <v/>
      </c>
      <c r="F256" s="650" t="str">
        <f t="shared" si="28"/>
        <v/>
      </c>
      <c r="G256" s="650" t="str">
        <f t="shared" si="29"/>
        <v/>
      </c>
      <c r="H256" s="650" t="str">
        <f t="shared" si="31"/>
        <v/>
      </c>
      <c r="J256" s="650"/>
      <c r="K256" s="650"/>
      <c r="L256" s="650"/>
    </row>
    <row r="257" spans="2:12" x14ac:dyDescent="0.2">
      <c r="B257" s="660" t="str">
        <f t="shared" si="25"/>
        <v>-</v>
      </c>
      <c r="C257" s="661" t="str">
        <f t="shared" si="26"/>
        <v/>
      </c>
      <c r="D257" s="650" t="str">
        <f t="shared" si="30"/>
        <v/>
      </c>
      <c r="E257" s="650" t="str">
        <f t="shared" si="27"/>
        <v/>
      </c>
      <c r="F257" s="650" t="str">
        <f t="shared" si="28"/>
        <v/>
      </c>
      <c r="G257" s="650" t="str">
        <f t="shared" si="29"/>
        <v/>
      </c>
      <c r="H257" s="650" t="str">
        <f t="shared" si="31"/>
        <v/>
      </c>
      <c r="J257" s="650"/>
      <c r="K257" s="650"/>
      <c r="L257" s="650"/>
    </row>
    <row r="258" spans="2:12" x14ac:dyDescent="0.2">
      <c r="B258" s="660" t="str">
        <f t="shared" si="25"/>
        <v>-</v>
      </c>
      <c r="C258" s="661" t="str">
        <f t="shared" si="26"/>
        <v/>
      </c>
      <c r="D258" s="650" t="str">
        <f t="shared" si="30"/>
        <v/>
      </c>
      <c r="E258" s="650" t="str">
        <f t="shared" si="27"/>
        <v/>
      </c>
      <c r="F258" s="650" t="str">
        <f t="shared" si="28"/>
        <v/>
      </c>
      <c r="G258" s="650" t="str">
        <f t="shared" si="29"/>
        <v/>
      </c>
      <c r="H258" s="650" t="str">
        <f t="shared" si="31"/>
        <v/>
      </c>
      <c r="J258" s="650"/>
      <c r="K258" s="650"/>
      <c r="L258" s="650"/>
    </row>
    <row r="259" spans="2:12" x14ac:dyDescent="0.2">
      <c r="B259" s="660" t="str">
        <f t="shared" si="25"/>
        <v>-</v>
      </c>
      <c r="C259" s="661" t="str">
        <f t="shared" si="26"/>
        <v/>
      </c>
      <c r="D259" s="650" t="str">
        <f t="shared" si="30"/>
        <v/>
      </c>
      <c r="E259" s="650" t="str">
        <f t="shared" si="27"/>
        <v/>
      </c>
      <c r="F259" s="650" t="str">
        <f t="shared" si="28"/>
        <v/>
      </c>
      <c r="G259" s="650" t="str">
        <f t="shared" si="29"/>
        <v/>
      </c>
      <c r="H259" s="650" t="str">
        <f t="shared" si="31"/>
        <v/>
      </c>
      <c r="J259" s="650"/>
      <c r="K259" s="650"/>
      <c r="L259" s="650"/>
    </row>
    <row r="260" spans="2:12" x14ac:dyDescent="0.2">
      <c r="B260" s="660" t="str">
        <f t="shared" si="25"/>
        <v>-</v>
      </c>
      <c r="C260" s="661" t="str">
        <f t="shared" si="26"/>
        <v/>
      </c>
      <c r="D260" s="650" t="str">
        <f t="shared" si="30"/>
        <v/>
      </c>
      <c r="E260" s="650" t="str">
        <f t="shared" si="27"/>
        <v/>
      </c>
      <c r="F260" s="650" t="str">
        <f t="shared" si="28"/>
        <v/>
      </c>
      <c r="G260" s="650" t="str">
        <f t="shared" si="29"/>
        <v/>
      </c>
      <c r="H260" s="650" t="str">
        <f t="shared" si="31"/>
        <v/>
      </c>
      <c r="J260" s="650"/>
      <c r="K260" s="650"/>
      <c r="L260" s="650"/>
    </row>
    <row r="261" spans="2:12" x14ac:dyDescent="0.2">
      <c r="B261" s="660" t="str">
        <f t="shared" si="25"/>
        <v>-</v>
      </c>
      <c r="C261" s="661" t="str">
        <f t="shared" si="26"/>
        <v/>
      </c>
      <c r="D261" s="650" t="str">
        <f t="shared" si="30"/>
        <v/>
      </c>
      <c r="E261" s="650" t="str">
        <f t="shared" si="27"/>
        <v/>
      </c>
      <c r="F261" s="650" t="str">
        <f t="shared" si="28"/>
        <v/>
      </c>
      <c r="G261" s="650" t="str">
        <f t="shared" si="29"/>
        <v/>
      </c>
      <c r="H261" s="650" t="str">
        <f t="shared" si="31"/>
        <v/>
      </c>
      <c r="J261" s="650"/>
      <c r="K261" s="650"/>
      <c r="L261" s="650"/>
    </row>
    <row r="262" spans="2:12" x14ac:dyDescent="0.2">
      <c r="B262" s="660" t="str">
        <f t="shared" si="25"/>
        <v>-</v>
      </c>
      <c r="C262" s="661" t="str">
        <f t="shared" si="26"/>
        <v/>
      </c>
      <c r="D262" s="650" t="str">
        <f t="shared" si="30"/>
        <v/>
      </c>
      <c r="E262" s="650" t="str">
        <f t="shared" si="27"/>
        <v/>
      </c>
      <c r="F262" s="650" t="str">
        <f t="shared" si="28"/>
        <v/>
      </c>
      <c r="G262" s="650" t="str">
        <f t="shared" si="29"/>
        <v/>
      </c>
      <c r="H262" s="650" t="str">
        <f t="shared" si="31"/>
        <v/>
      </c>
      <c r="J262" s="650"/>
      <c r="K262" s="650"/>
      <c r="L262" s="650"/>
    </row>
    <row r="263" spans="2:12" x14ac:dyDescent="0.2">
      <c r="B263" s="660" t="str">
        <f t="shared" si="25"/>
        <v>-</v>
      </c>
      <c r="C263" s="661" t="str">
        <f t="shared" si="26"/>
        <v/>
      </c>
      <c r="D263" s="650" t="str">
        <f t="shared" si="30"/>
        <v/>
      </c>
      <c r="E263" s="650" t="str">
        <f t="shared" si="27"/>
        <v/>
      </c>
      <c r="F263" s="650" t="str">
        <f t="shared" si="28"/>
        <v/>
      </c>
      <c r="G263" s="650" t="str">
        <f t="shared" si="29"/>
        <v/>
      </c>
      <c r="H263" s="650" t="str">
        <f t="shared" si="31"/>
        <v/>
      </c>
      <c r="J263" s="650"/>
      <c r="K263" s="650"/>
      <c r="L263" s="650"/>
    </row>
    <row r="264" spans="2:12" x14ac:dyDescent="0.2">
      <c r="B264" s="660" t="str">
        <f t="shared" si="25"/>
        <v>-</v>
      </c>
      <c r="C264" s="661" t="str">
        <f t="shared" si="26"/>
        <v/>
      </c>
      <c r="D264" s="650" t="str">
        <f t="shared" si="30"/>
        <v/>
      </c>
      <c r="E264" s="650" t="str">
        <f t="shared" si="27"/>
        <v/>
      </c>
      <c r="F264" s="650" t="str">
        <f t="shared" si="28"/>
        <v/>
      </c>
      <c r="G264" s="650" t="str">
        <f t="shared" si="29"/>
        <v/>
      </c>
      <c r="H264" s="650" t="str">
        <f t="shared" si="31"/>
        <v/>
      </c>
      <c r="J264" s="650"/>
      <c r="K264" s="650"/>
      <c r="L264" s="650"/>
    </row>
    <row r="265" spans="2:12" x14ac:dyDescent="0.2">
      <c r="B265" s="660" t="str">
        <f t="shared" si="25"/>
        <v>-</v>
      </c>
      <c r="C265" s="661" t="str">
        <f t="shared" si="26"/>
        <v/>
      </c>
      <c r="D265" s="650" t="str">
        <f t="shared" si="30"/>
        <v/>
      </c>
      <c r="E265" s="650" t="str">
        <f t="shared" si="27"/>
        <v/>
      </c>
      <c r="F265" s="650" t="str">
        <f t="shared" si="28"/>
        <v/>
      </c>
      <c r="G265" s="650" t="str">
        <f t="shared" si="29"/>
        <v/>
      </c>
      <c r="H265" s="650" t="str">
        <f t="shared" si="31"/>
        <v/>
      </c>
      <c r="J265" s="650"/>
      <c r="K265" s="650"/>
      <c r="L265" s="650"/>
    </row>
    <row r="266" spans="2:12" x14ac:dyDescent="0.2">
      <c r="B266" s="660" t="str">
        <f t="shared" si="25"/>
        <v>-</v>
      </c>
      <c r="C266" s="661" t="str">
        <f t="shared" si="26"/>
        <v/>
      </c>
      <c r="D266" s="650" t="str">
        <f t="shared" si="30"/>
        <v/>
      </c>
      <c r="E266" s="650" t="str">
        <f t="shared" si="27"/>
        <v/>
      </c>
      <c r="F266" s="650" t="str">
        <f t="shared" si="28"/>
        <v/>
      </c>
      <c r="G266" s="650" t="str">
        <f t="shared" si="29"/>
        <v/>
      </c>
      <c r="H266" s="650" t="str">
        <f t="shared" si="31"/>
        <v/>
      </c>
      <c r="J266" s="650"/>
      <c r="K266" s="650"/>
      <c r="L266" s="650"/>
    </row>
    <row r="267" spans="2:12" x14ac:dyDescent="0.2">
      <c r="B267" s="660" t="str">
        <f t="shared" si="25"/>
        <v>-</v>
      </c>
      <c r="C267" s="661" t="str">
        <f t="shared" si="26"/>
        <v/>
      </c>
      <c r="D267" s="650" t="str">
        <f t="shared" si="30"/>
        <v/>
      </c>
      <c r="E267" s="650" t="str">
        <f t="shared" si="27"/>
        <v/>
      </c>
      <c r="F267" s="650" t="str">
        <f t="shared" si="28"/>
        <v/>
      </c>
      <c r="G267" s="650" t="str">
        <f t="shared" si="29"/>
        <v/>
      </c>
      <c r="H267" s="650" t="str">
        <f t="shared" si="31"/>
        <v/>
      </c>
      <c r="J267" s="650"/>
      <c r="K267" s="650"/>
      <c r="L267" s="650"/>
    </row>
    <row r="268" spans="2:12" x14ac:dyDescent="0.2">
      <c r="B268" s="660" t="str">
        <f t="shared" ref="B268:B331" si="32">IF(B267&lt;$L$3,B267+1,"-")</f>
        <v>-</v>
      </c>
      <c r="C268" s="661" t="str">
        <f t="shared" ref="C268:C331" si="33">IF(ISNUMBER(B268),MIN(DATE(YEAR($C$11),MONTH($C$11)+B268*12/$P$5,DAY($C$11)),DATE(YEAR($C$11),MONTH($C$11)+1+B268*12/$P$5,1)-1),"")</f>
        <v/>
      </c>
      <c r="D268" s="650" t="str">
        <f t="shared" si="30"/>
        <v/>
      </c>
      <c r="E268" s="650" t="str">
        <f t="shared" ref="E268:E331" si="34">IF(ISNUMBER(B268),ROUND(D268*$L$7,$R$6),"")</f>
        <v/>
      </c>
      <c r="F268" s="650" t="str">
        <f t="shared" ref="F268:F331" si="35">IF(ISNUMBER(B268),IF(B268=$L$3,D268,IF(B268&gt;$L$4,$H$3-E268,0)),"")</f>
        <v/>
      </c>
      <c r="G268" s="650" t="str">
        <f t="shared" ref="G268:G331" si="36">IF(ISNUMBER(B268),$H$4,"")</f>
        <v/>
      </c>
      <c r="H268" s="650" t="str">
        <f t="shared" si="31"/>
        <v/>
      </c>
      <c r="J268" s="650"/>
      <c r="K268" s="650"/>
      <c r="L268" s="650"/>
    </row>
    <row r="269" spans="2:12" x14ac:dyDescent="0.2">
      <c r="B269" s="660" t="str">
        <f t="shared" si="32"/>
        <v>-</v>
      </c>
      <c r="C269" s="661" t="str">
        <f t="shared" si="33"/>
        <v/>
      </c>
      <c r="D269" s="650" t="str">
        <f t="shared" si="30"/>
        <v/>
      </c>
      <c r="E269" s="650" t="str">
        <f t="shared" si="34"/>
        <v/>
      </c>
      <c r="F269" s="650" t="str">
        <f t="shared" si="35"/>
        <v/>
      </c>
      <c r="G269" s="650" t="str">
        <f t="shared" si="36"/>
        <v/>
      </c>
      <c r="H269" s="650" t="str">
        <f t="shared" si="31"/>
        <v/>
      </c>
      <c r="J269" s="650"/>
      <c r="K269" s="650"/>
      <c r="L269" s="650"/>
    </row>
    <row r="270" spans="2:12" x14ac:dyDescent="0.2">
      <c r="B270" s="660" t="str">
        <f t="shared" si="32"/>
        <v>-</v>
      </c>
      <c r="C270" s="661" t="str">
        <f t="shared" si="33"/>
        <v/>
      </c>
      <c r="D270" s="650" t="str">
        <f t="shared" si="30"/>
        <v/>
      </c>
      <c r="E270" s="650" t="str">
        <f t="shared" si="34"/>
        <v/>
      </c>
      <c r="F270" s="650" t="str">
        <f t="shared" si="35"/>
        <v/>
      </c>
      <c r="G270" s="650" t="str">
        <f t="shared" si="36"/>
        <v/>
      </c>
      <c r="H270" s="650" t="str">
        <f t="shared" si="31"/>
        <v/>
      </c>
      <c r="J270" s="650"/>
      <c r="K270" s="650"/>
      <c r="L270" s="650"/>
    </row>
    <row r="271" spans="2:12" x14ac:dyDescent="0.2">
      <c r="B271" s="660" t="str">
        <f t="shared" si="32"/>
        <v>-</v>
      </c>
      <c r="C271" s="661" t="str">
        <f t="shared" si="33"/>
        <v/>
      </c>
      <c r="D271" s="650" t="str">
        <f t="shared" si="30"/>
        <v/>
      </c>
      <c r="E271" s="650" t="str">
        <f t="shared" si="34"/>
        <v/>
      </c>
      <c r="F271" s="650" t="str">
        <f t="shared" si="35"/>
        <v/>
      </c>
      <c r="G271" s="650" t="str">
        <f t="shared" si="36"/>
        <v/>
      </c>
      <c r="H271" s="650" t="str">
        <f t="shared" si="31"/>
        <v/>
      </c>
      <c r="J271" s="650"/>
      <c r="K271" s="650"/>
      <c r="L271" s="650"/>
    </row>
    <row r="272" spans="2:12" x14ac:dyDescent="0.2">
      <c r="B272" s="660" t="str">
        <f t="shared" si="32"/>
        <v>-</v>
      </c>
      <c r="C272" s="661" t="str">
        <f t="shared" si="33"/>
        <v/>
      </c>
      <c r="D272" s="650" t="str">
        <f t="shared" si="30"/>
        <v/>
      </c>
      <c r="E272" s="650" t="str">
        <f t="shared" si="34"/>
        <v/>
      </c>
      <c r="F272" s="650" t="str">
        <f t="shared" si="35"/>
        <v/>
      </c>
      <c r="G272" s="650" t="str">
        <f t="shared" si="36"/>
        <v/>
      </c>
      <c r="H272" s="650" t="str">
        <f t="shared" si="31"/>
        <v/>
      </c>
      <c r="J272" s="650"/>
      <c r="K272" s="650"/>
      <c r="L272" s="650"/>
    </row>
    <row r="273" spans="2:12" x14ac:dyDescent="0.2">
      <c r="B273" s="660" t="str">
        <f t="shared" si="32"/>
        <v>-</v>
      </c>
      <c r="C273" s="661" t="str">
        <f t="shared" si="33"/>
        <v/>
      </c>
      <c r="D273" s="650" t="str">
        <f t="shared" si="30"/>
        <v/>
      </c>
      <c r="E273" s="650" t="str">
        <f t="shared" si="34"/>
        <v/>
      </c>
      <c r="F273" s="650" t="str">
        <f t="shared" si="35"/>
        <v/>
      </c>
      <c r="G273" s="650" t="str">
        <f t="shared" si="36"/>
        <v/>
      </c>
      <c r="H273" s="650" t="str">
        <f t="shared" si="31"/>
        <v/>
      </c>
      <c r="J273" s="650"/>
      <c r="K273" s="650"/>
      <c r="L273" s="650"/>
    </row>
    <row r="274" spans="2:12" x14ac:dyDescent="0.2">
      <c r="B274" s="660" t="str">
        <f t="shared" si="32"/>
        <v>-</v>
      </c>
      <c r="C274" s="661" t="str">
        <f t="shared" si="33"/>
        <v/>
      </c>
      <c r="D274" s="650" t="str">
        <f t="shared" si="30"/>
        <v/>
      </c>
      <c r="E274" s="650" t="str">
        <f t="shared" si="34"/>
        <v/>
      </c>
      <c r="F274" s="650" t="str">
        <f t="shared" si="35"/>
        <v/>
      </c>
      <c r="G274" s="650" t="str">
        <f t="shared" si="36"/>
        <v/>
      </c>
      <c r="H274" s="650" t="str">
        <f t="shared" si="31"/>
        <v/>
      </c>
      <c r="J274" s="650"/>
      <c r="K274" s="650"/>
      <c r="L274" s="650"/>
    </row>
    <row r="275" spans="2:12" x14ac:dyDescent="0.2">
      <c r="B275" s="660" t="str">
        <f t="shared" si="32"/>
        <v>-</v>
      </c>
      <c r="C275" s="661" t="str">
        <f t="shared" si="33"/>
        <v/>
      </c>
      <c r="D275" s="650" t="str">
        <f t="shared" si="30"/>
        <v/>
      </c>
      <c r="E275" s="650" t="str">
        <f t="shared" si="34"/>
        <v/>
      </c>
      <c r="F275" s="650" t="str">
        <f t="shared" si="35"/>
        <v/>
      </c>
      <c r="G275" s="650" t="str">
        <f t="shared" si="36"/>
        <v/>
      </c>
      <c r="H275" s="650" t="str">
        <f t="shared" si="31"/>
        <v/>
      </c>
      <c r="J275" s="650"/>
      <c r="K275" s="650"/>
      <c r="L275" s="650"/>
    </row>
    <row r="276" spans="2:12" x14ac:dyDescent="0.2">
      <c r="B276" s="660" t="str">
        <f t="shared" si="32"/>
        <v>-</v>
      </c>
      <c r="C276" s="661" t="str">
        <f t="shared" si="33"/>
        <v/>
      </c>
      <c r="D276" s="650" t="str">
        <f t="shared" si="30"/>
        <v/>
      </c>
      <c r="E276" s="650" t="str">
        <f t="shared" si="34"/>
        <v/>
      </c>
      <c r="F276" s="650" t="str">
        <f t="shared" si="35"/>
        <v/>
      </c>
      <c r="G276" s="650" t="str">
        <f t="shared" si="36"/>
        <v/>
      </c>
      <c r="H276" s="650" t="str">
        <f t="shared" si="31"/>
        <v/>
      </c>
      <c r="J276" s="650"/>
      <c r="K276" s="650"/>
      <c r="L276" s="650"/>
    </row>
    <row r="277" spans="2:12" x14ac:dyDescent="0.2">
      <c r="B277" s="660" t="str">
        <f t="shared" si="32"/>
        <v>-</v>
      </c>
      <c r="C277" s="661" t="str">
        <f t="shared" si="33"/>
        <v/>
      </c>
      <c r="D277" s="650" t="str">
        <f t="shared" si="30"/>
        <v/>
      </c>
      <c r="E277" s="650" t="str">
        <f t="shared" si="34"/>
        <v/>
      </c>
      <c r="F277" s="650" t="str">
        <f t="shared" si="35"/>
        <v/>
      </c>
      <c r="G277" s="650" t="str">
        <f t="shared" si="36"/>
        <v/>
      </c>
      <c r="H277" s="650" t="str">
        <f t="shared" si="31"/>
        <v/>
      </c>
      <c r="J277" s="650"/>
      <c r="K277" s="650"/>
      <c r="L277" s="650"/>
    </row>
    <row r="278" spans="2:12" x14ac:dyDescent="0.2">
      <c r="B278" s="660" t="str">
        <f t="shared" si="32"/>
        <v>-</v>
      </c>
      <c r="C278" s="661" t="str">
        <f t="shared" si="33"/>
        <v/>
      </c>
      <c r="D278" s="650" t="str">
        <f t="shared" si="30"/>
        <v/>
      </c>
      <c r="E278" s="650" t="str">
        <f t="shared" si="34"/>
        <v/>
      </c>
      <c r="F278" s="650" t="str">
        <f t="shared" si="35"/>
        <v/>
      </c>
      <c r="G278" s="650" t="str">
        <f t="shared" si="36"/>
        <v/>
      </c>
      <c r="H278" s="650" t="str">
        <f t="shared" si="31"/>
        <v/>
      </c>
      <c r="J278" s="650"/>
      <c r="K278" s="650"/>
      <c r="L278" s="650"/>
    </row>
    <row r="279" spans="2:12" x14ac:dyDescent="0.2">
      <c r="B279" s="660" t="str">
        <f t="shared" si="32"/>
        <v>-</v>
      </c>
      <c r="C279" s="661" t="str">
        <f t="shared" si="33"/>
        <v/>
      </c>
      <c r="D279" s="650" t="str">
        <f t="shared" si="30"/>
        <v/>
      </c>
      <c r="E279" s="650" t="str">
        <f t="shared" si="34"/>
        <v/>
      </c>
      <c r="F279" s="650" t="str">
        <f t="shared" si="35"/>
        <v/>
      </c>
      <c r="G279" s="650" t="str">
        <f t="shared" si="36"/>
        <v/>
      </c>
      <c r="H279" s="650" t="str">
        <f t="shared" si="31"/>
        <v/>
      </c>
      <c r="J279" s="650"/>
      <c r="K279" s="650"/>
      <c r="L279" s="650"/>
    </row>
    <row r="280" spans="2:12" x14ac:dyDescent="0.2">
      <c r="B280" s="660" t="str">
        <f t="shared" si="32"/>
        <v>-</v>
      </c>
      <c r="C280" s="661" t="str">
        <f t="shared" si="33"/>
        <v/>
      </c>
      <c r="D280" s="650" t="str">
        <f t="shared" si="30"/>
        <v/>
      </c>
      <c r="E280" s="650" t="str">
        <f t="shared" si="34"/>
        <v/>
      </c>
      <c r="F280" s="650" t="str">
        <f t="shared" si="35"/>
        <v/>
      </c>
      <c r="G280" s="650" t="str">
        <f t="shared" si="36"/>
        <v/>
      </c>
      <c r="H280" s="650" t="str">
        <f t="shared" si="31"/>
        <v/>
      </c>
      <c r="J280" s="650"/>
      <c r="K280" s="650"/>
      <c r="L280" s="650"/>
    </row>
    <row r="281" spans="2:12" x14ac:dyDescent="0.2">
      <c r="B281" s="660" t="str">
        <f t="shared" si="32"/>
        <v>-</v>
      </c>
      <c r="C281" s="661" t="str">
        <f t="shared" si="33"/>
        <v/>
      </c>
      <c r="D281" s="650" t="str">
        <f t="shared" si="30"/>
        <v/>
      </c>
      <c r="E281" s="650" t="str">
        <f t="shared" si="34"/>
        <v/>
      </c>
      <c r="F281" s="650" t="str">
        <f t="shared" si="35"/>
        <v/>
      </c>
      <c r="G281" s="650" t="str">
        <f t="shared" si="36"/>
        <v/>
      </c>
      <c r="H281" s="650" t="str">
        <f t="shared" si="31"/>
        <v/>
      </c>
      <c r="J281" s="650"/>
      <c r="K281" s="650"/>
      <c r="L281" s="650"/>
    </row>
    <row r="282" spans="2:12" x14ac:dyDescent="0.2">
      <c r="B282" s="660" t="str">
        <f t="shared" si="32"/>
        <v>-</v>
      </c>
      <c r="C282" s="661" t="str">
        <f t="shared" si="33"/>
        <v/>
      </c>
      <c r="D282" s="650" t="str">
        <f t="shared" si="30"/>
        <v/>
      </c>
      <c r="E282" s="650" t="str">
        <f t="shared" si="34"/>
        <v/>
      </c>
      <c r="F282" s="650" t="str">
        <f t="shared" si="35"/>
        <v/>
      </c>
      <c r="G282" s="650" t="str">
        <f t="shared" si="36"/>
        <v/>
      </c>
      <c r="H282" s="650" t="str">
        <f t="shared" si="31"/>
        <v/>
      </c>
      <c r="J282" s="650"/>
      <c r="K282" s="650"/>
      <c r="L282" s="650"/>
    </row>
    <row r="283" spans="2:12" x14ac:dyDescent="0.2">
      <c r="B283" s="660" t="str">
        <f t="shared" si="32"/>
        <v>-</v>
      </c>
      <c r="C283" s="661" t="str">
        <f t="shared" si="33"/>
        <v/>
      </c>
      <c r="D283" s="650" t="str">
        <f t="shared" si="30"/>
        <v/>
      </c>
      <c r="E283" s="650" t="str">
        <f t="shared" si="34"/>
        <v/>
      </c>
      <c r="F283" s="650" t="str">
        <f t="shared" si="35"/>
        <v/>
      </c>
      <c r="G283" s="650" t="str">
        <f t="shared" si="36"/>
        <v/>
      </c>
      <c r="H283" s="650" t="str">
        <f t="shared" si="31"/>
        <v/>
      </c>
      <c r="J283" s="650"/>
      <c r="K283" s="650"/>
      <c r="L283" s="650"/>
    </row>
    <row r="284" spans="2:12" x14ac:dyDescent="0.2">
      <c r="B284" s="660" t="str">
        <f t="shared" si="32"/>
        <v>-</v>
      </c>
      <c r="C284" s="661" t="str">
        <f t="shared" si="33"/>
        <v/>
      </c>
      <c r="D284" s="650" t="str">
        <f t="shared" si="30"/>
        <v/>
      </c>
      <c r="E284" s="650" t="str">
        <f t="shared" si="34"/>
        <v/>
      </c>
      <c r="F284" s="650" t="str">
        <f t="shared" si="35"/>
        <v/>
      </c>
      <c r="G284" s="650" t="str">
        <f t="shared" si="36"/>
        <v/>
      </c>
      <c r="H284" s="650" t="str">
        <f t="shared" si="31"/>
        <v/>
      </c>
      <c r="J284" s="650"/>
      <c r="K284" s="650"/>
      <c r="L284" s="650"/>
    </row>
    <row r="285" spans="2:12" x14ac:dyDescent="0.2">
      <c r="B285" s="660" t="str">
        <f t="shared" si="32"/>
        <v>-</v>
      </c>
      <c r="C285" s="661" t="str">
        <f t="shared" si="33"/>
        <v/>
      </c>
      <c r="D285" s="650" t="str">
        <f t="shared" si="30"/>
        <v/>
      </c>
      <c r="E285" s="650" t="str">
        <f t="shared" si="34"/>
        <v/>
      </c>
      <c r="F285" s="650" t="str">
        <f t="shared" si="35"/>
        <v/>
      </c>
      <c r="G285" s="650" t="str">
        <f t="shared" si="36"/>
        <v/>
      </c>
      <c r="H285" s="650" t="str">
        <f t="shared" si="31"/>
        <v/>
      </c>
      <c r="J285" s="650"/>
      <c r="K285" s="650"/>
      <c r="L285" s="650"/>
    </row>
    <row r="286" spans="2:12" x14ac:dyDescent="0.2">
      <c r="B286" s="660" t="str">
        <f t="shared" si="32"/>
        <v>-</v>
      </c>
      <c r="C286" s="661" t="str">
        <f t="shared" si="33"/>
        <v/>
      </c>
      <c r="D286" s="650" t="str">
        <f t="shared" si="30"/>
        <v/>
      </c>
      <c r="E286" s="650" t="str">
        <f t="shared" si="34"/>
        <v/>
      </c>
      <c r="F286" s="650" t="str">
        <f t="shared" si="35"/>
        <v/>
      </c>
      <c r="G286" s="650" t="str">
        <f t="shared" si="36"/>
        <v/>
      </c>
      <c r="H286" s="650" t="str">
        <f t="shared" si="31"/>
        <v/>
      </c>
      <c r="J286" s="650"/>
      <c r="K286" s="650"/>
      <c r="L286" s="650"/>
    </row>
    <row r="287" spans="2:12" x14ac:dyDescent="0.2">
      <c r="B287" s="660" t="str">
        <f t="shared" si="32"/>
        <v>-</v>
      </c>
      <c r="C287" s="661" t="str">
        <f t="shared" si="33"/>
        <v/>
      </c>
      <c r="D287" s="650" t="str">
        <f t="shared" si="30"/>
        <v/>
      </c>
      <c r="E287" s="650" t="str">
        <f t="shared" si="34"/>
        <v/>
      </c>
      <c r="F287" s="650" t="str">
        <f t="shared" si="35"/>
        <v/>
      </c>
      <c r="G287" s="650" t="str">
        <f t="shared" si="36"/>
        <v/>
      </c>
      <c r="H287" s="650" t="str">
        <f t="shared" si="31"/>
        <v/>
      </c>
      <c r="J287" s="650"/>
      <c r="K287" s="650"/>
      <c r="L287" s="650"/>
    </row>
    <row r="288" spans="2:12" x14ac:dyDescent="0.2">
      <c r="B288" s="660" t="str">
        <f t="shared" si="32"/>
        <v>-</v>
      </c>
      <c r="C288" s="661" t="str">
        <f t="shared" si="33"/>
        <v/>
      </c>
      <c r="D288" s="650" t="str">
        <f t="shared" si="30"/>
        <v/>
      </c>
      <c r="E288" s="650" t="str">
        <f t="shared" si="34"/>
        <v/>
      </c>
      <c r="F288" s="650" t="str">
        <f t="shared" si="35"/>
        <v/>
      </c>
      <c r="G288" s="650" t="str">
        <f t="shared" si="36"/>
        <v/>
      </c>
      <c r="H288" s="650" t="str">
        <f t="shared" si="31"/>
        <v/>
      </c>
      <c r="J288" s="650"/>
      <c r="K288" s="650"/>
      <c r="L288" s="650"/>
    </row>
    <row r="289" spans="2:12" x14ac:dyDescent="0.2">
      <c r="B289" s="660" t="str">
        <f t="shared" si="32"/>
        <v>-</v>
      </c>
      <c r="C289" s="661" t="str">
        <f t="shared" si="33"/>
        <v/>
      </c>
      <c r="D289" s="650" t="str">
        <f t="shared" si="30"/>
        <v/>
      </c>
      <c r="E289" s="650" t="str">
        <f t="shared" si="34"/>
        <v/>
      </c>
      <c r="F289" s="650" t="str">
        <f t="shared" si="35"/>
        <v/>
      </c>
      <c r="G289" s="650" t="str">
        <f t="shared" si="36"/>
        <v/>
      </c>
      <c r="H289" s="650" t="str">
        <f t="shared" si="31"/>
        <v/>
      </c>
      <c r="J289" s="650"/>
      <c r="K289" s="650"/>
      <c r="L289" s="650"/>
    </row>
    <row r="290" spans="2:12" x14ac:dyDescent="0.2">
      <c r="B290" s="660" t="str">
        <f t="shared" si="32"/>
        <v>-</v>
      </c>
      <c r="C290" s="661" t="str">
        <f t="shared" si="33"/>
        <v/>
      </c>
      <c r="D290" s="650" t="str">
        <f t="shared" si="30"/>
        <v/>
      </c>
      <c r="E290" s="650" t="str">
        <f t="shared" si="34"/>
        <v/>
      </c>
      <c r="F290" s="650" t="str">
        <f t="shared" si="35"/>
        <v/>
      </c>
      <c r="G290" s="650" t="str">
        <f t="shared" si="36"/>
        <v/>
      </c>
      <c r="H290" s="650" t="str">
        <f t="shared" si="31"/>
        <v/>
      </c>
      <c r="J290" s="650"/>
      <c r="K290" s="650"/>
      <c r="L290" s="650"/>
    </row>
    <row r="291" spans="2:12" x14ac:dyDescent="0.2">
      <c r="B291" s="660" t="str">
        <f t="shared" si="32"/>
        <v>-</v>
      </c>
      <c r="C291" s="661" t="str">
        <f t="shared" si="33"/>
        <v/>
      </c>
      <c r="D291" s="650" t="str">
        <f t="shared" si="30"/>
        <v/>
      </c>
      <c r="E291" s="650" t="str">
        <f t="shared" si="34"/>
        <v/>
      </c>
      <c r="F291" s="650" t="str">
        <f t="shared" si="35"/>
        <v/>
      </c>
      <c r="G291" s="650" t="str">
        <f t="shared" si="36"/>
        <v/>
      </c>
      <c r="H291" s="650" t="str">
        <f t="shared" si="31"/>
        <v/>
      </c>
      <c r="J291" s="650"/>
      <c r="K291" s="650"/>
      <c r="L291" s="650"/>
    </row>
    <row r="292" spans="2:12" x14ac:dyDescent="0.2">
      <c r="B292" s="660" t="str">
        <f t="shared" si="32"/>
        <v>-</v>
      </c>
      <c r="C292" s="661" t="str">
        <f t="shared" si="33"/>
        <v/>
      </c>
      <c r="D292" s="650" t="str">
        <f t="shared" si="30"/>
        <v/>
      </c>
      <c r="E292" s="650" t="str">
        <f t="shared" si="34"/>
        <v/>
      </c>
      <c r="F292" s="650" t="str">
        <f t="shared" si="35"/>
        <v/>
      </c>
      <c r="G292" s="650" t="str">
        <f t="shared" si="36"/>
        <v/>
      </c>
      <c r="H292" s="650" t="str">
        <f t="shared" si="31"/>
        <v/>
      </c>
      <c r="J292" s="650"/>
      <c r="K292" s="650"/>
      <c r="L292" s="650"/>
    </row>
    <row r="293" spans="2:12" x14ac:dyDescent="0.2">
      <c r="B293" s="660" t="str">
        <f t="shared" si="32"/>
        <v>-</v>
      </c>
      <c r="C293" s="661" t="str">
        <f t="shared" si="33"/>
        <v/>
      </c>
      <c r="D293" s="650" t="str">
        <f t="shared" si="30"/>
        <v/>
      </c>
      <c r="E293" s="650" t="str">
        <f t="shared" si="34"/>
        <v/>
      </c>
      <c r="F293" s="650" t="str">
        <f t="shared" si="35"/>
        <v/>
      </c>
      <c r="G293" s="650" t="str">
        <f t="shared" si="36"/>
        <v/>
      </c>
      <c r="H293" s="650" t="str">
        <f t="shared" si="31"/>
        <v/>
      </c>
      <c r="J293" s="650"/>
      <c r="K293" s="650"/>
      <c r="L293" s="650"/>
    </row>
    <row r="294" spans="2:12" x14ac:dyDescent="0.2">
      <c r="B294" s="660" t="str">
        <f t="shared" si="32"/>
        <v>-</v>
      </c>
      <c r="C294" s="661" t="str">
        <f t="shared" si="33"/>
        <v/>
      </c>
      <c r="D294" s="650" t="str">
        <f t="shared" si="30"/>
        <v/>
      </c>
      <c r="E294" s="650" t="str">
        <f t="shared" si="34"/>
        <v/>
      </c>
      <c r="F294" s="650" t="str">
        <f t="shared" si="35"/>
        <v/>
      </c>
      <c r="G294" s="650" t="str">
        <f t="shared" si="36"/>
        <v/>
      </c>
      <c r="H294" s="650" t="str">
        <f t="shared" si="31"/>
        <v/>
      </c>
      <c r="J294" s="650"/>
      <c r="K294" s="650"/>
      <c r="L294" s="650"/>
    </row>
    <row r="295" spans="2:12" x14ac:dyDescent="0.2">
      <c r="B295" s="660" t="str">
        <f t="shared" si="32"/>
        <v>-</v>
      </c>
      <c r="C295" s="661" t="str">
        <f t="shared" si="33"/>
        <v/>
      </c>
      <c r="D295" s="650" t="str">
        <f t="shared" si="30"/>
        <v/>
      </c>
      <c r="E295" s="650" t="str">
        <f t="shared" si="34"/>
        <v/>
      </c>
      <c r="F295" s="650" t="str">
        <f t="shared" si="35"/>
        <v/>
      </c>
      <c r="G295" s="650" t="str">
        <f t="shared" si="36"/>
        <v/>
      </c>
      <c r="H295" s="650" t="str">
        <f t="shared" si="31"/>
        <v/>
      </c>
      <c r="J295" s="650"/>
      <c r="K295" s="650"/>
      <c r="L295" s="650"/>
    </row>
    <row r="296" spans="2:12" x14ac:dyDescent="0.2">
      <c r="B296" s="660" t="str">
        <f t="shared" si="32"/>
        <v>-</v>
      </c>
      <c r="C296" s="661" t="str">
        <f t="shared" si="33"/>
        <v/>
      </c>
      <c r="D296" s="650" t="str">
        <f t="shared" si="30"/>
        <v/>
      </c>
      <c r="E296" s="650" t="str">
        <f t="shared" si="34"/>
        <v/>
      </c>
      <c r="F296" s="650" t="str">
        <f t="shared" si="35"/>
        <v/>
      </c>
      <c r="G296" s="650" t="str">
        <f t="shared" si="36"/>
        <v/>
      </c>
      <c r="H296" s="650" t="str">
        <f t="shared" si="31"/>
        <v/>
      </c>
      <c r="J296" s="650"/>
      <c r="K296" s="650"/>
      <c r="L296" s="650"/>
    </row>
    <row r="297" spans="2:12" x14ac:dyDescent="0.2">
      <c r="B297" s="660" t="str">
        <f t="shared" si="32"/>
        <v>-</v>
      </c>
      <c r="C297" s="661" t="str">
        <f t="shared" si="33"/>
        <v/>
      </c>
      <c r="D297" s="650" t="str">
        <f t="shared" si="30"/>
        <v/>
      </c>
      <c r="E297" s="650" t="str">
        <f t="shared" si="34"/>
        <v/>
      </c>
      <c r="F297" s="650" t="str">
        <f t="shared" si="35"/>
        <v/>
      </c>
      <c r="G297" s="650" t="str">
        <f t="shared" si="36"/>
        <v/>
      </c>
      <c r="H297" s="650" t="str">
        <f t="shared" si="31"/>
        <v/>
      </c>
      <c r="J297" s="650"/>
      <c r="K297" s="650"/>
      <c r="L297" s="650"/>
    </row>
    <row r="298" spans="2:12" x14ac:dyDescent="0.2">
      <c r="B298" s="660" t="str">
        <f t="shared" si="32"/>
        <v>-</v>
      </c>
      <c r="C298" s="661" t="str">
        <f t="shared" si="33"/>
        <v/>
      </c>
      <c r="D298" s="650" t="str">
        <f t="shared" si="30"/>
        <v/>
      </c>
      <c r="E298" s="650" t="str">
        <f t="shared" si="34"/>
        <v/>
      </c>
      <c r="F298" s="650" t="str">
        <f t="shared" si="35"/>
        <v/>
      </c>
      <c r="G298" s="650" t="str">
        <f t="shared" si="36"/>
        <v/>
      </c>
      <c r="H298" s="650" t="str">
        <f t="shared" si="31"/>
        <v/>
      </c>
      <c r="J298" s="650"/>
      <c r="K298" s="650"/>
      <c r="L298" s="650"/>
    </row>
    <row r="299" spans="2:12" x14ac:dyDescent="0.2">
      <c r="B299" s="660" t="str">
        <f t="shared" si="32"/>
        <v>-</v>
      </c>
      <c r="C299" s="661" t="str">
        <f t="shared" si="33"/>
        <v/>
      </c>
      <c r="D299" s="650" t="str">
        <f t="shared" si="30"/>
        <v/>
      </c>
      <c r="E299" s="650" t="str">
        <f t="shared" si="34"/>
        <v/>
      </c>
      <c r="F299" s="650" t="str">
        <f t="shared" si="35"/>
        <v/>
      </c>
      <c r="G299" s="650" t="str">
        <f t="shared" si="36"/>
        <v/>
      </c>
      <c r="H299" s="650" t="str">
        <f t="shared" si="31"/>
        <v/>
      </c>
      <c r="J299" s="650"/>
      <c r="K299" s="650"/>
      <c r="L299" s="650"/>
    </row>
    <row r="300" spans="2:12" x14ac:dyDescent="0.2">
      <c r="B300" s="660" t="str">
        <f t="shared" si="32"/>
        <v>-</v>
      </c>
      <c r="C300" s="661" t="str">
        <f t="shared" si="33"/>
        <v/>
      </c>
      <c r="D300" s="650" t="str">
        <f t="shared" si="30"/>
        <v/>
      </c>
      <c r="E300" s="650" t="str">
        <f t="shared" si="34"/>
        <v/>
      </c>
      <c r="F300" s="650" t="str">
        <f t="shared" si="35"/>
        <v/>
      </c>
      <c r="G300" s="650" t="str">
        <f t="shared" si="36"/>
        <v/>
      </c>
      <c r="H300" s="650" t="str">
        <f t="shared" si="31"/>
        <v/>
      </c>
      <c r="J300" s="650"/>
      <c r="K300" s="650"/>
      <c r="L300" s="650"/>
    </row>
    <row r="301" spans="2:12" x14ac:dyDescent="0.2">
      <c r="B301" s="660" t="str">
        <f t="shared" si="32"/>
        <v>-</v>
      </c>
      <c r="C301" s="661" t="str">
        <f t="shared" si="33"/>
        <v/>
      </c>
      <c r="D301" s="650" t="str">
        <f t="shared" si="30"/>
        <v/>
      </c>
      <c r="E301" s="650" t="str">
        <f t="shared" si="34"/>
        <v/>
      </c>
      <c r="F301" s="650" t="str">
        <f t="shared" si="35"/>
        <v/>
      </c>
      <c r="G301" s="650" t="str">
        <f t="shared" si="36"/>
        <v/>
      </c>
      <c r="H301" s="650" t="str">
        <f t="shared" si="31"/>
        <v/>
      </c>
      <c r="J301" s="650"/>
      <c r="K301" s="650"/>
      <c r="L301" s="650"/>
    </row>
    <row r="302" spans="2:12" x14ac:dyDescent="0.2">
      <c r="B302" s="660" t="str">
        <f t="shared" si="32"/>
        <v>-</v>
      </c>
      <c r="C302" s="661" t="str">
        <f t="shared" si="33"/>
        <v/>
      </c>
      <c r="D302" s="650" t="str">
        <f t="shared" si="30"/>
        <v/>
      </c>
      <c r="E302" s="650" t="str">
        <f t="shared" si="34"/>
        <v/>
      </c>
      <c r="F302" s="650" t="str">
        <f t="shared" si="35"/>
        <v/>
      </c>
      <c r="G302" s="650" t="str">
        <f t="shared" si="36"/>
        <v/>
      </c>
      <c r="H302" s="650" t="str">
        <f t="shared" si="31"/>
        <v/>
      </c>
      <c r="J302" s="650"/>
      <c r="K302" s="650"/>
      <c r="L302" s="650"/>
    </row>
    <row r="303" spans="2:12" x14ac:dyDescent="0.2">
      <c r="B303" s="660" t="str">
        <f t="shared" si="32"/>
        <v>-</v>
      </c>
      <c r="C303" s="661" t="str">
        <f t="shared" si="33"/>
        <v/>
      </c>
      <c r="D303" s="650" t="str">
        <f t="shared" si="30"/>
        <v/>
      </c>
      <c r="E303" s="650" t="str">
        <f t="shared" si="34"/>
        <v/>
      </c>
      <c r="F303" s="650" t="str">
        <f t="shared" si="35"/>
        <v/>
      </c>
      <c r="G303" s="650" t="str">
        <f t="shared" si="36"/>
        <v/>
      </c>
      <c r="H303" s="650" t="str">
        <f t="shared" si="31"/>
        <v/>
      </c>
      <c r="J303" s="650"/>
      <c r="K303" s="650"/>
      <c r="L303" s="650"/>
    </row>
    <row r="304" spans="2:12" x14ac:dyDescent="0.2">
      <c r="B304" s="660" t="str">
        <f t="shared" si="32"/>
        <v>-</v>
      </c>
      <c r="C304" s="661" t="str">
        <f t="shared" si="33"/>
        <v/>
      </c>
      <c r="D304" s="650" t="str">
        <f t="shared" si="30"/>
        <v/>
      </c>
      <c r="E304" s="650" t="str">
        <f t="shared" si="34"/>
        <v/>
      </c>
      <c r="F304" s="650" t="str">
        <f t="shared" si="35"/>
        <v/>
      </c>
      <c r="G304" s="650" t="str">
        <f t="shared" si="36"/>
        <v/>
      </c>
      <c r="H304" s="650" t="str">
        <f t="shared" si="31"/>
        <v/>
      </c>
      <c r="J304" s="650"/>
      <c r="K304" s="650"/>
      <c r="L304" s="650"/>
    </row>
    <row r="305" spans="2:12" x14ac:dyDescent="0.2">
      <c r="B305" s="660" t="str">
        <f t="shared" si="32"/>
        <v>-</v>
      </c>
      <c r="C305" s="661" t="str">
        <f t="shared" si="33"/>
        <v/>
      </c>
      <c r="D305" s="650" t="str">
        <f t="shared" ref="D305:D368" si="37">IF(ISNUMBER(B305),D304-F304,"")</f>
        <v/>
      </c>
      <c r="E305" s="650" t="str">
        <f t="shared" si="34"/>
        <v/>
      </c>
      <c r="F305" s="650" t="str">
        <f t="shared" si="35"/>
        <v/>
      </c>
      <c r="G305" s="650" t="str">
        <f t="shared" si="36"/>
        <v/>
      </c>
      <c r="H305" s="650" t="str">
        <f t="shared" ref="H305:H368" si="38">IF(ISNUMBER(B305),E305+F305+G305,"")</f>
        <v/>
      </c>
      <c r="J305" s="650"/>
      <c r="K305" s="650"/>
      <c r="L305" s="650"/>
    </row>
    <row r="306" spans="2:12" x14ac:dyDescent="0.2">
      <c r="B306" s="660" t="str">
        <f t="shared" si="32"/>
        <v>-</v>
      </c>
      <c r="C306" s="661" t="str">
        <f t="shared" si="33"/>
        <v/>
      </c>
      <c r="D306" s="650" t="str">
        <f t="shared" si="37"/>
        <v/>
      </c>
      <c r="E306" s="650" t="str">
        <f t="shared" si="34"/>
        <v/>
      </c>
      <c r="F306" s="650" t="str">
        <f t="shared" si="35"/>
        <v/>
      </c>
      <c r="G306" s="650" t="str">
        <f t="shared" si="36"/>
        <v/>
      </c>
      <c r="H306" s="650" t="str">
        <f t="shared" si="38"/>
        <v/>
      </c>
      <c r="J306" s="650"/>
      <c r="K306" s="650"/>
      <c r="L306" s="650"/>
    </row>
    <row r="307" spans="2:12" x14ac:dyDescent="0.2">
      <c r="B307" s="660" t="str">
        <f t="shared" si="32"/>
        <v>-</v>
      </c>
      <c r="C307" s="661" t="str">
        <f t="shared" si="33"/>
        <v/>
      </c>
      <c r="D307" s="650" t="str">
        <f t="shared" si="37"/>
        <v/>
      </c>
      <c r="E307" s="650" t="str">
        <f t="shared" si="34"/>
        <v/>
      </c>
      <c r="F307" s="650" t="str">
        <f t="shared" si="35"/>
        <v/>
      </c>
      <c r="G307" s="650" t="str">
        <f t="shared" si="36"/>
        <v/>
      </c>
      <c r="H307" s="650" t="str">
        <f t="shared" si="38"/>
        <v/>
      </c>
      <c r="J307" s="650"/>
      <c r="K307" s="650"/>
      <c r="L307" s="650"/>
    </row>
    <row r="308" spans="2:12" x14ac:dyDescent="0.2">
      <c r="B308" s="660" t="str">
        <f t="shared" si="32"/>
        <v>-</v>
      </c>
      <c r="C308" s="661" t="str">
        <f t="shared" si="33"/>
        <v/>
      </c>
      <c r="D308" s="650" t="str">
        <f t="shared" si="37"/>
        <v/>
      </c>
      <c r="E308" s="650" t="str">
        <f t="shared" si="34"/>
        <v/>
      </c>
      <c r="F308" s="650" t="str">
        <f t="shared" si="35"/>
        <v/>
      </c>
      <c r="G308" s="650" t="str">
        <f t="shared" si="36"/>
        <v/>
      </c>
      <c r="H308" s="650" t="str">
        <f t="shared" si="38"/>
        <v/>
      </c>
      <c r="J308" s="650"/>
      <c r="K308" s="650"/>
      <c r="L308" s="650"/>
    </row>
    <row r="309" spans="2:12" x14ac:dyDescent="0.2">
      <c r="B309" s="660" t="str">
        <f t="shared" si="32"/>
        <v>-</v>
      </c>
      <c r="C309" s="661" t="str">
        <f t="shared" si="33"/>
        <v/>
      </c>
      <c r="D309" s="650" t="str">
        <f t="shared" si="37"/>
        <v/>
      </c>
      <c r="E309" s="650" t="str">
        <f t="shared" si="34"/>
        <v/>
      </c>
      <c r="F309" s="650" t="str">
        <f t="shared" si="35"/>
        <v/>
      </c>
      <c r="G309" s="650" t="str">
        <f t="shared" si="36"/>
        <v/>
      </c>
      <c r="H309" s="650" t="str">
        <f t="shared" si="38"/>
        <v/>
      </c>
      <c r="J309" s="650"/>
      <c r="K309" s="650"/>
      <c r="L309" s="650"/>
    </row>
    <row r="310" spans="2:12" x14ac:dyDescent="0.2">
      <c r="B310" s="660" t="str">
        <f t="shared" si="32"/>
        <v>-</v>
      </c>
      <c r="C310" s="661" t="str">
        <f t="shared" si="33"/>
        <v/>
      </c>
      <c r="D310" s="650" t="str">
        <f t="shared" si="37"/>
        <v/>
      </c>
      <c r="E310" s="650" t="str">
        <f t="shared" si="34"/>
        <v/>
      </c>
      <c r="F310" s="650" t="str">
        <f t="shared" si="35"/>
        <v/>
      </c>
      <c r="G310" s="650" t="str">
        <f t="shared" si="36"/>
        <v/>
      </c>
      <c r="H310" s="650" t="str">
        <f t="shared" si="38"/>
        <v/>
      </c>
      <c r="J310" s="650"/>
      <c r="K310" s="650"/>
      <c r="L310" s="650"/>
    </row>
    <row r="311" spans="2:12" x14ac:dyDescent="0.2">
      <c r="B311" s="660" t="str">
        <f t="shared" si="32"/>
        <v>-</v>
      </c>
      <c r="C311" s="661" t="str">
        <f t="shared" si="33"/>
        <v/>
      </c>
      <c r="D311" s="650" t="str">
        <f t="shared" si="37"/>
        <v/>
      </c>
      <c r="E311" s="650" t="str">
        <f t="shared" si="34"/>
        <v/>
      </c>
      <c r="F311" s="650" t="str">
        <f t="shared" si="35"/>
        <v/>
      </c>
      <c r="G311" s="650" t="str">
        <f t="shared" si="36"/>
        <v/>
      </c>
      <c r="H311" s="650" t="str">
        <f t="shared" si="38"/>
        <v/>
      </c>
      <c r="J311" s="650"/>
      <c r="K311" s="650"/>
      <c r="L311" s="650"/>
    </row>
    <row r="312" spans="2:12" x14ac:dyDescent="0.2">
      <c r="B312" s="660" t="str">
        <f t="shared" si="32"/>
        <v>-</v>
      </c>
      <c r="C312" s="661" t="str">
        <f t="shared" si="33"/>
        <v/>
      </c>
      <c r="D312" s="650" t="str">
        <f t="shared" si="37"/>
        <v/>
      </c>
      <c r="E312" s="650" t="str">
        <f t="shared" si="34"/>
        <v/>
      </c>
      <c r="F312" s="650" t="str">
        <f t="shared" si="35"/>
        <v/>
      </c>
      <c r="G312" s="650" t="str">
        <f t="shared" si="36"/>
        <v/>
      </c>
      <c r="H312" s="650" t="str">
        <f t="shared" si="38"/>
        <v/>
      </c>
      <c r="J312" s="650"/>
      <c r="K312" s="650"/>
      <c r="L312" s="650"/>
    </row>
    <row r="313" spans="2:12" x14ac:dyDescent="0.2">
      <c r="B313" s="660" t="str">
        <f t="shared" si="32"/>
        <v>-</v>
      </c>
      <c r="C313" s="661" t="str">
        <f t="shared" si="33"/>
        <v/>
      </c>
      <c r="D313" s="650" t="str">
        <f t="shared" si="37"/>
        <v/>
      </c>
      <c r="E313" s="650" t="str">
        <f t="shared" si="34"/>
        <v/>
      </c>
      <c r="F313" s="650" t="str">
        <f t="shared" si="35"/>
        <v/>
      </c>
      <c r="G313" s="650" t="str">
        <f t="shared" si="36"/>
        <v/>
      </c>
      <c r="H313" s="650" t="str">
        <f t="shared" si="38"/>
        <v/>
      </c>
      <c r="J313" s="650"/>
      <c r="K313" s="650"/>
      <c r="L313" s="650"/>
    </row>
    <row r="314" spans="2:12" x14ac:dyDescent="0.2">
      <c r="B314" s="660" t="str">
        <f t="shared" si="32"/>
        <v>-</v>
      </c>
      <c r="C314" s="661" t="str">
        <f t="shared" si="33"/>
        <v/>
      </c>
      <c r="D314" s="650" t="str">
        <f t="shared" si="37"/>
        <v/>
      </c>
      <c r="E314" s="650" t="str">
        <f t="shared" si="34"/>
        <v/>
      </c>
      <c r="F314" s="650" t="str">
        <f t="shared" si="35"/>
        <v/>
      </c>
      <c r="G314" s="650" t="str">
        <f t="shared" si="36"/>
        <v/>
      </c>
      <c r="H314" s="650" t="str">
        <f t="shared" si="38"/>
        <v/>
      </c>
      <c r="J314" s="650"/>
      <c r="K314" s="650"/>
      <c r="L314" s="650"/>
    </row>
    <row r="315" spans="2:12" x14ac:dyDescent="0.2">
      <c r="B315" s="660" t="str">
        <f t="shared" si="32"/>
        <v>-</v>
      </c>
      <c r="C315" s="661" t="str">
        <f t="shared" si="33"/>
        <v/>
      </c>
      <c r="D315" s="650" t="str">
        <f t="shared" si="37"/>
        <v/>
      </c>
      <c r="E315" s="650" t="str">
        <f t="shared" si="34"/>
        <v/>
      </c>
      <c r="F315" s="650" t="str">
        <f t="shared" si="35"/>
        <v/>
      </c>
      <c r="G315" s="650" t="str">
        <f t="shared" si="36"/>
        <v/>
      </c>
      <c r="H315" s="650" t="str">
        <f t="shared" si="38"/>
        <v/>
      </c>
      <c r="J315" s="650"/>
      <c r="K315" s="650"/>
      <c r="L315" s="650"/>
    </row>
    <row r="316" spans="2:12" x14ac:dyDescent="0.2">
      <c r="B316" s="660" t="str">
        <f t="shared" si="32"/>
        <v>-</v>
      </c>
      <c r="C316" s="661" t="str">
        <f t="shared" si="33"/>
        <v/>
      </c>
      <c r="D316" s="650" t="str">
        <f t="shared" si="37"/>
        <v/>
      </c>
      <c r="E316" s="650" t="str">
        <f t="shared" si="34"/>
        <v/>
      </c>
      <c r="F316" s="650" t="str">
        <f t="shared" si="35"/>
        <v/>
      </c>
      <c r="G316" s="650" t="str">
        <f t="shared" si="36"/>
        <v/>
      </c>
      <c r="H316" s="650" t="str">
        <f t="shared" si="38"/>
        <v/>
      </c>
      <c r="J316" s="650"/>
      <c r="K316" s="650"/>
      <c r="L316" s="650"/>
    </row>
    <row r="317" spans="2:12" x14ac:dyDescent="0.2">
      <c r="B317" s="660" t="str">
        <f t="shared" si="32"/>
        <v>-</v>
      </c>
      <c r="C317" s="661" t="str">
        <f t="shared" si="33"/>
        <v/>
      </c>
      <c r="D317" s="650" t="str">
        <f t="shared" si="37"/>
        <v/>
      </c>
      <c r="E317" s="650" t="str">
        <f t="shared" si="34"/>
        <v/>
      </c>
      <c r="F317" s="650" t="str">
        <f t="shared" si="35"/>
        <v/>
      </c>
      <c r="G317" s="650" t="str">
        <f t="shared" si="36"/>
        <v/>
      </c>
      <c r="H317" s="650" t="str">
        <f t="shared" si="38"/>
        <v/>
      </c>
      <c r="J317" s="650"/>
      <c r="K317" s="650"/>
      <c r="L317" s="650"/>
    </row>
    <row r="318" spans="2:12" x14ac:dyDescent="0.2">
      <c r="B318" s="660" t="str">
        <f t="shared" si="32"/>
        <v>-</v>
      </c>
      <c r="C318" s="661" t="str">
        <f t="shared" si="33"/>
        <v/>
      </c>
      <c r="D318" s="650" t="str">
        <f t="shared" si="37"/>
        <v/>
      </c>
      <c r="E318" s="650" t="str">
        <f t="shared" si="34"/>
        <v/>
      </c>
      <c r="F318" s="650" t="str">
        <f t="shared" si="35"/>
        <v/>
      </c>
      <c r="G318" s="650" t="str">
        <f t="shared" si="36"/>
        <v/>
      </c>
      <c r="H318" s="650" t="str">
        <f t="shared" si="38"/>
        <v/>
      </c>
      <c r="J318" s="650"/>
      <c r="K318" s="650"/>
      <c r="L318" s="650"/>
    </row>
    <row r="319" spans="2:12" x14ac:dyDescent="0.2">
      <c r="B319" s="660" t="str">
        <f t="shared" si="32"/>
        <v>-</v>
      </c>
      <c r="C319" s="661" t="str">
        <f t="shared" si="33"/>
        <v/>
      </c>
      <c r="D319" s="650" t="str">
        <f t="shared" si="37"/>
        <v/>
      </c>
      <c r="E319" s="650" t="str">
        <f t="shared" si="34"/>
        <v/>
      </c>
      <c r="F319" s="650" t="str">
        <f t="shared" si="35"/>
        <v/>
      </c>
      <c r="G319" s="650" t="str">
        <f t="shared" si="36"/>
        <v/>
      </c>
      <c r="H319" s="650" t="str">
        <f t="shared" si="38"/>
        <v/>
      </c>
      <c r="J319" s="650"/>
      <c r="K319" s="650"/>
      <c r="L319" s="650"/>
    </row>
    <row r="320" spans="2:12" x14ac:dyDescent="0.2">
      <c r="B320" s="660" t="str">
        <f t="shared" si="32"/>
        <v>-</v>
      </c>
      <c r="C320" s="661" t="str">
        <f t="shared" si="33"/>
        <v/>
      </c>
      <c r="D320" s="650" t="str">
        <f t="shared" si="37"/>
        <v/>
      </c>
      <c r="E320" s="650" t="str">
        <f t="shared" si="34"/>
        <v/>
      </c>
      <c r="F320" s="650" t="str">
        <f t="shared" si="35"/>
        <v/>
      </c>
      <c r="G320" s="650" t="str">
        <f t="shared" si="36"/>
        <v/>
      </c>
      <c r="H320" s="650" t="str">
        <f t="shared" si="38"/>
        <v/>
      </c>
      <c r="J320" s="650"/>
      <c r="K320" s="650"/>
      <c r="L320" s="650"/>
    </row>
    <row r="321" spans="2:12" x14ac:dyDescent="0.2">
      <c r="B321" s="660" t="str">
        <f t="shared" si="32"/>
        <v>-</v>
      </c>
      <c r="C321" s="661" t="str">
        <f t="shared" si="33"/>
        <v/>
      </c>
      <c r="D321" s="650" t="str">
        <f t="shared" si="37"/>
        <v/>
      </c>
      <c r="E321" s="650" t="str">
        <f t="shared" si="34"/>
        <v/>
      </c>
      <c r="F321" s="650" t="str">
        <f t="shared" si="35"/>
        <v/>
      </c>
      <c r="G321" s="650" t="str">
        <f t="shared" si="36"/>
        <v/>
      </c>
      <c r="H321" s="650" t="str">
        <f t="shared" si="38"/>
        <v/>
      </c>
      <c r="J321" s="650"/>
      <c r="K321" s="650"/>
      <c r="L321" s="650"/>
    </row>
    <row r="322" spans="2:12" x14ac:dyDescent="0.2">
      <c r="B322" s="660" t="str">
        <f t="shared" si="32"/>
        <v>-</v>
      </c>
      <c r="C322" s="661" t="str">
        <f t="shared" si="33"/>
        <v/>
      </c>
      <c r="D322" s="650" t="str">
        <f t="shared" si="37"/>
        <v/>
      </c>
      <c r="E322" s="650" t="str">
        <f t="shared" si="34"/>
        <v/>
      </c>
      <c r="F322" s="650" t="str">
        <f t="shared" si="35"/>
        <v/>
      </c>
      <c r="G322" s="650" t="str">
        <f t="shared" si="36"/>
        <v/>
      </c>
      <c r="H322" s="650" t="str">
        <f t="shared" si="38"/>
        <v/>
      </c>
      <c r="J322" s="650"/>
      <c r="K322" s="650"/>
      <c r="L322" s="650"/>
    </row>
    <row r="323" spans="2:12" x14ac:dyDescent="0.2">
      <c r="B323" s="660" t="str">
        <f t="shared" si="32"/>
        <v>-</v>
      </c>
      <c r="C323" s="661" t="str">
        <f t="shared" si="33"/>
        <v/>
      </c>
      <c r="D323" s="650" t="str">
        <f t="shared" si="37"/>
        <v/>
      </c>
      <c r="E323" s="650" t="str">
        <f t="shared" si="34"/>
        <v/>
      </c>
      <c r="F323" s="650" t="str">
        <f t="shared" si="35"/>
        <v/>
      </c>
      <c r="G323" s="650" t="str">
        <f t="shared" si="36"/>
        <v/>
      </c>
      <c r="H323" s="650" t="str">
        <f t="shared" si="38"/>
        <v/>
      </c>
      <c r="J323" s="650"/>
      <c r="K323" s="650"/>
      <c r="L323" s="650"/>
    </row>
    <row r="324" spans="2:12" x14ac:dyDescent="0.2">
      <c r="B324" s="660" t="str">
        <f t="shared" si="32"/>
        <v>-</v>
      </c>
      <c r="C324" s="661" t="str">
        <f t="shared" si="33"/>
        <v/>
      </c>
      <c r="D324" s="650" t="str">
        <f t="shared" si="37"/>
        <v/>
      </c>
      <c r="E324" s="650" t="str">
        <f t="shared" si="34"/>
        <v/>
      </c>
      <c r="F324" s="650" t="str">
        <f t="shared" si="35"/>
        <v/>
      </c>
      <c r="G324" s="650" t="str">
        <f t="shared" si="36"/>
        <v/>
      </c>
      <c r="H324" s="650" t="str">
        <f t="shared" si="38"/>
        <v/>
      </c>
      <c r="J324" s="650"/>
      <c r="K324" s="650"/>
      <c r="L324" s="650"/>
    </row>
    <row r="325" spans="2:12" x14ac:dyDescent="0.2">
      <c r="B325" s="660" t="str">
        <f t="shared" si="32"/>
        <v>-</v>
      </c>
      <c r="C325" s="661" t="str">
        <f t="shared" si="33"/>
        <v/>
      </c>
      <c r="D325" s="650" t="str">
        <f t="shared" si="37"/>
        <v/>
      </c>
      <c r="E325" s="650" t="str">
        <f t="shared" si="34"/>
        <v/>
      </c>
      <c r="F325" s="650" t="str">
        <f t="shared" si="35"/>
        <v/>
      </c>
      <c r="G325" s="650" t="str">
        <f t="shared" si="36"/>
        <v/>
      </c>
      <c r="H325" s="650" t="str">
        <f t="shared" si="38"/>
        <v/>
      </c>
      <c r="J325" s="650"/>
      <c r="K325" s="650"/>
      <c r="L325" s="650"/>
    </row>
    <row r="326" spans="2:12" x14ac:dyDescent="0.2">
      <c r="B326" s="660" t="str">
        <f t="shared" si="32"/>
        <v>-</v>
      </c>
      <c r="C326" s="661" t="str">
        <f t="shared" si="33"/>
        <v/>
      </c>
      <c r="D326" s="650" t="str">
        <f t="shared" si="37"/>
        <v/>
      </c>
      <c r="E326" s="650" t="str">
        <f t="shared" si="34"/>
        <v/>
      </c>
      <c r="F326" s="650" t="str">
        <f t="shared" si="35"/>
        <v/>
      </c>
      <c r="G326" s="650" t="str">
        <f t="shared" si="36"/>
        <v/>
      </c>
      <c r="H326" s="650" t="str">
        <f t="shared" si="38"/>
        <v/>
      </c>
      <c r="J326" s="650"/>
      <c r="K326" s="650"/>
      <c r="L326" s="650"/>
    </row>
    <row r="327" spans="2:12" x14ac:dyDescent="0.2">
      <c r="B327" s="660" t="str">
        <f t="shared" si="32"/>
        <v>-</v>
      </c>
      <c r="C327" s="661" t="str">
        <f t="shared" si="33"/>
        <v/>
      </c>
      <c r="D327" s="650" t="str">
        <f t="shared" si="37"/>
        <v/>
      </c>
      <c r="E327" s="650" t="str">
        <f t="shared" si="34"/>
        <v/>
      </c>
      <c r="F327" s="650" t="str">
        <f t="shared" si="35"/>
        <v/>
      </c>
      <c r="G327" s="650" t="str">
        <f t="shared" si="36"/>
        <v/>
      </c>
      <c r="H327" s="650" t="str">
        <f t="shared" si="38"/>
        <v/>
      </c>
      <c r="J327" s="650"/>
      <c r="K327" s="650"/>
      <c r="L327" s="650"/>
    </row>
    <row r="328" spans="2:12" x14ac:dyDescent="0.2">
      <c r="B328" s="660" t="str">
        <f t="shared" si="32"/>
        <v>-</v>
      </c>
      <c r="C328" s="661" t="str">
        <f t="shared" si="33"/>
        <v/>
      </c>
      <c r="D328" s="650" t="str">
        <f t="shared" si="37"/>
        <v/>
      </c>
      <c r="E328" s="650" t="str">
        <f t="shared" si="34"/>
        <v/>
      </c>
      <c r="F328" s="650" t="str">
        <f t="shared" si="35"/>
        <v/>
      </c>
      <c r="G328" s="650" t="str">
        <f t="shared" si="36"/>
        <v/>
      </c>
      <c r="H328" s="650" t="str">
        <f t="shared" si="38"/>
        <v/>
      </c>
      <c r="J328" s="650"/>
      <c r="K328" s="650"/>
      <c r="L328" s="650"/>
    </row>
    <row r="329" spans="2:12" x14ac:dyDescent="0.2">
      <c r="B329" s="660" t="str">
        <f t="shared" si="32"/>
        <v>-</v>
      </c>
      <c r="C329" s="661" t="str">
        <f t="shared" si="33"/>
        <v/>
      </c>
      <c r="D329" s="650" t="str">
        <f t="shared" si="37"/>
        <v/>
      </c>
      <c r="E329" s="650" t="str">
        <f t="shared" si="34"/>
        <v/>
      </c>
      <c r="F329" s="650" t="str">
        <f t="shared" si="35"/>
        <v/>
      </c>
      <c r="G329" s="650" t="str">
        <f t="shared" si="36"/>
        <v/>
      </c>
      <c r="H329" s="650" t="str">
        <f t="shared" si="38"/>
        <v/>
      </c>
      <c r="J329" s="650"/>
      <c r="K329" s="650"/>
      <c r="L329" s="650"/>
    </row>
    <row r="330" spans="2:12" x14ac:dyDescent="0.2">
      <c r="B330" s="660" t="str">
        <f t="shared" si="32"/>
        <v>-</v>
      </c>
      <c r="C330" s="661" t="str">
        <f t="shared" si="33"/>
        <v/>
      </c>
      <c r="D330" s="650" t="str">
        <f t="shared" si="37"/>
        <v/>
      </c>
      <c r="E330" s="650" t="str">
        <f t="shared" si="34"/>
        <v/>
      </c>
      <c r="F330" s="650" t="str">
        <f t="shared" si="35"/>
        <v/>
      </c>
      <c r="G330" s="650" t="str">
        <f t="shared" si="36"/>
        <v/>
      </c>
      <c r="H330" s="650" t="str">
        <f t="shared" si="38"/>
        <v/>
      </c>
      <c r="J330" s="650"/>
      <c r="K330" s="650"/>
      <c r="L330" s="650"/>
    </row>
    <row r="331" spans="2:12" x14ac:dyDescent="0.2">
      <c r="B331" s="660" t="str">
        <f t="shared" si="32"/>
        <v>-</v>
      </c>
      <c r="C331" s="661" t="str">
        <f t="shared" si="33"/>
        <v/>
      </c>
      <c r="D331" s="650" t="str">
        <f t="shared" si="37"/>
        <v/>
      </c>
      <c r="E331" s="650" t="str">
        <f t="shared" si="34"/>
        <v/>
      </c>
      <c r="F331" s="650" t="str">
        <f t="shared" si="35"/>
        <v/>
      </c>
      <c r="G331" s="650" t="str">
        <f t="shared" si="36"/>
        <v/>
      </c>
      <c r="H331" s="650" t="str">
        <f t="shared" si="38"/>
        <v/>
      </c>
      <c r="J331" s="650"/>
      <c r="K331" s="650"/>
      <c r="L331" s="650"/>
    </row>
    <row r="332" spans="2:12" x14ac:dyDescent="0.2">
      <c r="B332" s="660" t="str">
        <f t="shared" ref="B332:B371" si="39">IF(B331&lt;$L$3,B331+1,"-")</f>
        <v>-</v>
      </c>
      <c r="C332" s="661" t="str">
        <f t="shared" ref="C332:C371" si="40">IF(ISNUMBER(B332),MIN(DATE(YEAR($C$11),MONTH($C$11)+B332*12/$P$5,DAY($C$11)),DATE(YEAR($C$11),MONTH($C$11)+1+B332*12/$P$5,1)-1),"")</f>
        <v/>
      </c>
      <c r="D332" s="650" t="str">
        <f t="shared" si="37"/>
        <v/>
      </c>
      <c r="E332" s="650" t="str">
        <f t="shared" ref="E332:E371" si="41">IF(ISNUMBER(B332),ROUND(D332*$L$7,$R$6),"")</f>
        <v/>
      </c>
      <c r="F332" s="650" t="str">
        <f t="shared" ref="F332:F371" si="42">IF(ISNUMBER(B332),IF(B332=$L$3,D332,IF(B332&gt;$L$4,$H$3-E332,0)),"")</f>
        <v/>
      </c>
      <c r="G332" s="650" t="str">
        <f t="shared" ref="G332:G371" si="43">IF(ISNUMBER(B332),$H$4,"")</f>
        <v/>
      </c>
      <c r="H332" s="650" t="str">
        <f t="shared" si="38"/>
        <v/>
      </c>
      <c r="J332" s="650"/>
      <c r="K332" s="650"/>
      <c r="L332" s="650"/>
    </row>
    <row r="333" spans="2:12" x14ac:dyDescent="0.2">
      <c r="B333" s="660" t="str">
        <f t="shared" si="39"/>
        <v>-</v>
      </c>
      <c r="C333" s="661" t="str">
        <f t="shared" si="40"/>
        <v/>
      </c>
      <c r="D333" s="650" t="str">
        <f t="shared" si="37"/>
        <v/>
      </c>
      <c r="E333" s="650" t="str">
        <f t="shared" si="41"/>
        <v/>
      </c>
      <c r="F333" s="650" t="str">
        <f t="shared" si="42"/>
        <v/>
      </c>
      <c r="G333" s="650" t="str">
        <f t="shared" si="43"/>
        <v/>
      </c>
      <c r="H333" s="650" t="str">
        <f t="shared" si="38"/>
        <v/>
      </c>
      <c r="J333" s="650"/>
      <c r="K333" s="650"/>
      <c r="L333" s="650"/>
    </row>
    <row r="334" spans="2:12" x14ac:dyDescent="0.2">
      <c r="B334" s="660" t="str">
        <f t="shared" si="39"/>
        <v>-</v>
      </c>
      <c r="C334" s="661" t="str">
        <f t="shared" si="40"/>
        <v/>
      </c>
      <c r="D334" s="650" t="str">
        <f t="shared" si="37"/>
        <v/>
      </c>
      <c r="E334" s="650" t="str">
        <f t="shared" si="41"/>
        <v/>
      </c>
      <c r="F334" s="650" t="str">
        <f t="shared" si="42"/>
        <v/>
      </c>
      <c r="G334" s="650" t="str">
        <f t="shared" si="43"/>
        <v/>
      </c>
      <c r="H334" s="650" t="str">
        <f t="shared" si="38"/>
        <v/>
      </c>
      <c r="J334" s="650"/>
      <c r="K334" s="650"/>
      <c r="L334" s="650"/>
    </row>
    <row r="335" spans="2:12" x14ac:dyDescent="0.2">
      <c r="B335" s="660" t="str">
        <f t="shared" si="39"/>
        <v>-</v>
      </c>
      <c r="C335" s="661" t="str">
        <f t="shared" si="40"/>
        <v/>
      </c>
      <c r="D335" s="650" t="str">
        <f t="shared" si="37"/>
        <v/>
      </c>
      <c r="E335" s="650" t="str">
        <f t="shared" si="41"/>
        <v/>
      </c>
      <c r="F335" s="650" t="str">
        <f t="shared" si="42"/>
        <v/>
      </c>
      <c r="G335" s="650" t="str">
        <f t="shared" si="43"/>
        <v/>
      </c>
      <c r="H335" s="650" t="str">
        <f t="shared" si="38"/>
        <v/>
      </c>
      <c r="J335" s="650"/>
      <c r="K335" s="650"/>
      <c r="L335" s="650"/>
    </row>
    <row r="336" spans="2:12" x14ac:dyDescent="0.2">
      <c r="B336" s="660" t="str">
        <f t="shared" si="39"/>
        <v>-</v>
      </c>
      <c r="C336" s="661" t="str">
        <f t="shared" si="40"/>
        <v/>
      </c>
      <c r="D336" s="650" t="str">
        <f t="shared" si="37"/>
        <v/>
      </c>
      <c r="E336" s="650" t="str">
        <f t="shared" si="41"/>
        <v/>
      </c>
      <c r="F336" s="650" t="str">
        <f t="shared" si="42"/>
        <v/>
      </c>
      <c r="G336" s="650" t="str">
        <f t="shared" si="43"/>
        <v/>
      </c>
      <c r="H336" s="650" t="str">
        <f t="shared" si="38"/>
        <v/>
      </c>
      <c r="J336" s="650"/>
      <c r="K336" s="650"/>
      <c r="L336" s="650"/>
    </row>
    <row r="337" spans="2:12" x14ac:dyDescent="0.2">
      <c r="B337" s="660" t="str">
        <f t="shared" si="39"/>
        <v>-</v>
      </c>
      <c r="C337" s="661" t="str">
        <f t="shared" si="40"/>
        <v/>
      </c>
      <c r="D337" s="650" t="str">
        <f t="shared" si="37"/>
        <v/>
      </c>
      <c r="E337" s="650" t="str">
        <f t="shared" si="41"/>
        <v/>
      </c>
      <c r="F337" s="650" t="str">
        <f t="shared" si="42"/>
        <v/>
      </c>
      <c r="G337" s="650" t="str">
        <f t="shared" si="43"/>
        <v/>
      </c>
      <c r="H337" s="650" t="str">
        <f t="shared" si="38"/>
        <v/>
      </c>
      <c r="J337" s="650"/>
      <c r="K337" s="650"/>
      <c r="L337" s="650"/>
    </row>
    <row r="338" spans="2:12" x14ac:dyDescent="0.2">
      <c r="B338" s="660" t="str">
        <f t="shared" si="39"/>
        <v>-</v>
      </c>
      <c r="C338" s="661" t="str">
        <f t="shared" si="40"/>
        <v/>
      </c>
      <c r="D338" s="650" t="str">
        <f t="shared" si="37"/>
        <v/>
      </c>
      <c r="E338" s="650" t="str">
        <f t="shared" si="41"/>
        <v/>
      </c>
      <c r="F338" s="650" t="str">
        <f t="shared" si="42"/>
        <v/>
      </c>
      <c r="G338" s="650" t="str">
        <f t="shared" si="43"/>
        <v/>
      </c>
      <c r="H338" s="650" t="str">
        <f t="shared" si="38"/>
        <v/>
      </c>
      <c r="J338" s="650"/>
      <c r="K338" s="650"/>
      <c r="L338" s="650"/>
    </row>
    <row r="339" spans="2:12" x14ac:dyDescent="0.2">
      <c r="B339" s="660" t="str">
        <f t="shared" si="39"/>
        <v>-</v>
      </c>
      <c r="C339" s="661" t="str">
        <f t="shared" si="40"/>
        <v/>
      </c>
      <c r="D339" s="650" t="str">
        <f t="shared" si="37"/>
        <v/>
      </c>
      <c r="E339" s="650" t="str">
        <f t="shared" si="41"/>
        <v/>
      </c>
      <c r="F339" s="650" t="str">
        <f t="shared" si="42"/>
        <v/>
      </c>
      <c r="G339" s="650" t="str">
        <f t="shared" si="43"/>
        <v/>
      </c>
      <c r="H339" s="650" t="str">
        <f t="shared" si="38"/>
        <v/>
      </c>
      <c r="J339" s="650"/>
      <c r="K339" s="650"/>
      <c r="L339" s="650"/>
    </row>
    <row r="340" spans="2:12" x14ac:dyDescent="0.2">
      <c r="B340" s="660" t="str">
        <f t="shared" si="39"/>
        <v>-</v>
      </c>
      <c r="C340" s="661" t="str">
        <f t="shared" si="40"/>
        <v/>
      </c>
      <c r="D340" s="650" t="str">
        <f t="shared" si="37"/>
        <v/>
      </c>
      <c r="E340" s="650" t="str">
        <f t="shared" si="41"/>
        <v/>
      </c>
      <c r="F340" s="650" t="str">
        <f t="shared" si="42"/>
        <v/>
      </c>
      <c r="G340" s="650" t="str">
        <f t="shared" si="43"/>
        <v/>
      </c>
      <c r="H340" s="650" t="str">
        <f t="shared" si="38"/>
        <v/>
      </c>
      <c r="J340" s="650"/>
      <c r="K340" s="650"/>
      <c r="L340" s="650"/>
    </row>
    <row r="341" spans="2:12" x14ac:dyDescent="0.2">
      <c r="B341" s="660" t="str">
        <f t="shared" si="39"/>
        <v>-</v>
      </c>
      <c r="C341" s="661" t="str">
        <f t="shared" si="40"/>
        <v/>
      </c>
      <c r="D341" s="650" t="str">
        <f t="shared" si="37"/>
        <v/>
      </c>
      <c r="E341" s="650" t="str">
        <f t="shared" si="41"/>
        <v/>
      </c>
      <c r="F341" s="650" t="str">
        <f t="shared" si="42"/>
        <v/>
      </c>
      <c r="G341" s="650" t="str">
        <f t="shared" si="43"/>
        <v/>
      </c>
      <c r="H341" s="650" t="str">
        <f t="shared" si="38"/>
        <v/>
      </c>
      <c r="J341" s="650"/>
      <c r="K341" s="650"/>
      <c r="L341" s="650"/>
    </row>
    <row r="342" spans="2:12" x14ac:dyDescent="0.2">
      <c r="B342" s="660" t="str">
        <f t="shared" si="39"/>
        <v>-</v>
      </c>
      <c r="C342" s="661" t="str">
        <f t="shared" si="40"/>
        <v/>
      </c>
      <c r="D342" s="650" t="str">
        <f t="shared" si="37"/>
        <v/>
      </c>
      <c r="E342" s="650" t="str">
        <f t="shared" si="41"/>
        <v/>
      </c>
      <c r="F342" s="650" t="str">
        <f t="shared" si="42"/>
        <v/>
      </c>
      <c r="G342" s="650" t="str">
        <f t="shared" si="43"/>
        <v/>
      </c>
      <c r="H342" s="650" t="str">
        <f t="shared" si="38"/>
        <v/>
      </c>
      <c r="J342" s="650"/>
      <c r="K342" s="650"/>
      <c r="L342" s="650"/>
    </row>
    <row r="343" spans="2:12" x14ac:dyDescent="0.2">
      <c r="B343" s="660" t="str">
        <f t="shared" si="39"/>
        <v>-</v>
      </c>
      <c r="C343" s="661" t="str">
        <f t="shared" si="40"/>
        <v/>
      </c>
      <c r="D343" s="650" t="str">
        <f t="shared" si="37"/>
        <v/>
      </c>
      <c r="E343" s="650" t="str">
        <f t="shared" si="41"/>
        <v/>
      </c>
      <c r="F343" s="650" t="str">
        <f t="shared" si="42"/>
        <v/>
      </c>
      <c r="G343" s="650" t="str">
        <f t="shared" si="43"/>
        <v/>
      </c>
      <c r="H343" s="650" t="str">
        <f t="shared" si="38"/>
        <v/>
      </c>
      <c r="J343" s="650"/>
      <c r="K343" s="650"/>
      <c r="L343" s="650"/>
    </row>
    <row r="344" spans="2:12" x14ac:dyDescent="0.2">
      <c r="B344" s="660" t="str">
        <f t="shared" si="39"/>
        <v>-</v>
      </c>
      <c r="C344" s="661" t="str">
        <f t="shared" si="40"/>
        <v/>
      </c>
      <c r="D344" s="650" t="str">
        <f t="shared" si="37"/>
        <v/>
      </c>
      <c r="E344" s="650" t="str">
        <f t="shared" si="41"/>
        <v/>
      </c>
      <c r="F344" s="650" t="str">
        <f t="shared" si="42"/>
        <v/>
      </c>
      <c r="G344" s="650" t="str">
        <f t="shared" si="43"/>
        <v/>
      </c>
      <c r="H344" s="650" t="str">
        <f t="shared" si="38"/>
        <v/>
      </c>
      <c r="J344" s="650"/>
      <c r="K344" s="650"/>
      <c r="L344" s="650"/>
    </row>
    <row r="345" spans="2:12" x14ac:dyDescent="0.2">
      <c r="B345" s="660" t="str">
        <f t="shared" si="39"/>
        <v>-</v>
      </c>
      <c r="C345" s="661" t="str">
        <f t="shared" si="40"/>
        <v/>
      </c>
      <c r="D345" s="650" t="str">
        <f t="shared" si="37"/>
        <v/>
      </c>
      <c r="E345" s="650" t="str">
        <f t="shared" si="41"/>
        <v/>
      </c>
      <c r="F345" s="650" t="str">
        <f t="shared" si="42"/>
        <v/>
      </c>
      <c r="G345" s="650" t="str">
        <f t="shared" si="43"/>
        <v/>
      </c>
      <c r="H345" s="650" t="str">
        <f t="shared" si="38"/>
        <v/>
      </c>
      <c r="J345" s="650"/>
      <c r="K345" s="650"/>
      <c r="L345" s="650"/>
    </row>
    <row r="346" spans="2:12" x14ac:dyDescent="0.2">
      <c r="B346" s="660" t="str">
        <f t="shared" si="39"/>
        <v>-</v>
      </c>
      <c r="C346" s="661" t="str">
        <f t="shared" si="40"/>
        <v/>
      </c>
      <c r="D346" s="650" t="str">
        <f t="shared" si="37"/>
        <v/>
      </c>
      <c r="E346" s="650" t="str">
        <f t="shared" si="41"/>
        <v/>
      </c>
      <c r="F346" s="650" t="str">
        <f t="shared" si="42"/>
        <v/>
      </c>
      <c r="G346" s="650" t="str">
        <f t="shared" si="43"/>
        <v/>
      </c>
      <c r="H346" s="650" t="str">
        <f t="shared" si="38"/>
        <v/>
      </c>
      <c r="J346" s="650"/>
      <c r="K346" s="650"/>
      <c r="L346" s="650"/>
    </row>
    <row r="347" spans="2:12" x14ac:dyDescent="0.2">
      <c r="B347" s="660" t="str">
        <f t="shared" si="39"/>
        <v>-</v>
      </c>
      <c r="C347" s="661" t="str">
        <f t="shared" si="40"/>
        <v/>
      </c>
      <c r="D347" s="650" t="str">
        <f t="shared" si="37"/>
        <v/>
      </c>
      <c r="E347" s="650" t="str">
        <f t="shared" si="41"/>
        <v/>
      </c>
      <c r="F347" s="650" t="str">
        <f t="shared" si="42"/>
        <v/>
      </c>
      <c r="G347" s="650" t="str">
        <f t="shared" si="43"/>
        <v/>
      </c>
      <c r="H347" s="650" t="str">
        <f t="shared" si="38"/>
        <v/>
      </c>
      <c r="J347" s="650"/>
      <c r="K347" s="650"/>
      <c r="L347" s="650"/>
    </row>
    <row r="348" spans="2:12" x14ac:dyDescent="0.2">
      <c r="B348" s="660" t="str">
        <f t="shared" si="39"/>
        <v>-</v>
      </c>
      <c r="C348" s="661" t="str">
        <f t="shared" si="40"/>
        <v/>
      </c>
      <c r="D348" s="650" t="str">
        <f t="shared" si="37"/>
        <v/>
      </c>
      <c r="E348" s="650" t="str">
        <f t="shared" si="41"/>
        <v/>
      </c>
      <c r="F348" s="650" t="str">
        <f t="shared" si="42"/>
        <v/>
      </c>
      <c r="G348" s="650" t="str">
        <f t="shared" si="43"/>
        <v/>
      </c>
      <c r="H348" s="650" t="str">
        <f t="shared" si="38"/>
        <v/>
      </c>
      <c r="J348" s="650"/>
      <c r="K348" s="650"/>
      <c r="L348" s="650"/>
    </row>
    <row r="349" spans="2:12" x14ac:dyDescent="0.2">
      <c r="B349" s="660" t="str">
        <f t="shared" si="39"/>
        <v>-</v>
      </c>
      <c r="C349" s="661" t="str">
        <f t="shared" si="40"/>
        <v/>
      </c>
      <c r="D349" s="650" t="str">
        <f t="shared" si="37"/>
        <v/>
      </c>
      <c r="E349" s="650" t="str">
        <f t="shared" si="41"/>
        <v/>
      </c>
      <c r="F349" s="650" t="str">
        <f t="shared" si="42"/>
        <v/>
      </c>
      <c r="G349" s="650" t="str">
        <f t="shared" si="43"/>
        <v/>
      </c>
      <c r="H349" s="650" t="str">
        <f t="shared" si="38"/>
        <v/>
      </c>
      <c r="J349" s="650"/>
      <c r="K349" s="650"/>
      <c r="L349" s="650"/>
    </row>
    <row r="350" spans="2:12" x14ac:dyDescent="0.2">
      <c r="B350" s="660" t="str">
        <f t="shared" si="39"/>
        <v>-</v>
      </c>
      <c r="C350" s="661" t="str">
        <f t="shared" si="40"/>
        <v/>
      </c>
      <c r="D350" s="650" t="str">
        <f t="shared" si="37"/>
        <v/>
      </c>
      <c r="E350" s="650" t="str">
        <f t="shared" si="41"/>
        <v/>
      </c>
      <c r="F350" s="650" t="str">
        <f t="shared" si="42"/>
        <v/>
      </c>
      <c r="G350" s="650" t="str">
        <f t="shared" si="43"/>
        <v/>
      </c>
      <c r="H350" s="650" t="str">
        <f t="shared" si="38"/>
        <v/>
      </c>
      <c r="J350" s="650"/>
      <c r="K350" s="650"/>
      <c r="L350" s="650"/>
    </row>
    <row r="351" spans="2:12" x14ac:dyDescent="0.2">
      <c r="B351" s="660" t="str">
        <f t="shared" si="39"/>
        <v>-</v>
      </c>
      <c r="C351" s="661" t="str">
        <f t="shared" si="40"/>
        <v/>
      </c>
      <c r="D351" s="650" t="str">
        <f t="shared" si="37"/>
        <v/>
      </c>
      <c r="E351" s="650" t="str">
        <f t="shared" si="41"/>
        <v/>
      </c>
      <c r="F351" s="650" t="str">
        <f t="shared" si="42"/>
        <v/>
      </c>
      <c r="G351" s="650" t="str">
        <f t="shared" si="43"/>
        <v/>
      </c>
      <c r="H351" s="650" t="str">
        <f t="shared" si="38"/>
        <v/>
      </c>
      <c r="J351" s="650"/>
      <c r="K351" s="650"/>
      <c r="L351" s="650"/>
    </row>
    <row r="352" spans="2:12" x14ac:dyDescent="0.2">
      <c r="B352" s="660" t="str">
        <f t="shared" si="39"/>
        <v>-</v>
      </c>
      <c r="C352" s="661" t="str">
        <f t="shared" si="40"/>
        <v/>
      </c>
      <c r="D352" s="650" t="str">
        <f t="shared" si="37"/>
        <v/>
      </c>
      <c r="E352" s="650" t="str">
        <f t="shared" si="41"/>
        <v/>
      </c>
      <c r="F352" s="650" t="str">
        <f t="shared" si="42"/>
        <v/>
      </c>
      <c r="G352" s="650" t="str">
        <f t="shared" si="43"/>
        <v/>
      </c>
      <c r="H352" s="650" t="str">
        <f t="shared" si="38"/>
        <v/>
      </c>
      <c r="J352" s="650"/>
      <c r="K352" s="650"/>
      <c r="L352" s="650"/>
    </row>
    <row r="353" spans="2:12" x14ac:dyDescent="0.2">
      <c r="B353" s="660" t="str">
        <f t="shared" si="39"/>
        <v>-</v>
      </c>
      <c r="C353" s="661" t="str">
        <f t="shared" si="40"/>
        <v/>
      </c>
      <c r="D353" s="650" t="str">
        <f t="shared" si="37"/>
        <v/>
      </c>
      <c r="E353" s="650" t="str">
        <f t="shared" si="41"/>
        <v/>
      </c>
      <c r="F353" s="650" t="str">
        <f t="shared" si="42"/>
        <v/>
      </c>
      <c r="G353" s="650" t="str">
        <f t="shared" si="43"/>
        <v/>
      </c>
      <c r="H353" s="650" t="str">
        <f t="shared" si="38"/>
        <v/>
      </c>
      <c r="J353" s="650"/>
      <c r="K353" s="650"/>
      <c r="L353" s="650"/>
    </row>
    <row r="354" spans="2:12" x14ac:dyDescent="0.2">
      <c r="B354" s="660" t="str">
        <f t="shared" si="39"/>
        <v>-</v>
      </c>
      <c r="C354" s="661" t="str">
        <f t="shared" si="40"/>
        <v/>
      </c>
      <c r="D354" s="650" t="str">
        <f t="shared" si="37"/>
        <v/>
      </c>
      <c r="E354" s="650" t="str">
        <f t="shared" si="41"/>
        <v/>
      </c>
      <c r="F354" s="650" t="str">
        <f t="shared" si="42"/>
        <v/>
      </c>
      <c r="G354" s="650" t="str">
        <f t="shared" si="43"/>
        <v/>
      </c>
      <c r="H354" s="650" t="str">
        <f t="shared" si="38"/>
        <v/>
      </c>
      <c r="J354" s="650"/>
      <c r="K354" s="650"/>
      <c r="L354" s="650"/>
    </row>
    <row r="355" spans="2:12" x14ac:dyDescent="0.2">
      <c r="B355" s="660" t="str">
        <f t="shared" si="39"/>
        <v>-</v>
      </c>
      <c r="C355" s="661" t="str">
        <f t="shared" si="40"/>
        <v/>
      </c>
      <c r="D355" s="650" t="str">
        <f t="shared" si="37"/>
        <v/>
      </c>
      <c r="E355" s="650" t="str">
        <f t="shared" si="41"/>
        <v/>
      </c>
      <c r="F355" s="650" t="str">
        <f t="shared" si="42"/>
        <v/>
      </c>
      <c r="G355" s="650" t="str">
        <f t="shared" si="43"/>
        <v/>
      </c>
      <c r="H355" s="650" t="str">
        <f t="shared" si="38"/>
        <v/>
      </c>
      <c r="J355" s="650"/>
      <c r="K355" s="650"/>
      <c r="L355" s="650"/>
    </row>
    <row r="356" spans="2:12" x14ac:dyDescent="0.2">
      <c r="B356" s="660" t="str">
        <f t="shared" si="39"/>
        <v>-</v>
      </c>
      <c r="C356" s="661" t="str">
        <f t="shared" si="40"/>
        <v/>
      </c>
      <c r="D356" s="650" t="str">
        <f t="shared" si="37"/>
        <v/>
      </c>
      <c r="E356" s="650" t="str">
        <f t="shared" si="41"/>
        <v/>
      </c>
      <c r="F356" s="650" t="str">
        <f t="shared" si="42"/>
        <v/>
      </c>
      <c r="G356" s="650" t="str">
        <f t="shared" si="43"/>
        <v/>
      </c>
      <c r="H356" s="650" t="str">
        <f t="shared" si="38"/>
        <v/>
      </c>
      <c r="J356" s="650"/>
      <c r="K356" s="650"/>
      <c r="L356" s="650"/>
    </row>
    <row r="357" spans="2:12" x14ac:dyDescent="0.2">
      <c r="B357" s="660" t="str">
        <f t="shared" si="39"/>
        <v>-</v>
      </c>
      <c r="C357" s="661" t="str">
        <f t="shared" si="40"/>
        <v/>
      </c>
      <c r="D357" s="650" t="str">
        <f t="shared" si="37"/>
        <v/>
      </c>
      <c r="E357" s="650" t="str">
        <f t="shared" si="41"/>
        <v/>
      </c>
      <c r="F357" s="650" t="str">
        <f t="shared" si="42"/>
        <v/>
      </c>
      <c r="G357" s="650" t="str">
        <f t="shared" si="43"/>
        <v/>
      </c>
      <c r="H357" s="650" t="str">
        <f t="shared" si="38"/>
        <v/>
      </c>
      <c r="J357" s="650"/>
      <c r="K357" s="650"/>
      <c r="L357" s="650"/>
    </row>
    <row r="358" spans="2:12" x14ac:dyDescent="0.2">
      <c r="B358" s="660" t="str">
        <f t="shared" si="39"/>
        <v>-</v>
      </c>
      <c r="C358" s="661" t="str">
        <f t="shared" si="40"/>
        <v/>
      </c>
      <c r="D358" s="650" t="str">
        <f t="shared" si="37"/>
        <v/>
      </c>
      <c r="E358" s="650" t="str">
        <f t="shared" si="41"/>
        <v/>
      </c>
      <c r="F358" s="650" t="str">
        <f t="shared" si="42"/>
        <v/>
      </c>
      <c r="G358" s="650" t="str">
        <f t="shared" si="43"/>
        <v/>
      </c>
      <c r="H358" s="650" t="str">
        <f t="shared" si="38"/>
        <v/>
      </c>
      <c r="J358" s="650"/>
      <c r="K358" s="650"/>
      <c r="L358" s="650"/>
    </row>
    <row r="359" spans="2:12" x14ac:dyDescent="0.2">
      <c r="B359" s="660" t="str">
        <f t="shared" si="39"/>
        <v>-</v>
      </c>
      <c r="C359" s="661" t="str">
        <f t="shared" si="40"/>
        <v/>
      </c>
      <c r="D359" s="650" t="str">
        <f t="shared" si="37"/>
        <v/>
      </c>
      <c r="E359" s="650" t="str">
        <f t="shared" si="41"/>
        <v/>
      </c>
      <c r="F359" s="650" t="str">
        <f t="shared" si="42"/>
        <v/>
      </c>
      <c r="G359" s="650" t="str">
        <f t="shared" si="43"/>
        <v/>
      </c>
      <c r="H359" s="650" t="str">
        <f t="shared" si="38"/>
        <v/>
      </c>
      <c r="J359" s="650"/>
      <c r="K359" s="650"/>
      <c r="L359" s="650"/>
    </row>
    <row r="360" spans="2:12" x14ac:dyDescent="0.2">
      <c r="B360" s="660" t="str">
        <f t="shared" si="39"/>
        <v>-</v>
      </c>
      <c r="C360" s="661" t="str">
        <f t="shared" si="40"/>
        <v/>
      </c>
      <c r="D360" s="650" t="str">
        <f t="shared" si="37"/>
        <v/>
      </c>
      <c r="E360" s="650" t="str">
        <f t="shared" si="41"/>
        <v/>
      </c>
      <c r="F360" s="650" t="str">
        <f t="shared" si="42"/>
        <v/>
      </c>
      <c r="G360" s="650" t="str">
        <f t="shared" si="43"/>
        <v/>
      </c>
      <c r="H360" s="650" t="str">
        <f t="shared" si="38"/>
        <v/>
      </c>
      <c r="J360" s="650"/>
      <c r="K360" s="650"/>
      <c r="L360" s="650"/>
    </row>
    <row r="361" spans="2:12" x14ac:dyDescent="0.2">
      <c r="B361" s="660" t="str">
        <f t="shared" si="39"/>
        <v>-</v>
      </c>
      <c r="C361" s="661" t="str">
        <f t="shared" si="40"/>
        <v/>
      </c>
      <c r="D361" s="650" t="str">
        <f t="shared" si="37"/>
        <v/>
      </c>
      <c r="E361" s="650" t="str">
        <f t="shared" si="41"/>
        <v/>
      </c>
      <c r="F361" s="650" t="str">
        <f t="shared" si="42"/>
        <v/>
      </c>
      <c r="G361" s="650" t="str">
        <f t="shared" si="43"/>
        <v/>
      </c>
      <c r="H361" s="650" t="str">
        <f t="shared" si="38"/>
        <v/>
      </c>
      <c r="J361" s="650"/>
      <c r="K361" s="650"/>
      <c r="L361" s="650"/>
    </row>
    <row r="362" spans="2:12" x14ac:dyDescent="0.2">
      <c r="B362" s="660" t="str">
        <f t="shared" si="39"/>
        <v>-</v>
      </c>
      <c r="C362" s="661" t="str">
        <f t="shared" si="40"/>
        <v/>
      </c>
      <c r="D362" s="650" t="str">
        <f t="shared" si="37"/>
        <v/>
      </c>
      <c r="E362" s="650" t="str">
        <f t="shared" si="41"/>
        <v/>
      </c>
      <c r="F362" s="650" t="str">
        <f t="shared" si="42"/>
        <v/>
      </c>
      <c r="G362" s="650" t="str">
        <f t="shared" si="43"/>
        <v/>
      </c>
      <c r="H362" s="650" t="str">
        <f t="shared" si="38"/>
        <v/>
      </c>
      <c r="J362" s="650"/>
      <c r="K362" s="650"/>
      <c r="L362" s="650"/>
    </row>
    <row r="363" spans="2:12" x14ac:dyDescent="0.2">
      <c r="B363" s="660" t="str">
        <f t="shared" si="39"/>
        <v>-</v>
      </c>
      <c r="C363" s="661" t="str">
        <f t="shared" si="40"/>
        <v/>
      </c>
      <c r="D363" s="650" t="str">
        <f t="shared" si="37"/>
        <v/>
      </c>
      <c r="E363" s="650" t="str">
        <f t="shared" si="41"/>
        <v/>
      </c>
      <c r="F363" s="650" t="str">
        <f t="shared" si="42"/>
        <v/>
      </c>
      <c r="G363" s="650" t="str">
        <f t="shared" si="43"/>
        <v/>
      </c>
      <c r="H363" s="650" t="str">
        <f t="shared" si="38"/>
        <v/>
      </c>
      <c r="J363" s="650"/>
      <c r="K363" s="650"/>
      <c r="L363" s="650"/>
    </row>
    <row r="364" spans="2:12" x14ac:dyDescent="0.2">
      <c r="B364" s="660" t="str">
        <f t="shared" si="39"/>
        <v>-</v>
      </c>
      <c r="C364" s="661" t="str">
        <f t="shared" si="40"/>
        <v/>
      </c>
      <c r="D364" s="650" t="str">
        <f t="shared" si="37"/>
        <v/>
      </c>
      <c r="E364" s="650" t="str">
        <f t="shared" si="41"/>
        <v/>
      </c>
      <c r="F364" s="650" t="str">
        <f t="shared" si="42"/>
        <v/>
      </c>
      <c r="G364" s="650" t="str">
        <f t="shared" si="43"/>
        <v/>
      </c>
      <c r="H364" s="650" t="str">
        <f t="shared" si="38"/>
        <v/>
      </c>
      <c r="J364" s="650"/>
      <c r="K364" s="650"/>
      <c r="L364" s="650"/>
    </row>
    <row r="365" spans="2:12" x14ac:dyDescent="0.2">
      <c r="B365" s="660" t="str">
        <f t="shared" si="39"/>
        <v>-</v>
      </c>
      <c r="C365" s="661" t="str">
        <f t="shared" si="40"/>
        <v/>
      </c>
      <c r="D365" s="650" t="str">
        <f t="shared" si="37"/>
        <v/>
      </c>
      <c r="E365" s="650" t="str">
        <f t="shared" si="41"/>
        <v/>
      </c>
      <c r="F365" s="650" t="str">
        <f t="shared" si="42"/>
        <v/>
      </c>
      <c r="G365" s="650" t="str">
        <f t="shared" si="43"/>
        <v/>
      </c>
      <c r="H365" s="650" t="str">
        <f t="shared" si="38"/>
        <v/>
      </c>
      <c r="J365" s="650"/>
      <c r="K365" s="650"/>
      <c r="L365" s="650"/>
    </row>
    <row r="366" spans="2:12" x14ac:dyDescent="0.2">
      <c r="B366" s="660" t="str">
        <f t="shared" si="39"/>
        <v>-</v>
      </c>
      <c r="C366" s="661" t="str">
        <f t="shared" si="40"/>
        <v/>
      </c>
      <c r="D366" s="650" t="str">
        <f t="shared" si="37"/>
        <v/>
      </c>
      <c r="E366" s="650" t="str">
        <f t="shared" si="41"/>
        <v/>
      </c>
      <c r="F366" s="650" t="str">
        <f t="shared" si="42"/>
        <v/>
      </c>
      <c r="G366" s="650" t="str">
        <f t="shared" si="43"/>
        <v/>
      </c>
      <c r="H366" s="650" t="str">
        <f t="shared" si="38"/>
        <v/>
      </c>
      <c r="J366" s="650"/>
      <c r="K366" s="650"/>
      <c r="L366" s="650"/>
    </row>
    <row r="367" spans="2:12" x14ac:dyDescent="0.2">
      <c r="B367" s="660" t="str">
        <f t="shared" si="39"/>
        <v>-</v>
      </c>
      <c r="C367" s="661" t="str">
        <f t="shared" si="40"/>
        <v/>
      </c>
      <c r="D367" s="650" t="str">
        <f t="shared" si="37"/>
        <v/>
      </c>
      <c r="E367" s="650" t="str">
        <f t="shared" si="41"/>
        <v/>
      </c>
      <c r="F367" s="650" t="str">
        <f t="shared" si="42"/>
        <v/>
      </c>
      <c r="G367" s="650" t="str">
        <f t="shared" si="43"/>
        <v/>
      </c>
      <c r="H367" s="650" t="str">
        <f t="shared" si="38"/>
        <v/>
      </c>
      <c r="J367" s="650"/>
      <c r="K367" s="650"/>
      <c r="L367" s="650"/>
    </row>
    <row r="368" spans="2:12" x14ac:dyDescent="0.2">
      <c r="B368" s="660" t="str">
        <f t="shared" si="39"/>
        <v>-</v>
      </c>
      <c r="C368" s="661" t="str">
        <f t="shared" si="40"/>
        <v/>
      </c>
      <c r="D368" s="650" t="str">
        <f t="shared" si="37"/>
        <v/>
      </c>
      <c r="E368" s="650" t="str">
        <f t="shared" si="41"/>
        <v/>
      </c>
      <c r="F368" s="650" t="str">
        <f t="shared" si="42"/>
        <v/>
      </c>
      <c r="G368" s="650" t="str">
        <f t="shared" si="43"/>
        <v/>
      </c>
      <c r="H368" s="650" t="str">
        <f t="shared" si="38"/>
        <v/>
      </c>
      <c r="J368" s="650"/>
      <c r="K368" s="650"/>
      <c r="L368" s="650"/>
    </row>
    <row r="369" spans="2:12" x14ac:dyDescent="0.2">
      <c r="B369" s="660" t="str">
        <f t="shared" si="39"/>
        <v>-</v>
      </c>
      <c r="C369" s="661" t="str">
        <f t="shared" si="40"/>
        <v/>
      </c>
      <c r="D369" s="650" t="str">
        <f>IF(ISNUMBER(B369),D368-F368,"")</f>
        <v/>
      </c>
      <c r="E369" s="650" t="str">
        <f t="shared" si="41"/>
        <v/>
      </c>
      <c r="F369" s="650" t="str">
        <f t="shared" si="42"/>
        <v/>
      </c>
      <c r="G369" s="650" t="str">
        <f t="shared" si="43"/>
        <v/>
      </c>
      <c r="H369" s="650" t="str">
        <f>IF(ISNUMBER(B369),E369+F369+G369,"")</f>
        <v/>
      </c>
      <c r="J369" s="650"/>
      <c r="K369" s="650"/>
      <c r="L369" s="650"/>
    </row>
    <row r="370" spans="2:12" x14ac:dyDescent="0.2">
      <c r="B370" s="660" t="str">
        <f t="shared" si="39"/>
        <v>-</v>
      </c>
      <c r="C370" s="661" t="str">
        <f t="shared" si="40"/>
        <v/>
      </c>
      <c r="D370" s="650" t="str">
        <f>IF(ISNUMBER(B370),D369-F369,"")</f>
        <v/>
      </c>
      <c r="E370" s="650" t="str">
        <f t="shared" si="41"/>
        <v/>
      </c>
      <c r="F370" s="650" t="str">
        <f t="shared" si="42"/>
        <v/>
      </c>
      <c r="G370" s="650" t="str">
        <f t="shared" si="43"/>
        <v/>
      </c>
      <c r="H370" s="650" t="str">
        <f>IF(ISNUMBER(B370),E370+F370+G370,"")</f>
        <v/>
      </c>
      <c r="J370" s="650"/>
      <c r="K370" s="650"/>
      <c r="L370" s="650"/>
    </row>
    <row r="371" spans="2:12" x14ac:dyDescent="0.2">
      <c r="B371" s="660" t="str">
        <f t="shared" si="39"/>
        <v>-</v>
      </c>
      <c r="C371" s="661" t="str">
        <f t="shared" si="40"/>
        <v/>
      </c>
      <c r="D371" s="650" t="str">
        <f>IF(ISNUMBER(B371),D370-F370,"")</f>
        <v/>
      </c>
      <c r="E371" s="650" t="str">
        <f t="shared" si="41"/>
        <v/>
      </c>
      <c r="F371" s="650" t="str">
        <f t="shared" si="42"/>
        <v/>
      </c>
      <c r="G371" s="650" t="str">
        <f t="shared" si="43"/>
        <v/>
      </c>
      <c r="H371" s="650" t="str">
        <f>IF(ISNUMBER(B371),E371+F371+G371,"")</f>
        <v/>
      </c>
      <c r="J371" s="650"/>
      <c r="K371" s="650"/>
      <c r="L371" s="650"/>
    </row>
    <row r="372" spans="2:12" x14ac:dyDescent="0.2">
      <c r="B372" s="1252" t="s">
        <v>166</v>
      </c>
      <c r="C372" s="1252"/>
      <c r="D372" s="1252"/>
      <c r="E372" s="1252"/>
      <c r="F372" s="1252"/>
      <c r="G372" s="1252"/>
      <c r="H372" s="1252"/>
    </row>
    <row r="373" spans="2:12" x14ac:dyDescent="0.2">
      <c r="B373" s="662" t="s">
        <v>167</v>
      </c>
      <c r="E373" s="650">
        <f>SUM(E12:E371)</f>
        <v>8492688.179999996</v>
      </c>
      <c r="F373" s="650">
        <f>SUM(F12:F371)</f>
        <v>16973804.930000003</v>
      </c>
      <c r="G373" s="650">
        <f>SUM(G12:G371)</f>
        <v>0</v>
      </c>
      <c r="H373" s="650">
        <f>SUM(H12:H371)</f>
        <v>21220149.020000011</v>
      </c>
    </row>
  </sheetData>
  <mergeCells count="26">
    <mergeCell ref="P2:R2"/>
    <mergeCell ref="F7:G7"/>
    <mergeCell ref="F8:G8"/>
    <mergeCell ref="J6:K6"/>
    <mergeCell ref="F6:G6"/>
    <mergeCell ref="B372:H372"/>
    <mergeCell ref="B3:C3"/>
    <mergeCell ref="B4:C4"/>
    <mergeCell ref="B5:C5"/>
    <mergeCell ref="B6:C6"/>
    <mergeCell ref="B7:C7"/>
    <mergeCell ref="B8:C8"/>
    <mergeCell ref="F3:G3"/>
    <mergeCell ref="F4:G4"/>
    <mergeCell ref="F5:G5"/>
    <mergeCell ref="B2:D2"/>
    <mergeCell ref="B1:G1"/>
    <mergeCell ref="B9:H9"/>
    <mergeCell ref="J7:K7"/>
    <mergeCell ref="F2:H2"/>
    <mergeCell ref="J2:L2"/>
    <mergeCell ref="J3:K3"/>
    <mergeCell ref="J4:K4"/>
    <mergeCell ref="J5:K5"/>
    <mergeCell ref="J1:L1"/>
    <mergeCell ref="J8:K8"/>
  </mergeCells>
  <phoneticPr fontId="6" type="noConversion"/>
  <conditionalFormatting sqref="L8">
    <cfRule type="cellIs" dxfId="5" priority="1" stopIfTrue="1" operator="equal">
      <formula>"KO"</formula>
    </cfRule>
  </conditionalFormatting>
  <hyperlinks>
    <hyperlink ref="J1" r:id="rId1" display="www.cbanque.com"/>
    <hyperlink ref="J1:L1" r:id="rId2" tooltip="Mode d'emploi JxPret sur cbanque.com - site d'information sur les crédits et les placements" display="Lien mode d'emploi"/>
  </hyperlinks>
  <pageMargins left="0.78740157499999996" right="0.78740157499999996" top="0.984251969" bottom="0.984251969" header="0.4921259845" footer="0.4921259845"/>
  <pageSetup paperSize="9"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37</vt:i4>
      </vt:variant>
      <vt:variant>
        <vt:lpstr>Graphiques</vt:lpstr>
      </vt:variant>
      <vt:variant>
        <vt:i4>4</vt:i4>
      </vt:variant>
      <vt:variant>
        <vt:lpstr>Plages nommées</vt:lpstr>
      </vt:variant>
      <vt:variant>
        <vt:i4>16</vt:i4>
      </vt:variant>
    </vt:vector>
  </HeadingPairs>
  <TitlesOfParts>
    <vt:vector size="57" baseType="lpstr">
      <vt:lpstr>Resultat</vt:lpstr>
      <vt:lpstr>Bilan</vt:lpstr>
      <vt:lpstr>Flux</vt:lpstr>
      <vt:lpstr>Exploitation</vt:lpstr>
      <vt:lpstr>Synthèse </vt:lpstr>
      <vt:lpstr>Exploitation année pleine</vt:lpstr>
      <vt:lpstr>Para de décalage</vt:lpstr>
      <vt:lpstr>Emprunt 2015</vt:lpstr>
      <vt:lpstr>Emprunt 2016</vt:lpstr>
      <vt:lpstr>Emprunt 2017</vt:lpstr>
      <vt:lpstr>Emprunt 2018</vt:lpstr>
      <vt:lpstr>Emprunt 2019</vt:lpstr>
      <vt:lpstr>Emprunt 2020</vt:lpstr>
      <vt:lpstr>Données Investissement</vt:lpstr>
      <vt:lpstr>détails investissements</vt:lpstr>
      <vt:lpstr>détails investissements (2)</vt:lpstr>
      <vt:lpstr>Equipe projet</vt:lpstr>
      <vt:lpstr>plannig des personnes Equipe pr</vt:lpstr>
      <vt:lpstr>Subventions</vt:lpstr>
      <vt:lpstr>Détails subventions</vt:lpstr>
      <vt:lpstr>investisseurs</vt:lpstr>
      <vt:lpstr>Données gestion</vt:lpstr>
      <vt:lpstr>Données PAMCHR</vt:lpstr>
      <vt:lpstr>Données VAR</vt:lpstr>
      <vt:lpstr>Scénario</vt:lpstr>
      <vt:lpstr>Données Matières</vt:lpstr>
      <vt:lpstr>Données Economie Circulaire</vt:lpstr>
      <vt:lpstr>Données Flux et BFR</vt:lpstr>
      <vt:lpstr>Calcul Rentabilité 20 ans</vt:lpstr>
      <vt:lpstr>Données Rentabilité</vt:lpstr>
      <vt:lpstr>Project Data</vt:lpstr>
      <vt:lpstr>Feuil1</vt:lpstr>
      <vt:lpstr>Calcul Rentabilité ERAMET 20ans</vt:lpstr>
      <vt:lpstr>Opportunités et Risques</vt:lpstr>
      <vt:lpstr>Rentabilité Location 10 ans</vt:lpstr>
      <vt:lpstr>Rentabilité bâtiment 20 ans</vt:lpstr>
      <vt:lpstr>Analyse Location</vt:lpstr>
      <vt:lpstr>Graph2</vt:lpstr>
      <vt:lpstr>Graphe Cash Flow</vt:lpstr>
      <vt:lpstr>Graphe Opportunités</vt:lpstr>
      <vt:lpstr>Exemple Graphe Cash Flow</vt:lpstr>
      <vt:lpstr>or_nr_items</vt:lpstr>
      <vt:lpstr>prof_nr_years</vt:lpstr>
      <vt:lpstr>prof_nr_years_max</vt:lpstr>
      <vt:lpstr>Bilan!Zone_d_impression</vt:lpstr>
      <vt:lpstr>'Calcul Rentabilité 20 ans'!Zone_d_impression</vt:lpstr>
      <vt:lpstr>'Calcul Rentabilité ERAMET 20ans'!Zone_d_impression</vt:lpstr>
      <vt:lpstr>'Données Investissement'!Zone_d_impression</vt:lpstr>
      <vt:lpstr>'Données Rentabilité'!Zone_d_impression</vt:lpstr>
      <vt:lpstr>'Equipe projet'!Zone_d_impression</vt:lpstr>
      <vt:lpstr>Exploitation!Zone_d_impression</vt:lpstr>
      <vt:lpstr>'Exploitation année pleine'!Zone_d_impression</vt:lpstr>
      <vt:lpstr>Flux!Zone_d_impression</vt:lpstr>
      <vt:lpstr>'Rentabilité bâtiment 20 ans'!Zone_d_impression</vt:lpstr>
      <vt:lpstr>'Rentabilité Location 10 ans'!Zone_d_impression</vt:lpstr>
      <vt:lpstr>Resultat!Zone_d_impression</vt:lpstr>
      <vt:lpstr>Scénario!Zone_d_impression</vt:lpstr>
    </vt:vector>
  </TitlesOfParts>
  <Company>Aubert &amp; Duval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ADM2007-L</dc:creator>
  <cp:lastModifiedBy>Patrick Delaborde</cp:lastModifiedBy>
  <cp:lastPrinted>2014-04-29T15:01:44Z</cp:lastPrinted>
  <dcterms:created xsi:type="dcterms:W3CDTF">2011-03-08T09:55:27Z</dcterms:created>
  <dcterms:modified xsi:type="dcterms:W3CDTF">2015-06-30T11:06:53Z</dcterms:modified>
</cp:coreProperties>
</file>